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07768E91-57FF-48B6-AEF0-752552E608BA}" xr6:coauthVersionLast="47" xr6:coauthVersionMax="47" xr10:uidLastSave="{00000000-0000-0000-0000-000000000000}"/>
  <bookViews>
    <workbookView xWindow="-120" yWindow="-120" windowWidth="29040" windowHeight="15720" activeTab="9" xr2:uid="{00000000-000D-0000-FFFF-FFFF00000000}"/>
  </bookViews>
  <sheets>
    <sheet name="Stocks" sheetId="11" r:id="rId1"/>
    <sheet name="FD" sheetId="9" r:id="rId2"/>
    <sheet name="PF" sheetId="1" r:id="rId3"/>
    <sheet name="Gratuity" sheetId="3" r:id="rId4"/>
    <sheet name="NPS - Tier I" sheetId="5" r:id="rId5"/>
    <sheet name="NPS - Tier II" sheetId="6" r:id="rId6"/>
    <sheet name="MF" sheetId="7" r:id="rId7"/>
    <sheet name="Policies" sheetId="8" r:id="rId8"/>
    <sheet name="Bonds" sheetId="10" r:id="rId9"/>
    <sheet name="Crypto" sheetId="12" r:id="rId10"/>
  </sheets>
  <externalReferences>
    <externalReference r:id="rId11"/>
    <externalReference r:id="rId12"/>
  </externalReferences>
  <definedNames>
    <definedName name="_xlnm._FilterDatabase" localSheetId="9" hidden="1">Crypto!$B$2:$Q$20</definedName>
    <definedName name="_xlnm._FilterDatabase" localSheetId="1" hidden="1">FD!$A$1:$J$30</definedName>
    <definedName name="_xlnm._FilterDatabase" localSheetId="3" hidden="1">Gratuity!$A$1:$I$1</definedName>
    <definedName name="_xlnm._FilterDatabase" localSheetId="6" hidden="1">MF!$A$1:$O$608</definedName>
    <definedName name="_xlnm._FilterDatabase" localSheetId="4" hidden="1">'NPS - Tier I'!$A$1:$P$1</definedName>
    <definedName name="_xlnm._FilterDatabase" localSheetId="5" hidden="1">'NPS - Tier II'!$A$1:$O$98</definedName>
    <definedName name="_xlnm._FilterDatabase" localSheetId="2" hidden="1">PF!$A$2:$X$2</definedName>
    <definedName name="_xlnm._FilterDatabase" localSheetId="7" hidden="1">Policies!$A$1:$E$1</definedName>
    <definedName name="_xlnm._FilterDatabase" localSheetId="0" hidden="1">Stocks!$A$2:$WWE$569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2" i="12" l="1"/>
  <c r="K32" i="12"/>
  <c r="H32" i="12"/>
  <c r="H31" i="12"/>
  <c r="H33" i="12" s="1"/>
  <c r="O30" i="12"/>
  <c r="L30" i="12"/>
  <c r="I30" i="12"/>
  <c r="K30" i="12" s="1"/>
  <c r="M30" i="12" s="1"/>
  <c r="N30" i="12" s="1"/>
  <c r="H30" i="12"/>
  <c r="Q30" i="12" s="1"/>
  <c r="O29" i="12"/>
  <c r="Q29" i="12" s="1"/>
  <c r="L29" i="12"/>
  <c r="I29" i="12"/>
  <c r="K29" i="12" s="1"/>
  <c r="M29" i="12" s="1"/>
  <c r="N29" i="12" s="1"/>
  <c r="H29" i="12"/>
  <c r="O28" i="12"/>
  <c r="Q28" i="12" s="1"/>
  <c r="L28" i="12"/>
  <c r="I28" i="12"/>
  <c r="K28" i="12" s="1"/>
  <c r="K31" i="12" s="1"/>
  <c r="K33" i="12" s="1"/>
  <c r="H28" i="12"/>
  <c r="D20" i="12"/>
  <c r="R19" i="12"/>
  <c r="O19" i="12"/>
  <c r="P19" i="12" s="1"/>
  <c r="L19" i="12"/>
  <c r="J19" i="12"/>
  <c r="I19" i="12"/>
  <c r="K19" i="12" s="1"/>
  <c r="M19" i="12" s="1"/>
  <c r="N19" i="12" s="1"/>
  <c r="H19" i="12"/>
  <c r="O18" i="12"/>
  <c r="L18" i="12"/>
  <c r="J18" i="12"/>
  <c r="E18" i="12"/>
  <c r="H18" i="12" s="1"/>
  <c r="R17" i="12"/>
  <c r="O17" i="12"/>
  <c r="Q17" i="12" s="1"/>
  <c r="L17" i="12"/>
  <c r="K17" i="12"/>
  <c r="M17" i="12" s="1"/>
  <c r="N17" i="12" s="1"/>
  <c r="I17" i="12"/>
  <c r="H17" i="12"/>
  <c r="R16" i="12"/>
  <c r="O16" i="12"/>
  <c r="Q16" i="12" s="1"/>
  <c r="M16" i="12"/>
  <c r="N16" i="12" s="1"/>
  <c r="L16" i="12"/>
  <c r="J16" i="12"/>
  <c r="K16" i="12" s="1"/>
  <c r="I16" i="12"/>
  <c r="H16" i="12"/>
  <c r="E16" i="12"/>
  <c r="R15" i="12"/>
  <c r="O15" i="12"/>
  <c r="Q15" i="12" s="1"/>
  <c r="L15" i="12"/>
  <c r="I15" i="12"/>
  <c r="K15" i="12" s="1"/>
  <c r="M15" i="12" s="1"/>
  <c r="N15" i="12" s="1"/>
  <c r="P15" i="12" s="1"/>
  <c r="H15" i="12"/>
  <c r="O14" i="12"/>
  <c r="L14" i="12"/>
  <c r="E14" i="12"/>
  <c r="I14" i="12" s="1"/>
  <c r="K14" i="12" s="1"/>
  <c r="O13" i="12"/>
  <c r="L13" i="12"/>
  <c r="K13" i="12"/>
  <c r="M13" i="12" s="1"/>
  <c r="N13" i="12" s="1"/>
  <c r="I13" i="12"/>
  <c r="E13" i="12"/>
  <c r="H13" i="12" s="1"/>
  <c r="O12" i="12"/>
  <c r="L12" i="12"/>
  <c r="I12" i="12"/>
  <c r="K12" i="12" s="1"/>
  <c r="M12" i="12" s="1"/>
  <c r="N12" i="12" s="1"/>
  <c r="P12" i="12" s="1"/>
  <c r="H12" i="12"/>
  <c r="O11" i="12"/>
  <c r="L11" i="12"/>
  <c r="E11" i="12"/>
  <c r="O10" i="12"/>
  <c r="L10" i="12"/>
  <c r="E10" i="12"/>
  <c r="R9" i="12"/>
  <c r="O9" i="12"/>
  <c r="Q9" i="12" s="1"/>
  <c r="L9" i="12"/>
  <c r="I9" i="12"/>
  <c r="K9" i="12" s="1"/>
  <c r="M9" i="12" s="1"/>
  <c r="N9" i="12" s="1"/>
  <c r="P9" i="12" s="1"/>
  <c r="H9" i="12"/>
  <c r="R8" i="12"/>
  <c r="O8" i="12"/>
  <c r="Q8" i="12" s="1"/>
  <c r="L8" i="12"/>
  <c r="K8" i="12"/>
  <c r="M8" i="12" s="1"/>
  <c r="N8" i="12" s="1"/>
  <c r="I8" i="12"/>
  <c r="H8" i="12"/>
  <c r="R7" i="12"/>
  <c r="O7" i="12"/>
  <c r="Q7" i="12" s="1"/>
  <c r="L7" i="12"/>
  <c r="I7" i="12"/>
  <c r="K7" i="12" s="1"/>
  <c r="M7" i="12" s="1"/>
  <c r="N7" i="12" s="1"/>
  <c r="H7" i="12"/>
  <c r="O6" i="12"/>
  <c r="L6" i="12"/>
  <c r="K6" i="12"/>
  <c r="M6" i="12" s="1"/>
  <c r="N6" i="12" s="1"/>
  <c r="I6" i="12"/>
  <c r="H6" i="12"/>
  <c r="R6" i="12" s="1"/>
  <c r="O5" i="12"/>
  <c r="L5" i="12"/>
  <c r="I5" i="12"/>
  <c r="K5" i="12" s="1"/>
  <c r="M5" i="12" s="1"/>
  <c r="N5" i="12" s="1"/>
  <c r="H5" i="12"/>
  <c r="O4" i="12"/>
  <c r="L4" i="12"/>
  <c r="I4" i="12"/>
  <c r="K4" i="12" s="1"/>
  <c r="M4" i="12" s="1"/>
  <c r="N4" i="12" s="1"/>
  <c r="P4" i="12" s="1"/>
  <c r="H4" i="12"/>
  <c r="R4" i="12" s="1"/>
  <c r="R3" i="12"/>
  <c r="O3" i="12"/>
  <c r="Q3" i="12" s="1"/>
  <c r="L3" i="12"/>
  <c r="I3" i="12"/>
  <c r="K3" i="12" s="1"/>
  <c r="H3" i="12"/>
  <c r="M566" i="11"/>
  <c r="C565" i="11"/>
  <c r="I564" i="11" a="1"/>
  <c r="I564" i="11" s="1"/>
  <c r="O563" i="11"/>
  <c r="L563" i="11"/>
  <c r="K563" i="11"/>
  <c r="I573" i="11" s="1"/>
  <c r="J563" i="11"/>
  <c r="M563" i="11" s="1"/>
  <c r="N563" i="11" s="1"/>
  <c r="H563" i="11"/>
  <c r="G563" i="11"/>
  <c r="R563" i="11" s="1"/>
  <c r="O562" i="11"/>
  <c r="L562" i="11"/>
  <c r="I562" i="11"/>
  <c r="I562" i="11" a="1"/>
  <c r="F562" i="11"/>
  <c r="H562" i="11" s="1"/>
  <c r="O561" i="11"/>
  <c r="L561" i="11"/>
  <c r="I561" i="11" a="1"/>
  <c r="I561" i="11" s="1"/>
  <c r="H561" i="11"/>
  <c r="G561" i="11"/>
  <c r="F561" i="11"/>
  <c r="O560" i="11"/>
  <c r="L560" i="11"/>
  <c r="K560" i="11"/>
  <c r="I560" i="11"/>
  <c r="I560" i="11" a="1"/>
  <c r="G560" i="11"/>
  <c r="R560" i="11" s="1"/>
  <c r="F560" i="11"/>
  <c r="H560" i="11" s="1"/>
  <c r="J560" i="11" s="1"/>
  <c r="M560" i="11" s="1"/>
  <c r="N560" i="11" s="1"/>
  <c r="O559" i="11"/>
  <c r="L559" i="11"/>
  <c r="I559" i="11" a="1"/>
  <c r="I559" i="11" s="1"/>
  <c r="F559" i="11"/>
  <c r="O558" i="11"/>
  <c r="L558" i="11"/>
  <c r="I558" i="11" a="1"/>
  <c r="I558" i="11" s="1"/>
  <c r="F558" i="11"/>
  <c r="O557" i="11"/>
  <c r="L557" i="11"/>
  <c r="I557" i="11"/>
  <c r="I557" i="11" a="1"/>
  <c r="F557" i="11"/>
  <c r="G557" i="11" s="1"/>
  <c r="R557" i="11" s="1"/>
  <c r="R556" i="11"/>
  <c r="O556" i="11"/>
  <c r="Q556" i="11" s="1"/>
  <c r="L556" i="11"/>
  <c r="I556" i="11"/>
  <c r="K556" i="11" s="1"/>
  <c r="I556" i="11" a="1"/>
  <c r="H556" i="11"/>
  <c r="G556" i="11"/>
  <c r="F556" i="11"/>
  <c r="O555" i="11"/>
  <c r="L555" i="11"/>
  <c r="K555" i="11"/>
  <c r="I555" i="11" a="1"/>
  <c r="I555" i="11" s="1"/>
  <c r="J555" i="11" s="1"/>
  <c r="M555" i="11" s="1"/>
  <c r="N555" i="11" s="1"/>
  <c r="H555" i="11"/>
  <c r="G555" i="11"/>
  <c r="F555" i="11"/>
  <c r="O554" i="11"/>
  <c r="L554" i="11"/>
  <c r="K554" i="11"/>
  <c r="I554" i="11"/>
  <c r="I554" i="11" a="1"/>
  <c r="G554" i="11"/>
  <c r="F554" i="11"/>
  <c r="H554" i="11" s="1"/>
  <c r="J554" i="11" s="1"/>
  <c r="O553" i="11"/>
  <c r="L553" i="11"/>
  <c r="K553" i="11"/>
  <c r="I553" i="11" a="1"/>
  <c r="I553" i="11" s="1"/>
  <c r="F553" i="11"/>
  <c r="O552" i="11"/>
  <c r="Q552" i="11" s="1"/>
  <c r="L552" i="11"/>
  <c r="I552" i="11" a="1"/>
  <c r="I552" i="11" s="1"/>
  <c r="K552" i="11" s="1"/>
  <c r="H552" i="11"/>
  <c r="F552" i="11"/>
  <c r="G552" i="11" s="1"/>
  <c r="R552" i="11" s="1"/>
  <c r="O551" i="11"/>
  <c r="Q551" i="11" s="1"/>
  <c r="L551" i="11"/>
  <c r="I551" i="11"/>
  <c r="I551" i="11" a="1"/>
  <c r="H551" i="11"/>
  <c r="F551" i="11"/>
  <c r="G551" i="11" s="1"/>
  <c r="R551" i="11" s="1"/>
  <c r="R550" i="11"/>
  <c r="O550" i="11"/>
  <c r="Q550" i="11" s="1"/>
  <c r="L550" i="11"/>
  <c r="J550" i="11"/>
  <c r="M550" i="11" s="1"/>
  <c r="N550" i="11" s="1"/>
  <c r="P550" i="11" s="1"/>
  <c r="I550" i="11"/>
  <c r="K550" i="11" s="1"/>
  <c r="I550" i="11" a="1"/>
  <c r="H550" i="11"/>
  <c r="G550" i="11"/>
  <c r="F550" i="11"/>
  <c r="O549" i="11"/>
  <c r="L549" i="11"/>
  <c r="I549" i="11" a="1"/>
  <c r="I549" i="11" s="1"/>
  <c r="H549" i="11"/>
  <c r="G549" i="11"/>
  <c r="F549" i="11"/>
  <c r="O548" i="11"/>
  <c r="L548" i="11"/>
  <c r="K548" i="11"/>
  <c r="I548" i="11"/>
  <c r="I548" i="11" a="1"/>
  <c r="G548" i="11"/>
  <c r="F548" i="11"/>
  <c r="H548" i="11" s="1"/>
  <c r="J548" i="11" s="1"/>
  <c r="M548" i="11" s="1"/>
  <c r="N548" i="11" s="1"/>
  <c r="O547" i="11"/>
  <c r="L547" i="11"/>
  <c r="I547" i="11" a="1"/>
  <c r="I547" i="11" s="1"/>
  <c r="F547" i="11"/>
  <c r="O546" i="11"/>
  <c r="Q546" i="11" s="1"/>
  <c r="L546" i="11"/>
  <c r="I546" i="11" a="1"/>
  <c r="I546" i="11" s="1"/>
  <c r="K546" i="11" s="1"/>
  <c r="H546" i="11"/>
  <c r="F546" i="11"/>
  <c r="G546" i="11" s="1"/>
  <c r="R546" i="11" s="1"/>
  <c r="O545" i="11"/>
  <c r="Q545" i="11" s="1"/>
  <c r="L545" i="11"/>
  <c r="I545" i="11"/>
  <c r="I545" i="11" a="1"/>
  <c r="F545" i="11"/>
  <c r="G545" i="11" s="1"/>
  <c r="R545" i="11" s="1"/>
  <c r="O544" i="11"/>
  <c r="L544" i="11"/>
  <c r="J544" i="11"/>
  <c r="I544" i="11"/>
  <c r="K544" i="11" s="1"/>
  <c r="I544" i="11" a="1"/>
  <c r="H544" i="11"/>
  <c r="F544" i="11"/>
  <c r="G544" i="11" s="1"/>
  <c r="O543" i="11"/>
  <c r="L543" i="11"/>
  <c r="I543" i="11" a="1"/>
  <c r="I543" i="11" s="1"/>
  <c r="J543" i="11" s="1"/>
  <c r="M543" i="11" s="1"/>
  <c r="N543" i="11" s="1"/>
  <c r="H543" i="11"/>
  <c r="G543" i="11"/>
  <c r="F543" i="11"/>
  <c r="O542" i="11"/>
  <c r="L542" i="11"/>
  <c r="K542" i="11"/>
  <c r="J542" i="11"/>
  <c r="M542" i="11" s="1"/>
  <c r="N542" i="11" s="1"/>
  <c r="I542" i="11"/>
  <c r="I542" i="11" a="1"/>
  <c r="G542" i="11"/>
  <c r="F542" i="11"/>
  <c r="H542" i="11" s="1"/>
  <c r="O541" i="11"/>
  <c r="L541" i="11"/>
  <c r="I541" i="11" a="1"/>
  <c r="I541" i="11" s="1"/>
  <c r="F541" i="11"/>
  <c r="O540" i="11"/>
  <c r="Q540" i="11" s="1"/>
  <c r="L540" i="11"/>
  <c r="I540" i="11" a="1"/>
  <c r="I540" i="11" s="1"/>
  <c r="K540" i="11" s="1"/>
  <c r="H540" i="11"/>
  <c r="F540" i="11"/>
  <c r="G540" i="11" s="1"/>
  <c r="R540" i="11" s="1"/>
  <c r="O539" i="11"/>
  <c r="Q539" i="11" s="1"/>
  <c r="L539" i="11"/>
  <c r="I539" i="11"/>
  <c r="K539" i="11" s="1"/>
  <c r="I539" i="11" a="1"/>
  <c r="F539" i="11"/>
  <c r="G539" i="11" s="1"/>
  <c r="R539" i="11" s="1"/>
  <c r="O538" i="11"/>
  <c r="L538" i="11"/>
  <c r="I538" i="11"/>
  <c r="K538" i="11" s="1"/>
  <c r="I538" i="11" a="1"/>
  <c r="F538" i="11"/>
  <c r="H538" i="11" s="1"/>
  <c r="J538" i="11" s="1"/>
  <c r="O537" i="11"/>
  <c r="L537" i="11"/>
  <c r="K537" i="11"/>
  <c r="I537" i="11"/>
  <c r="J537" i="11" s="1"/>
  <c r="M537" i="11" s="1"/>
  <c r="N537" i="11" s="1"/>
  <c r="I537" i="11" a="1"/>
  <c r="H537" i="11"/>
  <c r="G537" i="11"/>
  <c r="F537" i="11"/>
  <c r="R536" i="11"/>
  <c r="O536" i="11"/>
  <c r="L536" i="11"/>
  <c r="J536" i="11"/>
  <c r="M536" i="11" s="1"/>
  <c r="N536" i="11" s="1"/>
  <c r="P536" i="11" s="1"/>
  <c r="I536" i="11"/>
  <c r="K536" i="11" s="1"/>
  <c r="I536" i="11" a="1"/>
  <c r="G536" i="11"/>
  <c r="F536" i="11"/>
  <c r="H536" i="11" s="1"/>
  <c r="O535" i="11"/>
  <c r="Q535" i="11" s="1"/>
  <c r="L535" i="11"/>
  <c r="I535" i="11" a="1"/>
  <c r="I535" i="11" s="1"/>
  <c r="G535" i="11"/>
  <c r="R535" i="11" s="1"/>
  <c r="F535" i="11"/>
  <c r="H535" i="11" s="1"/>
  <c r="O534" i="11"/>
  <c r="L534" i="11"/>
  <c r="I534" i="11" a="1"/>
  <c r="I534" i="11" s="1"/>
  <c r="H534" i="11"/>
  <c r="G534" i="11"/>
  <c r="F534" i="11"/>
  <c r="O533" i="11"/>
  <c r="L533" i="11"/>
  <c r="I533" i="11"/>
  <c r="I533" i="11" a="1"/>
  <c r="H533" i="11"/>
  <c r="F533" i="11"/>
  <c r="E533" i="11"/>
  <c r="D533" i="11"/>
  <c r="O532" i="11"/>
  <c r="L532" i="11"/>
  <c r="K532" i="11"/>
  <c r="I532" i="11" a="1"/>
  <c r="I532" i="11" s="1"/>
  <c r="E532" i="11"/>
  <c r="D532" i="11"/>
  <c r="O531" i="11"/>
  <c r="L531" i="11"/>
  <c r="I531" i="11" a="1"/>
  <c r="I531" i="11" s="1"/>
  <c r="K531" i="11" s="1"/>
  <c r="G531" i="11"/>
  <c r="F531" i="11"/>
  <c r="H531" i="11" s="1"/>
  <c r="E531" i="11"/>
  <c r="D531" i="11"/>
  <c r="O530" i="11"/>
  <c r="L530" i="11"/>
  <c r="I530" i="11"/>
  <c r="I530" i="11" a="1"/>
  <c r="H530" i="11"/>
  <c r="F530" i="11"/>
  <c r="G530" i="11" s="1"/>
  <c r="R530" i="11" s="1"/>
  <c r="O529" i="11"/>
  <c r="L529" i="11"/>
  <c r="K529" i="11"/>
  <c r="I529" i="11"/>
  <c r="I529" i="11" a="1"/>
  <c r="H529" i="11"/>
  <c r="G529" i="11"/>
  <c r="R529" i="11" s="1"/>
  <c r="F529" i="11"/>
  <c r="O528" i="11"/>
  <c r="L528" i="11"/>
  <c r="I528" i="11" a="1"/>
  <c r="I528" i="11" s="1"/>
  <c r="H528" i="11"/>
  <c r="G528" i="11"/>
  <c r="F528" i="11"/>
  <c r="O527" i="11"/>
  <c r="M527" i="11"/>
  <c r="N527" i="11" s="1"/>
  <c r="P527" i="11" s="1"/>
  <c r="L527" i="11"/>
  <c r="J527" i="11"/>
  <c r="I527" i="11"/>
  <c r="K527" i="11" s="1"/>
  <c r="I527" i="11" a="1"/>
  <c r="G527" i="11"/>
  <c r="F527" i="11"/>
  <c r="H527" i="11" s="1"/>
  <c r="O526" i="11"/>
  <c r="L526" i="11"/>
  <c r="I526" i="11" a="1"/>
  <c r="I526" i="11" s="1"/>
  <c r="G526" i="11"/>
  <c r="F526" i="11"/>
  <c r="H526" i="11" s="1"/>
  <c r="O525" i="11"/>
  <c r="L525" i="11"/>
  <c r="I525" i="11" a="1"/>
  <c r="I525" i="11" s="1"/>
  <c r="K525" i="11" s="1"/>
  <c r="H525" i="11"/>
  <c r="J525" i="11" s="1"/>
  <c r="M525" i="11" s="1"/>
  <c r="N525" i="11" s="1"/>
  <c r="G525" i="11"/>
  <c r="F525" i="11"/>
  <c r="O524" i="11"/>
  <c r="L524" i="11"/>
  <c r="I524" i="11"/>
  <c r="I524" i="11" a="1"/>
  <c r="F524" i="11"/>
  <c r="O523" i="11"/>
  <c r="L523" i="11"/>
  <c r="K523" i="11"/>
  <c r="I523" i="11"/>
  <c r="I523" i="11" a="1"/>
  <c r="G523" i="11"/>
  <c r="F523" i="11"/>
  <c r="H523" i="11" s="1"/>
  <c r="R522" i="11"/>
  <c r="O522" i="11"/>
  <c r="L522" i="11"/>
  <c r="I522" i="11"/>
  <c r="I522" i="11" a="1"/>
  <c r="H522" i="11"/>
  <c r="G522" i="11"/>
  <c r="F522" i="11"/>
  <c r="R521" i="11"/>
  <c r="O521" i="11"/>
  <c r="L521" i="11"/>
  <c r="I521" i="11"/>
  <c r="K521" i="11" s="1"/>
  <c r="I521" i="11" a="1"/>
  <c r="G521" i="11"/>
  <c r="F521" i="11"/>
  <c r="H521" i="11" s="1"/>
  <c r="O520" i="11"/>
  <c r="L520" i="11"/>
  <c r="I520" i="11" a="1"/>
  <c r="I520" i="11" s="1"/>
  <c r="K520" i="11" s="1"/>
  <c r="F520" i="11"/>
  <c r="O519" i="11"/>
  <c r="Q519" i="11" s="1"/>
  <c r="L519" i="11"/>
  <c r="I519" i="11" a="1"/>
  <c r="I519" i="11" s="1"/>
  <c r="K519" i="11" s="1"/>
  <c r="H519" i="11"/>
  <c r="G519" i="11"/>
  <c r="R519" i="11" s="1"/>
  <c r="F519" i="11"/>
  <c r="O518" i="11"/>
  <c r="Q518" i="11" s="1"/>
  <c r="L518" i="11"/>
  <c r="I518" i="11" a="1"/>
  <c r="I518" i="11" s="1"/>
  <c r="H518" i="11"/>
  <c r="F518" i="11"/>
  <c r="G518" i="11" s="1"/>
  <c r="R518" i="11" s="1"/>
  <c r="O517" i="11"/>
  <c r="K517" i="11"/>
  <c r="I517" i="11" a="1"/>
  <c r="I517" i="11" s="1"/>
  <c r="J517" i="11" s="1"/>
  <c r="G517" i="11"/>
  <c r="F517" i="11"/>
  <c r="H517" i="11" s="1"/>
  <c r="O516" i="11"/>
  <c r="L516" i="11"/>
  <c r="K516" i="11"/>
  <c r="I516" i="11" a="1"/>
  <c r="I516" i="11" s="1"/>
  <c r="F516" i="11"/>
  <c r="H516" i="11" s="1"/>
  <c r="J516" i="11" s="1"/>
  <c r="O515" i="11"/>
  <c r="L515" i="11"/>
  <c r="K515" i="11"/>
  <c r="I515" i="11"/>
  <c r="I515" i="11" a="1"/>
  <c r="F515" i="11"/>
  <c r="O514" i="11"/>
  <c r="Q514" i="11" s="1"/>
  <c r="L514" i="11"/>
  <c r="I514" i="11"/>
  <c r="I514" i="11" a="1"/>
  <c r="G514" i="11"/>
  <c r="R514" i="11" s="1"/>
  <c r="F514" i="11"/>
  <c r="H514" i="11" s="1"/>
  <c r="O513" i="11"/>
  <c r="Q513" i="11" s="1"/>
  <c r="L513" i="11"/>
  <c r="I513" i="11" a="1"/>
  <c r="I513" i="11" s="1"/>
  <c r="H513" i="11"/>
  <c r="G513" i="11"/>
  <c r="R513" i="11" s="1"/>
  <c r="F513" i="11"/>
  <c r="O512" i="11"/>
  <c r="Q512" i="11" s="1"/>
  <c r="L512" i="11"/>
  <c r="I512" i="11" a="1"/>
  <c r="I512" i="11" s="1"/>
  <c r="H512" i="11"/>
  <c r="F512" i="11"/>
  <c r="G512" i="11" s="1"/>
  <c r="R512" i="11" s="1"/>
  <c r="O511" i="11"/>
  <c r="M511" i="11"/>
  <c r="N511" i="11" s="1"/>
  <c r="L511" i="11"/>
  <c r="J511" i="11"/>
  <c r="I511" i="11" a="1"/>
  <c r="I511" i="11" s="1"/>
  <c r="K511" i="11" s="1"/>
  <c r="H511" i="11"/>
  <c r="G511" i="11"/>
  <c r="F511" i="11"/>
  <c r="O510" i="11"/>
  <c r="L510" i="11"/>
  <c r="I510" i="11" a="1"/>
  <c r="I510" i="11" s="1"/>
  <c r="K510" i="11" s="1"/>
  <c r="F510" i="11"/>
  <c r="O509" i="11"/>
  <c r="L509" i="11"/>
  <c r="I509" i="11" a="1"/>
  <c r="I509" i="11" s="1"/>
  <c r="F509" i="11"/>
  <c r="O508" i="11"/>
  <c r="L508" i="11"/>
  <c r="I508" i="11"/>
  <c r="K508" i="11" s="1"/>
  <c r="I508" i="11" a="1"/>
  <c r="H508" i="11"/>
  <c r="F508" i="11"/>
  <c r="G508" i="11" s="1"/>
  <c r="O507" i="11"/>
  <c r="L507" i="11"/>
  <c r="I507" i="11" a="1"/>
  <c r="I507" i="11" s="1"/>
  <c r="H507" i="11"/>
  <c r="G507" i="11"/>
  <c r="F507" i="11"/>
  <c r="O506" i="11"/>
  <c r="M506" i="11"/>
  <c r="N506" i="11" s="1"/>
  <c r="L506" i="11"/>
  <c r="I506" i="11"/>
  <c r="K506" i="11" s="1"/>
  <c r="I506" i="11" a="1"/>
  <c r="H506" i="11"/>
  <c r="J506" i="11" s="1"/>
  <c r="F506" i="11"/>
  <c r="G506" i="11" s="1"/>
  <c r="O505" i="11"/>
  <c r="L505" i="11"/>
  <c r="K505" i="11"/>
  <c r="I505" i="11"/>
  <c r="I505" i="11" a="1"/>
  <c r="F505" i="11"/>
  <c r="R504" i="11"/>
  <c r="O504" i="11"/>
  <c r="Q504" i="11" s="1"/>
  <c r="L504" i="11"/>
  <c r="J504" i="11"/>
  <c r="M504" i="11" s="1"/>
  <c r="N504" i="11" s="1"/>
  <c r="P504" i="11" s="1"/>
  <c r="I504" i="11"/>
  <c r="K504" i="11" s="1"/>
  <c r="I504" i="11" a="1"/>
  <c r="G504" i="11"/>
  <c r="F504" i="11"/>
  <c r="H504" i="11" s="1"/>
  <c r="O503" i="11"/>
  <c r="Q503" i="11" s="1"/>
  <c r="L503" i="11"/>
  <c r="I503" i="11" a="1"/>
  <c r="I503" i="11" s="1"/>
  <c r="F503" i="11"/>
  <c r="G503" i="11" s="1"/>
  <c r="R503" i="11" s="1"/>
  <c r="O502" i="11"/>
  <c r="L502" i="11"/>
  <c r="K502" i="11"/>
  <c r="I502" i="11"/>
  <c r="I502" i="11" a="1"/>
  <c r="H502" i="11"/>
  <c r="G502" i="11"/>
  <c r="R502" i="11" s="1"/>
  <c r="F502" i="11"/>
  <c r="O501" i="11"/>
  <c r="L501" i="11"/>
  <c r="I501" i="11"/>
  <c r="I501" i="11" a="1"/>
  <c r="H501" i="11"/>
  <c r="F501" i="11"/>
  <c r="G501" i="11" s="1"/>
  <c r="O500" i="11"/>
  <c r="L500" i="11"/>
  <c r="I500" i="11" a="1"/>
  <c r="I500" i="11" s="1"/>
  <c r="H500" i="11"/>
  <c r="F500" i="11"/>
  <c r="G500" i="11" s="1"/>
  <c r="R500" i="11" s="1"/>
  <c r="O499" i="11"/>
  <c r="L499" i="11"/>
  <c r="I499" i="11" a="1"/>
  <c r="I499" i="11" s="1"/>
  <c r="K499" i="11" s="1"/>
  <c r="F499" i="11"/>
  <c r="O498" i="11"/>
  <c r="L498" i="11"/>
  <c r="I498" i="11"/>
  <c r="K498" i="11" s="1"/>
  <c r="I498" i="11" a="1"/>
  <c r="F498" i="11"/>
  <c r="O497" i="11"/>
  <c r="Q497" i="11" s="1"/>
  <c r="L497" i="11"/>
  <c r="K497" i="11"/>
  <c r="I497" i="11" a="1"/>
  <c r="I497" i="11" s="1"/>
  <c r="F497" i="11"/>
  <c r="G497" i="11" s="1"/>
  <c r="R497" i="11" s="1"/>
  <c r="R496" i="11"/>
  <c r="O496" i="11"/>
  <c r="L496" i="11"/>
  <c r="K496" i="11"/>
  <c r="I496" i="11"/>
  <c r="I496" i="11" a="1"/>
  <c r="H496" i="11"/>
  <c r="G496" i="11"/>
  <c r="F496" i="11"/>
  <c r="O495" i="11"/>
  <c r="Q495" i="11" s="1"/>
  <c r="L495" i="11"/>
  <c r="I495" i="11"/>
  <c r="I495" i="11" a="1"/>
  <c r="F495" i="11"/>
  <c r="G495" i="11" s="1"/>
  <c r="R495" i="11" s="1"/>
  <c r="O494" i="11"/>
  <c r="Q494" i="11" s="1"/>
  <c r="L494" i="11"/>
  <c r="K494" i="11"/>
  <c r="I494" i="11"/>
  <c r="J494" i="11" s="1"/>
  <c r="M494" i="11" s="1"/>
  <c r="N494" i="11" s="1"/>
  <c r="I494" i="11" a="1"/>
  <c r="G494" i="11"/>
  <c r="R494" i="11" s="1"/>
  <c r="F494" i="11"/>
  <c r="H494" i="11" s="1"/>
  <c r="R493" i="11"/>
  <c r="O493" i="11"/>
  <c r="Q493" i="11" s="1"/>
  <c r="L493" i="11"/>
  <c r="I493" i="11" a="1"/>
  <c r="I493" i="11" s="1"/>
  <c r="K493" i="11" s="1"/>
  <c r="G493" i="11"/>
  <c r="F493" i="11"/>
  <c r="H493" i="11" s="1"/>
  <c r="R492" i="11"/>
  <c r="O492" i="11"/>
  <c r="Q492" i="11" s="1"/>
  <c r="L492" i="11"/>
  <c r="K492" i="11"/>
  <c r="I492" i="11"/>
  <c r="I492" i="11" a="1"/>
  <c r="G492" i="11"/>
  <c r="F492" i="11"/>
  <c r="H492" i="11" s="1"/>
  <c r="O491" i="11"/>
  <c r="Q491" i="11" s="1"/>
  <c r="L491" i="11"/>
  <c r="I491" i="11" a="1"/>
  <c r="I491" i="11" s="1"/>
  <c r="H491" i="11"/>
  <c r="F491" i="11"/>
  <c r="G491" i="11" s="1"/>
  <c r="R491" i="11" s="1"/>
  <c r="R490" i="11"/>
  <c r="O490" i="11"/>
  <c r="L490" i="11"/>
  <c r="I490" i="11"/>
  <c r="K490" i="11" s="1"/>
  <c r="I490" i="11" a="1"/>
  <c r="H490" i="11"/>
  <c r="G490" i="11"/>
  <c r="F490" i="11"/>
  <c r="R489" i="11"/>
  <c r="O489" i="11"/>
  <c r="Q489" i="11" s="1"/>
  <c r="L489" i="11"/>
  <c r="I489" i="11" a="1"/>
  <c r="I489" i="11" s="1"/>
  <c r="H489" i="11"/>
  <c r="F489" i="11"/>
  <c r="G489" i="11" s="1"/>
  <c r="O488" i="11"/>
  <c r="L488" i="11"/>
  <c r="K488" i="11"/>
  <c r="J488" i="11"/>
  <c r="M488" i="11" s="1"/>
  <c r="N488" i="11" s="1"/>
  <c r="I488" i="11"/>
  <c r="I488" i="11" a="1"/>
  <c r="G488" i="11"/>
  <c r="R488" i="11" s="1"/>
  <c r="F488" i="11"/>
  <c r="H488" i="11" s="1"/>
  <c r="O487" i="11"/>
  <c r="L487" i="11"/>
  <c r="K487" i="11"/>
  <c r="I487" i="11" a="1"/>
  <c r="I487" i="11" s="1"/>
  <c r="H487" i="11"/>
  <c r="J487" i="11" s="1"/>
  <c r="M487" i="11" s="1"/>
  <c r="N487" i="11" s="1"/>
  <c r="F487" i="11"/>
  <c r="G487" i="11" s="1"/>
  <c r="O486" i="11"/>
  <c r="L486" i="11"/>
  <c r="I486" i="11" a="1"/>
  <c r="I486" i="11" s="1"/>
  <c r="H486" i="11"/>
  <c r="G486" i="11"/>
  <c r="F486" i="11"/>
  <c r="O485" i="11"/>
  <c r="Q485" i="11" s="1"/>
  <c r="L485" i="11"/>
  <c r="I485" i="11"/>
  <c r="I485" i="11" a="1"/>
  <c r="H485" i="11"/>
  <c r="F485" i="11"/>
  <c r="G485" i="11" s="1"/>
  <c r="R485" i="11" s="1"/>
  <c r="O484" i="11"/>
  <c r="L484" i="11"/>
  <c r="I484" i="11"/>
  <c r="K484" i="11" s="1"/>
  <c r="I484" i="11" a="1"/>
  <c r="G484" i="11"/>
  <c r="F484" i="11"/>
  <c r="H484" i="11" s="1"/>
  <c r="O483" i="11"/>
  <c r="L483" i="11"/>
  <c r="I483" i="11"/>
  <c r="I483" i="11" a="1"/>
  <c r="H483" i="11"/>
  <c r="G483" i="11"/>
  <c r="O482" i="11"/>
  <c r="L482" i="11"/>
  <c r="I482" i="11"/>
  <c r="K482" i="11" s="1"/>
  <c r="I482" i="11" a="1"/>
  <c r="H482" i="11"/>
  <c r="J482" i="11" s="1"/>
  <c r="M482" i="11" s="1"/>
  <c r="N482" i="11" s="1"/>
  <c r="G482" i="11"/>
  <c r="O481" i="11"/>
  <c r="L481" i="11"/>
  <c r="K481" i="11"/>
  <c r="I481" i="11" a="1"/>
  <c r="I481" i="11" s="1"/>
  <c r="H481" i="11"/>
  <c r="J481" i="11" s="1"/>
  <c r="M481" i="11" s="1"/>
  <c r="N481" i="11" s="1"/>
  <c r="G481" i="11"/>
  <c r="O480" i="11"/>
  <c r="Q480" i="11" s="1"/>
  <c r="L480" i="11"/>
  <c r="K480" i="11"/>
  <c r="J480" i="11"/>
  <c r="I480" i="11" a="1"/>
  <c r="I480" i="11" s="1"/>
  <c r="H480" i="11"/>
  <c r="G480" i="11"/>
  <c r="R480" i="11" s="1"/>
  <c r="R479" i="11"/>
  <c r="O479" i="11"/>
  <c r="Q479" i="11" s="1"/>
  <c r="L479" i="11"/>
  <c r="K479" i="11"/>
  <c r="I479" i="11" a="1"/>
  <c r="I479" i="11" s="1"/>
  <c r="J479" i="11" s="1"/>
  <c r="M479" i="11" s="1"/>
  <c r="N479" i="11" s="1"/>
  <c r="H479" i="11"/>
  <c r="G479" i="11"/>
  <c r="R478" i="11"/>
  <c r="O478" i="11"/>
  <c r="L478" i="11"/>
  <c r="K478" i="11"/>
  <c r="I478" i="11" a="1"/>
  <c r="I478" i="11" s="1"/>
  <c r="J478" i="11" s="1"/>
  <c r="M478" i="11" s="1"/>
  <c r="N478" i="11" s="1"/>
  <c r="H478" i="11"/>
  <c r="G478" i="11"/>
  <c r="R477" i="11"/>
  <c r="O477" i="11"/>
  <c r="Q477" i="11" s="1"/>
  <c r="L477" i="11"/>
  <c r="I477" i="11"/>
  <c r="I477" i="11" a="1"/>
  <c r="H477" i="11"/>
  <c r="G477" i="11"/>
  <c r="O476" i="11"/>
  <c r="L476" i="11"/>
  <c r="I476" i="11" a="1"/>
  <c r="I476" i="11" s="1"/>
  <c r="H476" i="11"/>
  <c r="G476" i="11"/>
  <c r="O475" i="11"/>
  <c r="Q475" i="11" s="1"/>
  <c r="L475" i="11"/>
  <c r="I475" i="11" a="1"/>
  <c r="I475" i="11" s="1"/>
  <c r="H475" i="11"/>
  <c r="G475" i="11"/>
  <c r="R475" i="11" s="1"/>
  <c r="R474" i="11"/>
  <c r="O474" i="11"/>
  <c r="L474" i="11"/>
  <c r="I474" i="11" a="1"/>
  <c r="I474" i="11" s="1"/>
  <c r="K474" i="11" s="1"/>
  <c r="H474" i="11"/>
  <c r="G474" i="11"/>
  <c r="O473" i="11"/>
  <c r="P473" i="11" s="1"/>
  <c r="M473" i="11"/>
  <c r="N473" i="11" s="1"/>
  <c r="L473" i="11"/>
  <c r="K473" i="11"/>
  <c r="J473" i="11"/>
  <c r="I473" i="11"/>
  <c r="I473" i="11" a="1"/>
  <c r="H473" i="11"/>
  <c r="G473" i="11"/>
  <c r="O472" i="11"/>
  <c r="Q472" i="11" s="1"/>
  <c r="L472" i="11"/>
  <c r="K472" i="11"/>
  <c r="J472" i="11"/>
  <c r="I472" i="11" a="1"/>
  <c r="I472" i="11" s="1"/>
  <c r="H472" i="11"/>
  <c r="G472" i="11"/>
  <c r="R472" i="11" s="1"/>
  <c r="O471" i="11"/>
  <c r="L471" i="11"/>
  <c r="I471" i="11" a="1"/>
  <c r="I471" i="11" s="1"/>
  <c r="H471" i="11"/>
  <c r="G471" i="11"/>
  <c r="O470" i="11"/>
  <c r="L470" i="11"/>
  <c r="J470" i="11"/>
  <c r="M470" i="11" s="1"/>
  <c r="N470" i="11" s="1"/>
  <c r="P470" i="11" s="1"/>
  <c r="I470" i="11"/>
  <c r="K470" i="11" s="1"/>
  <c r="I470" i="11" a="1"/>
  <c r="H470" i="11"/>
  <c r="G470" i="11"/>
  <c r="O469" i="11"/>
  <c r="P469" i="11" s="1"/>
  <c r="L469" i="11"/>
  <c r="K469" i="11"/>
  <c r="I469" i="11"/>
  <c r="J469" i="11" s="1"/>
  <c r="M469" i="11" s="1"/>
  <c r="N469" i="11" s="1"/>
  <c r="I469" i="11" a="1"/>
  <c r="H469" i="11"/>
  <c r="G469" i="11"/>
  <c r="R469" i="11" s="1"/>
  <c r="R468" i="11"/>
  <c r="O468" i="11"/>
  <c r="Q468" i="11" s="1"/>
  <c r="L468" i="11"/>
  <c r="J468" i="11"/>
  <c r="M468" i="11" s="1"/>
  <c r="N468" i="11" s="1"/>
  <c r="I468" i="11" a="1"/>
  <c r="I468" i="11" s="1"/>
  <c r="K468" i="11" s="1"/>
  <c r="H468" i="11"/>
  <c r="G468" i="11"/>
  <c r="R467" i="11"/>
  <c r="O467" i="11"/>
  <c r="Q467" i="11" s="1"/>
  <c r="L467" i="11"/>
  <c r="I467" i="11"/>
  <c r="I467" i="11" a="1"/>
  <c r="H467" i="11"/>
  <c r="G467" i="11"/>
  <c r="O466" i="11"/>
  <c r="Q466" i="11" s="1"/>
  <c r="L466" i="11"/>
  <c r="I466" i="11"/>
  <c r="I466" i="11" a="1"/>
  <c r="H466" i="11"/>
  <c r="G466" i="11"/>
  <c r="R466" i="11" s="1"/>
  <c r="O465" i="11"/>
  <c r="L465" i="11"/>
  <c r="I465" i="11" a="1"/>
  <c r="I465" i="11" s="1"/>
  <c r="H465" i="11"/>
  <c r="G465" i="11"/>
  <c r="R465" i="11" s="1"/>
  <c r="O464" i="11"/>
  <c r="L464" i="11"/>
  <c r="K464" i="11"/>
  <c r="I464" i="11" a="1"/>
  <c r="I464" i="11" s="1"/>
  <c r="J464" i="11" s="1"/>
  <c r="H464" i="11"/>
  <c r="G464" i="11"/>
  <c r="O463" i="11"/>
  <c r="Q463" i="11" s="1"/>
  <c r="L463" i="11"/>
  <c r="J463" i="11"/>
  <c r="M463" i="11" s="1"/>
  <c r="N463" i="11" s="1"/>
  <c r="I463" i="11" a="1"/>
  <c r="I463" i="11" s="1"/>
  <c r="K463" i="11" s="1"/>
  <c r="H463" i="11"/>
  <c r="G463" i="11"/>
  <c r="R463" i="11" s="1"/>
  <c r="R462" i="11"/>
  <c r="O462" i="11"/>
  <c r="L462" i="11"/>
  <c r="K462" i="11"/>
  <c r="I462" i="11"/>
  <c r="I462" i="11" a="1"/>
  <c r="H462" i="11"/>
  <c r="G462" i="11"/>
  <c r="Q462" i="11" s="1"/>
  <c r="R461" i="11"/>
  <c r="O461" i="11"/>
  <c r="L461" i="11"/>
  <c r="M461" i="11" s="1"/>
  <c r="N461" i="11" s="1"/>
  <c r="P461" i="11" s="1"/>
  <c r="K461" i="11"/>
  <c r="I461" i="11" a="1"/>
  <c r="I461" i="11" s="1"/>
  <c r="J461" i="11" s="1"/>
  <c r="H461" i="11"/>
  <c r="G461" i="11"/>
  <c r="R460" i="11"/>
  <c r="O460" i="11"/>
  <c r="L460" i="11"/>
  <c r="I460" i="11"/>
  <c r="I460" i="11" a="1"/>
  <c r="H460" i="11"/>
  <c r="G460" i="11"/>
  <c r="O459" i="11"/>
  <c r="Q459" i="11" s="1"/>
  <c r="L459" i="11"/>
  <c r="I459" i="11" a="1"/>
  <c r="I459" i="11" s="1"/>
  <c r="H459" i="11"/>
  <c r="G459" i="11"/>
  <c r="R459" i="11" s="1"/>
  <c r="O458" i="11"/>
  <c r="Q458" i="11" s="1"/>
  <c r="L458" i="11"/>
  <c r="J458" i="11"/>
  <c r="M458" i="11" s="1"/>
  <c r="N458" i="11" s="1"/>
  <c r="I458" i="11"/>
  <c r="K458" i="11" s="1"/>
  <c r="I458" i="11" a="1"/>
  <c r="H458" i="11"/>
  <c r="G458" i="11"/>
  <c r="R458" i="11" s="1"/>
  <c r="R457" i="11"/>
  <c r="O457" i="11"/>
  <c r="Q457" i="11" s="1"/>
  <c r="L457" i="11"/>
  <c r="I457" i="11"/>
  <c r="K457" i="11" s="1"/>
  <c r="I457" i="11" a="1"/>
  <c r="H457" i="11"/>
  <c r="G457" i="11"/>
  <c r="R456" i="11"/>
  <c r="O456" i="11"/>
  <c r="P456" i="11" s="1"/>
  <c r="L456" i="11"/>
  <c r="K456" i="11"/>
  <c r="I456" i="11" a="1"/>
  <c r="I456" i="11" s="1"/>
  <c r="J456" i="11" s="1"/>
  <c r="M456" i="11" s="1"/>
  <c r="N456" i="11" s="1"/>
  <c r="H456" i="11"/>
  <c r="G456" i="11"/>
  <c r="O455" i="11"/>
  <c r="Q455" i="11" s="1"/>
  <c r="L455" i="11"/>
  <c r="I455" i="11"/>
  <c r="K455" i="11" s="1"/>
  <c r="I455" i="11" a="1"/>
  <c r="H455" i="11"/>
  <c r="G455" i="11"/>
  <c r="R455" i="11" s="1"/>
  <c r="R454" i="11"/>
  <c r="O454" i="11"/>
  <c r="Q454" i="11" s="1"/>
  <c r="L454" i="11"/>
  <c r="I454" i="11"/>
  <c r="I454" i="11" a="1"/>
  <c r="H454" i="11"/>
  <c r="G454" i="11"/>
  <c r="R453" i="11"/>
  <c r="O453" i="11"/>
  <c r="L453" i="11"/>
  <c r="I453" i="11"/>
  <c r="K453" i="11" s="1"/>
  <c r="I453" i="11" a="1"/>
  <c r="H453" i="11"/>
  <c r="G453" i="11"/>
  <c r="O452" i="11"/>
  <c r="Q452" i="11" s="1"/>
  <c r="L452" i="11"/>
  <c r="K452" i="11"/>
  <c r="J452" i="11"/>
  <c r="M452" i="11" s="1"/>
  <c r="N452" i="11" s="1"/>
  <c r="P452" i="11" s="1"/>
  <c r="I452" i="11"/>
  <c r="I452" i="11" a="1"/>
  <c r="H452" i="11"/>
  <c r="G452" i="11"/>
  <c r="R452" i="11" s="1"/>
  <c r="R451" i="11"/>
  <c r="O451" i="11"/>
  <c r="Q451" i="11" s="1"/>
  <c r="L451" i="11"/>
  <c r="K451" i="11"/>
  <c r="J451" i="11"/>
  <c r="M451" i="11" s="1"/>
  <c r="N451" i="11" s="1"/>
  <c r="I451" i="11" a="1"/>
  <c r="I451" i="11" s="1"/>
  <c r="H451" i="11"/>
  <c r="G451" i="11"/>
  <c r="O450" i="11"/>
  <c r="Q450" i="11" s="1"/>
  <c r="L450" i="11"/>
  <c r="K450" i="11"/>
  <c r="I450" i="11"/>
  <c r="J450" i="11" s="1"/>
  <c r="M450" i="11" s="1"/>
  <c r="N450" i="11" s="1"/>
  <c r="I450" i="11" a="1"/>
  <c r="H450" i="11"/>
  <c r="G450" i="11"/>
  <c r="R450" i="11" s="1"/>
  <c r="R449" i="11"/>
  <c r="O449" i="11"/>
  <c r="L449" i="11"/>
  <c r="M449" i="11" s="1"/>
  <c r="N449" i="11" s="1"/>
  <c r="P449" i="11" s="1"/>
  <c r="I449" i="11" a="1"/>
  <c r="I449" i="11" s="1"/>
  <c r="K449" i="11" s="1"/>
  <c r="H449" i="11"/>
  <c r="J449" i="11" s="1"/>
  <c r="G449" i="11"/>
  <c r="O448" i="11"/>
  <c r="L448" i="11"/>
  <c r="I448" i="11" a="1"/>
  <c r="I448" i="11" s="1"/>
  <c r="H448" i="11"/>
  <c r="G448" i="11"/>
  <c r="R447" i="11"/>
  <c r="O447" i="11"/>
  <c r="L447" i="11"/>
  <c r="I447" i="11" a="1"/>
  <c r="I447" i="11" s="1"/>
  <c r="H447" i="11"/>
  <c r="G447" i="11"/>
  <c r="Q447" i="11" s="1"/>
  <c r="R446" i="11"/>
  <c r="O446" i="11"/>
  <c r="L446" i="11"/>
  <c r="I446" i="11" a="1"/>
  <c r="I446" i="11" s="1"/>
  <c r="H446" i="11"/>
  <c r="G446" i="11"/>
  <c r="O445" i="11"/>
  <c r="L445" i="11"/>
  <c r="I445" i="11" a="1"/>
  <c r="I445" i="11" s="1"/>
  <c r="H445" i="11"/>
  <c r="G445" i="11"/>
  <c r="O444" i="11"/>
  <c r="L444" i="11"/>
  <c r="I444" i="11" a="1"/>
  <c r="I444" i="11" s="1"/>
  <c r="H444" i="11"/>
  <c r="G444" i="11"/>
  <c r="O443" i="11"/>
  <c r="L443" i="11"/>
  <c r="I443" i="11"/>
  <c r="I443" i="11" a="1"/>
  <c r="H443" i="11"/>
  <c r="G443" i="11"/>
  <c r="R443" i="11" s="1"/>
  <c r="O442" i="11"/>
  <c r="Q442" i="11" s="1"/>
  <c r="L442" i="11"/>
  <c r="I442" i="11"/>
  <c r="I442" i="11" a="1"/>
  <c r="H442" i="11"/>
  <c r="G442" i="11"/>
  <c r="R442" i="11" s="1"/>
  <c r="O441" i="11"/>
  <c r="L441" i="11"/>
  <c r="I441" i="11"/>
  <c r="I441" i="11" a="1"/>
  <c r="H441" i="11"/>
  <c r="G441" i="11"/>
  <c r="R441" i="11" s="1"/>
  <c r="O440" i="11"/>
  <c r="Q440" i="11" s="1"/>
  <c r="L440" i="11"/>
  <c r="I440" i="11" a="1"/>
  <c r="I440" i="11" s="1"/>
  <c r="H440" i="11"/>
  <c r="G440" i="11"/>
  <c r="R440" i="11" s="1"/>
  <c r="O439" i="11"/>
  <c r="Q439" i="11" s="1"/>
  <c r="L439" i="11"/>
  <c r="I439" i="11"/>
  <c r="K439" i="11" s="1"/>
  <c r="I439" i="11" a="1"/>
  <c r="H439" i="11"/>
  <c r="G439" i="11"/>
  <c r="R439" i="11" s="1"/>
  <c r="R438" i="11"/>
  <c r="O438" i="11"/>
  <c r="Q438" i="11" s="1"/>
  <c r="L438" i="11"/>
  <c r="I438" i="11"/>
  <c r="K438" i="11" s="1"/>
  <c r="I438" i="11" a="1"/>
  <c r="H438" i="11"/>
  <c r="G438" i="11"/>
  <c r="O437" i="11"/>
  <c r="L437" i="11"/>
  <c r="K437" i="11"/>
  <c r="J437" i="11"/>
  <c r="I437" i="11" a="1"/>
  <c r="I437" i="11" s="1"/>
  <c r="H437" i="11"/>
  <c r="G437" i="11"/>
  <c r="O436" i="11"/>
  <c r="L436" i="11"/>
  <c r="I436" i="11"/>
  <c r="J436" i="11" s="1"/>
  <c r="I436" i="11" a="1"/>
  <c r="H436" i="11"/>
  <c r="G436" i="11"/>
  <c r="R435" i="11"/>
  <c r="O435" i="11"/>
  <c r="Q435" i="11" s="1"/>
  <c r="L435" i="11"/>
  <c r="J435" i="11"/>
  <c r="M435" i="11" s="1"/>
  <c r="N435" i="11" s="1"/>
  <c r="I435" i="11"/>
  <c r="K435" i="11" s="1"/>
  <c r="I435" i="11" a="1"/>
  <c r="H435" i="11"/>
  <c r="G435" i="11"/>
  <c r="O434" i="11"/>
  <c r="Q434" i="11" s="1"/>
  <c r="L434" i="11"/>
  <c r="K434" i="11"/>
  <c r="J434" i="11"/>
  <c r="I434" i="11"/>
  <c r="I434" i="11" a="1"/>
  <c r="H434" i="11"/>
  <c r="G434" i="11"/>
  <c r="R434" i="11" s="1"/>
  <c r="O433" i="11"/>
  <c r="L433" i="11"/>
  <c r="K433" i="11"/>
  <c r="I433" i="11"/>
  <c r="I433" i="11" a="1"/>
  <c r="H433" i="11"/>
  <c r="J433" i="11" s="1"/>
  <c r="M433" i="11" s="1"/>
  <c r="N433" i="11" s="1"/>
  <c r="G433" i="11"/>
  <c r="R433" i="11" s="1"/>
  <c r="O432" i="11"/>
  <c r="Q432" i="11" s="1"/>
  <c r="L432" i="11"/>
  <c r="K432" i="11"/>
  <c r="J432" i="11"/>
  <c r="M432" i="11" s="1"/>
  <c r="N432" i="11" s="1"/>
  <c r="I432" i="11"/>
  <c r="I432" i="11" a="1"/>
  <c r="H432" i="11"/>
  <c r="G432" i="11"/>
  <c r="R432" i="11" s="1"/>
  <c r="O431" i="11"/>
  <c r="L431" i="11"/>
  <c r="I431" i="11" a="1"/>
  <c r="I431" i="11" s="1"/>
  <c r="H431" i="11"/>
  <c r="G431" i="11"/>
  <c r="R430" i="11"/>
  <c r="O430" i="11"/>
  <c r="L430" i="11"/>
  <c r="I430" i="11" a="1"/>
  <c r="I430" i="11" s="1"/>
  <c r="H430" i="11"/>
  <c r="G430" i="11"/>
  <c r="R429" i="11"/>
  <c r="O429" i="11"/>
  <c r="N429" i="11"/>
  <c r="L429" i="11"/>
  <c r="I429" i="11" a="1"/>
  <c r="I429" i="11" s="1"/>
  <c r="J429" i="11" s="1"/>
  <c r="M429" i="11" s="1"/>
  <c r="H429" i="11"/>
  <c r="G429" i="11"/>
  <c r="O428" i="11"/>
  <c r="Q428" i="11" s="1"/>
  <c r="M428" i="11"/>
  <c r="N428" i="11" s="1"/>
  <c r="L428" i="11"/>
  <c r="K428" i="11"/>
  <c r="I428" i="11" a="1"/>
  <c r="I428" i="11" s="1"/>
  <c r="J428" i="11" s="1"/>
  <c r="H428" i="11"/>
  <c r="G428" i="11"/>
  <c r="R428" i="11" s="1"/>
  <c r="R427" i="11"/>
  <c r="O427" i="11"/>
  <c r="I427" i="11" a="1"/>
  <c r="I427" i="11" s="1"/>
  <c r="K427" i="11" s="1"/>
  <c r="H427" i="11"/>
  <c r="F427" i="11"/>
  <c r="G427" i="11" s="1"/>
  <c r="O426" i="11"/>
  <c r="K426" i="11"/>
  <c r="I426" i="11" a="1"/>
  <c r="I426" i="11" s="1"/>
  <c r="G426" i="11"/>
  <c r="F426" i="11"/>
  <c r="H426" i="11" s="1"/>
  <c r="J426" i="11" s="1"/>
  <c r="O425" i="11"/>
  <c r="K425" i="11"/>
  <c r="I425" i="11"/>
  <c r="I425" i="11" a="1"/>
  <c r="F425" i="11"/>
  <c r="H425" i="11" s="1"/>
  <c r="J425" i="11" s="1"/>
  <c r="O424" i="11"/>
  <c r="Q424" i="11" s="1"/>
  <c r="K424" i="11"/>
  <c r="I424" i="11" a="1"/>
  <c r="I424" i="11" s="1"/>
  <c r="H424" i="11"/>
  <c r="G424" i="11"/>
  <c r="R424" i="11" s="1"/>
  <c r="F424" i="11"/>
  <c r="O423" i="11"/>
  <c r="Q423" i="11" s="1"/>
  <c r="I423" i="11"/>
  <c r="I423" i="11" a="1"/>
  <c r="H423" i="11"/>
  <c r="G423" i="11"/>
  <c r="R423" i="11" s="1"/>
  <c r="F423" i="11"/>
  <c r="O422" i="11"/>
  <c r="Q422" i="11" s="1"/>
  <c r="L422" i="11"/>
  <c r="K422" i="11"/>
  <c r="I422" i="11" a="1"/>
  <c r="I422" i="11" s="1"/>
  <c r="J422" i="11" s="1"/>
  <c r="M422" i="11" s="1"/>
  <c r="N422" i="11" s="1"/>
  <c r="G422" i="11"/>
  <c r="R422" i="11" s="1"/>
  <c r="F422" i="11"/>
  <c r="H422" i="11" s="1"/>
  <c r="R421" i="11"/>
  <c r="O421" i="11"/>
  <c r="L421" i="11"/>
  <c r="K421" i="11"/>
  <c r="J421" i="11"/>
  <c r="M421" i="11" s="1"/>
  <c r="N421" i="11" s="1"/>
  <c r="I421" i="11" a="1"/>
  <c r="I421" i="11" s="1"/>
  <c r="H421" i="11"/>
  <c r="G421" i="11"/>
  <c r="F421" i="11"/>
  <c r="R420" i="11"/>
  <c r="O420" i="11"/>
  <c r="Q420" i="11" s="1"/>
  <c r="L420" i="11"/>
  <c r="J420" i="11"/>
  <c r="M420" i="11" s="1"/>
  <c r="N420" i="11" s="1"/>
  <c r="I420" i="11"/>
  <c r="K420" i="11" s="1"/>
  <c r="I420" i="11" a="1"/>
  <c r="H420" i="11"/>
  <c r="G420" i="11"/>
  <c r="F420" i="11"/>
  <c r="O419" i="11"/>
  <c r="Q419" i="11" s="1"/>
  <c r="L419" i="11"/>
  <c r="I419" i="11"/>
  <c r="K419" i="11" s="1"/>
  <c r="I419" i="11" a="1"/>
  <c r="F419" i="11"/>
  <c r="G419" i="11" s="1"/>
  <c r="R419" i="11" s="1"/>
  <c r="O418" i="11"/>
  <c r="L418" i="11"/>
  <c r="K418" i="11"/>
  <c r="I418" i="11"/>
  <c r="I418" i="11" a="1"/>
  <c r="F418" i="11"/>
  <c r="R417" i="11"/>
  <c r="O417" i="11"/>
  <c r="L417" i="11"/>
  <c r="I417" i="11" a="1"/>
  <c r="I417" i="11" s="1"/>
  <c r="H417" i="11"/>
  <c r="G417" i="11"/>
  <c r="F417" i="11"/>
  <c r="O416" i="11"/>
  <c r="L416" i="11"/>
  <c r="I416" i="11"/>
  <c r="K416" i="11" s="1"/>
  <c r="I416" i="11" a="1"/>
  <c r="G416" i="11"/>
  <c r="F416" i="11"/>
  <c r="H416" i="11" s="1"/>
  <c r="R415" i="11"/>
  <c r="O415" i="11"/>
  <c r="L415" i="11"/>
  <c r="I415" i="11" a="1"/>
  <c r="I415" i="11" s="1"/>
  <c r="K415" i="11" s="1"/>
  <c r="G415" i="11"/>
  <c r="F415" i="11"/>
  <c r="H415" i="11" s="1"/>
  <c r="O414" i="11"/>
  <c r="L414" i="11"/>
  <c r="I414" i="11" a="1"/>
  <c r="I414" i="11" s="1"/>
  <c r="G414" i="11"/>
  <c r="F414" i="11"/>
  <c r="H414" i="11" s="1"/>
  <c r="O413" i="11"/>
  <c r="L413" i="11"/>
  <c r="I413" i="11" a="1"/>
  <c r="I413" i="11" s="1"/>
  <c r="F413" i="11"/>
  <c r="O412" i="11"/>
  <c r="L412" i="11"/>
  <c r="I412" i="11"/>
  <c r="K412" i="11" s="1"/>
  <c r="I412" i="11" a="1"/>
  <c r="H412" i="11"/>
  <c r="G412" i="11"/>
  <c r="R412" i="11" s="1"/>
  <c r="F412" i="11"/>
  <c r="O411" i="11"/>
  <c r="L411" i="11"/>
  <c r="I411" i="11"/>
  <c r="I411" i="11" a="1"/>
  <c r="H411" i="11"/>
  <c r="G411" i="11"/>
  <c r="F411" i="11"/>
  <c r="O410" i="11"/>
  <c r="L410" i="11"/>
  <c r="I410" i="11"/>
  <c r="I410" i="11" a="1"/>
  <c r="G410" i="11"/>
  <c r="F410" i="11"/>
  <c r="H410" i="11" s="1"/>
  <c r="O409" i="11"/>
  <c r="L409" i="11"/>
  <c r="I409" i="11" a="1"/>
  <c r="I409" i="11" s="1"/>
  <c r="H409" i="11"/>
  <c r="G409" i="11"/>
  <c r="F409" i="11"/>
  <c r="O408" i="11"/>
  <c r="L408" i="11"/>
  <c r="I408" i="11" a="1"/>
  <c r="I408" i="11" s="1"/>
  <c r="H408" i="11"/>
  <c r="G408" i="11"/>
  <c r="F408" i="11"/>
  <c r="O407" i="11"/>
  <c r="L407" i="11"/>
  <c r="I407" i="11" a="1"/>
  <c r="I407" i="11" s="1"/>
  <c r="F407" i="11"/>
  <c r="G407" i="11" s="1"/>
  <c r="O406" i="11"/>
  <c r="L406" i="11"/>
  <c r="I406" i="11"/>
  <c r="I406" i="11" a="1"/>
  <c r="H406" i="11"/>
  <c r="G406" i="11"/>
  <c r="F406" i="11"/>
  <c r="O405" i="11"/>
  <c r="L405" i="11"/>
  <c r="I405" i="11"/>
  <c r="I405" i="11" a="1"/>
  <c r="H405" i="11"/>
  <c r="G405" i="11"/>
  <c r="F405" i="11"/>
  <c r="O404" i="11"/>
  <c r="L404" i="11"/>
  <c r="K404" i="11"/>
  <c r="J404" i="11"/>
  <c r="I404" i="11"/>
  <c r="I404" i="11" a="1"/>
  <c r="F404" i="11"/>
  <c r="H404" i="11" s="1"/>
  <c r="O403" i="11"/>
  <c r="Q403" i="11" s="1"/>
  <c r="L403" i="11"/>
  <c r="I403" i="11" a="1"/>
  <c r="I403" i="11" s="1"/>
  <c r="H403" i="11"/>
  <c r="F403" i="11"/>
  <c r="G403" i="11" s="1"/>
  <c r="R403" i="11" s="1"/>
  <c r="O402" i="11"/>
  <c r="L402" i="11"/>
  <c r="I402" i="11" a="1"/>
  <c r="I402" i="11" s="1"/>
  <c r="H402" i="11"/>
  <c r="F402" i="11"/>
  <c r="G402" i="11" s="1"/>
  <c r="O401" i="11"/>
  <c r="Q401" i="11" s="1"/>
  <c r="L401" i="11"/>
  <c r="I401" i="11" a="1"/>
  <c r="I401" i="11" s="1"/>
  <c r="H401" i="11"/>
  <c r="F401" i="11"/>
  <c r="G401" i="11" s="1"/>
  <c r="R401" i="11" s="1"/>
  <c r="O400" i="11"/>
  <c r="L400" i="11"/>
  <c r="I400" i="11"/>
  <c r="K400" i="11" s="1"/>
  <c r="I400" i="11" a="1"/>
  <c r="F400" i="11"/>
  <c r="R399" i="11"/>
  <c r="O399" i="11"/>
  <c r="L399" i="11"/>
  <c r="K399" i="11"/>
  <c r="I399" i="11"/>
  <c r="J399" i="11" s="1"/>
  <c r="M399" i="11" s="1"/>
  <c r="N399" i="11" s="1"/>
  <c r="I399" i="11" a="1"/>
  <c r="H399" i="11"/>
  <c r="G399" i="11"/>
  <c r="F399" i="11"/>
  <c r="O398" i="11"/>
  <c r="L398" i="11"/>
  <c r="K398" i="11"/>
  <c r="I398" i="11" a="1"/>
  <c r="I398" i="11" s="1"/>
  <c r="G398" i="11"/>
  <c r="F398" i="11"/>
  <c r="H398" i="11" s="1"/>
  <c r="O397" i="11"/>
  <c r="M397" i="11"/>
  <c r="N397" i="11" s="1"/>
  <c r="L397" i="11"/>
  <c r="K397" i="11"/>
  <c r="I397" i="11" a="1"/>
  <c r="I397" i="11" s="1"/>
  <c r="G397" i="11"/>
  <c r="F397" i="11"/>
  <c r="H397" i="11" s="1"/>
  <c r="J397" i="11" s="1"/>
  <c r="O396" i="11"/>
  <c r="L396" i="11"/>
  <c r="I396" i="11"/>
  <c r="K396" i="11" s="1"/>
  <c r="I396" i="11" a="1"/>
  <c r="G396" i="11"/>
  <c r="F396" i="11"/>
  <c r="H396" i="11" s="1"/>
  <c r="J396" i="11" s="1"/>
  <c r="O395" i="11"/>
  <c r="L395" i="11"/>
  <c r="K395" i="11"/>
  <c r="I395" i="11"/>
  <c r="I395" i="11" a="1"/>
  <c r="F395" i="11"/>
  <c r="R394" i="11"/>
  <c r="O394" i="11"/>
  <c r="L394" i="11"/>
  <c r="M394" i="11" s="1"/>
  <c r="N394" i="11" s="1"/>
  <c r="K394" i="11"/>
  <c r="I394" i="11"/>
  <c r="I394" i="11" a="1"/>
  <c r="H394" i="11"/>
  <c r="J394" i="11" s="1"/>
  <c r="G394" i="11"/>
  <c r="F394" i="11"/>
  <c r="O393" i="11"/>
  <c r="L393" i="11"/>
  <c r="I393" i="11" a="1"/>
  <c r="I393" i="11" s="1"/>
  <c r="H393" i="11"/>
  <c r="G393" i="11"/>
  <c r="F393" i="11"/>
  <c r="O392" i="11"/>
  <c r="L392" i="11"/>
  <c r="I392" i="11"/>
  <c r="I392" i="11" a="1"/>
  <c r="F392" i="11"/>
  <c r="H392" i="11" s="1"/>
  <c r="O391" i="11"/>
  <c r="L391" i="11"/>
  <c r="K391" i="11"/>
  <c r="J391" i="11"/>
  <c r="H391" i="11"/>
  <c r="G391" i="11"/>
  <c r="R390" i="11"/>
  <c r="O390" i="11"/>
  <c r="Q390" i="11" s="1"/>
  <c r="L390" i="11"/>
  <c r="K390" i="11"/>
  <c r="J390" i="11"/>
  <c r="H390" i="11"/>
  <c r="G390" i="11"/>
  <c r="R389" i="11"/>
  <c r="O389" i="11"/>
  <c r="Q389" i="11" s="1"/>
  <c r="L389" i="11"/>
  <c r="K389" i="11"/>
  <c r="I572" i="11" s="1"/>
  <c r="J389" i="11"/>
  <c r="M389" i="11" s="1"/>
  <c r="N389" i="11" s="1"/>
  <c r="H389" i="11"/>
  <c r="G389" i="11"/>
  <c r="O388" i="11"/>
  <c r="L388" i="11"/>
  <c r="I388" i="11" a="1"/>
  <c r="I388" i="11" s="1"/>
  <c r="H388" i="11"/>
  <c r="F388" i="11"/>
  <c r="G388" i="11" s="1"/>
  <c r="R388" i="11" s="1"/>
  <c r="O387" i="11"/>
  <c r="L387" i="11"/>
  <c r="I387" i="11"/>
  <c r="J387" i="11" s="1"/>
  <c r="M387" i="11" s="1"/>
  <c r="N387" i="11" s="1"/>
  <c r="I387" i="11" a="1"/>
  <c r="H387" i="11"/>
  <c r="G387" i="11"/>
  <c r="R387" i="11" s="1"/>
  <c r="F387" i="11"/>
  <c r="O386" i="11"/>
  <c r="Q386" i="11" s="1"/>
  <c r="L386" i="11"/>
  <c r="I386" i="11" a="1"/>
  <c r="I386" i="11" s="1"/>
  <c r="H386" i="11"/>
  <c r="F386" i="11"/>
  <c r="G386" i="11" s="1"/>
  <c r="R386" i="11" s="1"/>
  <c r="R385" i="11"/>
  <c r="O385" i="11"/>
  <c r="L385" i="11"/>
  <c r="J385" i="11"/>
  <c r="M385" i="11" s="1"/>
  <c r="N385" i="11" s="1"/>
  <c r="I385" i="11"/>
  <c r="K385" i="11" s="1"/>
  <c r="I385" i="11" a="1"/>
  <c r="H385" i="11"/>
  <c r="G385" i="11"/>
  <c r="F385" i="11"/>
  <c r="O384" i="11"/>
  <c r="L384" i="11"/>
  <c r="K384" i="11"/>
  <c r="I384" i="11"/>
  <c r="I384" i="11" a="1"/>
  <c r="F384" i="11"/>
  <c r="O383" i="11"/>
  <c r="L383" i="11"/>
  <c r="I383" i="11" a="1"/>
  <c r="I383" i="11" s="1"/>
  <c r="F383" i="11"/>
  <c r="O382" i="11"/>
  <c r="Q382" i="11" s="1"/>
  <c r="L382" i="11"/>
  <c r="I382" i="11"/>
  <c r="K382" i="11" s="1"/>
  <c r="I382" i="11" a="1"/>
  <c r="F382" i="11"/>
  <c r="G382" i="11" s="1"/>
  <c r="R382" i="11" s="1"/>
  <c r="O381" i="11"/>
  <c r="L381" i="11"/>
  <c r="I381" i="11"/>
  <c r="K381" i="11" s="1"/>
  <c r="I381" i="11" a="1"/>
  <c r="F381" i="11"/>
  <c r="O380" i="11"/>
  <c r="L380" i="11"/>
  <c r="K380" i="11"/>
  <c r="I380" i="11"/>
  <c r="I380" i="11" a="1"/>
  <c r="F380" i="11"/>
  <c r="H380" i="11" s="1"/>
  <c r="O379" i="11"/>
  <c r="L379" i="11"/>
  <c r="I379" i="11" a="1"/>
  <c r="I379" i="11" s="1"/>
  <c r="K379" i="11" s="1"/>
  <c r="H379" i="11"/>
  <c r="G379" i="11"/>
  <c r="F379" i="11"/>
  <c r="O378" i="11"/>
  <c r="Q378" i="11" s="1"/>
  <c r="M378" i="11"/>
  <c r="N378" i="11" s="1"/>
  <c r="L378" i="11"/>
  <c r="I378" i="11" a="1"/>
  <c r="I378" i="11" s="1"/>
  <c r="J378" i="11" s="1"/>
  <c r="G378" i="11"/>
  <c r="R378" i="11" s="1"/>
  <c r="F378" i="11"/>
  <c r="H378" i="11" s="1"/>
  <c r="O377" i="11"/>
  <c r="Q377" i="11" s="1"/>
  <c r="N377" i="11"/>
  <c r="P377" i="11" s="1"/>
  <c r="L377" i="11"/>
  <c r="K377" i="11"/>
  <c r="I377" i="11" a="1"/>
  <c r="I377" i="11" s="1"/>
  <c r="J377" i="11" s="1"/>
  <c r="M377" i="11" s="1"/>
  <c r="H377" i="11"/>
  <c r="G377" i="11"/>
  <c r="R377" i="11" s="1"/>
  <c r="F377" i="11"/>
  <c r="O376" i="11"/>
  <c r="L376" i="11"/>
  <c r="I376" i="11" a="1"/>
  <c r="I376" i="11" s="1"/>
  <c r="K376" i="11" s="1"/>
  <c r="F376" i="11"/>
  <c r="G376" i="11" s="1"/>
  <c r="O375" i="11"/>
  <c r="L375" i="11"/>
  <c r="K375" i="11"/>
  <c r="I375" i="11"/>
  <c r="I375" i="11" a="1"/>
  <c r="H375" i="11"/>
  <c r="J375" i="11" s="1"/>
  <c r="M375" i="11" s="1"/>
  <c r="N375" i="11" s="1"/>
  <c r="G375" i="11"/>
  <c r="F375" i="11"/>
  <c r="O374" i="11"/>
  <c r="Q374" i="11" s="1"/>
  <c r="L374" i="11"/>
  <c r="I374" i="11" a="1"/>
  <c r="I374" i="11" s="1"/>
  <c r="H374" i="11"/>
  <c r="F374" i="11"/>
  <c r="G374" i="11" s="1"/>
  <c r="R374" i="11" s="1"/>
  <c r="R373" i="11"/>
  <c r="O373" i="11"/>
  <c r="L373" i="11"/>
  <c r="I373" i="11"/>
  <c r="I373" i="11" a="1"/>
  <c r="H373" i="11"/>
  <c r="G373" i="11"/>
  <c r="F373" i="11"/>
  <c r="O372" i="11"/>
  <c r="L372" i="11"/>
  <c r="I372" i="11"/>
  <c r="K372" i="11" s="1"/>
  <c r="I372" i="11" a="1"/>
  <c r="F372" i="11"/>
  <c r="O371" i="11"/>
  <c r="L371" i="11"/>
  <c r="I371" i="11" a="1"/>
  <c r="I371" i="11" s="1"/>
  <c r="K371" i="11" s="1"/>
  <c r="F371" i="11"/>
  <c r="O370" i="11"/>
  <c r="L370" i="11"/>
  <c r="I370" i="11"/>
  <c r="I370" i="11" a="1"/>
  <c r="F370" i="11"/>
  <c r="G370" i="11" s="1"/>
  <c r="O369" i="11"/>
  <c r="L369" i="11"/>
  <c r="I369" i="11"/>
  <c r="I369" i="11" a="1"/>
  <c r="F369" i="11"/>
  <c r="H369" i="11" s="1"/>
  <c r="O368" i="11"/>
  <c r="L368" i="11"/>
  <c r="K368" i="11"/>
  <c r="I368" i="11"/>
  <c r="I368" i="11" a="1"/>
  <c r="H368" i="11"/>
  <c r="G368" i="11"/>
  <c r="R368" i="11" s="1"/>
  <c r="F368" i="11"/>
  <c r="R367" i="11"/>
  <c r="O367" i="11"/>
  <c r="L367" i="11"/>
  <c r="K367" i="11"/>
  <c r="J367" i="11"/>
  <c r="M367" i="11" s="1"/>
  <c r="N367" i="11" s="1"/>
  <c r="I367" i="11" a="1"/>
  <c r="I367" i="11" s="1"/>
  <c r="H367" i="11"/>
  <c r="G367" i="11"/>
  <c r="F367" i="11"/>
  <c r="O366" i="11"/>
  <c r="L366" i="11"/>
  <c r="I366" i="11"/>
  <c r="I366" i="11" a="1"/>
  <c r="F366" i="11"/>
  <c r="O365" i="11"/>
  <c r="Q365" i="11" s="1"/>
  <c r="L365" i="11"/>
  <c r="K365" i="11"/>
  <c r="I365" i="11" a="1"/>
  <c r="I365" i="11" s="1"/>
  <c r="F365" i="11"/>
  <c r="G365" i="11" s="1"/>
  <c r="R365" i="11" s="1"/>
  <c r="O364" i="11"/>
  <c r="Q364" i="11" s="1"/>
  <c r="L364" i="11"/>
  <c r="I364" i="11" a="1"/>
  <c r="I364" i="11" s="1"/>
  <c r="H364" i="11"/>
  <c r="F364" i="11"/>
  <c r="G364" i="11" s="1"/>
  <c r="R364" i="11" s="1"/>
  <c r="O363" i="11"/>
  <c r="L363" i="11"/>
  <c r="K363" i="11"/>
  <c r="J363" i="11"/>
  <c r="M363" i="11" s="1"/>
  <c r="N363" i="11" s="1"/>
  <c r="I363" i="11"/>
  <c r="I363" i="11" a="1"/>
  <c r="H363" i="11"/>
  <c r="F363" i="11"/>
  <c r="G363" i="11" s="1"/>
  <c r="R363" i="11" s="1"/>
  <c r="O362" i="11"/>
  <c r="Q362" i="11" s="1"/>
  <c r="L362" i="11"/>
  <c r="I362" i="11" a="1"/>
  <c r="I362" i="11" s="1"/>
  <c r="G362" i="11"/>
  <c r="R362" i="11" s="1"/>
  <c r="F362" i="11"/>
  <c r="H362" i="11" s="1"/>
  <c r="R361" i="11"/>
  <c r="O361" i="11"/>
  <c r="L361" i="11"/>
  <c r="I361" i="11"/>
  <c r="K361" i="11" s="1"/>
  <c r="I361" i="11" a="1"/>
  <c r="H361" i="11"/>
  <c r="G361" i="11"/>
  <c r="F361" i="11"/>
  <c r="O360" i="11"/>
  <c r="L360" i="11"/>
  <c r="K360" i="11"/>
  <c r="I360" i="11" a="1"/>
  <c r="I360" i="11" s="1"/>
  <c r="G360" i="11"/>
  <c r="F360" i="11"/>
  <c r="H360" i="11" s="1"/>
  <c r="J360" i="11" s="1"/>
  <c r="M360" i="11" s="1"/>
  <c r="N360" i="11" s="1"/>
  <c r="O359" i="11"/>
  <c r="L359" i="11"/>
  <c r="K359" i="11"/>
  <c r="I359" i="11" a="1"/>
  <c r="I359" i="11" s="1"/>
  <c r="F359" i="11"/>
  <c r="H359" i="11" s="1"/>
  <c r="J359" i="11" s="1"/>
  <c r="E359" i="11"/>
  <c r="O358" i="11"/>
  <c r="L358" i="11"/>
  <c r="J358" i="11"/>
  <c r="M358" i="11" s="1"/>
  <c r="N358" i="11" s="1"/>
  <c r="I358" i="11"/>
  <c r="K358" i="11" s="1"/>
  <c r="I358" i="11" a="1"/>
  <c r="G358" i="11"/>
  <c r="E358" i="11"/>
  <c r="F358" i="11" s="1"/>
  <c r="H358" i="11" s="1"/>
  <c r="O357" i="11"/>
  <c r="L357" i="11"/>
  <c r="I357" i="11" a="1"/>
  <c r="I357" i="11" s="1"/>
  <c r="F357" i="11"/>
  <c r="H357" i="11" s="1"/>
  <c r="E357" i="11"/>
  <c r="O356" i="11"/>
  <c r="L356" i="11"/>
  <c r="I356" i="11"/>
  <c r="I356" i="11" a="1"/>
  <c r="F356" i="11"/>
  <c r="H356" i="11" s="1"/>
  <c r="E356" i="11"/>
  <c r="O355" i="11"/>
  <c r="L355" i="11"/>
  <c r="K355" i="11"/>
  <c r="I355" i="11" a="1"/>
  <c r="I355" i="11" s="1"/>
  <c r="F355" i="11"/>
  <c r="E355" i="11"/>
  <c r="O354" i="11"/>
  <c r="L354" i="11"/>
  <c r="I354" i="11"/>
  <c r="I354" i="11" a="1"/>
  <c r="F354" i="11"/>
  <c r="H354" i="11" s="1"/>
  <c r="E354" i="11"/>
  <c r="O353" i="11"/>
  <c r="Q353" i="11" s="1"/>
  <c r="L353" i="11"/>
  <c r="K353" i="11"/>
  <c r="I353" i="11"/>
  <c r="I353" i="11" a="1"/>
  <c r="H353" i="11"/>
  <c r="G353" i="11"/>
  <c r="R353" i="11" s="1"/>
  <c r="F353" i="11"/>
  <c r="R352" i="11"/>
  <c r="O352" i="11"/>
  <c r="L352" i="11"/>
  <c r="I352" i="11" a="1"/>
  <c r="I352" i="11" s="1"/>
  <c r="J352" i="11" s="1"/>
  <c r="M352" i="11" s="1"/>
  <c r="N352" i="11" s="1"/>
  <c r="P352" i="11" s="1"/>
  <c r="H352" i="11"/>
  <c r="G352" i="11"/>
  <c r="O351" i="11"/>
  <c r="L351" i="11"/>
  <c r="I351" i="11"/>
  <c r="I351" i="11" a="1"/>
  <c r="F351" i="11"/>
  <c r="G351" i="11" s="1"/>
  <c r="R351" i="11" s="1"/>
  <c r="O350" i="11"/>
  <c r="Q350" i="11" s="1"/>
  <c r="L350" i="11"/>
  <c r="K350" i="11"/>
  <c r="I350" i="11"/>
  <c r="I350" i="11" a="1"/>
  <c r="H350" i="11"/>
  <c r="J350" i="11" s="1"/>
  <c r="M350" i="11" s="1"/>
  <c r="N350" i="11" s="1"/>
  <c r="F350" i="11"/>
  <c r="G350" i="11" s="1"/>
  <c r="R350" i="11" s="1"/>
  <c r="R349" i="11"/>
  <c r="O349" i="11"/>
  <c r="L349" i="11"/>
  <c r="I349" i="11" a="1"/>
  <c r="I349" i="11" s="1"/>
  <c r="H349" i="11"/>
  <c r="G349" i="11"/>
  <c r="F349" i="11"/>
  <c r="O348" i="11"/>
  <c r="L348" i="11"/>
  <c r="I348" i="11"/>
  <c r="K348" i="11" s="1"/>
  <c r="I348" i="11" a="1"/>
  <c r="F348" i="11"/>
  <c r="O347" i="11"/>
  <c r="L347" i="11"/>
  <c r="I347" i="11" a="1"/>
  <c r="I347" i="11" s="1"/>
  <c r="G347" i="11"/>
  <c r="F347" i="11"/>
  <c r="H347" i="11" s="1"/>
  <c r="O346" i="11"/>
  <c r="L346" i="11"/>
  <c r="I346" i="11" a="1"/>
  <c r="I346" i="11" s="1"/>
  <c r="F346" i="11"/>
  <c r="O345" i="11"/>
  <c r="L345" i="11"/>
  <c r="K345" i="11"/>
  <c r="I345" i="11"/>
  <c r="I345" i="11" a="1"/>
  <c r="F345" i="11"/>
  <c r="O344" i="11"/>
  <c r="L344" i="11"/>
  <c r="K344" i="11"/>
  <c r="I344" i="11"/>
  <c r="I344" i="11" a="1"/>
  <c r="F344" i="11"/>
  <c r="H344" i="11" s="1"/>
  <c r="J344" i="11" s="1"/>
  <c r="O343" i="11"/>
  <c r="J343" i="11"/>
  <c r="I343" i="11" a="1"/>
  <c r="I343" i="11" s="1"/>
  <c r="K343" i="11" s="1"/>
  <c r="F343" i="11"/>
  <c r="H343" i="11" s="1"/>
  <c r="O342" i="11"/>
  <c r="Q342" i="11" s="1"/>
  <c r="K342" i="11"/>
  <c r="I342" i="11"/>
  <c r="J342" i="11" s="1"/>
  <c r="M342" i="11" s="1"/>
  <c r="N342" i="11" s="1"/>
  <c r="I342" i="11" a="1"/>
  <c r="H342" i="11"/>
  <c r="G342" i="11"/>
  <c r="R342" i="11" s="1"/>
  <c r="F342" i="11"/>
  <c r="R341" i="11"/>
  <c r="O341" i="11"/>
  <c r="Q341" i="11" s="1"/>
  <c r="I341" i="11"/>
  <c r="I341" i="11" a="1"/>
  <c r="H341" i="11"/>
  <c r="F341" i="11"/>
  <c r="G341" i="11" s="1"/>
  <c r="O340" i="11"/>
  <c r="I340" i="11"/>
  <c r="K340" i="11" s="1"/>
  <c r="I340" i="11" a="1"/>
  <c r="F340" i="11"/>
  <c r="H340" i="11" s="1"/>
  <c r="O339" i="11"/>
  <c r="I339" i="11"/>
  <c r="K339" i="11" s="1"/>
  <c r="I339" i="11" a="1"/>
  <c r="G339" i="11"/>
  <c r="R339" i="11" s="1"/>
  <c r="F339" i="11"/>
  <c r="H339" i="11" s="1"/>
  <c r="O338" i="11"/>
  <c r="Q338" i="11" s="1"/>
  <c r="K338" i="11"/>
  <c r="J338" i="11"/>
  <c r="M338" i="11" s="1"/>
  <c r="N338" i="11" s="1"/>
  <c r="I338" i="11" a="1"/>
  <c r="I338" i="11" s="1"/>
  <c r="H338" i="11"/>
  <c r="G338" i="11"/>
  <c r="R338" i="11" s="1"/>
  <c r="F338" i="11"/>
  <c r="O337" i="11"/>
  <c r="I337" i="11"/>
  <c r="I337" i="11" a="1"/>
  <c r="H337" i="11"/>
  <c r="G337" i="11"/>
  <c r="F337" i="11"/>
  <c r="R336" i="11"/>
  <c r="O336" i="11"/>
  <c r="I336" i="11" a="1"/>
  <c r="I336" i="11" s="1"/>
  <c r="H336" i="11"/>
  <c r="G336" i="11"/>
  <c r="Q336" i="11" s="1"/>
  <c r="F336" i="11"/>
  <c r="O335" i="11"/>
  <c r="I335" i="11"/>
  <c r="K335" i="11" s="1"/>
  <c r="I335" i="11" a="1"/>
  <c r="H335" i="11"/>
  <c r="G335" i="11"/>
  <c r="R335" i="11" s="1"/>
  <c r="F335" i="11"/>
  <c r="O334" i="11"/>
  <c r="Q334" i="11" s="1"/>
  <c r="I334" i="11"/>
  <c r="K334" i="11" s="1"/>
  <c r="I334" i="11" a="1"/>
  <c r="F334" i="11"/>
  <c r="G334" i="11" s="1"/>
  <c r="R334" i="11" s="1"/>
  <c r="O333" i="11"/>
  <c r="K333" i="11"/>
  <c r="I333" i="11"/>
  <c r="I333" i="11" a="1"/>
  <c r="F333" i="11"/>
  <c r="O332" i="11"/>
  <c r="K332" i="11"/>
  <c r="I332" i="11"/>
  <c r="J332" i="11" s="1"/>
  <c r="I332" i="11" a="1"/>
  <c r="F332" i="11"/>
  <c r="H332" i="11" s="1"/>
  <c r="O331" i="11"/>
  <c r="I331" i="11" a="1"/>
  <c r="I331" i="11" s="1"/>
  <c r="K331" i="11" s="1"/>
  <c r="F331" i="11"/>
  <c r="G331" i="11" s="1"/>
  <c r="R331" i="11" s="1"/>
  <c r="O330" i="11"/>
  <c r="I330" i="11"/>
  <c r="I330" i="11" a="1"/>
  <c r="H330" i="11"/>
  <c r="G330" i="11"/>
  <c r="F330" i="11"/>
  <c r="O329" i="11"/>
  <c r="Q329" i="11" s="1"/>
  <c r="I329" i="11"/>
  <c r="I329" i="11" a="1"/>
  <c r="H329" i="11"/>
  <c r="F329" i="11"/>
  <c r="G329" i="11" s="1"/>
  <c r="R329" i="11" s="1"/>
  <c r="O328" i="11"/>
  <c r="I328" i="11" a="1"/>
  <c r="I328" i="11" s="1"/>
  <c r="K328" i="11" s="1"/>
  <c r="F328" i="11"/>
  <c r="R327" i="11"/>
  <c r="O327" i="11"/>
  <c r="K327" i="11"/>
  <c r="I327" i="11"/>
  <c r="I327" i="11" a="1"/>
  <c r="G327" i="11"/>
  <c r="F327" i="11"/>
  <c r="H327" i="11" s="1"/>
  <c r="O326" i="11"/>
  <c r="K326" i="11"/>
  <c r="I326" i="11" a="1"/>
  <c r="I326" i="11" s="1"/>
  <c r="F326" i="11"/>
  <c r="H326" i="11" s="1"/>
  <c r="J326" i="11" s="1"/>
  <c r="O325" i="11"/>
  <c r="I325" i="11"/>
  <c r="I325" i="11" a="1"/>
  <c r="F325" i="11"/>
  <c r="H325" i="11" s="1"/>
  <c r="O324" i="11"/>
  <c r="I324" i="11"/>
  <c r="K324" i="11" s="1"/>
  <c r="I324" i="11" a="1"/>
  <c r="F324" i="11"/>
  <c r="G324" i="11" s="1"/>
  <c r="O323" i="11"/>
  <c r="I323" i="11" a="1"/>
  <c r="I323" i="11" s="1"/>
  <c r="H323" i="11"/>
  <c r="G323" i="11"/>
  <c r="R323" i="11" s="1"/>
  <c r="F323" i="11"/>
  <c r="R322" i="11"/>
  <c r="O322" i="11"/>
  <c r="Q322" i="11" s="1"/>
  <c r="I322" i="11"/>
  <c r="K322" i="11" s="1"/>
  <c r="I322" i="11" a="1"/>
  <c r="F322" i="11"/>
  <c r="G322" i="11" s="1"/>
  <c r="O321" i="11"/>
  <c r="N321" i="11"/>
  <c r="J321" i="11"/>
  <c r="M321" i="11" s="1"/>
  <c r="I321" i="11"/>
  <c r="K321" i="11" s="1"/>
  <c r="I321" i="11" a="1"/>
  <c r="G321" i="11"/>
  <c r="R321" i="11" s="1"/>
  <c r="F321" i="11"/>
  <c r="H321" i="11" s="1"/>
  <c r="O320" i="11"/>
  <c r="Q320" i="11" s="1"/>
  <c r="J320" i="11"/>
  <c r="M320" i="11" s="1"/>
  <c r="N320" i="11" s="1"/>
  <c r="P320" i="11" s="1"/>
  <c r="I320" i="11"/>
  <c r="K320" i="11" s="1"/>
  <c r="I320" i="11" a="1"/>
  <c r="H320" i="11"/>
  <c r="G320" i="11"/>
  <c r="R320" i="11" s="1"/>
  <c r="F320" i="11"/>
  <c r="O319" i="11"/>
  <c r="M319" i="11"/>
  <c r="N319" i="11" s="1"/>
  <c r="I319" i="11" a="1"/>
  <c r="I319" i="11" s="1"/>
  <c r="K319" i="11" s="1"/>
  <c r="H319" i="11"/>
  <c r="J319" i="11" s="1"/>
  <c r="G319" i="11"/>
  <c r="F319" i="11"/>
  <c r="O318" i="11"/>
  <c r="Q318" i="11" s="1"/>
  <c r="I318" i="11" a="1"/>
  <c r="I318" i="11" s="1"/>
  <c r="H318" i="11"/>
  <c r="G318" i="11"/>
  <c r="R318" i="11" s="1"/>
  <c r="F318" i="11"/>
  <c r="O317" i="11"/>
  <c r="I317" i="11" a="1"/>
  <c r="I317" i="11" s="1"/>
  <c r="K317" i="11" s="1"/>
  <c r="F317" i="11"/>
  <c r="R316" i="11"/>
  <c r="O316" i="11"/>
  <c r="N316" i="11"/>
  <c r="J316" i="11"/>
  <c r="M316" i="11" s="1"/>
  <c r="I316" i="11"/>
  <c r="K316" i="11" s="1"/>
  <c r="I316" i="11" a="1"/>
  <c r="G316" i="11"/>
  <c r="F316" i="11"/>
  <c r="H316" i="11" s="1"/>
  <c r="R315" i="11"/>
  <c r="O315" i="11"/>
  <c r="Q315" i="11" s="1"/>
  <c r="K315" i="11"/>
  <c r="J315" i="11"/>
  <c r="M315" i="11" s="1"/>
  <c r="N315" i="11" s="1"/>
  <c r="I315" i="11"/>
  <c r="I315" i="11" a="1"/>
  <c r="G315" i="11"/>
  <c r="F315" i="11"/>
  <c r="H315" i="11" s="1"/>
  <c r="O314" i="11"/>
  <c r="I314" i="11" a="1"/>
  <c r="I314" i="11" s="1"/>
  <c r="K314" i="11" s="1"/>
  <c r="F314" i="11"/>
  <c r="H314" i="11" s="1"/>
  <c r="O313" i="11"/>
  <c r="I313" i="11"/>
  <c r="I313" i="11" a="1"/>
  <c r="F313" i="11"/>
  <c r="O312" i="11"/>
  <c r="I312" i="11"/>
  <c r="I312" i="11" a="1"/>
  <c r="H312" i="11"/>
  <c r="G312" i="11"/>
  <c r="F312" i="11"/>
  <c r="O311" i="11"/>
  <c r="Q311" i="11" s="1"/>
  <c r="K311" i="11"/>
  <c r="I311" i="11" a="1"/>
  <c r="I311" i="11" s="1"/>
  <c r="H311" i="11"/>
  <c r="J311" i="11" s="1"/>
  <c r="M311" i="11" s="1"/>
  <c r="N311" i="11" s="1"/>
  <c r="G311" i="11"/>
  <c r="R311" i="11" s="1"/>
  <c r="F311" i="11"/>
  <c r="O310" i="11"/>
  <c r="Q310" i="11" s="1"/>
  <c r="M310" i="11"/>
  <c r="N310" i="11" s="1"/>
  <c r="K310" i="11"/>
  <c r="I310" i="11" a="1"/>
  <c r="I310" i="11" s="1"/>
  <c r="J310" i="11" s="1"/>
  <c r="H310" i="11"/>
  <c r="F310" i="11"/>
  <c r="G310" i="11" s="1"/>
  <c r="R310" i="11" s="1"/>
  <c r="O309" i="11"/>
  <c r="I309" i="11" a="1"/>
  <c r="I309" i="11" s="1"/>
  <c r="F309" i="11"/>
  <c r="O308" i="11"/>
  <c r="K308" i="11"/>
  <c r="J308" i="11"/>
  <c r="M308" i="11" s="1"/>
  <c r="N308" i="11" s="1"/>
  <c r="I308" i="11"/>
  <c r="I308" i="11" a="1"/>
  <c r="H308" i="11"/>
  <c r="G308" i="11"/>
  <c r="F308" i="11"/>
  <c r="R307" i="11"/>
  <c r="O307" i="11"/>
  <c r="J307" i="11"/>
  <c r="M307" i="11" s="1"/>
  <c r="N307" i="11" s="1"/>
  <c r="P307" i="11" s="1"/>
  <c r="I307" i="11" a="1"/>
  <c r="I307" i="11" s="1"/>
  <c r="K307" i="11" s="1"/>
  <c r="G307" i="11"/>
  <c r="F307" i="11"/>
  <c r="H307" i="11" s="1"/>
  <c r="O306" i="11"/>
  <c r="Q306" i="11" s="1"/>
  <c r="I306" i="11"/>
  <c r="I306" i="11" a="1"/>
  <c r="H306" i="11"/>
  <c r="G306" i="11"/>
  <c r="R306" i="11" s="1"/>
  <c r="F306" i="11"/>
  <c r="R305" i="11"/>
  <c r="O305" i="11"/>
  <c r="Q305" i="11" s="1"/>
  <c r="I305" i="11"/>
  <c r="K305" i="11" s="1"/>
  <c r="I305" i="11" a="1"/>
  <c r="H305" i="11"/>
  <c r="F305" i="11"/>
  <c r="G305" i="11" s="1"/>
  <c r="R304" i="11"/>
  <c r="O304" i="11"/>
  <c r="J304" i="11"/>
  <c r="M304" i="11" s="1"/>
  <c r="N304" i="11" s="1"/>
  <c r="I304" i="11"/>
  <c r="K304" i="11" s="1"/>
  <c r="I304" i="11" a="1"/>
  <c r="G304" i="11"/>
  <c r="F304" i="11"/>
  <c r="H304" i="11" s="1"/>
  <c r="O303" i="11"/>
  <c r="Q303" i="11" s="1"/>
  <c r="J303" i="11"/>
  <c r="M303" i="11" s="1"/>
  <c r="N303" i="11" s="1"/>
  <c r="P303" i="11" s="1"/>
  <c r="I303" i="11"/>
  <c r="K303" i="11" s="1"/>
  <c r="I303" i="11" a="1"/>
  <c r="H303" i="11"/>
  <c r="G303" i="11"/>
  <c r="R303" i="11" s="1"/>
  <c r="F303" i="11"/>
  <c r="O302" i="11"/>
  <c r="I302" i="11" a="1"/>
  <c r="I302" i="11" s="1"/>
  <c r="H302" i="11"/>
  <c r="F302" i="11"/>
  <c r="G302" i="11" s="1"/>
  <c r="O301" i="11"/>
  <c r="I301" i="11"/>
  <c r="I301" i="11" a="1"/>
  <c r="F301" i="11"/>
  <c r="O300" i="11"/>
  <c r="I300" i="11" a="1"/>
  <c r="I300" i="11" s="1"/>
  <c r="K300" i="11" s="1"/>
  <c r="F300" i="11"/>
  <c r="H300" i="11" s="1"/>
  <c r="O299" i="11"/>
  <c r="Q299" i="11" s="1"/>
  <c r="J299" i="11"/>
  <c r="M299" i="11" s="1"/>
  <c r="N299" i="11" s="1"/>
  <c r="I299" i="11"/>
  <c r="K299" i="11" s="1"/>
  <c r="I299" i="11" a="1"/>
  <c r="H299" i="11"/>
  <c r="G299" i="11"/>
  <c r="R299" i="11" s="1"/>
  <c r="F299" i="11"/>
  <c r="R298" i="11"/>
  <c r="O298" i="11"/>
  <c r="Q298" i="11" s="1"/>
  <c r="M298" i="11"/>
  <c r="N298" i="11" s="1"/>
  <c r="J298" i="11"/>
  <c r="I298" i="11"/>
  <c r="K298" i="11" s="1"/>
  <c r="I298" i="11" a="1"/>
  <c r="H298" i="11"/>
  <c r="F298" i="11"/>
  <c r="G298" i="11" s="1"/>
  <c r="O297" i="11"/>
  <c r="I297" i="11"/>
  <c r="I297" i="11" a="1"/>
  <c r="F297" i="11"/>
  <c r="H297" i="11" s="1"/>
  <c r="O296" i="11"/>
  <c r="K296" i="11"/>
  <c r="J296" i="11"/>
  <c r="I296" i="11"/>
  <c r="I296" i="11" a="1"/>
  <c r="F296" i="11"/>
  <c r="H296" i="11" s="1"/>
  <c r="O295" i="11"/>
  <c r="I295" i="11" a="1"/>
  <c r="I295" i="11" s="1"/>
  <c r="F295" i="11"/>
  <c r="H295" i="11" s="1"/>
  <c r="R294" i="11"/>
  <c r="O294" i="11"/>
  <c r="Q294" i="11" s="1"/>
  <c r="K294" i="11"/>
  <c r="I294" i="11"/>
  <c r="J294" i="11" s="1"/>
  <c r="M294" i="11" s="1"/>
  <c r="N294" i="11" s="1"/>
  <c r="I294" i="11" a="1"/>
  <c r="H294" i="11"/>
  <c r="G294" i="11"/>
  <c r="F294" i="11"/>
  <c r="O293" i="11"/>
  <c r="I293" i="11" a="1"/>
  <c r="I293" i="11" s="1"/>
  <c r="G293" i="11"/>
  <c r="F293" i="11"/>
  <c r="H293" i="11" s="1"/>
  <c r="O292" i="11"/>
  <c r="I292" i="11" a="1"/>
  <c r="I292" i="11" s="1"/>
  <c r="J292" i="11" s="1"/>
  <c r="M292" i="11" s="1"/>
  <c r="N292" i="11" s="1"/>
  <c r="H292" i="11"/>
  <c r="G292" i="11"/>
  <c r="R292" i="11" s="1"/>
  <c r="F292" i="11"/>
  <c r="R291" i="11"/>
  <c r="O291" i="11"/>
  <c r="K291" i="11"/>
  <c r="I291" i="11" a="1"/>
  <c r="I291" i="11" s="1"/>
  <c r="H291" i="11"/>
  <c r="F291" i="11"/>
  <c r="G291" i="11" s="1"/>
  <c r="R290" i="11"/>
  <c r="O290" i="11"/>
  <c r="I290" i="11" a="1"/>
  <c r="I290" i="11" s="1"/>
  <c r="G290" i="11"/>
  <c r="F290" i="11"/>
  <c r="H290" i="11" s="1"/>
  <c r="R289" i="11"/>
  <c r="O289" i="11"/>
  <c r="K289" i="11"/>
  <c r="J289" i="11"/>
  <c r="M289" i="11" s="1"/>
  <c r="N289" i="11" s="1"/>
  <c r="I289" i="11"/>
  <c r="I289" i="11" a="1"/>
  <c r="H289" i="11"/>
  <c r="G289" i="11"/>
  <c r="F289" i="11"/>
  <c r="O288" i="11"/>
  <c r="I288" i="11" a="1"/>
  <c r="I288" i="11" s="1"/>
  <c r="K288" i="11" s="1"/>
  <c r="G288" i="11"/>
  <c r="F288" i="11"/>
  <c r="H288" i="11" s="1"/>
  <c r="J288" i="11" s="1"/>
  <c r="M288" i="11" s="1"/>
  <c r="N288" i="11" s="1"/>
  <c r="O287" i="11"/>
  <c r="I287" i="11"/>
  <c r="I287" i="11" a="1"/>
  <c r="H287" i="11"/>
  <c r="G287" i="11"/>
  <c r="R287" i="11" s="1"/>
  <c r="F287" i="11"/>
  <c r="R286" i="11"/>
  <c r="O286" i="11"/>
  <c r="I286" i="11"/>
  <c r="I286" i="11" a="1"/>
  <c r="H286" i="11"/>
  <c r="F286" i="11"/>
  <c r="G286" i="11" s="1"/>
  <c r="O285" i="11"/>
  <c r="I285" i="11" a="1"/>
  <c r="I285" i="11" s="1"/>
  <c r="F285" i="11"/>
  <c r="H285" i="11" s="1"/>
  <c r="O284" i="11"/>
  <c r="I284" i="11"/>
  <c r="K284" i="11" s="1"/>
  <c r="I284" i="11" a="1"/>
  <c r="H284" i="11"/>
  <c r="F284" i="11"/>
  <c r="G284" i="11" s="1"/>
  <c r="R284" i="11" s="1"/>
  <c r="O283" i="11"/>
  <c r="I283" i="11" a="1"/>
  <c r="I283" i="11" s="1"/>
  <c r="K283" i="11" s="1"/>
  <c r="H283" i="11"/>
  <c r="J283" i="11" s="1"/>
  <c r="G283" i="11"/>
  <c r="R283" i="11" s="1"/>
  <c r="F283" i="11"/>
  <c r="O282" i="11"/>
  <c r="I282" i="11" a="1"/>
  <c r="I282" i="11" s="1"/>
  <c r="G282" i="11"/>
  <c r="R282" i="11" s="1"/>
  <c r="F282" i="11"/>
  <c r="H282" i="11" s="1"/>
  <c r="O281" i="11"/>
  <c r="I281" i="11"/>
  <c r="K281" i="11" s="1"/>
  <c r="I281" i="11" a="1"/>
  <c r="H281" i="11"/>
  <c r="J281" i="11" s="1"/>
  <c r="M281" i="11" s="1"/>
  <c r="N281" i="11" s="1"/>
  <c r="F281" i="11"/>
  <c r="G281" i="11" s="1"/>
  <c r="O280" i="11"/>
  <c r="I280" i="11"/>
  <c r="I280" i="11" a="1"/>
  <c r="H280" i="11"/>
  <c r="G280" i="11"/>
  <c r="F280" i="11"/>
  <c r="O279" i="11"/>
  <c r="I279" i="11"/>
  <c r="I279" i="11" a="1"/>
  <c r="F279" i="11"/>
  <c r="O278" i="11"/>
  <c r="K278" i="11"/>
  <c r="I278" i="11"/>
  <c r="I278" i="11" a="1"/>
  <c r="F278" i="11"/>
  <c r="O277" i="11"/>
  <c r="K277" i="11"/>
  <c r="I277" i="11"/>
  <c r="I277" i="11" a="1"/>
  <c r="F277" i="11"/>
  <c r="R276" i="11"/>
  <c r="O276" i="11"/>
  <c r="K276" i="11"/>
  <c r="I276" i="11" a="1"/>
  <c r="I276" i="11" s="1"/>
  <c r="H276" i="11"/>
  <c r="J276" i="11" s="1"/>
  <c r="M276" i="11" s="1"/>
  <c r="N276" i="11" s="1"/>
  <c r="G276" i="11"/>
  <c r="F276" i="11"/>
  <c r="O275" i="11"/>
  <c r="Q275" i="11" s="1"/>
  <c r="I275" i="11" a="1"/>
  <c r="I275" i="11" s="1"/>
  <c r="H275" i="11"/>
  <c r="G275" i="11"/>
  <c r="R275" i="11" s="1"/>
  <c r="F275" i="11"/>
  <c r="O274" i="11"/>
  <c r="I274" i="11"/>
  <c r="I274" i="11" a="1"/>
  <c r="F274" i="11"/>
  <c r="O273" i="11"/>
  <c r="I273" i="11" a="1"/>
  <c r="I273" i="11" s="1"/>
  <c r="G273" i="11"/>
  <c r="F273" i="11"/>
  <c r="H273" i="11" s="1"/>
  <c r="R272" i="11"/>
  <c r="O272" i="11"/>
  <c r="K272" i="11"/>
  <c r="I272" i="11"/>
  <c r="J272" i="11" s="1"/>
  <c r="M272" i="11" s="1"/>
  <c r="N272" i="11" s="1"/>
  <c r="I272" i="11" a="1"/>
  <c r="H272" i="11"/>
  <c r="G272" i="11"/>
  <c r="F272" i="11"/>
  <c r="R271" i="11"/>
  <c r="O271" i="11"/>
  <c r="K271" i="11"/>
  <c r="I271" i="11" a="1"/>
  <c r="I271" i="11" s="1"/>
  <c r="F271" i="11"/>
  <c r="G271" i="11" s="1"/>
  <c r="O270" i="11"/>
  <c r="I270" i="11" a="1"/>
  <c r="I270" i="11" s="1"/>
  <c r="K270" i="11" s="1"/>
  <c r="F270" i="11"/>
  <c r="G270" i="11" s="1"/>
  <c r="O269" i="11"/>
  <c r="M269" i="11"/>
  <c r="N269" i="11" s="1"/>
  <c r="K269" i="11"/>
  <c r="I269" i="11" a="1"/>
  <c r="I269" i="11" s="1"/>
  <c r="J269" i="11" s="1"/>
  <c r="H269" i="11"/>
  <c r="F269" i="11"/>
  <c r="G269" i="11" s="1"/>
  <c r="O268" i="11"/>
  <c r="Q268" i="11" s="1"/>
  <c r="K268" i="11"/>
  <c r="J268" i="11"/>
  <c r="M268" i="11" s="1"/>
  <c r="N268" i="11" s="1"/>
  <c r="I268" i="11" a="1"/>
  <c r="I268" i="11" s="1"/>
  <c r="H268" i="11"/>
  <c r="G268" i="11"/>
  <c r="R268" i="11" s="1"/>
  <c r="F268" i="11"/>
  <c r="O267" i="11"/>
  <c r="I267" i="11" a="1"/>
  <c r="I267" i="11" s="1"/>
  <c r="F267" i="11"/>
  <c r="O266" i="11"/>
  <c r="I266" i="11" a="1"/>
  <c r="I266" i="11" s="1"/>
  <c r="F266" i="11"/>
  <c r="O265" i="11"/>
  <c r="M265" i="11"/>
  <c r="N265" i="11" s="1"/>
  <c r="L265" i="11"/>
  <c r="J265" i="11"/>
  <c r="I265" i="11" a="1"/>
  <c r="I265" i="11" s="1"/>
  <c r="K265" i="11" s="1"/>
  <c r="G265" i="11"/>
  <c r="F265" i="11"/>
  <c r="H265" i="11" s="1"/>
  <c r="O264" i="11"/>
  <c r="Q264" i="11" s="1"/>
  <c r="L264" i="11"/>
  <c r="I264" i="11"/>
  <c r="K264" i="11" s="1"/>
  <c r="I264" i="11" a="1"/>
  <c r="H264" i="11"/>
  <c r="J264" i="11" s="1"/>
  <c r="M264" i="11" s="1"/>
  <c r="N264" i="11" s="1"/>
  <c r="G264" i="11"/>
  <c r="R264" i="11" s="1"/>
  <c r="F264" i="11"/>
  <c r="O263" i="11"/>
  <c r="L263" i="11"/>
  <c r="I263" i="11" a="1"/>
  <c r="I263" i="11" s="1"/>
  <c r="K263" i="11" s="1"/>
  <c r="F263" i="11"/>
  <c r="O262" i="11"/>
  <c r="Q262" i="11" s="1"/>
  <c r="L262" i="11"/>
  <c r="I262" i="11"/>
  <c r="K262" i="11" s="1"/>
  <c r="I262" i="11" a="1"/>
  <c r="F262" i="11"/>
  <c r="G262" i="11" s="1"/>
  <c r="R262" i="11" s="1"/>
  <c r="R261" i="11"/>
  <c r="O261" i="11"/>
  <c r="L261" i="11"/>
  <c r="I261" i="11" a="1"/>
  <c r="I261" i="11" s="1"/>
  <c r="H261" i="11"/>
  <c r="G261" i="11"/>
  <c r="F261" i="11"/>
  <c r="O260" i="11"/>
  <c r="L260" i="11"/>
  <c r="J260" i="11"/>
  <c r="I260" i="11" a="1"/>
  <c r="I260" i="11" s="1"/>
  <c r="K260" i="11" s="1"/>
  <c r="G260" i="11"/>
  <c r="F260" i="11"/>
  <c r="H260" i="11" s="1"/>
  <c r="O259" i="11"/>
  <c r="L259" i="11"/>
  <c r="I259" i="11" a="1"/>
  <c r="I259" i="11" s="1"/>
  <c r="K259" i="11" s="1"/>
  <c r="H259" i="11"/>
  <c r="G259" i="11"/>
  <c r="F259" i="11"/>
  <c r="O258" i="11"/>
  <c r="L258" i="11"/>
  <c r="I258" i="11" a="1"/>
  <c r="I258" i="11" s="1"/>
  <c r="F258" i="11"/>
  <c r="G258" i="11" s="1"/>
  <c r="O257" i="11"/>
  <c r="L257" i="11"/>
  <c r="I257" i="11" a="1"/>
  <c r="I257" i="11" s="1"/>
  <c r="G257" i="11"/>
  <c r="F257" i="11"/>
  <c r="H257" i="11" s="1"/>
  <c r="O256" i="11"/>
  <c r="Q256" i="11" s="1"/>
  <c r="L256" i="11"/>
  <c r="I256" i="11" a="1"/>
  <c r="I256" i="11" s="1"/>
  <c r="H256" i="11"/>
  <c r="F256" i="11"/>
  <c r="G256" i="11" s="1"/>
  <c r="R256" i="11" s="1"/>
  <c r="O255" i="11"/>
  <c r="M255" i="11"/>
  <c r="N255" i="11" s="1"/>
  <c r="P255" i="11" s="1"/>
  <c r="L255" i="11"/>
  <c r="J255" i="11"/>
  <c r="I255" i="11"/>
  <c r="K255" i="11" s="1"/>
  <c r="I255" i="11" a="1"/>
  <c r="H255" i="11"/>
  <c r="G255" i="11"/>
  <c r="F255" i="11"/>
  <c r="O254" i="11"/>
  <c r="Q254" i="11" s="1"/>
  <c r="M254" i="11"/>
  <c r="N254" i="11" s="1"/>
  <c r="L254" i="11"/>
  <c r="K254" i="11"/>
  <c r="J254" i="11"/>
  <c r="I254" i="11" a="1"/>
  <c r="I254" i="11" s="1"/>
  <c r="G254" i="11"/>
  <c r="R254" i="11" s="1"/>
  <c r="F254" i="11"/>
  <c r="H254" i="11" s="1"/>
  <c r="R253" i="11"/>
  <c r="O253" i="11"/>
  <c r="Q253" i="11" s="1"/>
  <c r="L253" i="11"/>
  <c r="K253" i="11"/>
  <c r="I253" i="11" a="1"/>
  <c r="I253" i="11" s="1"/>
  <c r="F253" i="11"/>
  <c r="G253" i="11" s="1"/>
  <c r="O252" i="11"/>
  <c r="L252" i="11"/>
  <c r="I252" i="11"/>
  <c r="I252" i="11" a="1"/>
  <c r="F252" i="11"/>
  <c r="H252" i="11" s="1"/>
  <c r="O251" i="11"/>
  <c r="Q251" i="11" s="1"/>
  <c r="K251" i="11"/>
  <c r="I251" i="11" a="1"/>
  <c r="I251" i="11" s="1"/>
  <c r="J251" i="11" s="1"/>
  <c r="M251" i="11" s="1"/>
  <c r="N251" i="11" s="1"/>
  <c r="G251" i="11"/>
  <c r="R251" i="11" s="1"/>
  <c r="F251" i="11"/>
  <c r="H251" i="11" s="1"/>
  <c r="O250" i="11"/>
  <c r="I250" i="11"/>
  <c r="K250" i="11" s="1"/>
  <c r="I250" i="11" a="1"/>
  <c r="F250" i="11"/>
  <c r="H250" i="11" s="1"/>
  <c r="J250" i="11" s="1"/>
  <c r="O249" i="11"/>
  <c r="K249" i="11"/>
  <c r="J249" i="11"/>
  <c r="I249" i="11"/>
  <c r="I249" i="11" a="1"/>
  <c r="H249" i="11"/>
  <c r="G249" i="11"/>
  <c r="F249" i="11"/>
  <c r="O248" i="11"/>
  <c r="Q248" i="11" s="1"/>
  <c r="N248" i="11"/>
  <c r="P248" i="11" s="1"/>
  <c r="K248" i="11"/>
  <c r="I248" i="11"/>
  <c r="J248" i="11" s="1"/>
  <c r="M248" i="11" s="1"/>
  <c r="I248" i="11" a="1"/>
  <c r="H248" i="11"/>
  <c r="G248" i="11"/>
  <c r="R248" i="11" s="1"/>
  <c r="F248" i="11"/>
  <c r="O247" i="11"/>
  <c r="M247" i="11"/>
  <c r="N247" i="11" s="1"/>
  <c r="K247" i="11"/>
  <c r="J247" i="11"/>
  <c r="I247" i="11"/>
  <c r="I247" i="11" a="1"/>
  <c r="H247" i="11"/>
  <c r="G247" i="11"/>
  <c r="F247" i="11"/>
  <c r="O246" i="11"/>
  <c r="K246" i="11"/>
  <c r="J246" i="11"/>
  <c r="M246" i="11" s="1"/>
  <c r="N246" i="11" s="1"/>
  <c r="I246" i="11"/>
  <c r="I246" i="11" a="1"/>
  <c r="H246" i="11"/>
  <c r="G246" i="11"/>
  <c r="F246" i="11"/>
  <c r="O245" i="11"/>
  <c r="K245" i="11"/>
  <c r="I245" i="11" a="1"/>
  <c r="I245" i="11" s="1"/>
  <c r="F245" i="11"/>
  <c r="G245" i="11" s="1"/>
  <c r="R245" i="11" s="1"/>
  <c r="O244" i="11"/>
  <c r="I244" i="11" a="1"/>
  <c r="I244" i="11" s="1"/>
  <c r="K244" i="11" s="1"/>
  <c r="F244" i="11"/>
  <c r="O243" i="11"/>
  <c r="K243" i="11"/>
  <c r="I243" i="11"/>
  <c r="I243" i="11" a="1"/>
  <c r="F243" i="11"/>
  <c r="H243" i="11" s="1"/>
  <c r="J243" i="11" s="1"/>
  <c r="O242" i="11"/>
  <c r="I242" i="11" a="1"/>
  <c r="I242" i="11" s="1"/>
  <c r="F242" i="11"/>
  <c r="G242" i="11" s="1"/>
  <c r="O241" i="11"/>
  <c r="I241" i="11" a="1"/>
  <c r="I241" i="11" s="1"/>
  <c r="H241" i="11"/>
  <c r="G241" i="11"/>
  <c r="R241" i="11" s="1"/>
  <c r="F241" i="11"/>
  <c r="O240" i="11"/>
  <c r="I240" i="11" a="1"/>
  <c r="I240" i="11" s="1"/>
  <c r="K240" i="11" s="1"/>
  <c r="G240" i="11"/>
  <c r="F240" i="11"/>
  <c r="H240" i="11" s="1"/>
  <c r="O239" i="11"/>
  <c r="L239" i="11"/>
  <c r="I239" i="11"/>
  <c r="I239" i="11" a="1"/>
  <c r="F239" i="11"/>
  <c r="O238" i="11"/>
  <c r="L238" i="11"/>
  <c r="I238" i="11" a="1"/>
  <c r="I238" i="11" s="1"/>
  <c r="F238" i="11"/>
  <c r="R237" i="11"/>
  <c r="O237" i="11"/>
  <c r="L237" i="11"/>
  <c r="I237" i="11" a="1"/>
  <c r="I237" i="11" s="1"/>
  <c r="H237" i="11"/>
  <c r="G237" i="11"/>
  <c r="F237" i="11"/>
  <c r="R236" i="11"/>
  <c r="O236" i="11"/>
  <c r="L236" i="11"/>
  <c r="I236" i="11"/>
  <c r="I236" i="11" a="1"/>
  <c r="G236" i="11"/>
  <c r="F236" i="11"/>
  <c r="H236" i="11" s="1"/>
  <c r="O235" i="11"/>
  <c r="Q235" i="11" s="1"/>
  <c r="L235" i="11"/>
  <c r="J235" i="11"/>
  <c r="M235" i="11" s="1"/>
  <c r="N235" i="11" s="1"/>
  <c r="P235" i="11" s="1"/>
  <c r="I235" i="11" a="1"/>
  <c r="I235" i="11" s="1"/>
  <c r="K235" i="11" s="1"/>
  <c r="G235" i="11"/>
  <c r="R235" i="11" s="1"/>
  <c r="F235" i="11"/>
  <c r="H235" i="11" s="1"/>
  <c r="O234" i="11"/>
  <c r="L234" i="11"/>
  <c r="I234" i="11"/>
  <c r="K234" i="11" s="1"/>
  <c r="I234" i="11" a="1"/>
  <c r="G234" i="11"/>
  <c r="F234" i="11"/>
  <c r="H234" i="11" s="1"/>
  <c r="O233" i="11"/>
  <c r="P233" i="11" s="1"/>
  <c r="L233" i="11"/>
  <c r="K233" i="11"/>
  <c r="J233" i="11"/>
  <c r="M233" i="11" s="1"/>
  <c r="N233" i="11" s="1"/>
  <c r="I233" i="11"/>
  <c r="I233" i="11" a="1"/>
  <c r="H233" i="11"/>
  <c r="G233" i="11"/>
  <c r="F233" i="11"/>
  <c r="O232" i="11"/>
  <c r="L232" i="11"/>
  <c r="K232" i="11"/>
  <c r="J232" i="11"/>
  <c r="I232" i="11" a="1"/>
  <c r="I232" i="11" s="1"/>
  <c r="G232" i="11"/>
  <c r="R232" i="11" s="1"/>
  <c r="F232" i="11"/>
  <c r="H232" i="11" s="1"/>
  <c r="R231" i="11"/>
  <c r="O231" i="11"/>
  <c r="L231" i="11"/>
  <c r="K231" i="11"/>
  <c r="J231" i="11"/>
  <c r="M231" i="11" s="1"/>
  <c r="N231" i="11" s="1"/>
  <c r="I231" i="11"/>
  <c r="I231" i="11" a="1"/>
  <c r="H231" i="11"/>
  <c r="G231" i="11"/>
  <c r="F231" i="11"/>
  <c r="O230" i="11"/>
  <c r="L230" i="11"/>
  <c r="I230" i="11"/>
  <c r="I230" i="11" a="1"/>
  <c r="F230" i="11"/>
  <c r="O229" i="11"/>
  <c r="L229" i="11"/>
  <c r="I229" i="11" a="1"/>
  <c r="I229" i="11" s="1"/>
  <c r="H229" i="11"/>
  <c r="F229" i="11"/>
  <c r="G229" i="11" s="1"/>
  <c r="R229" i="11" s="1"/>
  <c r="O228" i="11"/>
  <c r="L228" i="11"/>
  <c r="I228" i="11"/>
  <c r="I228" i="11" a="1"/>
  <c r="G228" i="11"/>
  <c r="F228" i="11"/>
  <c r="H228" i="11" s="1"/>
  <c r="O227" i="11"/>
  <c r="L227" i="11"/>
  <c r="J227" i="11"/>
  <c r="M227" i="11" s="1"/>
  <c r="N227" i="11" s="1"/>
  <c r="I227" i="11"/>
  <c r="K227" i="11" s="1"/>
  <c r="I227" i="11" a="1"/>
  <c r="G227" i="11"/>
  <c r="F227" i="11"/>
  <c r="H227" i="11" s="1"/>
  <c r="O226" i="11"/>
  <c r="L226" i="11"/>
  <c r="K226" i="11"/>
  <c r="I226" i="11"/>
  <c r="I226" i="11" a="1"/>
  <c r="H226" i="11"/>
  <c r="G226" i="11"/>
  <c r="R226" i="11" s="1"/>
  <c r="F226" i="11"/>
  <c r="O225" i="11"/>
  <c r="L225" i="11"/>
  <c r="K225" i="11"/>
  <c r="I225" i="11"/>
  <c r="I225" i="11" a="1"/>
  <c r="H225" i="11"/>
  <c r="G225" i="11"/>
  <c r="F225" i="11"/>
  <c r="O224" i="11"/>
  <c r="L224" i="11"/>
  <c r="K224" i="11"/>
  <c r="I224" i="11"/>
  <c r="J224" i="11" s="1"/>
  <c r="M224" i="11" s="1"/>
  <c r="N224" i="11" s="1"/>
  <c r="I224" i="11" a="1"/>
  <c r="G224" i="11"/>
  <c r="F224" i="11"/>
  <c r="H224" i="11" s="1"/>
  <c r="O223" i="11"/>
  <c r="Q223" i="11" s="1"/>
  <c r="L223" i="11"/>
  <c r="K223" i="11"/>
  <c r="J223" i="11"/>
  <c r="M223" i="11" s="1"/>
  <c r="N223" i="11" s="1"/>
  <c r="I223" i="11" a="1"/>
  <c r="I223" i="11" s="1"/>
  <c r="H223" i="11"/>
  <c r="G223" i="11"/>
  <c r="R223" i="11" s="1"/>
  <c r="F223" i="11"/>
  <c r="O222" i="11"/>
  <c r="L222" i="11"/>
  <c r="I222" i="11" a="1"/>
  <c r="I222" i="11" s="1"/>
  <c r="K222" i="11" s="1"/>
  <c r="F222" i="11"/>
  <c r="O221" i="11"/>
  <c r="L221" i="11"/>
  <c r="I221" i="11" a="1"/>
  <c r="I221" i="11" s="1"/>
  <c r="K221" i="11" s="1"/>
  <c r="F221" i="11"/>
  <c r="O220" i="11"/>
  <c r="L220" i="11"/>
  <c r="K220" i="11"/>
  <c r="I220" i="11" a="1"/>
  <c r="I220" i="11" s="1"/>
  <c r="F220" i="11"/>
  <c r="H220" i="11" s="1"/>
  <c r="O219" i="11"/>
  <c r="L219" i="11"/>
  <c r="K219" i="11"/>
  <c r="I219" i="11" a="1"/>
  <c r="I219" i="11" s="1"/>
  <c r="J219" i="11" s="1"/>
  <c r="M219" i="11" s="1"/>
  <c r="N219" i="11" s="1"/>
  <c r="H219" i="11"/>
  <c r="G219" i="11"/>
  <c r="F219" i="11"/>
  <c r="O218" i="11"/>
  <c r="L218" i="11"/>
  <c r="I218" i="11"/>
  <c r="I218" i="11" a="1"/>
  <c r="G218" i="11"/>
  <c r="F218" i="11"/>
  <c r="H218" i="11" s="1"/>
  <c r="O217" i="11"/>
  <c r="L217" i="11"/>
  <c r="K217" i="11"/>
  <c r="I217" i="11" a="1"/>
  <c r="I217" i="11" s="1"/>
  <c r="H217" i="11"/>
  <c r="J217" i="11" s="1"/>
  <c r="M217" i="11" s="1"/>
  <c r="N217" i="11" s="1"/>
  <c r="F217" i="11"/>
  <c r="G217" i="11" s="1"/>
  <c r="O216" i="11"/>
  <c r="I216" i="11"/>
  <c r="I216" i="11" a="1"/>
  <c r="F216" i="11"/>
  <c r="O215" i="11"/>
  <c r="I215" i="11"/>
  <c r="K215" i="11" s="1"/>
  <c r="I215" i="11" a="1"/>
  <c r="F215" i="11"/>
  <c r="O214" i="11"/>
  <c r="L214" i="11"/>
  <c r="K214" i="11"/>
  <c r="I214" i="11"/>
  <c r="I214" i="11" a="1"/>
  <c r="F214" i="11"/>
  <c r="O213" i="11"/>
  <c r="Q213" i="11" s="1"/>
  <c r="L213" i="11"/>
  <c r="I213" i="11"/>
  <c r="K213" i="11" s="1"/>
  <c r="I213" i="11" a="1"/>
  <c r="F213" i="11"/>
  <c r="G213" i="11" s="1"/>
  <c r="R213" i="11" s="1"/>
  <c r="R212" i="11"/>
  <c r="O212" i="11"/>
  <c r="L212" i="11"/>
  <c r="I212" i="11"/>
  <c r="K212" i="11" s="1"/>
  <c r="I212" i="11" a="1"/>
  <c r="H212" i="11"/>
  <c r="G212" i="11"/>
  <c r="F212" i="11"/>
  <c r="O211" i="11"/>
  <c r="L211" i="11"/>
  <c r="I211" i="11"/>
  <c r="K211" i="11" s="1"/>
  <c r="I211" i="11" a="1"/>
  <c r="G211" i="11"/>
  <c r="F211" i="11"/>
  <c r="H211" i="11" s="1"/>
  <c r="O210" i="11"/>
  <c r="L210" i="11"/>
  <c r="I210" i="11" a="1"/>
  <c r="I210" i="11" s="1"/>
  <c r="K210" i="11" s="1"/>
  <c r="F210" i="11"/>
  <c r="O209" i="11"/>
  <c r="L209" i="11"/>
  <c r="I209" i="11"/>
  <c r="K209" i="11" s="1"/>
  <c r="I209" i="11" a="1"/>
  <c r="G209" i="11"/>
  <c r="F209" i="11"/>
  <c r="H209" i="11" s="1"/>
  <c r="R208" i="11"/>
  <c r="O208" i="11"/>
  <c r="L208" i="11"/>
  <c r="K208" i="11"/>
  <c r="I208" i="11"/>
  <c r="I208" i="11" a="1"/>
  <c r="G208" i="11"/>
  <c r="F208" i="11"/>
  <c r="H208" i="11" s="1"/>
  <c r="J208" i="11" s="1"/>
  <c r="M208" i="11" s="1"/>
  <c r="N208" i="11" s="1"/>
  <c r="O207" i="11"/>
  <c r="Q207" i="11" s="1"/>
  <c r="L207" i="11"/>
  <c r="I207" i="11" a="1"/>
  <c r="I207" i="11" s="1"/>
  <c r="H207" i="11"/>
  <c r="G207" i="11"/>
  <c r="R207" i="11" s="1"/>
  <c r="F207" i="11"/>
  <c r="R206" i="11"/>
  <c r="O206" i="11"/>
  <c r="L206" i="11"/>
  <c r="I206" i="11" a="1"/>
  <c r="I206" i="11" s="1"/>
  <c r="H206" i="11"/>
  <c r="G206" i="11"/>
  <c r="F206" i="11"/>
  <c r="R205" i="11"/>
  <c r="O205" i="11"/>
  <c r="L205" i="11"/>
  <c r="K205" i="11"/>
  <c r="I205" i="11"/>
  <c r="J205" i="11" s="1"/>
  <c r="M205" i="11" s="1"/>
  <c r="N205" i="11" s="1"/>
  <c r="I205" i="11" a="1"/>
  <c r="G205" i="11"/>
  <c r="F205" i="11"/>
  <c r="H205" i="11" s="1"/>
  <c r="R204" i="11"/>
  <c r="O204" i="11"/>
  <c r="L204" i="11"/>
  <c r="K204" i="11"/>
  <c r="I204" i="11" a="1"/>
  <c r="I204" i="11" s="1"/>
  <c r="J204" i="11" s="1"/>
  <c r="M204" i="11" s="1"/>
  <c r="N204" i="11" s="1"/>
  <c r="H204" i="11"/>
  <c r="G204" i="11"/>
  <c r="F204" i="11"/>
  <c r="R203" i="11"/>
  <c r="O203" i="11"/>
  <c r="L203" i="11"/>
  <c r="I203" i="11"/>
  <c r="K203" i="11" s="1"/>
  <c r="I203" i="11" a="1"/>
  <c r="H203" i="11"/>
  <c r="F203" i="11"/>
  <c r="G203" i="11" s="1"/>
  <c r="R202" i="11"/>
  <c r="O202" i="11"/>
  <c r="L202" i="11"/>
  <c r="K202" i="11"/>
  <c r="I202" i="11" a="1"/>
  <c r="I202" i="11" s="1"/>
  <c r="F202" i="11"/>
  <c r="G202" i="11" s="1"/>
  <c r="O201" i="11"/>
  <c r="L201" i="11"/>
  <c r="I201" i="11" a="1"/>
  <c r="I201" i="11" s="1"/>
  <c r="J201" i="11" s="1"/>
  <c r="M201" i="11" s="1"/>
  <c r="N201" i="11" s="1"/>
  <c r="P201" i="11" s="1"/>
  <c r="H201" i="11"/>
  <c r="G201" i="11"/>
  <c r="F201" i="11"/>
  <c r="R200" i="11"/>
  <c r="O200" i="11"/>
  <c r="L200" i="11"/>
  <c r="I200" i="11"/>
  <c r="I200" i="11" a="1"/>
  <c r="H200" i="11"/>
  <c r="G200" i="11"/>
  <c r="F200" i="11"/>
  <c r="O199" i="11"/>
  <c r="L199" i="11"/>
  <c r="K199" i="11"/>
  <c r="I199" i="11"/>
  <c r="I199" i="11" a="1"/>
  <c r="F199" i="11"/>
  <c r="O198" i="11"/>
  <c r="L198" i="11"/>
  <c r="K198" i="11"/>
  <c r="I198" i="11" a="1"/>
  <c r="I198" i="11" s="1"/>
  <c r="H198" i="11"/>
  <c r="J198" i="11" s="1"/>
  <c r="M198" i="11" s="1"/>
  <c r="N198" i="11" s="1"/>
  <c r="G198" i="11"/>
  <c r="F198" i="11"/>
  <c r="O197" i="11"/>
  <c r="L197" i="11"/>
  <c r="I197" i="11" a="1"/>
  <c r="I197" i="11" s="1"/>
  <c r="H197" i="11"/>
  <c r="G197" i="11"/>
  <c r="F197" i="11"/>
  <c r="R196" i="11"/>
  <c r="O196" i="11"/>
  <c r="L196" i="11"/>
  <c r="I196" i="11"/>
  <c r="I196" i="11" a="1"/>
  <c r="H196" i="11"/>
  <c r="F196" i="11"/>
  <c r="G196" i="11" s="1"/>
  <c r="O195" i="11"/>
  <c r="Q195" i="11" s="1"/>
  <c r="L195" i="11"/>
  <c r="I195" i="11"/>
  <c r="I195" i="11" a="1"/>
  <c r="H195" i="11"/>
  <c r="F195" i="11"/>
  <c r="G195" i="11" s="1"/>
  <c r="R195" i="11" s="1"/>
  <c r="R194" i="11"/>
  <c r="O194" i="11"/>
  <c r="L194" i="11"/>
  <c r="I194" i="11"/>
  <c r="J194" i="11" s="1"/>
  <c r="M194" i="11" s="1"/>
  <c r="N194" i="11" s="1"/>
  <c r="P194" i="11" s="1"/>
  <c r="I194" i="11" a="1"/>
  <c r="H194" i="11"/>
  <c r="G194" i="11"/>
  <c r="F194" i="11"/>
  <c r="O193" i="11"/>
  <c r="L193" i="11"/>
  <c r="I193" i="11" a="1"/>
  <c r="I193" i="11" s="1"/>
  <c r="K193" i="11" s="1"/>
  <c r="F193" i="11"/>
  <c r="O192" i="11"/>
  <c r="Q192" i="11" s="1"/>
  <c r="L192" i="11"/>
  <c r="K192" i="11"/>
  <c r="I192" i="11" a="1"/>
  <c r="I192" i="11" s="1"/>
  <c r="J192" i="11" s="1"/>
  <c r="M192" i="11" s="1"/>
  <c r="N192" i="11" s="1"/>
  <c r="H192" i="11"/>
  <c r="G192" i="11"/>
  <c r="R192" i="11" s="1"/>
  <c r="F192" i="11"/>
  <c r="O191" i="11"/>
  <c r="L191" i="11"/>
  <c r="I191" i="11"/>
  <c r="I191" i="11" a="1"/>
  <c r="H191" i="11"/>
  <c r="F191" i="11"/>
  <c r="G191" i="11" s="1"/>
  <c r="O190" i="11"/>
  <c r="L190" i="11"/>
  <c r="I190" i="11" a="1"/>
  <c r="I190" i="11" s="1"/>
  <c r="K190" i="11" s="1"/>
  <c r="H190" i="11"/>
  <c r="G190" i="11"/>
  <c r="F190" i="11"/>
  <c r="O189" i="11"/>
  <c r="L189" i="11"/>
  <c r="I189" i="11" a="1"/>
  <c r="I189" i="11" s="1"/>
  <c r="K189" i="11" s="1"/>
  <c r="F189" i="11"/>
  <c r="O188" i="11"/>
  <c r="L188" i="11"/>
  <c r="J188" i="11"/>
  <c r="M188" i="11" s="1"/>
  <c r="N188" i="11" s="1"/>
  <c r="I188" i="11"/>
  <c r="K188" i="11" s="1"/>
  <c r="I188" i="11" a="1"/>
  <c r="H188" i="11"/>
  <c r="G188" i="11"/>
  <c r="F188" i="11"/>
  <c r="O187" i="11"/>
  <c r="L187" i="11"/>
  <c r="K187" i="11"/>
  <c r="I187" i="11" a="1"/>
  <c r="I187" i="11" s="1"/>
  <c r="F187" i="11"/>
  <c r="O186" i="11"/>
  <c r="L186" i="11"/>
  <c r="I186" i="11" a="1"/>
  <c r="I186" i="11" s="1"/>
  <c r="G186" i="11"/>
  <c r="F186" i="11"/>
  <c r="H186" i="11" s="1"/>
  <c r="R185" i="11"/>
  <c r="O185" i="11"/>
  <c r="L185" i="11"/>
  <c r="I185" i="11" a="1"/>
  <c r="I185" i="11" s="1"/>
  <c r="K185" i="11" s="1"/>
  <c r="G185" i="11"/>
  <c r="F185" i="11"/>
  <c r="H185" i="11" s="1"/>
  <c r="O184" i="11"/>
  <c r="L184" i="11"/>
  <c r="I184" i="11" a="1"/>
  <c r="I184" i="11" s="1"/>
  <c r="H184" i="11"/>
  <c r="G184" i="11"/>
  <c r="R184" i="11" s="1"/>
  <c r="F184" i="11"/>
  <c r="R183" i="11"/>
  <c r="O183" i="11"/>
  <c r="L183" i="11"/>
  <c r="I183" i="11"/>
  <c r="I183" i="11" a="1"/>
  <c r="H183" i="11"/>
  <c r="F183" i="11"/>
  <c r="G183" i="11" s="1"/>
  <c r="R182" i="11"/>
  <c r="O182" i="11"/>
  <c r="L182" i="11"/>
  <c r="I182" i="11"/>
  <c r="J182" i="11" s="1"/>
  <c r="M182" i="11" s="1"/>
  <c r="N182" i="11" s="1"/>
  <c r="P182" i="11" s="1"/>
  <c r="I182" i="11" a="1"/>
  <c r="H182" i="11"/>
  <c r="G182" i="11"/>
  <c r="F182" i="11"/>
  <c r="O181" i="11"/>
  <c r="L181" i="11"/>
  <c r="I181" i="11"/>
  <c r="K181" i="11" s="1"/>
  <c r="I181" i="11" a="1"/>
  <c r="F181" i="11"/>
  <c r="O180" i="11"/>
  <c r="M180" i="11"/>
  <c r="N180" i="11" s="1"/>
  <c r="K180" i="11"/>
  <c r="I180" i="11"/>
  <c r="J180" i="11" s="1"/>
  <c r="I180" i="11" a="1"/>
  <c r="H180" i="11"/>
  <c r="G180" i="11"/>
  <c r="R180" i="11" s="1"/>
  <c r="F180" i="11"/>
  <c r="O179" i="11"/>
  <c r="Q179" i="11" s="1"/>
  <c r="M179" i="11"/>
  <c r="N179" i="11" s="1"/>
  <c r="J179" i="11"/>
  <c r="I179" i="11" a="1"/>
  <c r="I179" i="11" s="1"/>
  <c r="K179" i="11" s="1"/>
  <c r="H179" i="11"/>
  <c r="G179" i="11"/>
  <c r="R179" i="11" s="1"/>
  <c r="F179" i="11"/>
  <c r="O178" i="11"/>
  <c r="Q178" i="11" s="1"/>
  <c r="I178" i="11"/>
  <c r="I178" i="11" a="1"/>
  <c r="H178" i="11"/>
  <c r="G178" i="11"/>
  <c r="R178" i="11" s="1"/>
  <c r="F178" i="11"/>
  <c r="O177" i="11"/>
  <c r="Q177" i="11" s="1"/>
  <c r="I177" i="11" a="1"/>
  <c r="I177" i="11" s="1"/>
  <c r="H177" i="11"/>
  <c r="G177" i="11"/>
  <c r="R177" i="11" s="1"/>
  <c r="F177" i="11"/>
  <c r="O176" i="11"/>
  <c r="Q176" i="11" s="1"/>
  <c r="N176" i="11"/>
  <c r="K176" i="11"/>
  <c r="I176" i="11"/>
  <c r="J176" i="11" s="1"/>
  <c r="M176" i="11" s="1"/>
  <c r="I176" i="11" a="1"/>
  <c r="H176" i="11"/>
  <c r="G176" i="11"/>
  <c r="R176" i="11" s="1"/>
  <c r="F176" i="11"/>
  <c r="O175" i="11"/>
  <c r="Q175" i="11" s="1"/>
  <c r="I175" i="11" a="1"/>
  <c r="I175" i="11" s="1"/>
  <c r="H175" i="11"/>
  <c r="G175" i="11"/>
  <c r="R175" i="11" s="1"/>
  <c r="F175" i="11"/>
  <c r="O174" i="11"/>
  <c r="I174" i="11"/>
  <c r="K174" i="11" s="1"/>
  <c r="I174" i="11" a="1"/>
  <c r="F174" i="11"/>
  <c r="O173" i="11"/>
  <c r="I173" i="11" a="1"/>
  <c r="I173" i="11" s="1"/>
  <c r="F173" i="11"/>
  <c r="R172" i="11"/>
  <c r="O172" i="11"/>
  <c r="K172" i="11"/>
  <c r="J172" i="11"/>
  <c r="M172" i="11" s="1"/>
  <c r="N172" i="11" s="1"/>
  <c r="I172" i="11"/>
  <c r="I172" i="11" a="1"/>
  <c r="H172" i="11"/>
  <c r="F172" i="11"/>
  <c r="G172" i="11" s="1"/>
  <c r="O171" i="11"/>
  <c r="Q171" i="11" s="1"/>
  <c r="I171" i="11"/>
  <c r="K171" i="11" s="1"/>
  <c r="I171" i="11" a="1"/>
  <c r="H171" i="11"/>
  <c r="G171" i="11"/>
  <c r="R171" i="11" s="1"/>
  <c r="F171" i="11"/>
  <c r="O170" i="11"/>
  <c r="I170" i="11"/>
  <c r="K170" i="11" s="1"/>
  <c r="I170" i="11" a="1"/>
  <c r="F170" i="11"/>
  <c r="O169" i="11"/>
  <c r="I169" i="11" a="1"/>
  <c r="I169" i="11" s="1"/>
  <c r="F169" i="11"/>
  <c r="O168" i="11"/>
  <c r="I168" i="11"/>
  <c r="I168" i="11" a="1"/>
  <c r="G168" i="11"/>
  <c r="F168" i="11"/>
  <c r="H168" i="11" s="1"/>
  <c r="O167" i="11"/>
  <c r="K167" i="11"/>
  <c r="J167" i="11"/>
  <c r="M167" i="11" s="1"/>
  <c r="N167" i="11" s="1"/>
  <c r="I167" i="11" a="1"/>
  <c r="I167" i="11" s="1"/>
  <c r="G167" i="11"/>
  <c r="F167" i="11"/>
  <c r="H167" i="11" s="1"/>
  <c r="R166" i="11"/>
  <c r="O166" i="11"/>
  <c r="Q166" i="11" s="1"/>
  <c r="I166" i="11"/>
  <c r="J166" i="11" s="1"/>
  <c r="M166" i="11" s="1"/>
  <c r="N166" i="11" s="1"/>
  <c r="I166" i="11" a="1"/>
  <c r="G166" i="11"/>
  <c r="F166" i="11"/>
  <c r="H166" i="11" s="1"/>
  <c r="O165" i="11"/>
  <c r="I165" i="11" a="1"/>
  <c r="I165" i="11" s="1"/>
  <c r="F165" i="11"/>
  <c r="H165" i="11" s="1"/>
  <c r="O164" i="11"/>
  <c r="K164" i="11"/>
  <c r="I164" i="11" a="1"/>
  <c r="I164" i="11" s="1"/>
  <c r="F164" i="11"/>
  <c r="H164" i="11" s="1"/>
  <c r="J164" i="11" s="1"/>
  <c r="O163" i="11"/>
  <c r="I163" i="11" a="1"/>
  <c r="I163" i="11" s="1"/>
  <c r="F163" i="11"/>
  <c r="R162" i="11"/>
  <c r="O162" i="11"/>
  <c r="Q162" i="11" s="1"/>
  <c r="I162" i="11"/>
  <c r="I162" i="11" a="1"/>
  <c r="H162" i="11"/>
  <c r="F162" i="11"/>
  <c r="G162" i="11" s="1"/>
  <c r="O161" i="11"/>
  <c r="I161" i="11" a="1"/>
  <c r="I161" i="11" s="1"/>
  <c r="K161" i="11" s="1"/>
  <c r="H161" i="11"/>
  <c r="J161" i="11" s="1"/>
  <c r="G161" i="11"/>
  <c r="F161" i="11"/>
  <c r="O160" i="11"/>
  <c r="I160" i="11"/>
  <c r="I160" i="11" a="1"/>
  <c r="F160" i="11"/>
  <c r="O159" i="11"/>
  <c r="I159" i="11" a="1"/>
  <c r="I159" i="11" s="1"/>
  <c r="K159" i="11" s="1"/>
  <c r="H159" i="11"/>
  <c r="G159" i="11"/>
  <c r="F159" i="11"/>
  <c r="O158" i="11"/>
  <c r="K158" i="11"/>
  <c r="I158" i="11" a="1"/>
  <c r="I158" i="11" s="1"/>
  <c r="F158" i="11"/>
  <c r="O157" i="11"/>
  <c r="I157" i="11"/>
  <c r="I157" i="11" a="1"/>
  <c r="G157" i="11"/>
  <c r="R157" i="11" s="1"/>
  <c r="F157" i="11"/>
  <c r="H157" i="11" s="1"/>
  <c r="O156" i="11"/>
  <c r="K156" i="11"/>
  <c r="I156" i="11"/>
  <c r="I156" i="11" a="1"/>
  <c r="G156" i="11"/>
  <c r="F156" i="11"/>
  <c r="H156" i="11" s="1"/>
  <c r="J156" i="11" s="1"/>
  <c r="O155" i="11"/>
  <c r="I155" i="11" a="1"/>
  <c r="I155" i="11" s="1"/>
  <c r="K155" i="11" s="1"/>
  <c r="F155" i="11"/>
  <c r="O154" i="11"/>
  <c r="Q154" i="11" s="1"/>
  <c r="I154" i="11" a="1"/>
  <c r="I154" i="11" s="1"/>
  <c r="H154" i="11"/>
  <c r="G154" i="11"/>
  <c r="R154" i="11" s="1"/>
  <c r="F154" i="11"/>
  <c r="O153" i="11"/>
  <c r="I153" i="11"/>
  <c r="I153" i="11" a="1"/>
  <c r="F153" i="11"/>
  <c r="H153" i="11" s="1"/>
  <c r="O152" i="11"/>
  <c r="K152" i="11"/>
  <c r="I152" i="11" a="1"/>
  <c r="I152" i="11" s="1"/>
  <c r="H152" i="11"/>
  <c r="J152" i="11" s="1"/>
  <c r="M152" i="11" s="1"/>
  <c r="N152" i="11" s="1"/>
  <c r="G152" i="11"/>
  <c r="F152" i="11"/>
  <c r="O151" i="11"/>
  <c r="K151" i="11"/>
  <c r="I151" i="11"/>
  <c r="I151" i="11" a="1"/>
  <c r="F151" i="11"/>
  <c r="O150" i="11"/>
  <c r="I150" i="11"/>
  <c r="K150" i="11" s="1"/>
  <c r="I150" i="11" a="1"/>
  <c r="F150" i="11"/>
  <c r="H150" i="11" s="1"/>
  <c r="O149" i="11"/>
  <c r="Q149" i="11" s="1"/>
  <c r="I149" i="11"/>
  <c r="K149" i="11" s="1"/>
  <c r="I149" i="11" a="1"/>
  <c r="G149" i="11"/>
  <c r="R149" i="11" s="1"/>
  <c r="F149" i="11"/>
  <c r="H149" i="11" s="1"/>
  <c r="R148" i="11"/>
  <c r="O148" i="11"/>
  <c r="I148" i="11"/>
  <c r="I148" i="11" a="1"/>
  <c r="H148" i="11"/>
  <c r="F148" i="11"/>
  <c r="G148" i="11" s="1"/>
  <c r="O147" i="11"/>
  <c r="I147" i="11" a="1"/>
  <c r="I147" i="11" s="1"/>
  <c r="K147" i="11" s="1"/>
  <c r="H147" i="11"/>
  <c r="G147" i="11"/>
  <c r="R147" i="11" s="1"/>
  <c r="F147" i="11"/>
  <c r="O146" i="11"/>
  <c r="L146" i="11"/>
  <c r="I146" i="11" a="1"/>
  <c r="I146" i="11" s="1"/>
  <c r="F146" i="11"/>
  <c r="O145" i="11"/>
  <c r="L145" i="11"/>
  <c r="I145" i="11" a="1"/>
  <c r="I145" i="11" s="1"/>
  <c r="K145" i="11" s="1"/>
  <c r="E145" i="11"/>
  <c r="D145" i="11"/>
  <c r="R144" i="11"/>
  <c r="O144" i="11"/>
  <c r="K144" i="11"/>
  <c r="J144" i="11"/>
  <c r="I144" i="11"/>
  <c r="I144" i="11" a="1"/>
  <c r="H144" i="11"/>
  <c r="G144" i="11"/>
  <c r="F144" i="11"/>
  <c r="R143" i="11"/>
  <c r="O143" i="11"/>
  <c r="Q143" i="11" s="1"/>
  <c r="J143" i="11"/>
  <c r="M143" i="11" s="1"/>
  <c r="N143" i="11" s="1"/>
  <c r="I143" i="11"/>
  <c r="K143" i="11" s="1"/>
  <c r="I143" i="11" a="1"/>
  <c r="H143" i="11"/>
  <c r="G143" i="11"/>
  <c r="F143" i="11"/>
  <c r="R142" i="11"/>
  <c r="O142" i="11"/>
  <c r="Q142" i="11" s="1"/>
  <c r="I142" i="11" a="1"/>
  <c r="I142" i="11" s="1"/>
  <c r="H142" i="11"/>
  <c r="F142" i="11"/>
  <c r="G142" i="11" s="1"/>
  <c r="O141" i="11"/>
  <c r="I141" i="11"/>
  <c r="K141" i="11" s="1"/>
  <c r="I141" i="11" a="1"/>
  <c r="H141" i="11"/>
  <c r="J141" i="11" s="1"/>
  <c r="M141" i="11" s="1"/>
  <c r="N141" i="11" s="1"/>
  <c r="F141" i="11"/>
  <c r="G141" i="11" s="1"/>
  <c r="R140" i="11"/>
  <c r="O140" i="11"/>
  <c r="I140" i="11" a="1"/>
  <c r="I140" i="11" s="1"/>
  <c r="H140" i="11"/>
  <c r="F140" i="11"/>
  <c r="G140" i="11" s="1"/>
  <c r="O139" i="11"/>
  <c r="Q139" i="11" s="1"/>
  <c r="I139" i="11" a="1"/>
  <c r="I139" i="11" s="1"/>
  <c r="H139" i="11"/>
  <c r="G139" i="11"/>
  <c r="R139" i="11" s="1"/>
  <c r="F139" i="11"/>
  <c r="O138" i="11"/>
  <c r="L138" i="11"/>
  <c r="I138" i="11"/>
  <c r="K138" i="11" s="1"/>
  <c r="I138" i="11" a="1"/>
  <c r="F138" i="11"/>
  <c r="H138" i="11" s="1"/>
  <c r="O137" i="11"/>
  <c r="L137" i="11"/>
  <c r="K137" i="11"/>
  <c r="I137" i="11" a="1"/>
  <c r="I137" i="11" s="1"/>
  <c r="F137" i="11"/>
  <c r="H137" i="11" s="1"/>
  <c r="J137" i="11" s="1"/>
  <c r="O136" i="11"/>
  <c r="L136" i="11"/>
  <c r="I136" i="11" a="1"/>
  <c r="I136" i="11" s="1"/>
  <c r="K136" i="11" s="1"/>
  <c r="F136" i="11"/>
  <c r="H136" i="11" s="1"/>
  <c r="R135" i="11"/>
  <c r="O135" i="11"/>
  <c r="Q135" i="11" s="1"/>
  <c r="L135" i="11"/>
  <c r="I135" i="11" a="1"/>
  <c r="I135" i="11" s="1"/>
  <c r="H135" i="11"/>
  <c r="G135" i="11"/>
  <c r="F135" i="11"/>
  <c r="O134" i="11"/>
  <c r="L134" i="11"/>
  <c r="I134" i="11" a="1"/>
  <c r="I134" i="11" s="1"/>
  <c r="F134" i="11"/>
  <c r="H134" i="11" s="1"/>
  <c r="O133" i="11"/>
  <c r="L133" i="11"/>
  <c r="K133" i="11"/>
  <c r="I133" i="11" a="1"/>
  <c r="I133" i="11" s="1"/>
  <c r="J133" i="11" s="1"/>
  <c r="M133" i="11" s="1"/>
  <c r="N133" i="11" s="1"/>
  <c r="H133" i="11"/>
  <c r="G133" i="11"/>
  <c r="F133" i="11"/>
  <c r="O132" i="11"/>
  <c r="L132" i="11"/>
  <c r="I132" i="11" a="1"/>
  <c r="I132" i="11" s="1"/>
  <c r="G132" i="11"/>
  <c r="R132" i="11" s="1"/>
  <c r="F132" i="11"/>
  <c r="H132" i="11" s="1"/>
  <c r="O131" i="11"/>
  <c r="Q131" i="11" s="1"/>
  <c r="L131" i="11"/>
  <c r="M131" i="11" s="1"/>
  <c r="N131" i="11" s="1"/>
  <c r="K131" i="11"/>
  <c r="I131" i="11" a="1"/>
  <c r="I131" i="11" s="1"/>
  <c r="J131" i="11" s="1"/>
  <c r="H131" i="11"/>
  <c r="G131" i="11"/>
  <c r="R131" i="11" s="1"/>
  <c r="F131" i="11"/>
  <c r="O130" i="11"/>
  <c r="L130" i="11"/>
  <c r="I130" i="11" a="1"/>
  <c r="I130" i="11" s="1"/>
  <c r="H130" i="11"/>
  <c r="G130" i="11"/>
  <c r="R130" i="11" s="1"/>
  <c r="F130" i="11"/>
  <c r="O129" i="11"/>
  <c r="L129" i="11"/>
  <c r="K129" i="11"/>
  <c r="I129" i="11" a="1"/>
  <c r="I129" i="11" s="1"/>
  <c r="J129" i="11" s="1"/>
  <c r="M129" i="11" s="1"/>
  <c r="N129" i="11" s="1"/>
  <c r="H129" i="11"/>
  <c r="G129" i="11"/>
  <c r="R129" i="11" s="1"/>
  <c r="F129" i="11"/>
  <c r="O128" i="11"/>
  <c r="L128" i="11"/>
  <c r="I128" i="11" a="1"/>
  <c r="I128" i="11" s="1"/>
  <c r="F128" i="11"/>
  <c r="O127" i="11"/>
  <c r="Q127" i="11" s="1"/>
  <c r="L127" i="11"/>
  <c r="I127" i="11" a="1"/>
  <c r="I127" i="11" s="1"/>
  <c r="K127" i="11" s="1"/>
  <c r="G127" i="11"/>
  <c r="R127" i="11" s="1"/>
  <c r="F127" i="11"/>
  <c r="H127" i="11" s="1"/>
  <c r="O126" i="11"/>
  <c r="L126" i="11"/>
  <c r="I126" i="11"/>
  <c r="K126" i="11" s="1"/>
  <c r="I126" i="11" a="1"/>
  <c r="H126" i="11"/>
  <c r="F126" i="11"/>
  <c r="G126" i="11" s="1"/>
  <c r="O125" i="11"/>
  <c r="L125" i="11"/>
  <c r="I125" i="11" a="1"/>
  <c r="I125" i="11" s="1"/>
  <c r="K125" i="11" s="1"/>
  <c r="H125" i="11"/>
  <c r="F125" i="11"/>
  <c r="G125" i="11" s="1"/>
  <c r="O124" i="11"/>
  <c r="L124" i="11"/>
  <c r="I124" i="11"/>
  <c r="K124" i="11" s="1"/>
  <c r="I124" i="11" a="1"/>
  <c r="F124" i="11"/>
  <c r="H124" i="11" s="1"/>
  <c r="O123" i="11"/>
  <c r="N123" i="11"/>
  <c r="L123" i="11"/>
  <c r="J123" i="11"/>
  <c r="M123" i="11" s="1"/>
  <c r="I123" i="11"/>
  <c r="K123" i="11" s="1"/>
  <c r="I123" i="11" a="1"/>
  <c r="H123" i="11"/>
  <c r="G123" i="11"/>
  <c r="R123" i="11" s="1"/>
  <c r="F123" i="11"/>
  <c r="O122" i="11"/>
  <c r="Q122" i="11" s="1"/>
  <c r="L122" i="11"/>
  <c r="I122" i="11" a="1"/>
  <c r="I122" i="11" s="1"/>
  <c r="G122" i="11"/>
  <c r="R122" i="11" s="1"/>
  <c r="F122" i="11"/>
  <c r="H122" i="11" s="1"/>
  <c r="O121" i="11"/>
  <c r="P121" i="11" s="1"/>
  <c r="L121" i="11"/>
  <c r="K121" i="11"/>
  <c r="I121" i="11" a="1"/>
  <c r="I121" i="11" s="1"/>
  <c r="J121" i="11" s="1"/>
  <c r="M121" i="11" s="1"/>
  <c r="N121" i="11" s="1"/>
  <c r="H121" i="11"/>
  <c r="G121" i="11"/>
  <c r="R121" i="11" s="1"/>
  <c r="F121" i="11"/>
  <c r="R120" i="11"/>
  <c r="O120" i="11"/>
  <c r="Q120" i="11" s="1"/>
  <c r="L120" i="11"/>
  <c r="I120" i="11" a="1"/>
  <c r="I120" i="11" s="1"/>
  <c r="H120" i="11"/>
  <c r="G120" i="11"/>
  <c r="F120" i="11"/>
  <c r="R119" i="11"/>
  <c r="O119" i="11"/>
  <c r="L119" i="11"/>
  <c r="I119" i="11" a="1"/>
  <c r="I119" i="11" s="1"/>
  <c r="H119" i="11"/>
  <c r="G119" i="11"/>
  <c r="F119" i="11"/>
  <c r="O118" i="11"/>
  <c r="Q118" i="11" s="1"/>
  <c r="L118" i="11"/>
  <c r="I118" i="11" a="1"/>
  <c r="I118" i="11" s="1"/>
  <c r="H118" i="11"/>
  <c r="F118" i="11"/>
  <c r="G118" i="11" s="1"/>
  <c r="R118" i="11" s="1"/>
  <c r="R117" i="11"/>
  <c r="O117" i="11"/>
  <c r="L117" i="11"/>
  <c r="I117" i="11" a="1"/>
  <c r="I117" i="11" s="1"/>
  <c r="H117" i="11"/>
  <c r="G117" i="11"/>
  <c r="F117" i="11"/>
  <c r="O116" i="11"/>
  <c r="L116" i="11"/>
  <c r="K116" i="11"/>
  <c r="I116" i="11" a="1"/>
  <c r="I116" i="11" s="1"/>
  <c r="F116" i="11"/>
  <c r="O115" i="11"/>
  <c r="L115" i="11"/>
  <c r="I115" i="11" a="1"/>
  <c r="I115" i="11" s="1"/>
  <c r="F115" i="11"/>
  <c r="O114" i="11"/>
  <c r="L114" i="11"/>
  <c r="I114" i="11" a="1"/>
  <c r="I114" i="11" s="1"/>
  <c r="F114" i="11"/>
  <c r="O113" i="11"/>
  <c r="L113" i="11"/>
  <c r="I113" i="11" a="1"/>
  <c r="I113" i="11" s="1"/>
  <c r="F113" i="11"/>
  <c r="O112" i="11"/>
  <c r="L112" i="11"/>
  <c r="I112" i="11"/>
  <c r="I112" i="11" a="1"/>
  <c r="F112" i="11"/>
  <c r="H112" i="11" s="1"/>
  <c r="O111" i="11"/>
  <c r="L111" i="11"/>
  <c r="I111" i="11"/>
  <c r="I111" i="11" a="1"/>
  <c r="H111" i="11"/>
  <c r="G111" i="11"/>
  <c r="F111" i="11"/>
  <c r="O110" i="11"/>
  <c r="I110" i="11"/>
  <c r="I110" i="11" a="1"/>
  <c r="F110" i="11"/>
  <c r="R109" i="11"/>
  <c r="O109" i="11"/>
  <c r="I109" i="11" a="1"/>
  <c r="I109" i="11" s="1"/>
  <c r="G109" i="11"/>
  <c r="F109" i="11"/>
  <c r="H109" i="11" s="1"/>
  <c r="R108" i="11"/>
  <c r="O108" i="11"/>
  <c r="Q108" i="11" s="1"/>
  <c r="K108" i="11"/>
  <c r="I108" i="11"/>
  <c r="I108" i="11" a="1"/>
  <c r="H108" i="11"/>
  <c r="J108" i="11" s="1"/>
  <c r="M108" i="11" s="1"/>
  <c r="N108" i="11" s="1"/>
  <c r="G108" i="11"/>
  <c r="F108" i="11"/>
  <c r="R107" i="11"/>
  <c r="O107" i="11"/>
  <c r="K107" i="11"/>
  <c r="I107" i="11" a="1"/>
  <c r="I107" i="11" s="1"/>
  <c r="H107" i="11"/>
  <c r="J107" i="11" s="1"/>
  <c r="M107" i="11" s="1"/>
  <c r="N107" i="11" s="1"/>
  <c r="G107" i="11"/>
  <c r="F107" i="11"/>
  <c r="O106" i="11"/>
  <c r="I106" i="11" a="1"/>
  <c r="I106" i="11" s="1"/>
  <c r="F106" i="11"/>
  <c r="O105" i="11"/>
  <c r="I105" i="11" a="1"/>
  <c r="I105" i="11" s="1"/>
  <c r="F105" i="11"/>
  <c r="H105" i="11" s="1"/>
  <c r="R104" i="11"/>
  <c r="O104" i="11"/>
  <c r="K104" i="11"/>
  <c r="I104" i="11" a="1"/>
  <c r="I104" i="11" s="1"/>
  <c r="J104" i="11" s="1"/>
  <c r="M104" i="11" s="1"/>
  <c r="N104" i="11" s="1"/>
  <c r="H104" i="11"/>
  <c r="G104" i="11"/>
  <c r="Q104" i="11" s="1"/>
  <c r="F104" i="11"/>
  <c r="R103" i="11"/>
  <c r="O103" i="11"/>
  <c r="K103" i="11"/>
  <c r="J103" i="11"/>
  <c r="M103" i="11" s="1"/>
  <c r="N103" i="11" s="1"/>
  <c r="I103" i="11"/>
  <c r="I103" i="11" a="1"/>
  <c r="H103" i="11"/>
  <c r="G103" i="11"/>
  <c r="F103" i="11"/>
  <c r="O102" i="11"/>
  <c r="K102" i="11"/>
  <c r="I102" i="11"/>
  <c r="I102" i="11" a="1"/>
  <c r="H102" i="11"/>
  <c r="J102" i="11" s="1"/>
  <c r="M102" i="11" s="1"/>
  <c r="N102" i="11" s="1"/>
  <c r="G102" i="11"/>
  <c r="F102" i="11"/>
  <c r="O101" i="11"/>
  <c r="I101" i="11"/>
  <c r="K101" i="11" s="1"/>
  <c r="I101" i="11" a="1"/>
  <c r="G101" i="11"/>
  <c r="F101" i="11"/>
  <c r="H101" i="11" s="1"/>
  <c r="O100" i="11"/>
  <c r="I100" i="11"/>
  <c r="I100" i="11" a="1"/>
  <c r="F100" i="11"/>
  <c r="O99" i="11"/>
  <c r="M99" i="11"/>
  <c r="N99" i="11" s="1"/>
  <c r="K99" i="11"/>
  <c r="I99" i="11" a="1"/>
  <c r="I99" i="11" s="1"/>
  <c r="J99" i="11" s="1"/>
  <c r="H99" i="11"/>
  <c r="G99" i="11"/>
  <c r="F99" i="11"/>
  <c r="O98" i="11"/>
  <c r="Q98" i="11" s="1"/>
  <c r="K98" i="11"/>
  <c r="I98" i="11" a="1"/>
  <c r="I98" i="11" s="1"/>
  <c r="H98" i="11"/>
  <c r="F98" i="11"/>
  <c r="G98" i="11" s="1"/>
  <c r="R98" i="11" s="1"/>
  <c r="O97" i="11"/>
  <c r="K97" i="11"/>
  <c r="J97" i="11"/>
  <c r="M97" i="11" s="1"/>
  <c r="N97" i="11" s="1"/>
  <c r="I97" i="11"/>
  <c r="I97" i="11" a="1"/>
  <c r="G97" i="11"/>
  <c r="F97" i="11"/>
  <c r="H97" i="11" s="1"/>
  <c r="O96" i="11"/>
  <c r="J96" i="11"/>
  <c r="I96" i="11"/>
  <c r="K96" i="11" s="1"/>
  <c r="I96" i="11" a="1"/>
  <c r="H96" i="11"/>
  <c r="G96" i="11"/>
  <c r="F96" i="11"/>
  <c r="O95" i="11"/>
  <c r="J95" i="11"/>
  <c r="M95" i="11" s="1"/>
  <c r="N95" i="11" s="1"/>
  <c r="I95" i="11" a="1"/>
  <c r="I95" i="11" s="1"/>
  <c r="K95" i="11" s="1"/>
  <c r="H95" i="11"/>
  <c r="G95" i="11"/>
  <c r="F95" i="11"/>
  <c r="O94" i="11"/>
  <c r="I94" i="11" a="1"/>
  <c r="I94" i="11" s="1"/>
  <c r="H94" i="11"/>
  <c r="G94" i="11"/>
  <c r="F94" i="11"/>
  <c r="O93" i="11"/>
  <c r="I93" i="11"/>
  <c r="K93" i="11" s="1"/>
  <c r="I93" i="11" a="1"/>
  <c r="H93" i="11"/>
  <c r="G93" i="11"/>
  <c r="F93" i="11"/>
  <c r="O92" i="11"/>
  <c r="I92" i="11" a="1"/>
  <c r="I92" i="11" s="1"/>
  <c r="H92" i="11"/>
  <c r="G92" i="11"/>
  <c r="F92" i="11"/>
  <c r="O91" i="11"/>
  <c r="I91" i="11"/>
  <c r="K91" i="11" s="1"/>
  <c r="I91" i="11" a="1"/>
  <c r="H91" i="11"/>
  <c r="G91" i="11"/>
  <c r="F91" i="11"/>
  <c r="O90" i="11"/>
  <c r="I90" i="11"/>
  <c r="K90" i="11" s="1"/>
  <c r="I90" i="11" a="1"/>
  <c r="H90" i="11"/>
  <c r="F90" i="11"/>
  <c r="G90" i="11" s="1"/>
  <c r="O89" i="11"/>
  <c r="I89" i="11"/>
  <c r="K89" i="11" s="1"/>
  <c r="I89" i="11" a="1"/>
  <c r="F89" i="11"/>
  <c r="R88" i="11"/>
  <c r="O88" i="11"/>
  <c r="I88" i="11"/>
  <c r="I88" i="11" a="1"/>
  <c r="H88" i="11"/>
  <c r="F88" i="11"/>
  <c r="G88" i="11" s="1"/>
  <c r="O87" i="11"/>
  <c r="Q87" i="11" s="1"/>
  <c r="K87" i="11"/>
  <c r="J87" i="11"/>
  <c r="M87" i="11" s="1"/>
  <c r="N87" i="11" s="1"/>
  <c r="I87" i="11" a="1"/>
  <c r="I87" i="11" s="1"/>
  <c r="H87" i="11"/>
  <c r="G87" i="11"/>
  <c r="R87" i="11" s="1"/>
  <c r="F87" i="11"/>
  <c r="O86" i="11"/>
  <c r="K86" i="11"/>
  <c r="I86" i="11"/>
  <c r="I86" i="11" a="1"/>
  <c r="F86" i="11"/>
  <c r="O85" i="11"/>
  <c r="I85" i="11" a="1"/>
  <c r="I85" i="11" s="1"/>
  <c r="K85" i="11" s="1"/>
  <c r="F85" i="11"/>
  <c r="O84" i="11"/>
  <c r="I84" i="11"/>
  <c r="K84" i="11" s="1"/>
  <c r="I84" i="11" a="1"/>
  <c r="F84" i="11"/>
  <c r="H84" i="11" s="1"/>
  <c r="O83" i="11"/>
  <c r="K83" i="11"/>
  <c r="I83" i="11" a="1"/>
  <c r="I83" i="11" s="1"/>
  <c r="F83" i="11"/>
  <c r="R82" i="11"/>
  <c r="O82" i="11"/>
  <c r="I82" i="11" a="1"/>
  <c r="I82" i="11" s="1"/>
  <c r="G82" i="11"/>
  <c r="F82" i="11"/>
  <c r="H82" i="11" s="1"/>
  <c r="O81" i="11"/>
  <c r="I81" i="11" a="1"/>
  <c r="I81" i="11" s="1"/>
  <c r="K81" i="11" s="1"/>
  <c r="F81" i="11"/>
  <c r="H81" i="11" s="1"/>
  <c r="O80" i="11"/>
  <c r="I80" i="11"/>
  <c r="K80" i="11" s="1"/>
  <c r="I80" i="11" a="1"/>
  <c r="F80" i="11"/>
  <c r="H80" i="11" s="1"/>
  <c r="O79" i="11"/>
  <c r="I79" i="11" a="1"/>
  <c r="I79" i="11" s="1"/>
  <c r="F79" i="11"/>
  <c r="R78" i="11"/>
  <c r="O78" i="11"/>
  <c r="I78" i="11"/>
  <c r="K78" i="11" s="1"/>
  <c r="I78" i="11" a="1"/>
  <c r="G78" i="11"/>
  <c r="F78" i="11"/>
  <c r="H78" i="11" s="1"/>
  <c r="O77" i="11"/>
  <c r="I77" i="11"/>
  <c r="K77" i="11" s="1"/>
  <c r="I77" i="11" a="1"/>
  <c r="F77" i="11"/>
  <c r="H77" i="11" s="1"/>
  <c r="O76" i="11"/>
  <c r="I76" i="11"/>
  <c r="K76" i="11" s="1"/>
  <c r="I76" i="11" a="1"/>
  <c r="F76" i="11"/>
  <c r="H76" i="11" s="1"/>
  <c r="O75" i="11"/>
  <c r="J75" i="11"/>
  <c r="M75" i="11" s="1"/>
  <c r="N75" i="11" s="1"/>
  <c r="I75" i="11"/>
  <c r="K75" i="11" s="1"/>
  <c r="I75" i="11" a="1"/>
  <c r="H75" i="11"/>
  <c r="G75" i="11"/>
  <c r="R75" i="11" s="1"/>
  <c r="F75" i="11"/>
  <c r="O74" i="11"/>
  <c r="K74" i="11"/>
  <c r="I74" i="11" a="1"/>
  <c r="I74" i="11" s="1"/>
  <c r="F74" i="11"/>
  <c r="R73" i="11"/>
  <c r="O73" i="11"/>
  <c r="Q73" i="11" s="1"/>
  <c r="I73" i="11" a="1"/>
  <c r="I73" i="11" s="1"/>
  <c r="K73" i="11" s="1"/>
  <c r="G73" i="11"/>
  <c r="F73" i="11"/>
  <c r="H73" i="11" s="1"/>
  <c r="R72" i="11"/>
  <c r="O72" i="11"/>
  <c r="Q72" i="11" s="1"/>
  <c r="L72" i="11"/>
  <c r="I72" i="11" a="1"/>
  <c r="I72" i="11" s="1"/>
  <c r="H72" i="11"/>
  <c r="G72" i="11"/>
  <c r="F72" i="11"/>
  <c r="O71" i="11"/>
  <c r="K71" i="11"/>
  <c r="I71" i="11" a="1"/>
  <c r="I71" i="11" s="1"/>
  <c r="F71" i="11"/>
  <c r="H71" i="11" s="1"/>
  <c r="O70" i="11"/>
  <c r="I70" i="11" a="1"/>
  <c r="I70" i="11" s="1"/>
  <c r="K70" i="11" s="1"/>
  <c r="F70" i="11"/>
  <c r="H70" i="11" s="1"/>
  <c r="O69" i="11"/>
  <c r="I69" i="11" a="1"/>
  <c r="I69" i="11" s="1"/>
  <c r="K69" i="11" s="1"/>
  <c r="F69" i="11"/>
  <c r="G69" i="11" s="1"/>
  <c r="Q69" i="11" s="1"/>
  <c r="O68" i="11"/>
  <c r="K68" i="11"/>
  <c r="I68" i="11" a="1"/>
  <c r="I68" i="11" s="1"/>
  <c r="H68" i="11"/>
  <c r="G68" i="11"/>
  <c r="R68" i="11" s="1"/>
  <c r="F68" i="11"/>
  <c r="R67" i="11"/>
  <c r="O67" i="11"/>
  <c r="Q67" i="11" s="1"/>
  <c r="K67" i="11"/>
  <c r="I67" i="11" a="1"/>
  <c r="I67" i="11" s="1"/>
  <c r="J67" i="11" s="1"/>
  <c r="M67" i="11" s="1"/>
  <c r="N67" i="11" s="1"/>
  <c r="H67" i="11"/>
  <c r="G67" i="11"/>
  <c r="F67" i="11"/>
  <c r="O66" i="11"/>
  <c r="Q66" i="11" s="1"/>
  <c r="I66" i="11"/>
  <c r="I66" i="11" a="1"/>
  <c r="H66" i="11"/>
  <c r="G66" i="11"/>
  <c r="R66" i="11" s="1"/>
  <c r="F66" i="11"/>
  <c r="O65" i="11"/>
  <c r="I65" i="11" a="1"/>
  <c r="I65" i="11" s="1"/>
  <c r="G65" i="11"/>
  <c r="F65" i="11"/>
  <c r="H65" i="11" s="1"/>
  <c r="O64" i="11"/>
  <c r="Q64" i="11" s="1"/>
  <c r="I64" i="11"/>
  <c r="I64" i="11" a="1"/>
  <c r="H64" i="11"/>
  <c r="G64" i="11"/>
  <c r="R64" i="11" s="1"/>
  <c r="F64" i="11"/>
  <c r="O63" i="11"/>
  <c r="Q63" i="11" s="1"/>
  <c r="I63" i="11" a="1"/>
  <c r="I63" i="11" s="1"/>
  <c r="H63" i="11"/>
  <c r="F63" i="11"/>
  <c r="G63" i="11" s="1"/>
  <c r="R63" i="11" s="1"/>
  <c r="O62" i="11"/>
  <c r="J62" i="11"/>
  <c r="I62" i="11" a="1"/>
  <c r="I62" i="11" s="1"/>
  <c r="K62" i="11" s="1"/>
  <c r="F62" i="11"/>
  <c r="H62" i="11" s="1"/>
  <c r="R61" i="11"/>
  <c r="O61" i="11"/>
  <c r="I61" i="11"/>
  <c r="K61" i="11" s="1"/>
  <c r="I61" i="11" a="1"/>
  <c r="H61" i="11"/>
  <c r="G61" i="11"/>
  <c r="F61" i="11"/>
  <c r="O60" i="11"/>
  <c r="Q60" i="11" s="1"/>
  <c r="K60" i="11"/>
  <c r="J60" i="11"/>
  <c r="M60" i="11" s="1"/>
  <c r="N60" i="11" s="1"/>
  <c r="I60" i="11" a="1"/>
  <c r="I60" i="11" s="1"/>
  <c r="G60" i="11"/>
  <c r="R60" i="11" s="1"/>
  <c r="F60" i="11"/>
  <c r="H60" i="11" s="1"/>
  <c r="O59" i="11"/>
  <c r="L59" i="11"/>
  <c r="I59" i="11" a="1"/>
  <c r="I59" i="11" s="1"/>
  <c r="F59" i="11"/>
  <c r="H59" i="11" s="1"/>
  <c r="O58" i="11"/>
  <c r="L58" i="11"/>
  <c r="I58" i="11" a="1"/>
  <c r="I58" i="11" s="1"/>
  <c r="F58" i="11"/>
  <c r="H58" i="11" s="1"/>
  <c r="O57" i="11"/>
  <c r="L57" i="11"/>
  <c r="K57" i="11"/>
  <c r="I57" i="11" a="1"/>
  <c r="I57" i="11" s="1"/>
  <c r="H57" i="11"/>
  <c r="J57" i="11" s="1"/>
  <c r="F57" i="11"/>
  <c r="G57" i="11" s="1"/>
  <c r="O56" i="11"/>
  <c r="L56" i="11"/>
  <c r="K56" i="11"/>
  <c r="I56" i="11" a="1"/>
  <c r="I56" i="11" s="1"/>
  <c r="J56" i="11" s="1"/>
  <c r="M56" i="11" s="1"/>
  <c r="N56" i="11" s="1"/>
  <c r="H56" i="11"/>
  <c r="G56" i="11"/>
  <c r="R56" i="11" s="1"/>
  <c r="F56" i="11"/>
  <c r="O55" i="11"/>
  <c r="Q55" i="11" s="1"/>
  <c r="L55" i="11"/>
  <c r="K55" i="11"/>
  <c r="I55" i="11"/>
  <c r="J55" i="11" s="1"/>
  <c r="M55" i="11" s="1"/>
  <c r="N55" i="11" s="1"/>
  <c r="I55" i="11" a="1"/>
  <c r="G55" i="11"/>
  <c r="R55" i="11" s="1"/>
  <c r="F55" i="11"/>
  <c r="H55" i="11" s="1"/>
  <c r="O54" i="11"/>
  <c r="Q54" i="11" s="1"/>
  <c r="L54" i="11"/>
  <c r="I54" i="11" a="1"/>
  <c r="I54" i="11" s="1"/>
  <c r="K54" i="11" s="1"/>
  <c r="F54" i="11"/>
  <c r="G54" i="11" s="1"/>
  <c r="R54" i="11" s="1"/>
  <c r="O53" i="11"/>
  <c r="L53" i="11"/>
  <c r="I53" i="11"/>
  <c r="K53" i="11" s="1"/>
  <c r="I53" i="11" a="1"/>
  <c r="F53" i="11"/>
  <c r="H53" i="11" s="1"/>
  <c r="O52" i="11"/>
  <c r="L52" i="11"/>
  <c r="I52" i="11"/>
  <c r="I52" i="11" a="1"/>
  <c r="F52" i="11"/>
  <c r="H52" i="11" s="1"/>
  <c r="O51" i="11"/>
  <c r="Q51" i="11" s="1"/>
  <c r="L51" i="11"/>
  <c r="J51" i="11"/>
  <c r="M51" i="11" s="1"/>
  <c r="N51" i="11" s="1"/>
  <c r="I51" i="11"/>
  <c r="K51" i="11" s="1"/>
  <c r="I51" i="11" a="1"/>
  <c r="H51" i="11"/>
  <c r="G51" i="11"/>
  <c r="R51" i="11" s="1"/>
  <c r="F51" i="11"/>
  <c r="R50" i="11"/>
  <c r="O50" i="11"/>
  <c r="Q50" i="11" s="1"/>
  <c r="L50" i="11"/>
  <c r="J50" i="11"/>
  <c r="M50" i="11" s="1"/>
  <c r="N50" i="11" s="1"/>
  <c r="I50" i="11"/>
  <c r="K50" i="11" s="1"/>
  <c r="I50" i="11" a="1"/>
  <c r="H50" i="11"/>
  <c r="G50" i="11"/>
  <c r="F50" i="11"/>
  <c r="R49" i="11"/>
  <c r="O49" i="11"/>
  <c r="L49" i="11"/>
  <c r="J49" i="11"/>
  <c r="M49" i="11" s="1"/>
  <c r="N49" i="11" s="1"/>
  <c r="I49" i="11"/>
  <c r="K49" i="11" s="1"/>
  <c r="I49" i="11" a="1"/>
  <c r="H49" i="11"/>
  <c r="G49" i="11"/>
  <c r="F49" i="11"/>
  <c r="O48" i="11"/>
  <c r="L48" i="11"/>
  <c r="I48" i="11"/>
  <c r="K48" i="11" s="1"/>
  <c r="I48" i="11" a="1"/>
  <c r="F48" i="11"/>
  <c r="G48" i="11" s="1"/>
  <c r="O47" i="11"/>
  <c r="L47" i="11"/>
  <c r="I47" i="11"/>
  <c r="K47" i="11" s="1"/>
  <c r="I47" i="11" a="1"/>
  <c r="F47" i="11"/>
  <c r="G47" i="11" s="1"/>
  <c r="R47" i="11" s="1"/>
  <c r="O46" i="11"/>
  <c r="L46" i="11"/>
  <c r="K46" i="11"/>
  <c r="I46" i="11"/>
  <c r="J46" i="11" s="1"/>
  <c r="I46" i="11" a="1"/>
  <c r="F46" i="11"/>
  <c r="H46" i="11" s="1"/>
  <c r="O45" i="11"/>
  <c r="Q45" i="11" s="1"/>
  <c r="L45" i="11"/>
  <c r="K45" i="11"/>
  <c r="J45" i="11"/>
  <c r="M45" i="11" s="1"/>
  <c r="N45" i="11" s="1"/>
  <c r="I45" i="11" a="1"/>
  <c r="I45" i="11" s="1"/>
  <c r="H45" i="11"/>
  <c r="G45" i="11"/>
  <c r="R45" i="11" s="1"/>
  <c r="F45" i="11"/>
  <c r="R44" i="11"/>
  <c r="O44" i="11"/>
  <c r="Q44" i="11" s="1"/>
  <c r="L44" i="11"/>
  <c r="I44" i="11" a="1"/>
  <c r="I44" i="11" s="1"/>
  <c r="H44" i="11"/>
  <c r="G44" i="11"/>
  <c r="F44" i="11"/>
  <c r="R43" i="11"/>
  <c r="O43" i="11"/>
  <c r="Q43" i="11" s="1"/>
  <c r="L43" i="11"/>
  <c r="I43" i="11" a="1"/>
  <c r="I43" i="11" s="1"/>
  <c r="H43" i="11"/>
  <c r="G43" i="11"/>
  <c r="F43" i="11"/>
  <c r="O42" i="11"/>
  <c r="Q42" i="11" s="1"/>
  <c r="L42" i="11"/>
  <c r="K42" i="11"/>
  <c r="I42" i="11"/>
  <c r="J42" i="11" s="1"/>
  <c r="M42" i="11" s="1"/>
  <c r="N42" i="11" s="1"/>
  <c r="I42" i="11" a="1"/>
  <c r="H42" i="11"/>
  <c r="F42" i="11"/>
  <c r="G42" i="11" s="1"/>
  <c r="R42" i="11" s="1"/>
  <c r="O41" i="11"/>
  <c r="L41" i="11"/>
  <c r="K41" i="11"/>
  <c r="I41" i="11"/>
  <c r="J41" i="11" s="1"/>
  <c r="I41" i="11" a="1"/>
  <c r="F41" i="11"/>
  <c r="H41" i="11" s="1"/>
  <c r="O40" i="11"/>
  <c r="L40" i="11"/>
  <c r="I40" i="11" a="1"/>
  <c r="I40" i="11" s="1"/>
  <c r="G40" i="11"/>
  <c r="R40" i="11" s="1"/>
  <c r="F40" i="11"/>
  <c r="H40" i="11" s="1"/>
  <c r="O39" i="11"/>
  <c r="L39" i="11"/>
  <c r="K39" i="11"/>
  <c r="I39" i="11"/>
  <c r="J39" i="11" s="1"/>
  <c r="M39" i="11" s="1"/>
  <c r="N39" i="11" s="1"/>
  <c r="I39" i="11" a="1"/>
  <c r="H39" i="11"/>
  <c r="F39" i="11"/>
  <c r="G39" i="11" s="1"/>
  <c r="O38" i="11"/>
  <c r="L38" i="11"/>
  <c r="K38" i="11"/>
  <c r="I38" i="11"/>
  <c r="J38" i="11" s="1"/>
  <c r="M38" i="11" s="1"/>
  <c r="N38" i="11" s="1"/>
  <c r="I38" i="11" a="1"/>
  <c r="H38" i="11"/>
  <c r="G38" i="11"/>
  <c r="R38" i="11" s="1"/>
  <c r="F38" i="11"/>
  <c r="O37" i="11"/>
  <c r="K37" i="11"/>
  <c r="I37" i="11"/>
  <c r="J37" i="11" s="1"/>
  <c r="M37" i="11" s="1"/>
  <c r="N37" i="11" s="1"/>
  <c r="I37" i="11" a="1"/>
  <c r="H37" i="11"/>
  <c r="G37" i="11"/>
  <c r="R37" i="11" s="1"/>
  <c r="F37" i="11"/>
  <c r="O36" i="11"/>
  <c r="K36" i="11"/>
  <c r="I36" i="11"/>
  <c r="J36" i="11" s="1"/>
  <c r="M36" i="11" s="1"/>
  <c r="N36" i="11" s="1"/>
  <c r="I36" i="11" a="1"/>
  <c r="H36" i="11"/>
  <c r="G36" i="11"/>
  <c r="F36" i="11"/>
  <c r="O35" i="11"/>
  <c r="K35" i="11"/>
  <c r="I35" i="11"/>
  <c r="J35" i="11" s="1"/>
  <c r="M35" i="11" s="1"/>
  <c r="N35" i="11" s="1"/>
  <c r="I35" i="11" a="1"/>
  <c r="H35" i="11"/>
  <c r="G35" i="11"/>
  <c r="R35" i="11" s="1"/>
  <c r="F35" i="11"/>
  <c r="R34" i="11"/>
  <c r="O34" i="11"/>
  <c r="Q34" i="11" s="1"/>
  <c r="I34" i="11" a="1"/>
  <c r="I34" i="11" s="1"/>
  <c r="H34" i="11"/>
  <c r="F34" i="11"/>
  <c r="G34" i="11" s="1"/>
  <c r="O33" i="11"/>
  <c r="I33" i="11" a="1"/>
  <c r="I33" i="11" s="1"/>
  <c r="G33" i="11"/>
  <c r="R33" i="11" s="1"/>
  <c r="F33" i="11"/>
  <c r="H33" i="11" s="1"/>
  <c r="O32" i="11"/>
  <c r="K32" i="11"/>
  <c r="I32" i="11"/>
  <c r="I32" i="11" a="1"/>
  <c r="F32" i="11"/>
  <c r="G32" i="11" s="1"/>
  <c r="R32" i="11" s="1"/>
  <c r="O31" i="11"/>
  <c r="K31" i="11"/>
  <c r="I31" i="11" a="1"/>
  <c r="I31" i="11" s="1"/>
  <c r="H31" i="11"/>
  <c r="J31" i="11" s="1"/>
  <c r="M31" i="11" s="1"/>
  <c r="N31" i="11" s="1"/>
  <c r="F31" i="11"/>
  <c r="G31" i="11" s="1"/>
  <c r="R31" i="11" s="1"/>
  <c r="O30" i="11"/>
  <c r="I30" i="11" a="1"/>
  <c r="I30" i="11" s="1"/>
  <c r="F30" i="11"/>
  <c r="G30" i="11" s="1"/>
  <c r="R30" i="11" s="1"/>
  <c r="R29" i="11"/>
  <c r="O29" i="11"/>
  <c r="Q29" i="11" s="1"/>
  <c r="I29" i="11"/>
  <c r="K29" i="11" s="1"/>
  <c r="I29" i="11" a="1"/>
  <c r="H29" i="11"/>
  <c r="F29" i="11"/>
  <c r="G29" i="11" s="1"/>
  <c r="R28" i="11"/>
  <c r="O28" i="11"/>
  <c r="Q28" i="11" s="1"/>
  <c r="I28" i="11" a="1"/>
  <c r="I28" i="11" s="1"/>
  <c r="F28" i="11"/>
  <c r="G28" i="11" s="1"/>
  <c r="O27" i="11"/>
  <c r="Q27" i="11" s="1"/>
  <c r="I27" i="11"/>
  <c r="K27" i="11" s="1"/>
  <c r="I27" i="11" a="1"/>
  <c r="H27" i="11"/>
  <c r="F27" i="11"/>
  <c r="G27" i="11" s="1"/>
  <c r="R27" i="11" s="1"/>
  <c r="O26" i="11"/>
  <c r="I26" i="11"/>
  <c r="K26" i="11" s="1"/>
  <c r="I26" i="11" a="1"/>
  <c r="G26" i="11"/>
  <c r="R26" i="11" s="1"/>
  <c r="F26" i="11"/>
  <c r="H26" i="11" s="1"/>
  <c r="O25" i="11"/>
  <c r="I25" i="11"/>
  <c r="K25" i="11" s="1"/>
  <c r="I25" i="11" a="1"/>
  <c r="H25" i="11"/>
  <c r="F25" i="11"/>
  <c r="G25" i="11" s="1"/>
  <c r="O24" i="11"/>
  <c r="J24" i="11"/>
  <c r="M24" i="11" s="1"/>
  <c r="N24" i="11" s="1"/>
  <c r="I24" i="11" a="1"/>
  <c r="I24" i="11" s="1"/>
  <c r="K24" i="11" s="1"/>
  <c r="H24" i="11"/>
  <c r="F24" i="11"/>
  <c r="G24" i="11" s="1"/>
  <c r="O23" i="11"/>
  <c r="I23" i="11"/>
  <c r="J23" i="11" s="1"/>
  <c r="M23" i="11" s="1"/>
  <c r="N23" i="11" s="1"/>
  <c r="P23" i="11" s="1"/>
  <c r="I23" i="11" a="1"/>
  <c r="H23" i="11"/>
  <c r="F23" i="11"/>
  <c r="G23" i="11" s="1"/>
  <c r="O22" i="11"/>
  <c r="I22" i="11"/>
  <c r="K22" i="11" s="1"/>
  <c r="I22" i="11" a="1"/>
  <c r="H22" i="11"/>
  <c r="F22" i="11"/>
  <c r="G22" i="11" s="1"/>
  <c r="O21" i="11"/>
  <c r="I21" i="11"/>
  <c r="K21" i="11" s="1"/>
  <c r="I21" i="11" a="1"/>
  <c r="H21" i="11"/>
  <c r="F21" i="11"/>
  <c r="G21" i="11" s="1"/>
  <c r="O20" i="11"/>
  <c r="I20" i="11"/>
  <c r="K20" i="11" s="1"/>
  <c r="I20" i="11" a="1"/>
  <c r="H20" i="11"/>
  <c r="F20" i="11"/>
  <c r="G20" i="11" s="1"/>
  <c r="O19" i="11"/>
  <c r="Q19" i="11" s="1"/>
  <c r="J19" i="11"/>
  <c r="M19" i="11" s="1"/>
  <c r="N19" i="11" s="1"/>
  <c r="I19" i="11"/>
  <c r="K19" i="11" s="1"/>
  <c r="I19" i="11" a="1"/>
  <c r="H19" i="11"/>
  <c r="G19" i="11"/>
  <c r="R19" i="11" s="1"/>
  <c r="F19" i="11"/>
  <c r="R18" i="11"/>
  <c r="O18" i="11"/>
  <c r="Q18" i="11" s="1"/>
  <c r="J18" i="11"/>
  <c r="M18" i="11" s="1"/>
  <c r="N18" i="11" s="1"/>
  <c r="I18" i="11"/>
  <c r="K18" i="11" s="1"/>
  <c r="I18" i="11" a="1"/>
  <c r="H18" i="11"/>
  <c r="G18" i="11"/>
  <c r="F18" i="11"/>
  <c r="R17" i="11"/>
  <c r="O17" i="11"/>
  <c r="I17" i="11" a="1"/>
  <c r="I17" i="11" s="1"/>
  <c r="H17" i="11"/>
  <c r="G17" i="11"/>
  <c r="F17" i="11"/>
  <c r="O16" i="11"/>
  <c r="Q16" i="11" s="1"/>
  <c r="I16" i="11" a="1"/>
  <c r="I16" i="11" s="1"/>
  <c r="H16" i="11"/>
  <c r="G16" i="11"/>
  <c r="R16" i="11" s="1"/>
  <c r="F16" i="11"/>
  <c r="R15" i="11"/>
  <c r="O15" i="11"/>
  <c r="Q15" i="11" s="1"/>
  <c r="K15" i="11"/>
  <c r="I15" i="11"/>
  <c r="J15" i="11" s="1"/>
  <c r="M15" i="11" s="1"/>
  <c r="N15" i="11" s="1"/>
  <c r="I15" i="11" a="1"/>
  <c r="H15" i="11"/>
  <c r="F15" i="11"/>
  <c r="G15" i="11" s="1"/>
  <c r="R14" i="11"/>
  <c r="O14" i="11"/>
  <c r="Q14" i="11" s="1"/>
  <c r="K14" i="11"/>
  <c r="I14" i="11"/>
  <c r="J14" i="11" s="1"/>
  <c r="M14" i="11" s="1"/>
  <c r="N14" i="11" s="1"/>
  <c r="I14" i="11" a="1"/>
  <c r="G14" i="11"/>
  <c r="F14" i="11"/>
  <c r="H14" i="11" s="1"/>
  <c r="O13" i="11"/>
  <c r="K13" i="11"/>
  <c r="I13" i="11"/>
  <c r="I13" i="11" a="1"/>
  <c r="F13" i="11"/>
  <c r="H13" i="11" s="1"/>
  <c r="O12" i="11"/>
  <c r="K12" i="11"/>
  <c r="I12" i="11" a="1"/>
  <c r="I12" i="11" s="1"/>
  <c r="F12" i="11"/>
  <c r="H12" i="11" s="1"/>
  <c r="J12" i="11" s="1"/>
  <c r="O11" i="11"/>
  <c r="I11" i="11"/>
  <c r="K11" i="11" s="1"/>
  <c r="I11" i="11" a="1"/>
  <c r="F11" i="11"/>
  <c r="H11" i="11" s="1"/>
  <c r="O10" i="11"/>
  <c r="I10" i="11"/>
  <c r="K10" i="11" s="1"/>
  <c r="I10" i="11" a="1"/>
  <c r="F10" i="11"/>
  <c r="H10" i="11" s="1"/>
  <c r="O9" i="11"/>
  <c r="L9" i="11"/>
  <c r="K9" i="11"/>
  <c r="I9" i="11"/>
  <c r="I9" i="11" a="1"/>
  <c r="G9" i="11"/>
  <c r="R9" i="11" s="1"/>
  <c r="F9" i="11"/>
  <c r="H9" i="11" s="1"/>
  <c r="J9" i="11" s="1"/>
  <c r="M9" i="11" s="1"/>
  <c r="N9" i="11" s="1"/>
  <c r="P9" i="11" s="1"/>
  <c r="O8" i="11"/>
  <c r="K8" i="11"/>
  <c r="I8" i="11"/>
  <c r="I8" i="11" a="1"/>
  <c r="H8" i="11"/>
  <c r="J8" i="11" s="1"/>
  <c r="F8" i="11"/>
  <c r="G8" i="11" s="1"/>
  <c r="O7" i="11"/>
  <c r="K7" i="11"/>
  <c r="I7" i="11"/>
  <c r="I7" i="11" a="1"/>
  <c r="H7" i="11"/>
  <c r="J7" i="11" s="1"/>
  <c r="F7" i="11"/>
  <c r="G7" i="11" s="1"/>
  <c r="O6" i="11"/>
  <c r="K6" i="11"/>
  <c r="I6" i="11"/>
  <c r="I6" i="11" a="1"/>
  <c r="H6" i="11"/>
  <c r="J6" i="11" s="1"/>
  <c r="F6" i="11"/>
  <c r="G6" i="11" s="1"/>
  <c r="O5" i="11"/>
  <c r="K5" i="11"/>
  <c r="I5" i="11"/>
  <c r="I5" i="11" a="1"/>
  <c r="H5" i="11"/>
  <c r="J5" i="11" s="1"/>
  <c r="M5" i="11" s="1"/>
  <c r="N5" i="11" s="1"/>
  <c r="G5" i="11"/>
  <c r="R5" i="11" s="1"/>
  <c r="F5" i="11"/>
  <c r="O4" i="11"/>
  <c r="I4" i="11" a="1"/>
  <c r="I4" i="11" s="1"/>
  <c r="F4" i="11"/>
  <c r="G4" i="11" s="1"/>
  <c r="R4" i="11" s="1"/>
  <c r="O3" i="11"/>
  <c r="L3" i="11"/>
  <c r="I3" i="11"/>
  <c r="K3" i="11" s="1"/>
  <c r="I3" i="11" a="1"/>
  <c r="H3" i="11"/>
  <c r="F3" i="11"/>
  <c r="G4" i="10"/>
  <c r="F4" i="10"/>
  <c r="C4" i="10"/>
  <c r="D2" i="10"/>
  <c r="E2" i="10" s="1"/>
  <c r="E4" i="10" s="1"/>
  <c r="D30" i="9"/>
  <c r="C30" i="9"/>
  <c r="B30" i="9"/>
  <c r="I29" i="9"/>
  <c r="E29" i="9"/>
  <c r="F29" i="9" s="1"/>
  <c r="G29" i="9" s="1"/>
  <c r="I28" i="9"/>
  <c r="E28" i="9"/>
  <c r="F28" i="9" s="1"/>
  <c r="G28" i="9" s="1"/>
  <c r="I27" i="9"/>
  <c r="F27" i="9"/>
  <c r="G27" i="9" s="1"/>
  <c r="E27" i="9"/>
  <c r="I26" i="9"/>
  <c r="E26" i="9"/>
  <c r="F26" i="9" s="1"/>
  <c r="G26" i="9" s="1"/>
  <c r="I25" i="9"/>
  <c r="E25" i="9"/>
  <c r="F25" i="9" s="1"/>
  <c r="G25" i="9" s="1"/>
  <c r="I24" i="9"/>
  <c r="F24" i="9"/>
  <c r="G24" i="9" s="1"/>
  <c r="E24" i="9"/>
  <c r="I23" i="9"/>
  <c r="E23" i="9"/>
  <c r="F23" i="9" s="1"/>
  <c r="G23" i="9" s="1"/>
  <c r="I22" i="9"/>
  <c r="E22" i="9"/>
  <c r="F22" i="9" s="1"/>
  <c r="G22" i="9" s="1"/>
  <c r="I21" i="9"/>
  <c r="F21" i="9"/>
  <c r="G21" i="9" s="1"/>
  <c r="E21" i="9"/>
  <c r="I20" i="9"/>
  <c r="E20" i="9"/>
  <c r="F20" i="9" s="1"/>
  <c r="G20" i="9" s="1"/>
  <c r="I19" i="9"/>
  <c r="E19" i="9"/>
  <c r="F19" i="9" s="1"/>
  <c r="G19" i="9" s="1"/>
  <c r="I18" i="9"/>
  <c r="F18" i="9"/>
  <c r="G18" i="9" s="1"/>
  <c r="E18" i="9"/>
  <c r="I17" i="9"/>
  <c r="E17" i="9"/>
  <c r="F17" i="9" s="1"/>
  <c r="G17" i="9" s="1"/>
  <c r="I16" i="9"/>
  <c r="E16" i="9"/>
  <c r="F16" i="9" s="1"/>
  <c r="G16" i="9" s="1"/>
  <c r="I15" i="9"/>
  <c r="F15" i="9"/>
  <c r="G15" i="9" s="1"/>
  <c r="E15" i="9"/>
  <c r="I14" i="9"/>
  <c r="E14" i="9"/>
  <c r="F14" i="9" s="1"/>
  <c r="G14" i="9" s="1"/>
  <c r="I13" i="9"/>
  <c r="E13" i="9"/>
  <c r="F13" i="9" s="1"/>
  <c r="G13" i="9" s="1"/>
  <c r="I12" i="9"/>
  <c r="F12" i="9"/>
  <c r="G12" i="9" s="1"/>
  <c r="E12" i="9"/>
  <c r="I11" i="9"/>
  <c r="E11" i="9"/>
  <c r="F11" i="9" s="1"/>
  <c r="G11" i="9" s="1"/>
  <c r="I10" i="9"/>
  <c r="E10" i="9"/>
  <c r="F10" i="9" s="1"/>
  <c r="G10" i="9" s="1"/>
  <c r="I9" i="9"/>
  <c r="F9" i="9"/>
  <c r="G9" i="9" s="1"/>
  <c r="E9" i="9"/>
  <c r="I8" i="9"/>
  <c r="E8" i="9"/>
  <c r="F8" i="9" s="1"/>
  <c r="G8" i="9" s="1"/>
  <c r="I7" i="9"/>
  <c r="E7" i="9"/>
  <c r="F7" i="9" s="1"/>
  <c r="G7" i="9" s="1"/>
  <c r="I6" i="9"/>
  <c r="F6" i="9"/>
  <c r="G6" i="9" s="1"/>
  <c r="E6" i="9"/>
  <c r="I5" i="9"/>
  <c r="E5" i="9"/>
  <c r="F5" i="9" s="1"/>
  <c r="G5" i="9" s="1"/>
  <c r="I4" i="9"/>
  <c r="E4" i="9"/>
  <c r="F4" i="9" s="1"/>
  <c r="G4" i="9" s="1"/>
  <c r="I3" i="9"/>
  <c r="F3" i="9"/>
  <c r="G3" i="9" s="1"/>
  <c r="E3" i="9"/>
  <c r="I2" i="9"/>
  <c r="E2" i="9"/>
  <c r="E30" i="9" s="1"/>
  <c r="I12" i="8"/>
  <c r="J11" i="8"/>
  <c r="K11" i="8" s="1"/>
  <c r="J10" i="8"/>
  <c r="K10" i="8" s="1"/>
  <c r="J9" i="8"/>
  <c r="K9" i="8" s="1"/>
  <c r="J8" i="8"/>
  <c r="K8" i="8" s="1"/>
  <c r="J7" i="8"/>
  <c r="K7" i="8" s="1"/>
  <c r="J6" i="8"/>
  <c r="K6" i="8" s="1"/>
  <c r="R5" i="8"/>
  <c r="Q5" i="8"/>
  <c r="J5" i="8"/>
  <c r="K5" i="8" s="1"/>
  <c r="J4" i="8"/>
  <c r="K4" i="8" s="1"/>
  <c r="C4" i="8"/>
  <c r="J3" i="8"/>
  <c r="K3" i="8" s="1"/>
  <c r="D3" i="8"/>
  <c r="E3" i="8" s="1"/>
  <c r="O2" i="8"/>
  <c r="O5" i="8" s="1"/>
  <c r="J2" i="8"/>
  <c r="K2" i="8" s="1"/>
  <c r="D2" i="8"/>
  <c r="E2" i="8" s="1"/>
  <c r="C608" i="7"/>
  <c r="B605" i="7"/>
  <c r="N604" i="7"/>
  <c r="K604" i="7"/>
  <c r="H604" i="7"/>
  <c r="F604" i="7"/>
  <c r="G604" i="7" s="1"/>
  <c r="E604" i="7"/>
  <c r="D604" i="7"/>
  <c r="N603" i="7"/>
  <c r="K603" i="7"/>
  <c r="H603" i="7"/>
  <c r="F603" i="7"/>
  <c r="E603" i="7"/>
  <c r="G603" i="7" s="1"/>
  <c r="I603" i="7" s="1"/>
  <c r="J603" i="7" s="1"/>
  <c r="D603" i="7"/>
  <c r="N602" i="7"/>
  <c r="K602" i="7"/>
  <c r="H602" i="7"/>
  <c r="F602" i="7"/>
  <c r="G602" i="7" s="1"/>
  <c r="I602" i="7" s="1"/>
  <c r="J602" i="7" s="1"/>
  <c r="E602" i="7"/>
  <c r="D602" i="7"/>
  <c r="N601" i="7"/>
  <c r="K601" i="7"/>
  <c r="L601" i="7" s="1"/>
  <c r="H601" i="7"/>
  <c r="F601" i="7"/>
  <c r="G601" i="7" s="1"/>
  <c r="I601" i="7" s="1"/>
  <c r="J601" i="7" s="1"/>
  <c r="E601" i="7"/>
  <c r="D601" i="7"/>
  <c r="N600" i="7"/>
  <c r="K600" i="7"/>
  <c r="H600" i="7"/>
  <c r="F600" i="7"/>
  <c r="G600" i="7" s="1"/>
  <c r="E600" i="7"/>
  <c r="D600" i="7"/>
  <c r="N599" i="7"/>
  <c r="K599" i="7"/>
  <c r="H599" i="7"/>
  <c r="F599" i="7"/>
  <c r="E599" i="7"/>
  <c r="G599" i="7" s="1"/>
  <c r="D599" i="7"/>
  <c r="N598" i="7"/>
  <c r="K598" i="7"/>
  <c r="J598" i="7"/>
  <c r="H598" i="7"/>
  <c r="I598" i="7" s="1"/>
  <c r="F598" i="7"/>
  <c r="G598" i="7" s="1"/>
  <c r="E598" i="7"/>
  <c r="D598" i="7"/>
  <c r="N597" i="7"/>
  <c r="K597" i="7"/>
  <c r="H597" i="7"/>
  <c r="F597" i="7"/>
  <c r="E597" i="7"/>
  <c r="G597" i="7" s="1"/>
  <c r="D597" i="7"/>
  <c r="N596" i="7"/>
  <c r="K596" i="7"/>
  <c r="H596" i="7"/>
  <c r="F596" i="7"/>
  <c r="G596" i="7" s="1"/>
  <c r="E596" i="7"/>
  <c r="D596" i="7"/>
  <c r="N595" i="7"/>
  <c r="K595" i="7"/>
  <c r="J595" i="7"/>
  <c r="H595" i="7"/>
  <c r="I595" i="7" s="1"/>
  <c r="F595" i="7"/>
  <c r="G595" i="7" s="1"/>
  <c r="E595" i="7"/>
  <c r="D595" i="7"/>
  <c r="N594" i="7"/>
  <c r="K594" i="7"/>
  <c r="H594" i="7"/>
  <c r="F594" i="7"/>
  <c r="G594" i="7" s="1"/>
  <c r="E594" i="7"/>
  <c r="D594" i="7"/>
  <c r="N593" i="7"/>
  <c r="K593" i="7"/>
  <c r="H593" i="7"/>
  <c r="F593" i="7"/>
  <c r="E593" i="7"/>
  <c r="D593" i="7"/>
  <c r="N592" i="7"/>
  <c r="K592" i="7"/>
  <c r="L592" i="7" s="1"/>
  <c r="J592" i="7"/>
  <c r="H592" i="7"/>
  <c r="I592" i="7" s="1"/>
  <c r="F592" i="7"/>
  <c r="G592" i="7" s="1"/>
  <c r="E592" i="7"/>
  <c r="D592" i="7"/>
  <c r="N591" i="7"/>
  <c r="K591" i="7"/>
  <c r="H591" i="7"/>
  <c r="F591" i="7"/>
  <c r="E591" i="7"/>
  <c r="G591" i="7" s="1"/>
  <c r="D591" i="7"/>
  <c r="N590" i="7"/>
  <c r="K590" i="7"/>
  <c r="H590" i="7"/>
  <c r="F590" i="7"/>
  <c r="G590" i="7" s="1"/>
  <c r="E590" i="7"/>
  <c r="D590" i="7"/>
  <c r="N589" i="7"/>
  <c r="K589" i="7"/>
  <c r="J589" i="7"/>
  <c r="H589" i="7"/>
  <c r="I589" i="7" s="1"/>
  <c r="F589" i="7"/>
  <c r="G589" i="7" s="1"/>
  <c r="E589" i="7"/>
  <c r="D589" i="7"/>
  <c r="N588" i="7"/>
  <c r="K588" i="7"/>
  <c r="H588" i="7"/>
  <c r="F588" i="7"/>
  <c r="G588" i="7" s="1"/>
  <c r="E588" i="7"/>
  <c r="D588" i="7"/>
  <c r="N587" i="7"/>
  <c r="K587" i="7"/>
  <c r="H587" i="7"/>
  <c r="F587" i="7"/>
  <c r="E587" i="7"/>
  <c r="D587" i="7"/>
  <c r="N586" i="7"/>
  <c r="K586" i="7"/>
  <c r="J586" i="7"/>
  <c r="H586" i="7"/>
  <c r="I586" i="7" s="1"/>
  <c r="F586" i="7"/>
  <c r="G586" i="7" s="1"/>
  <c r="E586" i="7"/>
  <c r="D586" i="7"/>
  <c r="N585" i="7"/>
  <c r="K585" i="7"/>
  <c r="H585" i="7"/>
  <c r="F585" i="7"/>
  <c r="E585" i="7"/>
  <c r="D585" i="7"/>
  <c r="N584" i="7"/>
  <c r="K584" i="7"/>
  <c r="H584" i="7"/>
  <c r="F584" i="7"/>
  <c r="G584" i="7" s="1"/>
  <c r="E584" i="7"/>
  <c r="D584" i="7"/>
  <c r="B581" i="7"/>
  <c r="N580" i="7"/>
  <c r="K580" i="7"/>
  <c r="H580" i="7"/>
  <c r="F580" i="7"/>
  <c r="E580" i="7"/>
  <c r="D580" i="7"/>
  <c r="N579" i="7"/>
  <c r="K579" i="7"/>
  <c r="H579" i="7"/>
  <c r="I579" i="7" s="1"/>
  <c r="J579" i="7" s="1"/>
  <c r="F579" i="7"/>
  <c r="G579" i="7" s="1"/>
  <c r="E579" i="7"/>
  <c r="D579" i="7"/>
  <c r="N578" i="7"/>
  <c r="K578" i="7"/>
  <c r="H578" i="7"/>
  <c r="F578" i="7"/>
  <c r="E578" i="7"/>
  <c r="D578" i="7"/>
  <c r="N577" i="7"/>
  <c r="K577" i="7"/>
  <c r="H577" i="7"/>
  <c r="F577" i="7"/>
  <c r="G577" i="7" s="1"/>
  <c r="E577" i="7"/>
  <c r="D577" i="7"/>
  <c r="N576" i="7"/>
  <c r="K576" i="7"/>
  <c r="H576" i="7"/>
  <c r="F576" i="7"/>
  <c r="E576" i="7"/>
  <c r="G576" i="7" s="1"/>
  <c r="D576" i="7"/>
  <c r="N575" i="7"/>
  <c r="K575" i="7"/>
  <c r="H575" i="7"/>
  <c r="F575" i="7"/>
  <c r="G575" i="7" s="1"/>
  <c r="E575" i="7"/>
  <c r="D575" i="7"/>
  <c r="N574" i="7"/>
  <c r="K574" i="7"/>
  <c r="H574" i="7"/>
  <c r="F574" i="7"/>
  <c r="E574" i="7"/>
  <c r="D574" i="7"/>
  <c r="N573" i="7"/>
  <c r="K573" i="7"/>
  <c r="H573" i="7"/>
  <c r="F573" i="7"/>
  <c r="G573" i="7" s="1"/>
  <c r="E573" i="7"/>
  <c r="D573" i="7"/>
  <c r="N572" i="7"/>
  <c r="K572" i="7"/>
  <c r="H572" i="7"/>
  <c r="F572" i="7"/>
  <c r="E572" i="7"/>
  <c r="D572" i="7"/>
  <c r="N571" i="7"/>
  <c r="K571" i="7"/>
  <c r="H571" i="7"/>
  <c r="F571" i="7"/>
  <c r="G571" i="7" s="1"/>
  <c r="E571" i="7"/>
  <c r="D571" i="7"/>
  <c r="N570" i="7"/>
  <c r="K570" i="7"/>
  <c r="H570" i="7"/>
  <c r="F570" i="7"/>
  <c r="E570" i="7"/>
  <c r="G570" i="7" s="1"/>
  <c r="D570" i="7"/>
  <c r="N569" i="7"/>
  <c r="K569" i="7"/>
  <c r="H569" i="7"/>
  <c r="F569" i="7"/>
  <c r="G569" i="7" s="1"/>
  <c r="E569" i="7"/>
  <c r="D569" i="7"/>
  <c r="N568" i="7"/>
  <c r="K568" i="7"/>
  <c r="H568" i="7"/>
  <c r="F568" i="7"/>
  <c r="E568" i="7"/>
  <c r="D568" i="7"/>
  <c r="N567" i="7"/>
  <c r="K567" i="7"/>
  <c r="H567" i="7"/>
  <c r="F567" i="7"/>
  <c r="G567" i="7" s="1"/>
  <c r="E567" i="7"/>
  <c r="D567" i="7"/>
  <c r="N566" i="7"/>
  <c r="K566" i="7"/>
  <c r="H566" i="7"/>
  <c r="F566" i="7"/>
  <c r="E566" i="7"/>
  <c r="D566" i="7"/>
  <c r="N565" i="7"/>
  <c r="K565" i="7"/>
  <c r="H565" i="7"/>
  <c r="F565" i="7"/>
  <c r="G565" i="7" s="1"/>
  <c r="E565" i="7"/>
  <c r="D565" i="7"/>
  <c r="N564" i="7"/>
  <c r="K564" i="7"/>
  <c r="H564" i="7"/>
  <c r="I564" i="7" s="1"/>
  <c r="J564" i="7" s="1"/>
  <c r="F564" i="7"/>
  <c r="E564" i="7"/>
  <c r="G564" i="7" s="1"/>
  <c r="D564" i="7"/>
  <c r="N563" i="7"/>
  <c r="K563" i="7"/>
  <c r="H563" i="7"/>
  <c r="F563" i="7"/>
  <c r="G563" i="7" s="1"/>
  <c r="E563" i="7"/>
  <c r="D563" i="7"/>
  <c r="N562" i="7"/>
  <c r="K562" i="7"/>
  <c r="H562" i="7"/>
  <c r="F562" i="7"/>
  <c r="E562" i="7"/>
  <c r="D562" i="7"/>
  <c r="N561" i="7"/>
  <c r="K561" i="7"/>
  <c r="L561" i="7" s="1"/>
  <c r="J561" i="7"/>
  <c r="H561" i="7"/>
  <c r="I561" i="7" s="1"/>
  <c r="F561" i="7"/>
  <c r="G561" i="7" s="1"/>
  <c r="E561" i="7"/>
  <c r="D561" i="7"/>
  <c r="N560" i="7"/>
  <c r="K560" i="7"/>
  <c r="H560" i="7"/>
  <c r="F560" i="7"/>
  <c r="E560" i="7"/>
  <c r="D560" i="7"/>
  <c r="N559" i="7"/>
  <c r="K559" i="7"/>
  <c r="H559" i="7"/>
  <c r="F559" i="7"/>
  <c r="G559" i="7" s="1"/>
  <c r="E559" i="7"/>
  <c r="D559" i="7"/>
  <c r="N558" i="7"/>
  <c r="K558" i="7"/>
  <c r="H558" i="7"/>
  <c r="F558" i="7"/>
  <c r="E558" i="7"/>
  <c r="D558" i="7"/>
  <c r="N557" i="7"/>
  <c r="K557" i="7"/>
  <c r="H557" i="7"/>
  <c r="F557" i="7"/>
  <c r="G557" i="7" s="1"/>
  <c r="E557" i="7"/>
  <c r="D557" i="7"/>
  <c r="N556" i="7"/>
  <c r="K556" i="7"/>
  <c r="H556" i="7"/>
  <c r="F556" i="7"/>
  <c r="E556" i="7"/>
  <c r="D556" i="7"/>
  <c r="N555" i="7"/>
  <c r="K555" i="7"/>
  <c r="L555" i="7" s="1"/>
  <c r="J555" i="7"/>
  <c r="H555" i="7"/>
  <c r="I555" i="7" s="1"/>
  <c r="F555" i="7"/>
  <c r="G555" i="7" s="1"/>
  <c r="E555" i="7"/>
  <c r="D555" i="7"/>
  <c r="N554" i="7"/>
  <c r="K554" i="7"/>
  <c r="H554" i="7"/>
  <c r="F554" i="7"/>
  <c r="E554" i="7"/>
  <c r="D554" i="7"/>
  <c r="N553" i="7"/>
  <c r="K553" i="7"/>
  <c r="H553" i="7"/>
  <c r="F553" i="7"/>
  <c r="G553" i="7" s="1"/>
  <c r="E553" i="7"/>
  <c r="D553" i="7"/>
  <c r="N552" i="7"/>
  <c r="K552" i="7"/>
  <c r="H552" i="7"/>
  <c r="F552" i="7"/>
  <c r="E552" i="7"/>
  <c r="D552" i="7"/>
  <c r="N551" i="7"/>
  <c r="K551" i="7"/>
  <c r="H551" i="7"/>
  <c r="F551" i="7"/>
  <c r="G551" i="7" s="1"/>
  <c r="E551" i="7"/>
  <c r="D551" i="7"/>
  <c r="N550" i="7"/>
  <c r="K550" i="7"/>
  <c r="H550" i="7"/>
  <c r="F550" i="7"/>
  <c r="E550" i="7"/>
  <c r="D550" i="7"/>
  <c r="N549" i="7"/>
  <c r="K549" i="7"/>
  <c r="H549" i="7"/>
  <c r="F549" i="7"/>
  <c r="G549" i="7" s="1"/>
  <c r="E549" i="7"/>
  <c r="D549" i="7"/>
  <c r="N548" i="7"/>
  <c r="K548" i="7"/>
  <c r="H548" i="7"/>
  <c r="F548" i="7"/>
  <c r="E548" i="7"/>
  <c r="D548" i="7"/>
  <c r="N547" i="7"/>
  <c r="K547" i="7"/>
  <c r="H547" i="7"/>
  <c r="F547" i="7"/>
  <c r="G547" i="7" s="1"/>
  <c r="E547" i="7"/>
  <c r="D547" i="7"/>
  <c r="N546" i="7"/>
  <c r="K546" i="7"/>
  <c r="H546" i="7"/>
  <c r="F546" i="7"/>
  <c r="E546" i="7"/>
  <c r="D546" i="7"/>
  <c r="N545" i="7"/>
  <c r="K545" i="7"/>
  <c r="H545" i="7"/>
  <c r="F545" i="7"/>
  <c r="G545" i="7" s="1"/>
  <c r="E545" i="7"/>
  <c r="D545" i="7"/>
  <c r="B542" i="7"/>
  <c r="N541" i="7"/>
  <c r="K541" i="7"/>
  <c r="H541" i="7"/>
  <c r="F541" i="7"/>
  <c r="E541" i="7"/>
  <c r="D541" i="7"/>
  <c r="N540" i="7"/>
  <c r="K540" i="7"/>
  <c r="H540" i="7"/>
  <c r="F540" i="7"/>
  <c r="G540" i="7" s="1"/>
  <c r="E540" i="7"/>
  <c r="D540" i="7"/>
  <c r="N539" i="7"/>
  <c r="K539" i="7"/>
  <c r="H539" i="7"/>
  <c r="F539" i="7"/>
  <c r="E539" i="7"/>
  <c r="D539" i="7"/>
  <c r="N538" i="7"/>
  <c r="K538" i="7"/>
  <c r="H538" i="7"/>
  <c r="F538" i="7"/>
  <c r="G538" i="7" s="1"/>
  <c r="E538" i="7"/>
  <c r="D538" i="7"/>
  <c r="N537" i="7"/>
  <c r="K537" i="7"/>
  <c r="H537" i="7"/>
  <c r="F537" i="7"/>
  <c r="E537" i="7"/>
  <c r="D537" i="7"/>
  <c r="N536" i="7"/>
  <c r="K536" i="7"/>
  <c r="H536" i="7"/>
  <c r="F536" i="7"/>
  <c r="G536" i="7" s="1"/>
  <c r="E536" i="7"/>
  <c r="D536" i="7"/>
  <c r="N535" i="7"/>
  <c r="K535" i="7"/>
  <c r="H535" i="7"/>
  <c r="F535" i="7"/>
  <c r="E535" i="7"/>
  <c r="G535" i="7" s="1"/>
  <c r="D535" i="7"/>
  <c r="N534" i="7"/>
  <c r="K534" i="7"/>
  <c r="H534" i="7"/>
  <c r="F534" i="7"/>
  <c r="G534" i="7" s="1"/>
  <c r="E534" i="7"/>
  <c r="D534" i="7"/>
  <c r="N533" i="7"/>
  <c r="K533" i="7"/>
  <c r="H533" i="7"/>
  <c r="F533" i="7"/>
  <c r="E533" i="7"/>
  <c r="D533" i="7"/>
  <c r="N532" i="7"/>
  <c r="K532" i="7"/>
  <c r="H532" i="7"/>
  <c r="F532" i="7"/>
  <c r="G532" i="7" s="1"/>
  <c r="E532" i="7"/>
  <c r="D532" i="7"/>
  <c r="N531" i="7"/>
  <c r="K531" i="7"/>
  <c r="H531" i="7"/>
  <c r="F531" i="7"/>
  <c r="E531" i="7"/>
  <c r="D531" i="7"/>
  <c r="N530" i="7"/>
  <c r="K530" i="7"/>
  <c r="H530" i="7"/>
  <c r="F530" i="7"/>
  <c r="G530" i="7" s="1"/>
  <c r="E530" i="7"/>
  <c r="D530" i="7"/>
  <c r="N529" i="7"/>
  <c r="K529" i="7"/>
  <c r="H529" i="7"/>
  <c r="F529" i="7"/>
  <c r="E529" i="7"/>
  <c r="G529" i="7" s="1"/>
  <c r="D529" i="7"/>
  <c r="N528" i="7"/>
  <c r="K528" i="7"/>
  <c r="H528" i="7"/>
  <c r="F528" i="7"/>
  <c r="G528" i="7" s="1"/>
  <c r="E528" i="7"/>
  <c r="D528" i="7"/>
  <c r="N527" i="7"/>
  <c r="K527" i="7"/>
  <c r="H527" i="7"/>
  <c r="F527" i="7"/>
  <c r="E527" i="7"/>
  <c r="D527" i="7"/>
  <c r="N526" i="7"/>
  <c r="K526" i="7"/>
  <c r="H526" i="7"/>
  <c r="F526" i="7"/>
  <c r="G526" i="7" s="1"/>
  <c r="E526" i="7"/>
  <c r="D526" i="7"/>
  <c r="N525" i="7"/>
  <c r="K525" i="7"/>
  <c r="H525" i="7"/>
  <c r="F525" i="7"/>
  <c r="E525" i="7"/>
  <c r="D525" i="7"/>
  <c r="N524" i="7"/>
  <c r="K524" i="7"/>
  <c r="H524" i="7"/>
  <c r="F524" i="7"/>
  <c r="G524" i="7" s="1"/>
  <c r="E524" i="7"/>
  <c r="D524" i="7"/>
  <c r="N523" i="7"/>
  <c r="K523" i="7"/>
  <c r="H523" i="7"/>
  <c r="F523" i="7"/>
  <c r="E523" i="7"/>
  <c r="D523" i="7"/>
  <c r="N522" i="7"/>
  <c r="K522" i="7"/>
  <c r="H522" i="7"/>
  <c r="F522" i="7"/>
  <c r="G522" i="7" s="1"/>
  <c r="E522" i="7"/>
  <c r="D522" i="7"/>
  <c r="N521" i="7"/>
  <c r="K521" i="7"/>
  <c r="H521" i="7"/>
  <c r="F521" i="7"/>
  <c r="E521" i="7"/>
  <c r="D521" i="7"/>
  <c r="N520" i="7"/>
  <c r="K520" i="7"/>
  <c r="H520" i="7"/>
  <c r="I520" i="7" s="1"/>
  <c r="J520" i="7" s="1"/>
  <c r="F520" i="7"/>
  <c r="G520" i="7" s="1"/>
  <c r="E520" i="7"/>
  <c r="D520" i="7"/>
  <c r="N519" i="7"/>
  <c r="K519" i="7"/>
  <c r="H519" i="7"/>
  <c r="I519" i="7" s="1"/>
  <c r="J519" i="7" s="1"/>
  <c r="F519" i="7"/>
  <c r="E519" i="7"/>
  <c r="G519" i="7" s="1"/>
  <c r="D519" i="7"/>
  <c r="N518" i="7"/>
  <c r="K518" i="7"/>
  <c r="L518" i="7" s="1"/>
  <c r="H518" i="7"/>
  <c r="I518" i="7" s="1"/>
  <c r="J518" i="7" s="1"/>
  <c r="F518" i="7"/>
  <c r="G518" i="7" s="1"/>
  <c r="E518" i="7"/>
  <c r="D518" i="7"/>
  <c r="N517" i="7"/>
  <c r="K517" i="7"/>
  <c r="H517" i="7"/>
  <c r="F517" i="7"/>
  <c r="E517" i="7"/>
  <c r="D517" i="7"/>
  <c r="N516" i="7"/>
  <c r="K516" i="7"/>
  <c r="H516" i="7"/>
  <c r="G516" i="7"/>
  <c r="F516" i="7"/>
  <c r="E516" i="7"/>
  <c r="D516" i="7"/>
  <c r="N515" i="7"/>
  <c r="K515" i="7"/>
  <c r="H515" i="7"/>
  <c r="F515" i="7"/>
  <c r="E515" i="7"/>
  <c r="D515" i="7"/>
  <c r="N514" i="7"/>
  <c r="K514" i="7"/>
  <c r="H514" i="7"/>
  <c r="G514" i="7"/>
  <c r="F514" i="7"/>
  <c r="E514" i="7"/>
  <c r="D514" i="7"/>
  <c r="N513" i="7"/>
  <c r="K513" i="7"/>
  <c r="H513" i="7"/>
  <c r="F513" i="7"/>
  <c r="E513" i="7"/>
  <c r="N512" i="7"/>
  <c r="K512" i="7"/>
  <c r="H512" i="7"/>
  <c r="I512" i="7" s="1"/>
  <c r="J512" i="7" s="1"/>
  <c r="F512" i="7"/>
  <c r="G512" i="7" s="1"/>
  <c r="E512" i="7"/>
  <c r="D512" i="7"/>
  <c r="N511" i="7"/>
  <c r="K511" i="7"/>
  <c r="H511" i="7"/>
  <c r="F511" i="7"/>
  <c r="E511" i="7"/>
  <c r="D511" i="7"/>
  <c r="N510" i="7"/>
  <c r="K510" i="7"/>
  <c r="H510" i="7"/>
  <c r="I510" i="7" s="1"/>
  <c r="J510" i="7" s="1"/>
  <c r="G510" i="7"/>
  <c r="F510" i="7"/>
  <c r="E510" i="7"/>
  <c r="D510" i="7"/>
  <c r="N509" i="7"/>
  <c r="K509" i="7"/>
  <c r="H509" i="7"/>
  <c r="F509" i="7"/>
  <c r="E509" i="7"/>
  <c r="G509" i="7" s="1"/>
  <c r="N508" i="7"/>
  <c r="K508" i="7"/>
  <c r="H508" i="7"/>
  <c r="G508" i="7"/>
  <c r="F508" i="7"/>
  <c r="E508" i="7"/>
  <c r="D508" i="7"/>
  <c r="N507" i="7"/>
  <c r="K507" i="7"/>
  <c r="H507" i="7"/>
  <c r="F507" i="7"/>
  <c r="E507" i="7"/>
  <c r="D507" i="7"/>
  <c r="N506" i="7"/>
  <c r="K506" i="7"/>
  <c r="H506" i="7"/>
  <c r="I506" i="7" s="1"/>
  <c r="J506" i="7" s="1"/>
  <c r="G506" i="7"/>
  <c r="F506" i="7"/>
  <c r="E506" i="7"/>
  <c r="D506" i="7"/>
  <c r="B503" i="7"/>
  <c r="N502" i="7"/>
  <c r="K502" i="7"/>
  <c r="H502" i="7"/>
  <c r="F502" i="7"/>
  <c r="E502" i="7"/>
  <c r="N501" i="7"/>
  <c r="K501" i="7"/>
  <c r="H501" i="7"/>
  <c r="G501" i="7"/>
  <c r="F501" i="7"/>
  <c r="E501" i="7"/>
  <c r="D501" i="7"/>
  <c r="N500" i="7"/>
  <c r="K500" i="7"/>
  <c r="J500" i="7"/>
  <c r="H500" i="7"/>
  <c r="I500" i="7" s="1"/>
  <c r="F500" i="7"/>
  <c r="E500" i="7"/>
  <c r="G500" i="7" s="1"/>
  <c r="D500" i="7"/>
  <c r="N499" i="7"/>
  <c r="K499" i="7"/>
  <c r="H499" i="7"/>
  <c r="I499" i="7" s="1"/>
  <c r="J499" i="7" s="1"/>
  <c r="F499" i="7"/>
  <c r="G499" i="7" s="1"/>
  <c r="E499" i="7"/>
  <c r="D499" i="7"/>
  <c r="N498" i="7"/>
  <c r="K498" i="7"/>
  <c r="H498" i="7"/>
  <c r="F498" i="7"/>
  <c r="E498" i="7"/>
  <c r="N497" i="7"/>
  <c r="K497" i="7"/>
  <c r="H497" i="7"/>
  <c r="F497" i="7"/>
  <c r="G497" i="7" s="1"/>
  <c r="E497" i="7"/>
  <c r="D497" i="7"/>
  <c r="N496" i="7"/>
  <c r="K496" i="7"/>
  <c r="H496" i="7"/>
  <c r="F496" i="7"/>
  <c r="E496" i="7"/>
  <c r="N495" i="7"/>
  <c r="K495" i="7"/>
  <c r="L495" i="7" s="1"/>
  <c r="H495" i="7"/>
  <c r="I495" i="7" s="1"/>
  <c r="J495" i="7" s="1"/>
  <c r="F495" i="7"/>
  <c r="G495" i="7" s="1"/>
  <c r="E495" i="7"/>
  <c r="D495" i="7"/>
  <c r="N494" i="7"/>
  <c r="K494" i="7"/>
  <c r="H494" i="7"/>
  <c r="F494" i="7"/>
  <c r="E494" i="7"/>
  <c r="N493" i="7"/>
  <c r="K493" i="7"/>
  <c r="H493" i="7"/>
  <c r="I493" i="7" s="1"/>
  <c r="J493" i="7" s="1"/>
  <c r="F493" i="7"/>
  <c r="G493" i="7" s="1"/>
  <c r="E493" i="7"/>
  <c r="D493" i="7"/>
  <c r="N492" i="7"/>
  <c r="K492" i="7"/>
  <c r="H492" i="7"/>
  <c r="I492" i="7" s="1"/>
  <c r="J492" i="7" s="1"/>
  <c r="F492" i="7"/>
  <c r="E492" i="7"/>
  <c r="G492" i="7" s="1"/>
  <c r="D492" i="7"/>
  <c r="N491" i="7"/>
  <c r="K491" i="7"/>
  <c r="H491" i="7"/>
  <c r="F491" i="7"/>
  <c r="G491" i="7" s="1"/>
  <c r="E491" i="7"/>
  <c r="D491" i="7"/>
  <c r="N490" i="7"/>
  <c r="K490" i="7"/>
  <c r="H490" i="7"/>
  <c r="F490" i="7"/>
  <c r="E490" i="7"/>
  <c r="N489" i="7"/>
  <c r="K489" i="7"/>
  <c r="H489" i="7"/>
  <c r="F489" i="7"/>
  <c r="G489" i="7" s="1"/>
  <c r="E489" i="7"/>
  <c r="D489" i="7"/>
  <c r="N488" i="7"/>
  <c r="K488" i="7"/>
  <c r="H488" i="7"/>
  <c r="F488" i="7"/>
  <c r="E488" i="7"/>
  <c r="N487" i="7"/>
  <c r="K487" i="7"/>
  <c r="H487" i="7"/>
  <c r="F487" i="7"/>
  <c r="G487" i="7" s="1"/>
  <c r="E487" i="7"/>
  <c r="D487" i="7"/>
  <c r="N486" i="7"/>
  <c r="K486" i="7"/>
  <c r="H486" i="7"/>
  <c r="F486" i="7"/>
  <c r="E486" i="7"/>
  <c r="N485" i="7"/>
  <c r="K485" i="7"/>
  <c r="J485" i="7"/>
  <c r="H485" i="7"/>
  <c r="I485" i="7" s="1"/>
  <c r="G485" i="7"/>
  <c r="F485" i="7"/>
  <c r="E485" i="7"/>
  <c r="D485" i="7"/>
  <c r="N484" i="7"/>
  <c r="K484" i="7"/>
  <c r="H484" i="7"/>
  <c r="F484" i="7"/>
  <c r="E484" i="7"/>
  <c r="D484" i="7"/>
  <c r="N483" i="7"/>
  <c r="K483" i="7"/>
  <c r="H483" i="7"/>
  <c r="I483" i="7" s="1"/>
  <c r="J483" i="7" s="1"/>
  <c r="F483" i="7"/>
  <c r="G483" i="7" s="1"/>
  <c r="E483" i="7"/>
  <c r="D483" i="7"/>
  <c r="N482" i="7"/>
  <c r="K482" i="7"/>
  <c r="H482" i="7"/>
  <c r="F482" i="7"/>
  <c r="E482" i="7"/>
  <c r="N481" i="7"/>
  <c r="K481" i="7"/>
  <c r="H481" i="7"/>
  <c r="G481" i="7"/>
  <c r="F481" i="7"/>
  <c r="E481" i="7"/>
  <c r="D481" i="7"/>
  <c r="N480" i="7"/>
  <c r="K480" i="7"/>
  <c r="H480" i="7"/>
  <c r="F480" i="7"/>
  <c r="E480" i="7"/>
  <c r="D480" i="7"/>
  <c r="N479" i="7"/>
  <c r="K479" i="7"/>
  <c r="H479" i="7"/>
  <c r="F479" i="7"/>
  <c r="G479" i="7" s="1"/>
  <c r="E479" i="7"/>
  <c r="D479" i="7"/>
  <c r="N478" i="7"/>
  <c r="K478" i="7"/>
  <c r="H478" i="7"/>
  <c r="F478" i="7"/>
  <c r="E478" i="7"/>
  <c r="N477" i="7"/>
  <c r="K477" i="7"/>
  <c r="H477" i="7"/>
  <c r="F477" i="7"/>
  <c r="G477" i="7" s="1"/>
  <c r="E477" i="7"/>
  <c r="D477" i="7"/>
  <c r="N476" i="7"/>
  <c r="K476" i="7"/>
  <c r="H476" i="7"/>
  <c r="F476" i="7"/>
  <c r="E476" i="7"/>
  <c r="D476" i="7"/>
  <c r="N475" i="7"/>
  <c r="K475" i="7"/>
  <c r="H475" i="7"/>
  <c r="I475" i="7" s="1"/>
  <c r="J475" i="7" s="1"/>
  <c r="F475" i="7"/>
  <c r="G475" i="7" s="1"/>
  <c r="E475" i="7"/>
  <c r="D475" i="7"/>
  <c r="N474" i="7"/>
  <c r="K474" i="7"/>
  <c r="H474" i="7"/>
  <c r="F474" i="7"/>
  <c r="E474" i="7"/>
  <c r="N473" i="7"/>
  <c r="K473" i="7"/>
  <c r="H473" i="7"/>
  <c r="G473" i="7"/>
  <c r="F473" i="7"/>
  <c r="E473" i="7"/>
  <c r="D473" i="7"/>
  <c r="N472" i="7"/>
  <c r="K472" i="7"/>
  <c r="H472" i="7"/>
  <c r="F472" i="7"/>
  <c r="E472" i="7"/>
  <c r="N471" i="7"/>
  <c r="K471" i="7"/>
  <c r="H471" i="7"/>
  <c r="I471" i="7" s="1"/>
  <c r="J471" i="7" s="1"/>
  <c r="F471" i="7"/>
  <c r="G471" i="7" s="1"/>
  <c r="E471" i="7"/>
  <c r="D471" i="7"/>
  <c r="N470" i="7"/>
  <c r="K470" i="7"/>
  <c r="H470" i="7"/>
  <c r="F470" i="7"/>
  <c r="E470" i="7"/>
  <c r="N469" i="7"/>
  <c r="K469" i="7"/>
  <c r="H469" i="7"/>
  <c r="F469" i="7"/>
  <c r="G469" i="7" s="1"/>
  <c r="E469" i="7"/>
  <c r="D469" i="7"/>
  <c r="N468" i="7"/>
  <c r="K468" i="7"/>
  <c r="H468" i="7"/>
  <c r="F468" i="7"/>
  <c r="E468" i="7"/>
  <c r="G468" i="7" s="1"/>
  <c r="N467" i="7"/>
  <c r="K467" i="7"/>
  <c r="L467" i="7" s="1"/>
  <c r="H467" i="7"/>
  <c r="G467" i="7"/>
  <c r="I467" i="7" s="1"/>
  <c r="J467" i="7" s="1"/>
  <c r="F467" i="7"/>
  <c r="E467" i="7"/>
  <c r="D467" i="7"/>
  <c r="N466" i="7"/>
  <c r="K466" i="7"/>
  <c r="H466" i="7"/>
  <c r="F466" i="7"/>
  <c r="E466" i="7"/>
  <c r="B463" i="7"/>
  <c r="N462" i="7"/>
  <c r="K462" i="7"/>
  <c r="J462" i="7"/>
  <c r="I462" i="7"/>
  <c r="H462" i="7"/>
  <c r="F462" i="7"/>
  <c r="G462" i="7" s="1"/>
  <c r="E462" i="7"/>
  <c r="D462" i="7"/>
  <c r="N461" i="7"/>
  <c r="K461" i="7"/>
  <c r="H461" i="7"/>
  <c r="I461" i="7" s="1"/>
  <c r="J461" i="7" s="1"/>
  <c r="F461" i="7"/>
  <c r="G461" i="7" s="1"/>
  <c r="E461" i="7"/>
  <c r="D461" i="7"/>
  <c r="N460" i="7"/>
  <c r="K460" i="7"/>
  <c r="H460" i="7"/>
  <c r="G460" i="7"/>
  <c r="F460" i="7"/>
  <c r="E460" i="7"/>
  <c r="D460" i="7"/>
  <c r="N459" i="7"/>
  <c r="K459" i="7"/>
  <c r="H459" i="7"/>
  <c r="F459" i="7"/>
  <c r="E459" i="7"/>
  <c r="G459" i="7" s="1"/>
  <c r="D459" i="7"/>
  <c r="N458" i="7"/>
  <c r="K458" i="7"/>
  <c r="H458" i="7"/>
  <c r="G458" i="7"/>
  <c r="F458" i="7"/>
  <c r="E458" i="7"/>
  <c r="D458" i="7"/>
  <c r="N457" i="7"/>
  <c r="K457" i="7"/>
  <c r="H457" i="7"/>
  <c r="F457" i="7"/>
  <c r="E457" i="7"/>
  <c r="D457" i="7"/>
  <c r="N456" i="7"/>
  <c r="K456" i="7"/>
  <c r="H456" i="7"/>
  <c r="F456" i="7"/>
  <c r="G456" i="7" s="1"/>
  <c r="E456" i="7"/>
  <c r="D456" i="7"/>
  <c r="N455" i="7"/>
  <c r="K455" i="7"/>
  <c r="H455" i="7"/>
  <c r="F455" i="7"/>
  <c r="E455" i="7"/>
  <c r="D455" i="7"/>
  <c r="N454" i="7"/>
  <c r="K454" i="7"/>
  <c r="H454" i="7"/>
  <c r="F454" i="7"/>
  <c r="E454" i="7"/>
  <c r="G454" i="7" s="1"/>
  <c r="D454" i="7"/>
  <c r="N453" i="7"/>
  <c r="K453" i="7"/>
  <c r="H453" i="7"/>
  <c r="F453" i="7"/>
  <c r="E453" i="7"/>
  <c r="D453" i="7"/>
  <c r="N452" i="7"/>
  <c r="K452" i="7"/>
  <c r="H452" i="7"/>
  <c r="I452" i="7" s="1"/>
  <c r="J452" i="7" s="1"/>
  <c r="F452" i="7"/>
  <c r="G452" i="7" s="1"/>
  <c r="E452" i="7"/>
  <c r="D452" i="7"/>
  <c r="N451" i="7"/>
  <c r="K451" i="7"/>
  <c r="H451" i="7"/>
  <c r="F451" i="7"/>
  <c r="E451" i="7"/>
  <c r="G451" i="7" s="1"/>
  <c r="D451" i="7"/>
  <c r="N450" i="7"/>
  <c r="K450" i="7"/>
  <c r="H450" i="7"/>
  <c r="F450" i="7"/>
  <c r="G450" i="7" s="1"/>
  <c r="E450" i="7"/>
  <c r="D450" i="7"/>
  <c r="N449" i="7"/>
  <c r="K449" i="7"/>
  <c r="H449" i="7"/>
  <c r="F449" i="7"/>
  <c r="E449" i="7"/>
  <c r="D449" i="7"/>
  <c r="N448" i="7"/>
  <c r="K448" i="7"/>
  <c r="H448" i="7"/>
  <c r="F448" i="7"/>
  <c r="E448" i="7"/>
  <c r="D448" i="7" s="1"/>
  <c r="N447" i="7"/>
  <c r="K447" i="7"/>
  <c r="H447" i="7"/>
  <c r="F447" i="7"/>
  <c r="E447" i="7"/>
  <c r="D447" i="7"/>
  <c r="N446" i="7"/>
  <c r="K446" i="7"/>
  <c r="H446" i="7"/>
  <c r="F446" i="7"/>
  <c r="G446" i="7" s="1"/>
  <c r="E446" i="7"/>
  <c r="D446" i="7"/>
  <c r="N445" i="7"/>
  <c r="K445" i="7"/>
  <c r="I445" i="7"/>
  <c r="J445" i="7" s="1"/>
  <c r="H445" i="7"/>
  <c r="F445" i="7"/>
  <c r="E445" i="7"/>
  <c r="G445" i="7" s="1"/>
  <c r="D445" i="7"/>
  <c r="N444" i="7"/>
  <c r="K444" i="7"/>
  <c r="I444" i="7"/>
  <c r="J444" i="7" s="1"/>
  <c r="H444" i="7"/>
  <c r="F444" i="7"/>
  <c r="G444" i="7" s="1"/>
  <c r="E444" i="7"/>
  <c r="D444" i="7"/>
  <c r="N443" i="7"/>
  <c r="K443" i="7"/>
  <c r="H443" i="7"/>
  <c r="F443" i="7"/>
  <c r="G443" i="7" s="1"/>
  <c r="I443" i="7" s="1"/>
  <c r="J443" i="7" s="1"/>
  <c r="E443" i="7"/>
  <c r="D443" i="7"/>
  <c r="N442" i="7"/>
  <c r="K442" i="7"/>
  <c r="H442" i="7"/>
  <c r="F442" i="7"/>
  <c r="G442" i="7" s="1"/>
  <c r="E442" i="7"/>
  <c r="D442" i="7"/>
  <c r="N441" i="7"/>
  <c r="K441" i="7"/>
  <c r="H441" i="7"/>
  <c r="F441" i="7"/>
  <c r="E441" i="7"/>
  <c r="D441" i="7"/>
  <c r="N440" i="7"/>
  <c r="K440" i="7"/>
  <c r="H440" i="7"/>
  <c r="G440" i="7"/>
  <c r="F440" i="7"/>
  <c r="E440" i="7"/>
  <c r="D440" i="7"/>
  <c r="N439" i="7"/>
  <c r="K439" i="7"/>
  <c r="H439" i="7"/>
  <c r="F439" i="7"/>
  <c r="E439" i="7"/>
  <c r="D439" i="7"/>
  <c r="N438" i="7"/>
  <c r="K438" i="7"/>
  <c r="H438" i="7"/>
  <c r="F438" i="7"/>
  <c r="G438" i="7" s="1"/>
  <c r="I438" i="7" s="1"/>
  <c r="J438" i="7" s="1"/>
  <c r="E438" i="7"/>
  <c r="D438" i="7"/>
  <c r="N437" i="7"/>
  <c r="K437" i="7"/>
  <c r="H437" i="7"/>
  <c r="F437" i="7"/>
  <c r="E437" i="7"/>
  <c r="N436" i="7"/>
  <c r="K436" i="7"/>
  <c r="H436" i="7"/>
  <c r="F436" i="7"/>
  <c r="E436" i="7"/>
  <c r="D436" i="7" s="1"/>
  <c r="N435" i="7"/>
  <c r="K435" i="7"/>
  <c r="H435" i="7"/>
  <c r="F435" i="7"/>
  <c r="E435" i="7"/>
  <c r="D435" i="7"/>
  <c r="N434" i="7"/>
  <c r="K434" i="7"/>
  <c r="H434" i="7"/>
  <c r="G434" i="7"/>
  <c r="F434" i="7"/>
  <c r="E434" i="7"/>
  <c r="D434" i="7"/>
  <c r="N433" i="7"/>
  <c r="K433" i="7"/>
  <c r="H433" i="7"/>
  <c r="F433" i="7"/>
  <c r="E433" i="7"/>
  <c r="G433" i="7" s="1"/>
  <c r="I433" i="7" s="1"/>
  <c r="J433" i="7" s="1"/>
  <c r="D433" i="7"/>
  <c r="N432" i="7"/>
  <c r="K432" i="7"/>
  <c r="H432" i="7"/>
  <c r="F432" i="7"/>
  <c r="G432" i="7" s="1"/>
  <c r="E432" i="7"/>
  <c r="D432" i="7"/>
  <c r="N431" i="7"/>
  <c r="K431" i="7"/>
  <c r="H431" i="7"/>
  <c r="I431" i="7" s="1"/>
  <c r="J431" i="7" s="1"/>
  <c r="F431" i="7"/>
  <c r="E431" i="7"/>
  <c r="G431" i="7" s="1"/>
  <c r="D431" i="7"/>
  <c r="N430" i="7"/>
  <c r="K430" i="7"/>
  <c r="H430" i="7"/>
  <c r="F430" i="7"/>
  <c r="E430" i="7"/>
  <c r="N429" i="7"/>
  <c r="K429" i="7"/>
  <c r="H429" i="7"/>
  <c r="F429" i="7"/>
  <c r="E429" i="7"/>
  <c r="N428" i="7"/>
  <c r="K428" i="7"/>
  <c r="H428" i="7"/>
  <c r="F428" i="7"/>
  <c r="G428" i="7" s="1"/>
  <c r="E428" i="7"/>
  <c r="D428" i="7"/>
  <c r="N427" i="7"/>
  <c r="K427" i="7"/>
  <c r="H427" i="7"/>
  <c r="F427" i="7"/>
  <c r="E427" i="7"/>
  <c r="B424" i="7"/>
  <c r="N423" i="7"/>
  <c r="K423" i="7"/>
  <c r="H423" i="7"/>
  <c r="I423" i="7" s="1"/>
  <c r="J423" i="7" s="1"/>
  <c r="F423" i="7"/>
  <c r="G423" i="7" s="1"/>
  <c r="E423" i="7"/>
  <c r="D423" i="7"/>
  <c r="N422" i="7"/>
  <c r="K422" i="7"/>
  <c r="H422" i="7"/>
  <c r="F422" i="7"/>
  <c r="E422" i="7"/>
  <c r="B419" i="7"/>
  <c r="N418" i="7"/>
  <c r="K418" i="7"/>
  <c r="L418" i="7" s="1"/>
  <c r="H418" i="7"/>
  <c r="I418" i="7" s="1"/>
  <c r="J418" i="7" s="1"/>
  <c r="G418" i="7"/>
  <c r="F418" i="7"/>
  <c r="E418" i="7"/>
  <c r="D418" i="7"/>
  <c r="N417" i="7"/>
  <c r="K417" i="7"/>
  <c r="H417" i="7"/>
  <c r="F417" i="7"/>
  <c r="E417" i="7"/>
  <c r="D417" i="7"/>
  <c r="N416" i="7"/>
  <c r="K416" i="7"/>
  <c r="H416" i="7"/>
  <c r="F416" i="7"/>
  <c r="G416" i="7" s="1"/>
  <c r="I416" i="7" s="1"/>
  <c r="J416" i="7" s="1"/>
  <c r="E416" i="7"/>
  <c r="D416" i="7"/>
  <c r="N415" i="7"/>
  <c r="K415" i="7"/>
  <c r="H415" i="7"/>
  <c r="F415" i="7"/>
  <c r="G415" i="7" s="1"/>
  <c r="E415" i="7"/>
  <c r="D415" i="7"/>
  <c r="N414" i="7"/>
  <c r="K414" i="7"/>
  <c r="H414" i="7"/>
  <c r="G414" i="7"/>
  <c r="F414" i="7"/>
  <c r="E414" i="7"/>
  <c r="D414" i="7" s="1"/>
  <c r="N413" i="7"/>
  <c r="K413" i="7"/>
  <c r="H413" i="7"/>
  <c r="F413" i="7"/>
  <c r="E413" i="7"/>
  <c r="D413" i="7"/>
  <c r="N412" i="7"/>
  <c r="K412" i="7"/>
  <c r="H412" i="7"/>
  <c r="G412" i="7"/>
  <c r="F412" i="7"/>
  <c r="E412" i="7"/>
  <c r="D412" i="7"/>
  <c r="N411" i="7"/>
  <c r="K411" i="7"/>
  <c r="H411" i="7"/>
  <c r="F411" i="7"/>
  <c r="E411" i="7"/>
  <c r="N410" i="7"/>
  <c r="K410" i="7"/>
  <c r="H410" i="7"/>
  <c r="F410" i="7"/>
  <c r="G410" i="7" s="1"/>
  <c r="E410" i="7"/>
  <c r="D410" i="7"/>
  <c r="N409" i="7"/>
  <c r="K409" i="7"/>
  <c r="H409" i="7"/>
  <c r="F409" i="7"/>
  <c r="E409" i="7"/>
  <c r="D409" i="7"/>
  <c r="N408" i="7"/>
  <c r="K408" i="7"/>
  <c r="H408" i="7"/>
  <c r="G408" i="7"/>
  <c r="F408" i="7"/>
  <c r="E408" i="7"/>
  <c r="D408" i="7" s="1"/>
  <c r="N407" i="7"/>
  <c r="K407" i="7"/>
  <c r="H407" i="7"/>
  <c r="F407" i="7"/>
  <c r="E407" i="7"/>
  <c r="D407" i="7"/>
  <c r="N406" i="7"/>
  <c r="K406" i="7"/>
  <c r="H406" i="7"/>
  <c r="G406" i="7"/>
  <c r="F406" i="7"/>
  <c r="E406" i="7"/>
  <c r="D406" i="7"/>
  <c r="N405" i="7"/>
  <c r="K405" i="7"/>
  <c r="H405" i="7"/>
  <c r="F405" i="7"/>
  <c r="E405" i="7"/>
  <c r="D405" i="7"/>
  <c r="N404" i="7"/>
  <c r="K404" i="7"/>
  <c r="I404" i="7"/>
  <c r="J404" i="7" s="1"/>
  <c r="H404" i="7"/>
  <c r="G404" i="7"/>
  <c r="F404" i="7"/>
  <c r="E404" i="7"/>
  <c r="D404" i="7"/>
  <c r="B401" i="7"/>
  <c r="N400" i="7"/>
  <c r="K400" i="7"/>
  <c r="H400" i="7"/>
  <c r="F400" i="7"/>
  <c r="E400" i="7"/>
  <c r="D400" i="7"/>
  <c r="B397" i="7"/>
  <c r="N396" i="7"/>
  <c r="K396" i="7"/>
  <c r="H396" i="7"/>
  <c r="F396" i="7"/>
  <c r="G396" i="7" s="1"/>
  <c r="E396" i="7"/>
  <c r="D396" i="7"/>
  <c r="N395" i="7"/>
  <c r="K395" i="7"/>
  <c r="H395" i="7"/>
  <c r="F395" i="7"/>
  <c r="E395" i="7"/>
  <c r="D395" i="7"/>
  <c r="N394" i="7"/>
  <c r="K394" i="7"/>
  <c r="H394" i="7"/>
  <c r="I394" i="7" s="1"/>
  <c r="J394" i="7" s="1"/>
  <c r="G394" i="7"/>
  <c r="F394" i="7"/>
  <c r="E394" i="7"/>
  <c r="D394" i="7"/>
  <c r="N393" i="7"/>
  <c r="K393" i="7"/>
  <c r="H393" i="7"/>
  <c r="F393" i="7"/>
  <c r="E393" i="7"/>
  <c r="D393" i="7"/>
  <c r="N392" i="7"/>
  <c r="K392" i="7"/>
  <c r="L392" i="7" s="1"/>
  <c r="H392" i="7"/>
  <c r="I392" i="7" s="1"/>
  <c r="J392" i="7" s="1"/>
  <c r="F392" i="7"/>
  <c r="E392" i="7"/>
  <c r="G392" i="7" s="1"/>
  <c r="D392" i="7"/>
  <c r="N391" i="7"/>
  <c r="K391" i="7"/>
  <c r="H391" i="7"/>
  <c r="F391" i="7"/>
  <c r="E391" i="7"/>
  <c r="N390" i="7"/>
  <c r="K390" i="7"/>
  <c r="H390" i="7"/>
  <c r="F390" i="7"/>
  <c r="G390" i="7" s="1"/>
  <c r="E390" i="7"/>
  <c r="D390" i="7"/>
  <c r="N389" i="7"/>
  <c r="K389" i="7"/>
  <c r="J389" i="7"/>
  <c r="H389" i="7"/>
  <c r="I389" i="7" s="1"/>
  <c r="F389" i="7"/>
  <c r="E389" i="7"/>
  <c r="G389" i="7" s="1"/>
  <c r="D389" i="7"/>
  <c r="N388" i="7"/>
  <c r="K388" i="7"/>
  <c r="J388" i="7"/>
  <c r="I388" i="7"/>
  <c r="H388" i="7"/>
  <c r="G388" i="7"/>
  <c r="F388" i="7"/>
  <c r="E388" i="7"/>
  <c r="D388" i="7"/>
  <c r="N387" i="7"/>
  <c r="K387" i="7"/>
  <c r="H387" i="7"/>
  <c r="G387" i="7"/>
  <c r="F387" i="7"/>
  <c r="E387" i="7"/>
  <c r="D387" i="7" s="1"/>
  <c r="N386" i="7"/>
  <c r="K386" i="7"/>
  <c r="H386" i="7"/>
  <c r="F386" i="7"/>
  <c r="E386" i="7"/>
  <c r="D386" i="7"/>
  <c r="N385" i="7"/>
  <c r="K385" i="7"/>
  <c r="L385" i="7" s="1"/>
  <c r="J385" i="7"/>
  <c r="I385" i="7"/>
  <c r="H385" i="7"/>
  <c r="F385" i="7"/>
  <c r="E385" i="7"/>
  <c r="G385" i="7" s="1"/>
  <c r="D385" i="7"/>
  <c r="N384" i="7"/>
  <c r="K384" i="7"/>
  <c r="H384" i="7"/>
  <c r="F384" i="7"/>
  <c r="G384" i="7" s="1"/>
  <c r="E384" i="7"/>
  <c r="D384" i="7"/>
  <c r="N383" i="7"/>
  <c r="K383" i="7"/>
  <c r="H383" i="7"/>
  <c r="F383" i="7"/>
  <c r="E383" i="7"/>
  <c r="N382" i="7"/>
  <c r="K382" i="7"/>
  <c r="H382" i="7"/>
  <c r="G382" i="7"/>
  <c r="I382" i="7" s="1"/>
  <c r="J382" i="7" s="1"/>
  <c r="F382" i="7"/>
  <c r="E382" i="7"/>
  <c r="D382" i="7"/>
  <c r="N381" i="7"/>
  <c r="K381" i="7"/>
  <c r="H381" i="7"/>
  <c r="G381" i="7"/>
  <c r="I381" i="7" s="1"/>
  <c r="J381" i="7" s="1"/>
  <c r="F381" i="7"/>
  <c r="E381" i="7"/>
  <c r="D381" i="7"/>
  <c r="N380" i="7"/>
  <c r="K380" i="7"/>
  <c r="H380" i="7"/>
  <c r="G380" i="7"/>
  <c r="F380" i="7"/>
  <c r="E380" i="7"/>
  <c r="D380" i="7" s="1"/>
  <c r="N379" i="7"/>
  <c r="K379" i="7"/>
  <c r="H379" i="7"/>
  <c r="I379" i="7" s="1"/>
  <c r="J379" i="7" s="1"/>
  <c r="F379" i="7"/>
  <c r="E379" i="7"/>
  <c r="G379" i="7" s="1"/>
  <c r="D379" i="7"/>
  <c r="N378" i="7"/>
  <c r="K378" i="7"/>
  <c r="H378" i="7"/>
  <c r="F378" i="7"/>
  <c r="G378" i="7" s="1"/>
  <c r="E378" i="7"/>
  <c r="D378" i="7"/>
  <c r="N377" i="7"/>
  <c r="K377" i="7"/>
  <c r="H377" i="7"/>
  <c r="F377" i="7"/>
  <c r="E377" i="7"/>
  <c r="D377" i="7"/>
  <c r="N376" i="7"/>
  <c r="K376" i="7"/>
  <c r="I376" i="7"/>
  <c r="J376" i="7" s="1"/>
  <c r="H376" i="7"/>
  <c r="F376" i="7"/>
  <c r="G376" i="7" s="1"/>
  <c r="E376" i="7"/>
  <c r="D376" i="7"/>
  <c r="N375" i="7"/>
  <c r="K375" i="7"/>
  <c r="H375" i="7"/>
  <c r="I375" i="7" s="1"/>
  <c r="J375" i="7" s="1"/>
  <c r="F375" i="7"/>
  <c r="E375" i="7"/>
  <c r="G375" i="7" s="1"/>
  <c r="D375" i="7"/>
  <c r="N374" i="7"/>
  <c r="K374" i="7"/>
  <c r="H374" i="7"/>
  <c r="F374" i="7"/>
  <c r="E374" i="7"/>
  <c r="G374" i="7" s="1"/>
  <c r="D374" i="7"/>
  <c r="N373" i="7"/>
  <c r="K373" i="7"/>
  <c r="H373" i="7"/>
  <c r="F373" i="7"/>
  <c r="E373" i="7"/>
  <c r="N372" i="7"/>
  <c r="K372" i="7"/>
  <c r="H372" i="7"/>
  <c r="F372" i="7"/>
  <c r="G372" i="7" s="1"/>
  <c r="E372" i="7"/>
  <c r="D372" i="7"/>
  <c r="N371" i="7"/>
  <c r="K371" i="7"/>
  <c r="H371" i="7"/>
  <c r="F371" i="7"/>
  <c r="E371" i="7"/>
  <c r="N370" i="7"/>
  <c r="K370" i="7"/>
  <c r="H370" i="7"/>
  <c r="F370" i="7"/>
  <c r="G370" i="7" s="1"/>
  <c r="I370" i="7" s="1"/>
  <c r="J370" i="7" s="1"/>
  <c r="E370" i="7"/>
  <c r="D370" i="7"/>
  <c r="N369" i="7"/>
  <c r="K369" i="7"/>
  <c r="I369" i="7"/>
  <c r="J369" i="7" s="1"/>
  <c r="H369" i="7"/>
  <c r="G369" i="7"/>
  <c r="F369" i="7"/>
  <c r="E369" i="7"/>
  <c r="D369" i="7"/>
  <c r="N368" i="7"/>
  <c r="K368" i="7"/>
  <c r="H368" i="7"/>
  <c r="F368" i="7"/>
  <c r="E368" i="7"/>
  <c r="D368" i="7" s="1"/>
  <c r="N367" i="7"/>
  <c r="K367" i="7"/>
  <c r="H367" i="7"/>
  <c r="F367" i="7"/>
  <c r="E367" i="7"/>
  <c r="N366" i="7"/>
  <c r="K366" i="7"/>
  <c r="H366" i="7"/>
  <c r="I366" i="7" s="1"/>
  <c r="J366" i="7" s="1"/>
  <c r="F366" i="7"/>
  <c r="G366" i="7" s="1"/>
  <c r="E366" i="7"/>
  <c r="D366" i="7"/>
  <c r="N365" i="7"/>
  <c r="K365" i="7"/>
  <c r="H365" i="7"/>
  <c r="F365" i="7"/>
  <c r="E365" i="7"/>
  <c r="N364" i="7"/>
  <c r="K364" i="7"/>
  <c r="H364" i="7"/>
  <c r="G364" i="7"/>
  <c r="F364" i="7"/>
  <c r="E364" i="7"/>
  <c r="D364" i="7"/>
  <c r="N363" i="7"/>
  <c r="K363" i="7"/>
  <c r="H363" i="7"/>
  <c r="I363" i="7" s="1"/>
  <c r="J363" i="7" s="1"/>
  <c r="F363" i="7"/>
  <c r="E363" i="7"/>
  <c r="G363" i="7" s="1"/>
  <c r="D363" i="7"/>
  <c r="N362" i="7"/>
  <c r="K362" i="7"/>
  <c r="H362" i="7"/>
  <c r="F362" i="7"/>
  <c r="G362" i="7" s="1"/>
  <c r="E362" i="7"/>
  <c r="D362" i="7"/>
  <c r="N361" i="7"/>
  <c r="K361" i="7"/>
  <c r="H361" i="7"/>
  <c r="F361" i="7"/>
  <c r="E361" i="7"/>
  <c r="N360" i="7"/>
  <c r="K360" i="7"/>
  <c r="H360" i="7"/>
  <c r="F360" i="7"/>
  <c r="G360" i="7" s="1"/>
  <c r="E360" i="7"/>
  <c r="D360" i="7"/>
  <c r="N359" i="7"/>
  <c r="K359" i="7"/>
  <c r="H359" i="7"/>
  <c r="I359" i="7" s="1"/>
  <c r="J359" i="7" s="1"/>
  <c r="F359" i="7"/>
  <c r="E359" i="7"/>
  <c r="G359" i="7" s="1"/>
  <c r="D359" i="7"/>
  <c r="N358" i="7"/>
  <c r="K358" i="7"/>
  <c r="H358" i="7"/>
  <c r="F358" i="7"/>
  <c r="G358" i="7" s="1"/>
  <c r="I358" i="7" s="1"/>
  <c r="J358" i="7" s="1"/>
  <c r="D358" i="7"/>
  <c r="N357" i="7"/>
  <c r="K357" i="7"/>
  <c r="I357" i="7"/>
  <c r="J357" i="7" s="1"/>
  <c r="H357" i="7"/>
  <c r="F357" i="7"/>
  <c r="E357" i="7"/>
  <c r="G357" i="7" s="1"/>
  <c r="D357" i="7"/>
  <c r="B354" i="7"/>
  <c r="N353" i="7"/>
  <c r="K353" i="7"/>
  <c r="H353" i="7"/>
  <c r="F353" i="7"/>
  <c r="G353" i="7" s="1"/>
  <c r="I353" i="7" s="1"/>
  <c r="J353" i="7" s="1"/>
  <c r="E353" i="7"/>
  <c r="D353" i="7" s="1"/>
  <c r="N352" i="7"/>
  <c r="K352" i="7"/>
  <c r="H352" i="7"/>
  <c r="F352" i="7"/>
  <c r="E352" i="7"/>
  <c r="N351" i="7"/>
  <c r="K351" i="7"/>
  <c r="H351" i="7"/>
  <c r="F351" i="7"/>
  <c r="E351" i="7"/>
  <c r="N350" i="7"/>
  <c r="K350" i="7"/>
  <c r="I350" i="7"/>
  <c r="J350" i="7" s="1"/>
  <c r="H350" i="7"/>
  <c r="G350" i="7"/>
  <c r="F350" i="7"/>
  <c r="E350" i="7"/>
  <c r="D350" i="7"/>
  <c r="N349" i="7"/>
  <c r="K349" i="7"/>
  <c r="H349" i="7"/>
  <c r="G349" i="7"/>
  <c r="F349" i="7"/>
  <c r="E349" i="7"/>
  <c r="D349" i="7"/>
  <c r="N348" i="7"/>
  <c r="K348" i="7"/>
  <c r="I348" i="7"/>
  <c r="J348" i="7" s="1"/>
  <c r="H348" i="7"/>
  <c r="F348" i="7"/>
  <c r="E348" i="7"/>
  <c r="G348" i="7" s="1"/>
  <c r="D348" i="7"/>
  <c r="N347" i="7"/>
  <c r="K347" i="7"/>
  <c r="H347" i="7"/>
  <c r="G347" i="7"/>
  <c r="F347" i="7"/>
  <c r="E347" i="7"/>
  <c r="D347" i="7"/>
  <c r="N346" i="7"/>
  <c r="K346" i="7"/>
  <c r="H346" i="7"/>
  <c r="F346" i="7"/>
  <c r="E346" i="7"/>
  <c r="N345" i="7"/>
  <c r="K345" i="7"/>
  <c r="H345" i="7"/>
  <c r="F345" i="7"/>
  <c r="G345" i="7" s="1"/>
  <c r="E345" i="7"/>
  <c r="D345" i="7"/>
  <c r="N344" i="7"/>
  <c r="K344" i="7"/>
  <c r="H344" i="7"/>
  <c r="F344" i="7"/>
  <c r="E344" i="7"/>
  <c r="G344" i="7" s="1"/>
  <c r="D344" i="7"/>
  <c r="N343" i="7"/>
  <c r="K343" i="7"/>
  <c r="H343" i="7"/>
  <c r="I343" i="7" s="1"/>
  <c r="J343" i="7" s="1"/>
  <c r="G343" i="7"/>
  <c r="F343" i="7"/>
  <c r="E343" i="7"/>
  <c r="D343" i="7"/>
  <c r="N342" i="7"/>
  <c r="K342" i="7"/>
  <c r="H342" i="7"/>
  <c r="F342" i="7"/>
  <c r="E342" i="7"/>
  <c r="N341" i="7"/>
  <c r="K341" i="7"/>
  <c r="H341" i="7"/>
  <c r="F341" i="7"/>
  <c r="G341" i="7" s="1"/>
  <c r="E341" i="7"/>
  <c r="D341" i="7"/>
  <c r="N340" i="7"/>
  <c r="K340" i="7"/>
  <c r="H340" i="7"/>
  <c r="G340" i="7"/>
  <c r="F340" i="7"/>
  <c r="E340" i="7"/>
  <c r="D340" i="7"/>
  <c r="N339" i="7"/>
  <c r="K339" i="7"/>
  <c r="H339" i="7"/>
  <c r="F339" i="7"/>
  <c r="E339" i="7"/>
  <c r="G339" i="7" s="1"/>
  <c r="I339" i="7" s="1"/>
  <c r="J339" i="7" s="1"/>
  <c r="D339" i="7"/>
  <c r="N338" i="7"/>
  <c r="K338" i="7"/>
  <c r="H338" i="7"/>
  <c r="F338" i="7"/>
  <c r="G338" i="7" s="1"/>
  <c r="I338" i="7" s="1"/>
  <c r="J338" i="7" s="1"/>
  <c r="E338" i="7"/>
  <c r="D338" i="7"/>
  <c r="N337" i="7"/>
  <c r="K337" i="7"/>
  <c r="H337" i="7"/>
  <c r="G337" i="7"/>
  <c r="F337" i="7"/>
  <c r="E337" i="7"/>
  <c r="D337" i="7" s="1"/>
  <c r="N336" i="7"/>
  <c r="K336" i="7"/>
  <c r="I336" i="7"/>
  <c r="J336" i="7" s="1"/>
  <c r="H336" i="7"/>
  <c r="F336" i="7"/>
  <c r="E336" i="7"/>
  <c r="G336" i="7" s="1"/>
  <c r="D336" i="7"/>
  <c r="N335" i="7"/>
  <c r="K335" i="7"/>
  <c r="H335" i="7"/>
  <c r="F335" i="7"/>
  <c r="G335" i="7" s="1"/>
  <c r="E335" i="7"/>
  <c r="D335" i="7"/>
  <c r="N334" i="7"/>
  <c r="K334" i="7"/>
  <c r="H334" i="7"/>
  <c r="F334" i="7"/>
  <c r="E334" i="7"/>
  <c r="D334" i="7"/>
  <c r="N333" i="7"/>
  <c r="K333" i="7"/>
  <c r="H333" i="7"/>
  <c r="I333" i="7" s="1"/>
  <c r="J333" i="7" s="1"/>
  <c r="G333" i="7"/>
  <c r="F333" i="7"/>
  <c r="E333" i="7"/>
  <c r="D333" i="7"/>
  <c r="N332" i="7"/>
  <c r="K332" i="7"/>
  <c r="H332" i="7"/>
  <c r="F332" i="7"/>
  <c r="E332" i="7"/>
  <c r="G332" i="7" s="1"/>
  <c r="I332" i="7" s="1"/>
  <c r="J332" i="7" s="1"/>
  <c r="N331" i="7"/>
  <c r="K331" i="7"/>
  <c r="H331" i="7"/>
  <c r="F331" i="7"/>
  <c r="G331" i="7" s="1"/>
  <c r="E331" i="7"/>
  <c r="D331" i="7"/>
  <c r="N330" i="7"/>
  <c r="K330" i="7"/>
  <c r="H330" i="7"/>
  <c r="F330" i="7"/>
  <c r="E330" i="7"/>
  <c r="D330" i="7"/>
  <c r="N329" i="7"/>
  <c r="K329" i="7"/>
  <c r="H329" i="7"/>
  <c r="F329" i="7"/>
  <c r="G329" i="7" s="1"/>
  <c r="E329" i="7"/>
  <c r="D329" i="7"/>
  <c r="N328" i="7"/>
  <c r="K328" i="7"/>
  <c r="L328" i="7" s="1"/>
  <c r="H328" i="7"/>
  <c r="F328" i="7"/>
  <c r="G328" i="7" s="1"/>
  <c r="I328" i="7" s="1"/>
  <c r="J328" i="7" s="1"/>
  <c r="E328" i="7"/>
  <c r="D328" i="7"/>
  <c r="N327" i="7"/>
  <c r="K327" i="7"/>
  <c r="H327" i="7"/>
  <c r="I327" i="7" s="1"/>
  <c r="J327" i="7" s="1"/>
  <c r="G327" i="7"/>
  <c r="F327" i="7"/>
  <c r="E327" i="7"/>
  <c r="D327" i="7"/>
  <c r="N326" i="7"/>
  <c r="K326" i="7"/>
  <c r="H326" i="7"/>
  <c r="F326" i="7"/>
  <c r="E326" i="7"/>
  <c r="N325" i="7"/>
  <c r="K325" i="7"/>
  <c r="H325" i="7"/>
  <c r="G325" i="7"/>
  <c r="F325" i="7"/>
  <c r="E325" i="7"/>
  <c r="D325" i="7"/>
  <c r="N324" i="7"/>
  <c r="K324" i="7"/>
  <c r="H324" i="7"/>
  <c r="F324" i="7"/>
  <c r="E324" i="7"/>
  <c r="N323" i="7"/>
  <c r="K323" i="7"/>
  <c r="H323" i="7"/>
  <c r="G323" i="7"/>
  <c r="F323" i="7"/>
  <c r="E323" i="7"/>
  <c r="D323" i="7" s="1"/>
  <c r="N322" i="7"/>
  <c r="K322" i="7"/>
  <c r="I322" i="7"/>
  <c r="J322" i="7" s="1"/>
  <c r="H322" i="7"/>
  <c r="G322" i="7"/>
  <c r="F322" i="7"/>
  <c r="D322" i="7"/>
  <c r="B319" i="7"/>
  <c r="N318" i="7"/>
  <c r="K318" i="7"/>
  <c r="H318" i="7"/>
  <c r="G318" i="7"/>
  <c r="F318" i="7"/>
  <c r="E318" i="7"/>
  <c r="D318" i="7"/>
  <c r="N317" i="7"/>
  <c r="K317" i="7"/>
  <c r="H317" i="7"/>
  <c r="F317" i="7"/>
  <c r="G317" i="7" s="1"/>
  <c r="E317" i="7"/>
  <c r="D317" i="7"/>
  <c r="N316" i="7"/>
  <c r="K316" i="7"/>
  <c r="H316" i="7"/>
  <c r="I316" i="7" s="1"/>
  <c r="J316" i="7" s="1"/>
  <c r="F316" i="7"/>
  <c r="E316" i="7"/>
  <c r="G316" i="7" s="1"/>
  <c r="D316" i="7"/>
  <c r="N315" i="7"/>
  <c r="K315" i="7"/>
  <c r="H315" i="7"/>
  <c r="F315" i="7"/>
  <c r="E315" i="7"/>
  <c r="N314" i="7"/>
  <c r="K314" i="7"/>
  <c r="H314" i="7"/>
  <c r="F314" i="7"/>
  <c r="G314" i="7" s="1"/>
  <c r="E314" i="7"/>
  <c r="D314" i="7"/>
  <c r="N313" i="7"/>
  <c r="K313" i="7"/>
  <c r="H313" i="7"/>
  <c r="F313" i="7"/>
  <c r="E313" i="7"/>
  <c r="N312" i="7"/>
  <c r="K312" i="7"/>
  <c r="H312" i="7"/>
  <c r="F312" i="7"/>
  <c r="E312" i="7"/>
  <c r="G312" i="7" s="1"/>
  <c r="D312" i="7"/>
  <c r="N311" i="7"/>
  <c r="K311" i="7"/>
  <c r="H311" i="7"/>
  <c r="I311" i="7" s="1"/>
  <c r="J311" i="7" s="1"/>
  <c r="G311" i="7"/>
  <c r="F311" i="7"/>
  <c r="E311" i="7"/>
  <c r="D311" i="7"/>
  <c r="N310" i="7"/>
  <c r="K310" i="7"/>
  <c r="H310" i="7"/>
  <c r="F310" i="7"/>
  <c r="E310" i="7"/>
  <c r="G310" i="7" s="1"/>
  <c r="D310" i="7"/>
  <c r="N309" i="7"/>
  <c r="K309" i="7"/>
  <c r="H309" i="7"/>
  <c r="F309" i="7"/>
  <c r="E309" i="7"/>
  <c r="N308" i="7"/>
  <c r="K308" i="7"/>
  <c r="I308" i="7"/>
  <c r="J308" i="7" s="1"/>
  <c r="H308" i="7"/>
  <c r="F308" i="7"/>
  <c r="G308" i="7" s="1"/>
  <c r="E308" i="7"/>
  <c r="D308" i="7"/>
  <c r="N307" i="7"/>
  <c r="K307" i="7"/>
  <c r="H307" i="7"/>
  <c r="F307" i="7"/>
  <c r="G307" i="7" s="1"/>
  <c r="E307" i="7"/>
  <c r="D307" i="7"/>
  <c r="N306" i="7"/>
  <c r="K306" i="7"/>
  <c r="H306" i="7"/>
  <c r="F306" i="7"/>
  <c r="E306" i="7"/>
  <c r="N305" i="7"/>
  <c r="K305" i="7"/>
  <c r="I305" i="7"/>
  <c r="J305" i="7" s="1"/>
  <c r="H305" i="7"/>
  <c r="F305" i="7"/>
  <c r="E305" i="7"/>
  <c r="G305" i="7" s="1"/>
  <c r="D305" i="7"/>
  <c r="N304" i="7"/>
  <c r="K304" i="7"/>
  <c r="H304" i="7"/>
  <c r="F304" i="7"/>
  <c r="G304" i="7" s="1"/>
  <c r="E304" i="7"/>
  <c r="D304" i="7"/>
  <c r="N303" i="7"/>
  <c r="K303" i="7"/>
  <c r="H303" i="7"/>
  <c r="I303" i="7" s="1"/>
  <c r="J303" i="7" s="1"/>
  <c r="F303" i="7"/>
  <c r="E303" i="7"/>
  <c r="G303" i="7" s="1"/>
  <c r="D303" i="7"/>
  <c r="N302" i="7"/>
  <c r="K302" i="7"/>
  <c r="H302" i="7"/>
  <c r="F302" i="7"/>
  <c r="G302" i="7" s="1"/>
  <c r="E302" i="7"/>
  <c r="D302" i="7"/>
  <c r="N301" i="7"/>
  <c r="K301" i="7"/>
  <c r="H301" i="7"/>
  <c r="F301" i="7"/>
  <c r="G301" i="7" s="1"/>
  <c r="I301" i="7" s="1"/>
  <c r="J301" i="7" s="1"/>
  <c r="E301" i="7"/>
  <c r="D301" i="7"/>
  <c r="N300" i="7"/>
  <c r="K300" i="7"/>
  <c r="H300" i="7"/>
  <c r="F300" i="7"/>
  <c r="E300" i="7"/>
  <c r="G300" i="7" s="1"/>
  <c r="I300" i="7" s="1"/>
  <c r="J300" i="7" s="1"/>
  <c r="D300" i="7"/>
  <c r="N299" i="7"/>
  <c r="K299" i="7"/>
  <c r="H299" i="7"/>
  <c r="F299" i="7"/>
  <c r="E299" i="7"/>
  <c r="G299" i="7" s="1"/>
  <c r="I299" i="7" s="1"/>
  <c r="J299" i="7" s="1"/>
  <c r="D299" i="7"/>
  <c r="N298" i="7"/>
  <c r="K298" i="7"/>
  <c r="H298" i="7"/>
  <c r="F298" i="7"/>
  <c r="G298" i="7" s="1"/>
  <c r="E298" i="7"/>
  <c r="D298" i="7"/>
  <c r="N297" i="7"/>
  <c r="K297" i="7"/>
  <c r="H297" i="7"/>
  <c r="F297" i="7"/>
  <c r="E297" i="7"/>
  <c r="N296" i="7"/>
  <c r="K296" i="7"/>
  <c r="H296" i="7"/>
  <c r="F296" i="7"/>
  <c r="G296" i="7" s="1"/>
  <c r="E296" i="7"/>
  <c r="D296" i="7"/>
  <c r="N295" i="7"/>
  <c r="K295" i="7"/>
  <c r="H295" i="7"/>
  <c r="F295" i="7"/>
  <c r="E295" i="7"/>
  <c r="D295" i="7"/>
  <c r="N294" i="7"/>
  <c r="K294" i="7"/>
  <c r="H294" i="7"/>
  <c r="I294" i="7" s="1"/>
  <c r="J294" i="7" s="1"/>
  <c r="F294" i="7"/>
  <c r="E294" i="7"/>
  <c r="G294" i="7" s="1"/>
  <c r="D294" i="7"/>
  <c r="N293" i="7"/>
  <c r="K293" i="7"/>
  <c r="H293" i="7"/>
  <c r="F293" i="7"/>
  <c r="G293" i="7" s="1"/>
  <c r="E293" i="7"/>
  <c r="D293" i="7" s="1"/>
  <c r="N292" i="7"/>
  <c r="K292" i="7"/>
  <c r="H292" i="7"/>
  <c r="F292" i="7"/>
  <c r="E292" i="7"/>
  <c r="D292" i="7"/>
  <c r="N291" i="7"/>
  <c r="K291" i="7"/>
  <c r="H291" i="7"/>
  <c r="F291" i="7"/>
  <c r="E291" i="7"/>
  <c r="N290" i="7"/>
  <c r="K290" i="7"/>
  <c r="J290" i="7"/>
  <c r="I290" i="7"/>
  <c r="H290" i="7"/>
  <c r="F290" i="7"/>
  <c r="G290" i="7" s="1"/>
  <c r="E290" i="7"/>
  <c r="D290" i="7"/>
  <c r="N289" i="7"/>
  <c r="K289" i="7"/>
  <c r="H289" i="7"/>
  <c r="G289" i="7"/>
  <c r="F289" i="7"/>
  <c r="E289" i="7"/>
  <c r="D289" i="7"/>
  <c r="N288" i="7"/>
  <c r="K288" i="7"/>
  <c r="H288" i="7"/>
  <c r="F288" i="7"/>
  <c r="E288" i="7"/>
  <c r="N287" i="7"/>
  <c r="K287" i="7"/>
  <c r="H287" i="7"/>
  <c r="I287" i="7" s="1"/>
  <c r="J287" i="7" s="1"/>
  <c r="G287" i="7"/>
  <c r="F287" i="7"/>
  <c r="E287" i="7"/>
  <c r="D287" i="7"/>
  <c r="N286" i="7"/>
  <c r="K286" i="7"/>
  <c r="H286" i="7"/>
  <c r="F286" i="7"/>
  <c r="E286" i="7"/>
  <c r="N285" i="7"/>
  <c r="K285" i="7"/>
  <c r="H285" i="7"/>
  <c r="F285" i="7"/>
  <c r="E285" i="7"/>
  <c r="D285" i="7"/>
  <c r="N284" i="7"/>
  <c r="K284" i="7"/>
  <c r="H284" i="7"/>
  <c r="G284" i="7"/>
  <c r="F284" i="7"/>
  <c r="E284" i="7"/>
  <c r="D284" i="7"/>
  <c r="N283" i="7"/>
  <c r="K283" i="7"/>
  <c r="H283" i="7"/>
  <c r="F283" i="7"/>
  <c r="E283" i="7"/>
  <c r="N282" i="7"/>
  <c r="K282" i="7"/>
  <c r="H282" i="7"/>
  <c r="F282" i="7"/>
  <c r="E282" i="7"/>
  <c r="N281" i="7"/>
  <c r="K281" i="7"/>
  <c r="H281" i="7"/>
  <c r="I281" i="7" s="1"/>
  <c r="J281" i="7" s="1"/>
  <c r="F281" i="7"/>
  <c r="E281" i="7"/>
  <c r="G281" i="7" s="1"/>
  <c r="D281" i="7"/>
  <c r="N280" i="7"/>
  <c r="K280" i="7"/>
  <c r="H280" i="7"/>
  <c r="F280" i="7"/>
  <c r="G280" i="7" s="1"/>
  <c r="E280" i="7"/>
  <c r="D280" i="7"/>
  <c r="N279" i="7"/>
  <c r="K279" i="7"/>
  <c r="H279" i="7"/>
  <c r="F279" i="7"/>
  <c r="E279" i="7"/>
  <c r="G279" i="7" s="1"/>
  <c r="I279" i="7" s="1"/>
  <c r="J279" i="7" s="1"/>
  <c r="D279" i="7"/>
  <c r="B276" i="7"/>
  <c r="N275" i="7"/>
  <c r="K275" i="7"/>
  <c r="H275" i="7"/>
  <c r="F275" i="7"/>
  <c r="E275" i="7"/>
  <c r="G275" i="7" s="1"/>
  <c r="D275" i="7"/>
  <c r="N274" i="7"/>
  <c r="K274" i="7"/>
  <c r="H274" i="7"/>
  <c r="F274" i="7"/>
  <c r="G274" i="7" s="1"/>
  <c r="E274" i="7"/>
  <c r="D274" i="7"/>
  <c r="N273" i="7"/>
  <c r="K273" i="7"/>
  <c r="H273" i="7"/>
  <c r="F273" i="7"/>
  <c r="E273" i="7"/>
  <c r="G273" i="7" s="1"/>
  <c r="I273" i="7" s="1"/>
  <c r="J273" i="7" s="1"/>
  <c r="D273" i="7"/>
  <c r="N272" i="7"/>
  <c r="K272" i="7"/>
  <c r="H272" i="7"/>
  <c r="G272" i="7"/>
  <c r="F272" i="7"/>
  <c r="E272" i="7"/>
  <c r="D272" i="7"/>
  <c r="N271" i="7"/>
  <c r="K271" i="7"/>
  <c r="H271" i="7"/>
  <c r="F271" i="7"/>
  <c r="E271" i="7"/>
  <c r="N270" i="7"/>
  <c r="K270" i="7"/>
  <c r="H270" i="7"/>
  <c r="F270" i="7"/>
  <c r="E270" i="7"/>
  <c r="D270" i="7" s="1"/>
  <c r="N269" i="7"/>
  <c r="K269" i="7"/>
  <c r="H269" i="7"/>
  <c r="F269" i="7"/>
  <c r="E269" i="7"/>
  <c r="D269" i="7"/>
  <c r="N268" i="7"/>
  <c r="K268" i="7"/>
  <c r="H268" i="7"/>
  <c r="F268" i="7"/>
  <c r="G268" i="7" s="1"/>
  <c r="I268" i="7" s="1"/>
  <c r="J268" i="7" s="1"/>
  <c r="E268" i="7"/>
  <c r="D268" i="7"/>
  <c r="N267" i="7"/>
  <c r="K267" i="7"/>
  <c r="J267" i="7"/>
  <c r="I267" i="7"/>
  <c r="H267" i="7"/>
  <c r="G267" i="7"/>
  <c r="F267" i="7"/>
  <c r="E267" i="7"/>
  <c r="D267" i="7"/>
  <c r="N266" i="7"/>
  <c r="K266" i="7"/>
  <c r="H266" i="7"/>
  <c r="F266" i="7"/>
  <c r="E266" i="7"/>
  <c r="D266" i="7" s="1"/>
  <c r="N265" i="7"/>
  <c r="K265" i="7"/>
  <c r="H265" i="7"/>
  <c r="I265" i="7" s="1"/>
  <c r="J265" i="7" s="1"/>
  <c r="G265" i="7"/>
  <c r="F265" i="7"/>
  <c r="E265" i="7"/>
  <c r="D265" i="7"/>
  <c r="N264" i="7"/>
  <c r="K264" i="7"/>
  <c r="H264" i="7"/>
  <c r="F264" i="7"/>
  <c r="E264" i="7"/>
  <c r="N263" i="7"/>
  <c r="K263" i="7"/>
  <c r="H263" i="7"/>
  <c r="F263" i="7"/>
  <c r="E263" i="7"/>
  <c r="D263" i="7"/>
  <c r="N262" i="7"/>
  <c r="K262" i="7"/>
  <c r="H262" i="7"/>
  <c r="I262" i="7" s="1"/>
  <c r="J262" i="7" s="1"/>
  <c r="G262" i="7"/>
  <c r="F262" i="7"/>
  <c r="E262" i="7"/>
  <c r="D262" i="7"/>
  <c r="N261" i="7"/>
  <c r="K261" i="7"/>
  <c r="H261" i="7"/>
  <c r="I261" i="7" s="1"/>
  <c r="J261" i="7" s="1"/>
  <c r="G261" i="7"/>
  <c r="F261" i="7"/>
  <c r="E261" i="7"/>
  <c r="D261" i="7" s="1"/>
  <c r="N260" i="7"/>
  <c r="K260" i="7"/>
  <c r="H260" i="7"/>
  <c r="F260" i="7"/>
  <c r="E260" i="7"/>
  <c r="D260" i="7"/>
  <c r="N259" i="7"/>
  <c r="K259" i="7"/>
  <c r="H259" i="7"/>
  <c r="I259" i="7" s="1"/>
  <c r="J259" i="7" s="1"/>
  <c r="F259" i="7"/>
  <c r="E259" i="7"/>
  <c r="G259" i="7" s="1"/>
  <c r="D259" i="7"/>
  <c r="N258" i="7"/>
  <c r="K258" i="7"/>
  <c r="H258" i="7"/>
  <c r="F258" i="7"/>
  <c r="E258" i="7"/>
  <c r="D258" i="7" s="1"/>
  <c r="N257" i="7"/>
  <c r="K257" i="7"/>
  <c r="H257" i="7"/>
  <c r="I257" i="7" s="1"/>
  <c r="J257" i="7" s="1"/>
  <c r="F257" i="7"/>
  <c r="E257" i="7"/>
  <c r="G257" i="7" s="1"/>
  <c r="D257" i="7"/>
  <c r="N256" i="7"/>
  <c r="K256" i="7"/>
  <c r="H256" i="7"/>
  <c r="G256" i="7"/>
  <c r="I256" i="7" s="1"/>
  <c r="J256" i="7" s="1"/>
  <c r="F256" i="7"/>
  <c r="E256" i="7"/>
  <c r="D256" i="7"/>
  <c r="N255" i="7"/>
  <c r="K255" i="7"/>
  <c r="J255" i="7"/>
  <c r="I255" i="7"/>
  <c r="H255" i="7"/>
  <c r="F255" i="7"/>
  <c r="E255" i="7"/>
  <c r="G255" i="7" s="1"/>
  <c r="D255" i="7"/>
  <c r="N254" i="7"/>
  <c r="K254" i="7"/>
  <c r="H254" i="7"/>
  <c r="F254" i="7"/>
  <c r="G254" i="7" s="1"/>
  <c r="E254" i="7"/>
  <c r="D254" i="7"/>
  <c r="N253" i="7"/>
  <c r="K253" i="7"/>
  <c r="H253" i="7"/>
  <c r="I253" i="7" s="1"/>
  <c r="J253" i="7" s="1"/>
  <c r="F253" i="7"/>
  <c r="E253" i="7"/>
  <c r="G253" i="7" s="1"/>
  <c r="D253" i="7"/>
  <c r="N252" i="7"/>
  <c r="K252" i="7"/>
  <c r="H252" i="7"/>
  <c r="F252" i="7"/>
  <c r="E252" i="7"/>
  <c r="G252" i="7" s="1"/>
  <c r="D252" i="7"/>
  <c r="N251" i="7"/>
  <c r="K251" i="7"/>
  <c r="H251" i="7"/>
  <c r="F251" i="7"/>
  <c r="E251" i="7"/>
  <c r="N250" i="7"/>
  <c r="K250" i="7"/>
  <c r="I250" i="7"/>
  <c r="J250" i="7" s="1"/>
  <c r="H250" i="7"/>
  <c r="G250" i="7"/>
  <c r="F250" i="7"/>
  <c r="E250" i="7"/>
  <c r="D250" i="7"/>
  <c r="N249" i="7"/>
  <c r="K249" i="7"/>
  <c r="H249" i="7"/>
  <c r="F249" i="7"/>
  <c r="E249" i="7"/>
  <c r="N248" i="7"/>
  <c r="K248" i="7"/>
  <c r="H248" i="7"/>
  <c r="F248" i="7"/>
  <c r="E248" i="7"/>
  <c r="G248" i="7" s="1"/>
  <c r="D248" i="7"/>
  <c r="N247" i="7"/>
  <c r="K247" i="7"/>
  <c r="H247" i="7"/>
  <c r="F247" i="7"/>
  <c r="E247" i="7"/>
  <c r="D247" i="7"/>
  <c r="N246" i="7"/>
  <c r="K246" i="7"/>
  <c r="H246" i="7"/>
  <c r="F246" i="7"/>
  <c r="G246" i="7" s="1"/>
  <c r="E246" i="7"/>
  <c r="D246" i="7"/>
  <c r="N245" i="7"/>
  <c r="K245" i="7"/>
  <c r="H245" i="7"/>
  <c r="F245" i="7"/>
  <c r="E245" i="7"/>
  <c r="D245" i="7"/>
  <c r="N244" i="7"/>
  <c r="K244" i="7"/>
  <c r="J244" i="7"/>
  <c r="I244" i="7"/>
  <c r="H244" i="7"/>
  <c r="G244" i="7"/>
  <c r="F244" i="7"/>
  <c r="E244" i="7"/>
  <c r="D244" i="7"/>
  <c r="N243" i="7"/>
  <c r="K243" i="7"/>
  <c r="H243" i="7"/>
  <c r="F243" i="7"/>
  <c r="G243" i="7" s="1"/>
  <c r="E243" i="7"/>
  <c r="D243" i="7" s="1"/>
  <c r="N242" i="7"/>
  <c r="K242" i="7"/>
  <c r="H242" i="7"/>
  <c r="F242" i="7"/>
  <c r="E242" i="7"/>
  <c r="N241" i="7"/>
  <c r="K241" i="7"/>
  <c r="H241" i="7"/>
  <c r="G241" i="7"/>
  <c r="F241" i="7"/>
  <c r="E241" i="7"/>
  <c r="D241" i="7"/>
  <c r="N240" i="7"/>
  <c r="K240" i="7"/>
  <c r="H240" i="7"/>
  <c r="F240" i="7"/>
  <c r="E240" i="7"/>
  <c r="B237" i="7"/>
  <c r="N236" i="7"/>
  <c r="K236" i="7"/>
  <c r="H236" i="7"/>
  <c r="F236" i="7"/>
  <c r="G236" i="7" s="1"/>
  <c r="I236" i="7" s="1"/>
  <c r="J236" i="7" s="1"/>
  <c r="E236" i="7"/>
  <c r="D236" i="7"/>
  <c r="N235" i="7"/>
  <c r="K235" i="7"/>
  <c r="H235" i="7"/>
  <c r="F235" i="7"/>
  <c r="G235" i="7" s="1"/>
  <c r="E235" i="7"/>
  <c r="D235" i="7"/>
  <c r="N234" i="7"/>
  <c r="K234" i="7"/>
  <c r="H234" i="7"/>
  <c r="F234" i="7"/>
  <c r="E234" i="7"/>
  <c r="G234" i="7" s="1"/>
  <c r="D234" i="7"/>
  <c r="N233" i="7"/>
  <c r="K233" i="7"/>
  <c r="H233" i="7"/>
  <c r="F233" i="7"/>
  <c r="G233" i="7" s="1"/>
  <c r="E233" i="7"/>
  <c r="D233" i="7"/>
  <c r="N232" i="7"/>
  <c r="K232" i="7"/>
  <c r="H232" i="7"/>
  <c r="F232" i="7"/>
  <c r="E232" i="7"/>
  <c r="G232" i="7" s="1"/>
  <c r="I232" i="7" s="1"/>
  <c r="J232" i="7" s="1"/>
  <c r="D232" i="7"/>
  <c r="N231" i="7"/>
  <c r="K231" i="7"/>
  <c r="H231" i="7"/>
  <c r="F231" i="7"/>
  <c r="G231" i="7" s="1"/>
  <c r="E231" i="7"/>
  <c r="D231" i="7"/>
  <c r="N230" i="7"/>
  <c r="K230" i="7"/>
  <c r="H230" i="7"/>
  <c r="F230" i="7"/>
  <c r="E230" i="7"/>
  <c r="G230" i="7" s="1"/>
  <c r="D230" i="7"/>
  <c r="N229" i="7"/>
  <c r="K229" i="7"/>
  <c r="H229" i="7"/>
  <c r="F229" i="7"/>
  <c r="G229" i="7" s="1"/>
  <c r="E229" i="7"/>
  <c r="D229" i="7"/>
  <c r="N228" i="7"/>
  <c r="K228" i="7"/>
  <c r="H228" i="7"/>
  <c r="I228" i="7" s="1"/>
  <c r="J228" i="7" s="1"/>
  <c r="F228" i="7"/>
  <c r="E228" i="7"/>
  <c r="G228" i="7" s="1"/>
  <c r="D228" i="7"/>
  <c r="N227" i="7"/>
  <c r="K227" i="7"/>
  <c r="I227" i="7"/>
  <c r="J227" i="7" s="1"/>
  <c r="H227" i="7"/>
  <c r="F227" i="7"/>
  <c r="G227" i="7" s="1"/>
  <c r="E227" i="7"/>
  <c r="D227" i="7"/>
  <c r="N226" i="7"/>
  <c r="K226" i="7"/>
  <c r="H226" i="7"/>
  <c r="G226" i="7"/>
  <c r="F226" i="7"/>
  <c r="E226" i="7"/>
  <c r="D226" i="7"/>
  <c r="N225" i="7"/>
  <c r="K225" i="7"/>
  <c r="H225" i="7"/>
  <c r="I225" i="7" s="1"/>
  <c r="J225" i="7" s="1"/>
  <c r="F225" i="7"/>
  <c r="E225" i="7"/>
  <c r="G225" i="7" s="1"/>
  <c r="D225" i="7"/>
  <c r="N224" i="7"/>
  <c r="K224" i="7"/>
  <c r="H224" i="7"/>
  <c r="F224" i="7"/>
  <c r="E224" i="7"/>
  <c r="N223" i="7"/>
  <c r="K223" i="7"/>
  <c r="H223" i="7"/>
  <c r="F223" i="7"/>
  <c r="E223" i="7"/>
  <c r="N222" i="7"/>
  <c r="K222" i="7"/>
  <c r="I222" i="7"/>
  <c r="J222" i="7" s="1"/>
  <c r="H222" i="7"/>
  <c r="F222" i="7"/>
  <c r="E222" i="7"/>
  <c r="G222" i="7" s="1"/>
  <c r="D222" i="7"/>
  <c r="N221" i="7"/>
  <c r="K221" i="7"/>
  <c r="H221" i="7"/>
  <c r="I221" i="7" s="1"/>
  <c r="J221" i="7" s="1"/>
  <c r="F221" i="7"/>
  <c r="G221" i="7" s="1"/>
  <c r="E221" i="7"/>
  <c r="D221" i="7"/>
  <c r="N220" i="7"/>
  <c r="K220" i="7"/>
  <c r="H220" i="7"/>
  <c r="F220" i="7"/>
  <c r="E220" i="7"/>
  <c r="G220" i="7" s="1"/>
  <c r="D220" i="7"/>
  <c r="N219" i="7"/>
  <c r="K219" i="7"/>
  <c r="I219" i="7"/>
  <c r="J219" i="7" s="1"/>
  <c r="H219" i="7"/>
  <c r="G219" i="7"/>
  <c r="F219" i="7"/>
  <c r="E219" i="7"/>
  <c r="D219" i="7"/>
  <c r="N218" i="7"/>
  <c r="K218" i="7"/>
  <c r="H218" i="7"/>
  <c r="F218" i="7"/>
  <c r="G218" i="7" s="1"/>
  <c r="E218" i="7"/>
  <c r="D218" i="7"/>
  <c r="N217" i="7"/>
  <c r="K217" i="7"/>
  <c r="H217" i="7"/>
  <c r="F217" i="7"/>
  <c r="E217" i="7"/>
  <c r="G217" i="7" s="1"/>
  <c r="D217" i="7"/>
  <c r="N216" i="7"/>
  <c r="K216" i="7"/>
  <c r="H216" i="7"/>
  <c r="F216" i="7"/>
  <c r="E216" i="7"/>
  <c r="D216" i="7"/>
  <c r="N215" i="7"/>
  <c r="K215" i="7"/>
  <c r="H215" i="7"/>
  <c r="I215" i="7" s="1"/>
  <c r="J215" i="7" s="1"/>
  <c r="G215" i="7"/>
  <c r="F215" i="7"/>
  <c r="E215" i="7"/>
  <c r="D215" i="7"/>
  <c r="N214" i="7"/>
  <c r="K214" i="7"/>
  <c r="H214" i="7"/>
  <c r="G214" i="7"/>
  <c r="F214" i="7"/>
  <c r="E214" i="7"/>
  <c r="D214" i="7"/>
  <c r="N213" i="7"/>
  <c r="K213" i="7"/>
  <c r="H213" i="7"/>
  <c r="F213" i="7"/>
  <c r="E213" i="7"/>
  <c r="G213" i="7" s="1"/>
  <c r="D213" i="7"/>
  <c r="N212" i="7"/>
  <c r="K212" i="7"/>
  <c r="H212" i="7"/>
  <c r="G212" i="7"/>
  <c r="F212" i="7"/>
  <c r="E212" i="7"/>
  <c r="D212" i="7"/>
  <c r="N211" i="7"/>
  <c r="K211" i="7"/>
  <c r="H211" i="7"/>
  <c r="G211" i="7"/>
  <c r="F211" i="7"/>
  <c r="E211" i="7"/>
  <c r="D211" i="7"/>
  <c r="N210" i="7"/>
  <c r="K210" i="7"/>
  <c r="H210" i="7"/>
  <c r="I210" i="7" s="1"/>
  <c r="J210" i="7" s="1"/>
  <c r="F210" i="7"/>
  <c r="E210" i="7"/>
  <c r="G210" i="7" s="1"/>
  <c r="D210" i="7"/>
  <c r="N209" i="7"/>
  <c r="K209" i="7"/>
  <c r="H209" i="7"/>
  <c r="F209" i="7"/>
  <c r="G209" i="7" s="1"/>
  <c r="I209" i="7" s="1"/>
  <c r="J209" i="7" s="1"/>
  <c r="E209" i="7"/>
  <c r="D209" i="7"/>
  <c r="N208" i="7"/>
  <c r="K208" i="7"/>
  <c r="H208" i="7"/>
  <c r="F208" i="7"/>
  <c r="E208" i="7"/>
  <c r="D208" i="7" s="1"/>
  <c r="N207" i="7"/>
  <c r="K207" i="7"/>
  <c r="H207" i="7"/>
  <c r="G207" i="7"/>
  <c r="F207" i="7"/>
  <c r="E207" i="7"/>
  <c r="D207" i="7"/>
  <c r="N206" i="7"/>
  <c r="K206" i="7"/>
  <c r="H206" i="7"/>
  <c r="I206" i="7" s="1"/>
  <c r="J206" i="7" s="1"/>
  <c r="F206" i="7"/>
  <c r="E206" i="7"/>
  <c r="G206" i="7" s="1"/>
  <c r="D206" i="7"/>
  <c r="N205" i="7"/>
  <c r="K205" i="7"/>
  <c r="H205" i="7"/>
  <c r="G205" i="7"/>
  <c r="F205" i="7"/>
  <c r="E205" i="7"/>
  <c r="D205" i="7" s="1"/>
  <c r="N204" i="7"/>
  <c r="K204" i="7"/>
  <c r="J204" i="7"/>
  <c r="H204" i="7"/>
  <c r="I204" i="7" s="1"/>
  <c r="F204" i="7"/>
  <c r="E204" i="7"/>
  <c r="G204" i="7" s="1"/>
  <c r="D204" i="7"/>
  <c r="N203" i="7"/>
  <c r="K203" i="7"/>
  <c r="H203" i="7"/>
  <c r="F203" i="7"/>
  <c r="G203" i="7" s="1"/>
  <c r="E203" i="7"/>
  <c r="D203" i="7"/>
  <c r="N202" i="7"/>
  <c r="K202" i="7"/>
  <c r="H202" i="7"/>
  <c r="F202" i="7"/>
  <c r="E202" i="7"/>
  <c r="D202" i="7"/>
  <c r="N201" i="7"/>
  <c r="K201" i="7"/>
  <c r="H201" i="7"/>
  <c r="I201" i="7" s="1"/>
  <c r="J201" i="7" s="1"/>
  <c r="F201" i="7"/>
  <c r="E201" i="7"/>
  <c r="G201" i="7" s="1"/>
  <c r="D201" i="7"/>
  <c r="N200" i="7"/>
  <c r="K200" i="7"/>
  <c r="H200" i="7"/>
  <c r="F200" i="7"/>
  <c r="G200" i="7" s="1"/>
  <c r="E200" i="7"/>
  <c r="D200" i="7"/>
  <c r="N199" i="7"/>
  <c r="K199" i="7"/>
  <c r="H199" i="7"/>
  <c r="G199" i="7"/>
  <c r="F199" i="7"/>
  <c r="E199" i="7"/>
  <c r="D199" i="7"/>
  <c r="N198" i="7"/>
  <c r="K198" i="7"/>
  <c r="H198" i="7"/>
  <c r="F198" i="7"/>
  <c r="E198" i="7"/>
  <c r="D198" i="7"/>
  <c r="N197" i="7"/>
  <c r="K197" i="7"/>
  <c r="H197" i="7"/>
  <c r="G197" i="7"/>
  <c r="F197" i="7"/>
  <c r="E197" i="7"/>
  <c r="D197" i="7"/>
  <c r="B194" i="7"/>
  <c r="N193" i="7"/>
  <c r="K193" i="7"/>
  <c r="H193" i="7"/>
  <c r="F193" i="7"/>
  <c r="E193" i="7"/>
  <c r="G193" i="7" s="1"/>
  <c r="D193" i="7"/>
  <c r="N192" i="7"/>
  <c r="K192" i="7"/>
  <c r="H192" i="7"/>
  <c r="F192" i="7"/>
  <c r="G192" i="7" s="1"/>
  <c r="I192" i="7" s="1"/>
  <c r="J192" i="7" s="1"/>
  <c r="E192" i="7"/>
  <c r="D192" i="7"/>
  <c r="N191" i="7"/>
  <c r="K191" i="7"/>
  <c r="H191" i="7"/>
  <c r="G191" i="7"/>
  <c r="F191" i="7"/>
  <c r="E191" i="7"/>
  <c r="D191" i="7"/>
  <c r="N190" i="7"/>
  <c r="K190" i="7"/>
  <c r="H190" i="7"/>
  <c r="F190" i="7"/>
  <c r="E190" i="7"/>
  <c r="N189" i="7"/>
  <c r="K189" i="7"/>
  <c r="H189" i="7"/>
  <c r="I189" i="7" s="1"/>
  <c r="J189" i="7" s="1"/>
  <c r="F189" i="7"/>
  <c r="E189" i="7"/>
  <c r="G189" i="7" s="1"/>
  <c r="D189" i="7"/>
  <c r="N188" i="7"/>
  <c r="K188" i="7"/>
  <c r="H188" i="7"/>
  <c r="F188" i="7"/>
  <c r="E188" i="7"/>
  <c r="G188" i="7" s="1"/>
  <c r="D188" i="7"/>
  <c r="N187" i="7"/>
  <c r="K187" i="7"/>
  <c r="H187" i="7"/>
  <c r="F187" i="7"/>
  <c r="E187" i="7"/>
  <c r="D187" i="7"/>
  <c r="N186" i="7"/>
  <c r="K186" i="7"/>
  <c r="H186" i="7"/>
  <c r="I186" i="7" s="1"/>
  <c r="J186" i="7" s="1"/>
  <c r="G186" i="7"/>
  <c r="F186" i="7"/>
  <c r="E186" i="7"/>
  <c r="D186" i="7"/>
  <c r="N185" i="7"/>
  <c r="K185" i="7"/>
  <c r="H185" i="7"/>
  <c r="F185" i="7"/>
  <c r="E185" i="7"/>
  <c r="D185" i="7" s="1"/>
  <c r="N184" i="7"/>
  <c r="K184" i="7"/>
  <c r="H184" i="7"/>
  <c r="F184" i="7"/>
  <c r="G184" i="7" s="1"/>
  <c r="E184" i="7"/>
  <c r="D184" i="7"/>
  <c r="N183" i="7"/>
  <c r="K183" i="7"/>
  <c r="H183" i="7"/>
  <c r="I183" i="7" s="1"/>
  <c r="J183" i="7" s="1"/>
  <c r="F183" i="7"/>
  <c r="E183" i="7"/>
  <c r="G183" i="7" s="1"/>
  <c r="D183" i="7"/>
  <c r="N182" i="7"/>
  <c r="K182" i="7"/>
  <c r="H182" i="7"/>
  <c r="F182" i="7"/>
  <c r="E182" i="7"/>
  <c r="G182" i="7" s="1"/>
  <c r="D182" i="7"/>
  <c r="N181" i="7"/>
  <c r="K181" i="7"/>
  <c r="H181" i="7"/>
  <c r="I181" i="7" s="1"/>
  <c r="J181" i="7" s="1"/>
  <c r="F181" i="7"/>
  <c r="E181" i="7"/>
  <c r="G181" i="7" s="1"/>
  <c r="D181" i="7"/>
  <c r="N180" i="7"/>
  <c r="K180" i="7"/>
  <c r="H180" i="7"/>
  <c r="I180" i="7" s="1"/>
  <c r="J180" i="7" s="1"/>
  <c r="G180" i="7"/>
  <c r="F180" i="7"/>
  <c r="E180" i="7"/>
  <c r="D180" i="7"/>
  <c r="N179" i="7"/>
  <c r="K179" i="7"/>
  <c r="H179" i="7"/>
  <c r="F179" i="7"/>
  <c r="E179" i="7"/>
  <c r="G179" i="7" s="1"/>
  <c r="I179" i="7" s="1"/>
  <c r="J179" i="7" s="1"/>
  <c r="D179" i="7"/>
  <c r="N178" i="7"/>
  <c r="K178" i="7"/>
  <c r="I178" i="7"/>
  <c r="J178" i="7" s="1"/>
  <c r="H178" i="7"/>
  <c r="F178" i="7"/>
  <c r="G178" i="7" s="1"/>
  <c r="E178" i="7"/>
  <c r="D178" i="7"/>
  <c r="N177" i="7"/>
  <c r="K177" i="7"/>
  <c r="H177" i="7"/>
  <c r="F177" i="7"/>
  <c r="E177" i="7"/>
  <c r="G177" i="7" s="1"/>
  <c r="N176" i="7"/>
  <c r="K176" i="7"/>
  <c r="H176" i="7"/>
  <c r="F176" i="7"/>
  <c r="E176" i="7"/>
  <c r="G176" i="7" s="1"/>
  <c r="D176" i="7"/>
  <c r="N175" i="7"/>
  <c r="K175" i="7"/>
  <c r="H175" i="7"/>
  <c r="F175" i="7"/>
  <c r="E175" i="7"/>
  <c r="N174" i="7"/>
  <c r="K174" i="7"/>
  <c r="H174" i="7"/>
  <c r="F174" i="7"/>
  <c r="G174" i="7" s="1"/>
  <c r="I174" i="7" s="1"/>
  <c r="J174" i="7" s="1"/>
  <c r="E174" i="7"/>
  <c r="D174" i="7"/>
  <c r="N173" i="7"/>
  <c r="K173" i="7"/>
  <c r="H173" i="7"/>
  <c r="F173" i="7"/>
  <c r="G173" i="7" s="1"/>
  <c r="E173" i="7"/>
  <c r="D173" i="7"/>
  <c r="N172" i="7"/>
  <c r="K172" i="7"/>
  <c r="H172" i="7"/>
  <c r="F172" i="7"/>
  <c r="E172" i="7"/>
  <c r="D172" i="7"/>
  <c r="N171" i="7"/>
  <c r="K171" i="7"/>
  <c r="H171" i="7"/>
  <c r="F171" i="7"/>
  <c r="E171" i="7"/>
  <c r="D171" i="7"/>
  <c r="N170" i="7"/>
  <c r="K170" i="7"/>
  <c r="H170" i="7"/>
  <c r="G170" i="7"/>
  <c r="F170" i="7"/>
  <c r="E170" i="7"/>
  <c r="D170" i="7"/>
  <c r="N169" i="7"/>
  <c r="K169" i="7"/>
  <c r="H169" i="7"/>
  <c r="F169" i="7"/>
  <c r="E169" i="7"/>
  <c r="D169" i="7"/>
  <c r="N168" i="7"/>
  <c r="K168" i="7"/>
  <c r="I168" i="7"/>
  <c r="J168" i="7" s="1"/>
  <c r="H168" i="7"/>
  <c r="F168" i="7"/>
  <c r="G168" i="7" s="1"/>
  <c r="E168" i="7"/>
  <c r="D168" i="7"/>
  <c r="N167" i="7"/>
  <c r="K167" i="7"/>
  <c r="H167" i="7"/>
  <c r="G167" i="7"/>
  <c r="F167" i="7"/>
  <c r="E167" i="7"/>
  <c r="D167" i="7" s="1"/>
  <c r="N166" i="7"/>
  <c r="K166" i="7"/>
  <c r="H166" i="7"/>
  <c r="F166" i="7"/>
  <c r="E166" i="7"/>
  <c r="N165" i="7"/>
  <c r="K165" i="7"/>
  <c r="H165" i="7"/>
  <c r="I165" i="7" s="1"/>
  <c r="J165" i="7" s="1"/>
  <c r="G165" i="7"/>
  <c r="F165" i="7"/>
  <c r="E165" i="7"/>
  <c r="D165" i="7"/>
  <c r="N164" i="7"/>
  <c r="K164" i="7"/>
  <c r="H164" i="7"/>
  <c r="F164" i="7"/>
  <c r="E164" i="7"/>
  <c r="G164" i="7" s="1"/>
  <c r="D164" i="7"/>
  <c r="N163" i="7"/>
  <c r="K163" i="7"/>
  <c r="H163" i="7"/>
  <c r="F163" i="7"/>
  <c r="E163" i="7"/>
  <c r="N162" i="7"/>
  <c r="K162" i="7"/>
  <c r="H162" i="7"/>
  <c r="G162" i="7"/>
  <c r="F162" i="7"/>
  <c r="E162" i="7"/>
  <c r="D162" i="7"/>
  <c r="N161" i="7"/>
  <c r="K161" i="7"/>
  <c r="H161" i="7"/>
  <c r="F161" i="7"/>
  <c r="E161" i="7"/>
  <c r="D161" i="7"/>
  <c r="N160" i="7"/>
  <c r="K160" i="7"/>
  <c r="H160" i="7"/>
  <c r="I160" i="7" s="1"/>
  <c r="J160" i="7" s="1"/>
  <c r="G160" i="7"/>
  <c r="F160" i="7"/>
  <c r="E160" i="7"/>
  <c r="D160" i="7"/>
  <c r="N159" i="7"/>
  <c r="K159" i="7"/>
  <c r="H159" i="7"/>
  <c r="F159" i="7"/>
  <c r="G159" i="7" s="1"/>
  <c r="E159" i="7"/>
  <c r="D159" i="7" s="1"/>
  <c r="N158" i="7"/>
  <c r="K158" i="7"/>
  <c r="H158" i="7"/>
  <c r="F158" i="7"/>
  <c r="G158" i="7" s="1"/>
  <c r="E158" i="7"/>
  <c r="D158" i="7"/>
  <c r="N157" i="7"/>
  <c r="K157" i="7"/>
  <c r="H157" i="7"/>
  <c r="F157" i="7"/>
  <c r="E157" i="7"/>
  <c r="G157" i="7" s="1"/>
  <c r="D157" i="7"/>
  <c r="B154" i="7"/>
  <c r="N153" i="7"/>
  <c r="K153" i="7"/>
  <c r="H153" i="7"/>
  <c r="F153" i="7"/>
  <c r="E153" i="7"/>
  <c r="G153" i="7" s="1"/>
  <c r="D153" i="7"/>
  <c r="N152" i="7"/>
  <c r="K152" i="7"/>
  <c r="H152" i="7"/>
  <c r="F152" i="7"/>
  <c r="E152" i="7"/>
  <c r="D152" i="7"/>
  <c r="N151" i="7"/>
  <c r="K151" i="7"/>
  <c r="I151" i="7"/>
  <c r="J151" i="7" s="1"/>
  <c r="H151" i="7"/>
  <c r="G151" i="7"/>
  <c r="F151" i="7"/>
  <c r="E151" i="7"/>
  <c r="D151" i="7"/>
  <c r="N150" i="7"/>
  <c r="K150" i="7"/>
  <c r="H150" i="7"/>
  <c r="G150" i="7"/>
  <c r="F150" i="7"/>
  <c r="E150" i="7"/>
  <c r="D150" i="7" s="1"/>
  <c r="N149" i="7"/>
  <c r="K149" i="7"/>
  <c r="H149" i="7"/>
  <c r="F149" i="7"/>
  <c r="E149" i="7"/>
  <c r="G149" i="7" s="1"/>
  <c r="I149" i="7" s="1"/>
  <c r="J149" i="7" s="1"/>
  <c r="D149" i="7"/>
  <c r="N148" i="7"/>
  <c r="K148" i="7"/>
  <c r="H148" i="7"/>
  <c r="F148" i="7"/>
  <c r="E148" i="7"/>
  <c r="G148" i="7" s="1"/>
  <c r="I148" i="7" s="1"/>
  <c r="J148" i="7" s="1"/>
  <c r="D148" i="7"/>
  <c r="N147" i="7"/>
  <c r="K147" i="7"/>
  <c r="H147" i="7"/>
  <c r="F147" i="7"/>
  <c r="G147" i="7" s="1"/>
  <c r="E147" i="7"/>
  <c r="D147" i="7"/>
  <c r="N146" i="7"/>
  <c r="K146" i="7"/>
  <c r="I146" i="7"/>
  <c r="J146" i="7" s="1"/>
  <c r="H146" i="7"/>
  <c r="F146" i="7"/>
  <c r="E146" i="7"/>
  <c r="G146" i="7" s="1"/>
  <c r="D146" i="7"/>
  <c r="N145" i="7"/>
  <c r="K145" i="7"/>
  <c r="H145" i="7"/>
  <c r="F145" i="7"/>
  <c r="G145" i="7" s="1"/>
  <c r="E145" i="7"/>
  <c r="D145" i="7"/>
  <c r="N144" i="7"/>
  <c r="K144" i="7"/>
  <c r="H144" i="7"/>
  <c r="F144" i="7"/>
  <c r="E144" i="7"/>
  <c r="G144" i="7" s="1"/>
  <c r="I144" i="7" s="1"/>
  <c r="J144" i="7" s="1"/>
  <c r="D144" i="7"/>
  <c r="N143" i="7"/>
  <c r="K143" i="7"/>
  <c r="I143" i="7"/>
  <c r="J143" i="7" s="1"/>
  <c r="H143" i="7"/>
  <c r="F143" i="7"/>
  <c r="G143" i="7" s="1"/>
  <c r="E143" i="7"/>
  <c r="D143" i="7"/>
  <c r="N142" i="7"/>
  <c r="K142" i="7"/>
  <c r="H142" i="7"/>
  <c r="F142" i="7"/>
  <c r="E142" i="7"/>
  <c r="D142" i="7" s="1"/>
  <c r="N141" i="7"/>
  <c r="K141" i="7"/>
  <c r="H141" i="7"/>
  <c r="F141" i="7"/>
  <c r="E141" i="7"/>
  <c r="G141" i="7" s="1"/>
  <c r="N140" i="7"/>
  <c r="K140" i="7"/>
  <c r="H140" i="7"/>
  <c r="F140" i="7"/>
  <c r="E140" i="7"/>
  <c r="N139" i="7"/>
  <c r="K139" i="7"/>
  <c r="H139" i="7"/>
  <c r="F139" i="7"/>
  <c r="G139" i="7" s="1"/>
  <c r="I139" i="7" s="1"/>
  <c r="J139" i="7" s="1"/>
  <c r="E139" i="7"/>
  <c r="D139" i="7"/>
  <c r="N138" i="7"/>
  <c r="K138" i="7"/>
  <c r="H138" i="7"/>
  <c r="F138" i="7"/>
  <c r="E138" i="7"/>
  <c r="G138" i="7" s="1"/>
  <c r="D138" i="7"/>
  <c r="N137" i="7"/>
  <c r="K137" i="7"/>
  <c r="H137" i="7"/>
  <c r="F137" i="7"/>
  <c r="E137" i="7"/>
  <c r="D137" i="7"/>
  <c r="N136" i="7"/>
  <c r="K136" i="7"/>
  <c r="H136" i="7"/>
  <c r="F136" i="7"/>
  <c r="E136" i="7"/>
  <c r="D136" i="7"/>
  <c r="N135" i="7"/>
  <c r="K135" i="7"/>
  <c r="H135" i="7"/>
  <c r="F135" i="7"/>
  <c r="G135" i="7" s="1"/>
  <c r="E135" i="7"/>
  <c r="D135" i="7"/>
  <c r="N134" i="7"/>
  <c r="K134" i="7"/>
  <c r="H134" i="7"/>
  <c r="F134" i="7"/>
  <c r="E134" i="7"/>
  <c r="G134" i="7" s="1"/>
  <c r="D134" i="7"/>
  <c r="N133" i="7"/>
  <c r="K133" i="7"/>
  <c r="H133" i="7"/>
  <c r="I133" i="7" s="1"/>
  <c r="J133" i="7" s="1"/>
  <c r="F133" i="7"/>
  <c r="G133" i="7" s="1"/>
  <c r="E133" i="7"/>
  <c r="D133" i="7"/>
  <c r="N132" i="7"/>
  <c r="K132" i="7"/>
  <c r="H132" i="7"/>
  <c r="F132" i="7"/>
  <c r="E132" i="7"/>
  <c r="G132" i="7" s="1"/>
  <c r="D132" i="7"/>
  <c r="N131" i="7"/>
  <c r="K131" i="7"/>
  <c r="L131" i="7" s="1"/>
  <c r="H131" i="7"/>
  <c r="F131" i="7"/>
  <c r="E131" i="7"/>
  <c r="G131" i="7" s="1"/>
  <c r="I131" i="7" s="1"/>
  <c r="J131" i="7" s="1"/>
  <c r="D131" i="7"/>
  <c r="N130" i="7"/>
  <c r="K130" i="7"/>
  <c r="H130" i="7"/>
  <c r="I130" i="7" s="1"/>
  <c r="J130" i="7" s="1"/>
  <c r="G130" i="7"/>
  <c r="F130" i="7"/>
  <c r="E130" i="7"/>
  <c r="D130" i="7"/>
  <c r="N129" i="7"/>
  <c r="K129" i="7"/>
  <c r="H129" i="7"/>
  <c r="F129" i="7"/>
  <c r="E129" i="7"/>
  <c r="G129" i="7" s="1"/>
  <c r="D129" i="7"/>
  <c r="N128" i="7"/>
  <c r="K128" i="7"/>
  <c r="H128" i="7"/>
  <c r="I128" i="7" s="1"/>
  <c r="J128" i="7" s="1"/>
  <c r="F128" i="7"/>
  <c r="E128" i="7"/>
  <c r="G128" i="7" s="1"/>
  <c r="D128" i="7"/>
  <c r="N127" i="7"/>
  <c r="K127" i="7"/>
  <c r="H127" i="7"/>
  <c r="I127" i="7" s="1"/>
  <c r="J127" i="7" s="1"/>
  <c r="L127" i="7" s="1"/>
  <c r="G127" i="7"/>
  <c r="F127" i="7"/>
  <c r="E127" i="7"/>
  <c r="D127" i="7"/>
  <c r="N126" i="7"/>
  <c r="K126" i="7"/>
  <c r="H126" i="7"/>
  <c r="F126" i="7"/>
  <c r="E126" i="7"/>
  <c r="G126" i="7" s="1"/>
  <c r="I126" i="7" s="1"/>
  <c r="J126" i="7" s="1"/>
  <c r="D126" i="7"/>
  <c r="N125" i="7"/>
  <c r="K125" i="7"/>
  <c r="H125" i="7"/>
  <c r="I125" i="7" s="1"/>
  <c r="J125" i="7" s="1"/>
  <c r="G125" i="7"/>
  <c r="F125" i="7"/>
  <c r="E125" i="7"/>
  <c r="D125" i="7"/>
  <c r="N124" i="7"/>
  <c r="K124" i="7"/>
  <c r="H124" i="7"/>
  <c r="G124" i="7"/>
  <c r="F124" i="7"/>
  <c r="E124" i="7"/>
  <c r="D124" i="7" s="1"/>
  <c r="N123" i="7"/>
  <c r="K123" i="7"/>
  <c r="H123" i="7"/>
  <c r="G123" i="7"/>
  <c r="F123" i="7"/>
  <c r="E123" i="7"/>
  <c r="D123" i="7"/>
  <c r="B120" i="7"/>
  <c r="N119" i="7"/>
  <c r="K119" i="7"/>
  <c r="H119" i="7"/>
  <c r="F119" i="7"/>
  <c r="E119" i="7"/>
  <c r="G119" i="7" s="1"/>
  <c r="D119" i="7"/>
  <c r="N118" i="7"/>
  <c r="K118" i="7"/>
  <c r="H118" i="7"/>
  <c r="I118" i="7" s="1"/>
  <c r="J118" i="7" s="1"/>
  <c r="G118" i="7"/>
  <c r="F118" i="7"/>
  <c r="E118" i="7"/>
  <c r="D118" i="7"/>
  <c r="N117" i="7"/>
  <c r="K117" i="7"/>
  <c r="H117" i="7"/>
  <c r="F117" i="7"/>
  <c r="E117" i="7"/>
  <c r="N116" i="7"/>
  <c r="K116" i="7"/>
  <c r="H116" i="7"/>
  <c r="I116" i="7" s="1"/>
  <c r="J116" i="7" s="1"/>
  <c r="F116" i="7"/>
  <c r="G116" i="7" s="1"/>
  <c r="E116" i="7"/>
  <c r="D116" i="7"/>
  <c r="N115" i="7"/>
  <c r="K115" i="7"/>
  <c r="H115" i="7"/>
  <c r="I115" i="7" s="1"/>
  <c r="J115" i="7" s="1"/>
  <c r="G115" i="7"/>
  <c r="F115" i="7"/>
  <c r="E115" i="7"/>
  <c r="D115" i="7"/>
  <c r="N114" i="7"/>
  <c r="K114" i="7"/>
  <c r="H114" i="7"/>
  <c r="F114" i="7"/>
  <c r="E114" i="7"/>
  <c r="G114" i="7" s="1"/>
  <c r="D114" i="7"/>
  <c r="N113" i="7"/>
  <c r="K113" i="7"/>
  <c r="H113" i="7"/>
  <c r="F113" i="7"/>
  <c r="E113" i="7"/>
  <c r="G113" i="7" s="1"/>
  <c r="D113" i="7"/>
  <c r="N112" i="7"/>
  <c r="K112" i="7"/>
  <c r="H112" i="7"/>
  <c r="G112" i="7"/>
  <c r="F112" i="7"/>
  <c r="E112" i="7"/>
  <c r="D112" i="7"/>
  <c r="N111" i="7"/>
  <c r="K111" i="7"/>
  <c r="I111" i="7"/>
  <c r="J111" i="7" s="1"/>
  <c r="L111" i="7" s="1"/>
  <c r="H111" i="7"/>
  <c r="F111" i="7"/>
  <c r="E111" i="7"/>
  <c r="G111" i="7" s="1"/>
  <c r="D111" i="7"/>
  <c r="N110" i="7"/>
  <c r="K110" i="7"/>
  <c r="H110" i="7"/>
  <c r="F110" i="7"/>
  <c r="G110" i="7" s="1"/>
  <c r="E110" i="7"/>
  <c r="D110" i="7"/>
  <c r="N109" i="7"/>
  <c r="K109" i="7"/>
  <c r="I109" i="7"/>
  <c r="J109" i="7" s="1"/>
  <c r="H109" i="7"/>
  <c r="F109" i="7"/>
  <c r="E109" i="7"/>
  <c r="G109" i="7" s="1"/>
  <c r="D109" i="7"/>
  <c r="N108" i="7"/>
  <c r="K108" i="7"/>
  <c r="H108" i="7"/>
  <c r="I108" i="7" s="1"/>
  <c r="J108" i="7" s="1"/>
  <c r="G108" i="7"/>
  <c r="F108" i="7"/>
  <c r="E108" i="7"/>
  <c r="D108" i="7" s="1"/>
  <c r="B105" i="7"/>
  <c r="N104" i="7"/>
  <c r="K104" i="7"/>
  <c r="H104" i="7"/>
  <c r="F104" i="7"/>
  <c r="G104" i="7" s="1"/>
  <c r="E104" i="7"/>
  <c r="D104" i="7"/>
  <c r="N103" i="7"/>
  <c r="K103" i="7"/>
  <c r="H103" i="7"/>
  <c r="F103" i="7"/>
  <c r="E103" i="7"/>
  <c r="G103" i="7" s="1"/>
  <c r="D103" i="7"/>
  <c r="N102" i="7"/>
  <c r="K102" i="7"/>
  <c r="H102" i="7"/>
  <c r="F102" i="7"/>
  <c r="E102" i="7"/>
  <c r="D102" i="7"/>
  <c r="N101" i="7"/>
  <c r="K101" i="7"/>
  <c r="H101" i="7"/>
  <c r="F101" i="7"/>
  <c r="E101" i="7"/>
  <c r="N100" i="7"/>
  <c r="K100" i="7"/>
  <c r="H100" i="7"/>
  <c r="F100" i="7"/>
  <c r="E100" i="7"/>
  <c r="N99" i="7"/>
  <c r="K99" i="7"/>
  <c r="H99" i="7"/>
  <c r="F99" i="7"/>
  <c r="G99" i="7" s="1"/>
  <c r="E99" i="7"/>
  <c r="D99" i="7"/>
  <c r="N98" i="7"/>
  <c r="K98" i="7"/>
  <c r="H98" i="7"/>
  <c r="F98" i="7"/>
  <c r="G98" i="7" s="1"/>
  <c r="E98" i="7"/>
  <c r="D98" i="7"/>
  <c r="N97" i="7"/>
  <c r="K97" i="7"/>
  <c r="H97" i="7"/>
  <c r="F97" i="7"/>
  <c r="G97" i="7" s="1"/>
  <c r="E97" i="7"/>
  <c r="D97" i="7"/>
  <c r="N96" i="7"/>
  <c r="K96" i="7"/>
  <c r="H96" i="7"/>
  <c r="F96" i="7"/>
  <c r="E96" i="7"/>
  <c r="N95" i="7"/>
  <c r="K95" i="7"/>
  <c r="H95" i="7"/>
  <c r="G95" i="7"/>
  <c r="F95" i="7"/>
  <c r="E95" i="7"/>
  <c r="D95" i="7"/>
  <c r="N94" i="7"/>
  <c r="K94" i="7"/>
  <c r="H94" i="7"/>
  <c r="F94" i="7"/>
  <c r="E94" i="7"/>
  <c r="G94" i="7" s="1"/>
  <c r="D94" i="7"/>
  <c r="N93" i="7"/>
  <c r="K93" i="7"/>
  <c r="H93" i="7"/>
  <c r="I93" i="7" s="1"/>
  <c r="J93" i="7" s="1"/>
  <c r="G93" i="7"/>
  <c r="F93" i="7"/>
  <c r="E93" i="7"/>
  <c r="D93" i="7"/>
  <c r="N92" i="7"/>
  <c r="K92" i="7"/>
  <c r="H92" i="7"/>
  <c r="F92" i="7"/>
  <c r="E92" i="7"/>
  <c r="G92" i="7" s="1"/>
  <c r="D92" i="7"/>
  <c r="N91" i="7"/>
  <c r="K91" i="7"/>
  <c r="H91" i="7"/>
  <c r="F91" i="7"/>
  <c r="E91" i="7"/>
  <c r="N90" i="7"/>
  <c r="K90" i="7"/>
  <c r="H90" i="7"/>
  <c r="G90" i="7"/>
  <c r="I90" i="7" s="1"/>
  <c r="J90" i="7" s="1"/>
  <c r="F90" i="7"/>
  <c r="E90" i="7"/>
  <c r="D90" i="7"/>
  <c r="N89" i="7"/>
  <c r="K89" i="7"/>
  <c r="H89" i="7"/>
  <c r="F89" i="7"/>
  <c r="G89" i="7" s="1"/>
  <c r="E89" i="7"/>
  <c r="D89" i="7"/>
  <c r="N88" i="7"/>
  <c r="K88" i="7"/>
  <c r="H88" i="7"/>
  <c r="F88" i="7"/>
  <c r="E88" i="7"/>
  <c r="G88" i="7" s="1"/>
  <c r="I88" i="7" s="1"/>
  <c r="J88" i="7" s="1"/>
  <c r="D88" i="7"/>
  <c r="N87" i="7"/>
  <c r="K87" i="7"/>
  <c r="H87" i="7"/>
  <c r="F87" i="7"/>
  <c r="G87" i="7" s="1"/>
  <c r="E87" i="7"/>
  <c r="D87" i="7"/>
  <c r="N86" i="7"/>
  <c r="K86" i="7"/>
  <c r="H86" i="7"/>
  <c r="F86" i="7"/>
  <c r="E86" i="7"/>
  <c r="G86" i="7" s="1"/>
  <c r="I86" i="7" s="1"/>
  <c r="J86" i="7" s="1"/>
  <c r="N85" i="7"/>
  <c r="K85" i="7"/>
  <c r="H85" i="7"/>
  <c r="G85" i="7"/>
  <c r="F85" i="7"/>
  <c r="E85" i="7"/>
  <c r="D85" i="7"/>
  <c r="N84" i="7"/>
  <c r="K84" i="7"/>
  <c r="H84" i="7"/>
  <c r="F84" i="7"/>
  <c r="E84" i="7"/>
  <c r="N83" i="7"/>
  <c r="K83" i="7"/>
  <c r="H83" i="7"/>
  <c r="G83" i="7"/>
  <c r="F83" i="7"/>
  <c r="E83" i="7"/>
  <c r="D83" i="7" s="1"/>
  <c r="N82" i="7"/>
  <c r="K82" i="7"/>
  <c r="L82" i="7" s="1"/>
  <c r="H82" i="7"/>
  <c r="I82" i="7" s="1"/>
  <c r="J82" i="7" s="1"/>
  <c r="F82" i="7"/>
  <c r="E82" i="7"/>
  <c r="G82" i="7" s="1"/>
  <c r="D82" i="7"/>
  <c r="N81" i="7"/>
  <c r="K81" i="7"/>
  <c r="L81" i="7" s="1"/>
  <c r="H81" i="7"/>
  <c r="F81" i="7"/>
  <c r="G81" i="7" s="1"/>
  <c r="I81" i="7" s="1"/>
  <c r="J81" i="7" s="1"/>
  <c r="E81" i="7"/>
  <c r="D81" i="7"/>
  <c r="N80" i="7"/>
  <c r="K80" i="7"/>
  <c r="H80" i="7"/>
  <c r="I80" i="7" s="1"/>
  <c r="J80" i="7" s="1"/>
  <c r="G80" i="7"/>
  <c r="F80" i="7"/>
  <c r="E80" i="7"/>
  <c r="D80" i="7"/>
  <c r="N79" i="7"/>
  <c r="K79" i="7"/>
  <c r="H79" i="7"/>
  <c r="F79" i="7"/>
  <c r="G79" i="7" s="1"/>
  <c r="E79" i="7"/>
  <c r="D79" i="7" s="1"/>
  <c r="N78" i="7"/>
  <c r="K78" i="7"/>
  <c r="H78" i="7"/>
  <c r="F78" i="7"/>
  <c r="E78" i="7"/>
  <c r="G78" i="7" s="1"/>
  <c r="I78" i="7" s="1"/>
  <c r="J78" i="7" s="1"/>
  <c r="D78" i="7"/>
  <c r="N77" i="7"/>
  <c r="K77" i="7"/>
  <c r="H77" i="7"/>
  <c r="I77" i="7" s="1"/>
  <c r="J77" i="7" s="1"/>
  <c r="G77" i="7"/>
  <c r="F77" i="7"/>
  <c r="E77" i="7"/>
  <c r="D77" i="7" s="1"/>
  <c r="N76" i="7"/>
  <c r="K76" i="7"/>
  <c r="H76" i="7"/>
  <c r="F76" i="7"/>
  <c r="E76" i="7"/>
  <c r="D76" i="7"/>
  <c r="N75" i="7"/>
  <c r="K75" i="7"/>
  <c r="I75" i="7"/>
  <c r="J75" i="7" s="1"/>
  <c r="H75" i="7"/>
  <c r="G75" i="7"/>
  <c r="F75" i="7"/>
  <c r="E75" i="7"/>
  <c r="D75" i="7"/>
  <c r="N74" i="7"/>
  <c r="K74" i="7"/>
  <c r="H74" i="7"/>
  <c r="F74" i="7"/>
  <c r="G74" i="7" s="1"/>
  <c r="I74" i="7" s="1"/>
  <c r="J74" i="7" s="1"/>
  <c r="E74" i="7"/>
  <c r="D74" i="7" s="1"/>
  <c r="N73" i="7"/>
  <c r="K73" i="7"/>
  <c r="H73" i="7"/>
  <c r="F73" i="7"/>
  <c r="G73" i="7" s="1"/>
  <c r="E73" i="7"/>
  <c r="D73" i="7"/>
  <c r="N72" i="7"/>
  <c r="K72" i="7"/>
  <c r="H72" i="7"/>
  <c r="I72" i="7" s="1"/>
  <c r="J72" i="7" s="1"/>
  <c r="G72" i="7"/>
  <c r="F72" i="7"/>
  <c r="E72" i="7"/>
  <c r="D72" i="7"/>
  <c r="N71" i="7"/>
  <c r="K71" i="7"/>
  <c r="H71" i="7"/>
  <c r="F71" i="7"/>
  <c r="G71" i="7" s="1"/>
  <c r="E71" i="7"/>
  <c r="D71" i="7"/>
  <c r="N70" i="7"/>
  <c r="K70" i="7"/>
  <c r="I70" i="7"/>
  <c r="J70" i="7" s="1"/>
  <c r="H70" i="7"/>
  <c r="F70" i="7"/>
  <c r="E70" i="7"/>
  <c r="G70" i="7" s="1"/>
  <c r="D70" i="7"/>
  <c r="N69" i="7"/>
  <c r="K69" i="7"/>
  <c r="L69" i="7" s="1"/>
  <c r="H69" i="7"/>
  <c r="F69" i="7"/>
  <c r="G69" i="7" s="1"/>
  <c r="I69" i="7" s="1"/>
  <c r="J69" i="7" s="1"/>
  <c r="E69" i="7"/>
  <c r="D69" i="7"/>
  <c r="N68" i="7"/>
  <c r="K68" i="7"/>
  <c r="I68" i="7"/>
  <c r="J68" i="7" s="1"/>
  <c r="H68" i="7"/>
  <c r="G68" i="7"/>
  <c r="F68" i="7"/>
  <c r="E68" i="7"/>
  <c r="D68" i="7"/>
  <c r="N67" i="7"/>
  <c r="K67" i="7"/>
  <c r="H67" i="7"/>
  <c r="F67" i="7"/>
  <c r="G67" i="7" s="1"/>
  <c r="E67" i="7"/>
  <c r="D67" i="7"/>
  <c r="N66" i="7"/>
  <c r="K66" i="7"/>
  <c r="H66" i="7"/>
  <c r="F66" i="7"/>
  <c r="E66" i="7"/>
  <c r="G66" i="7" s="1"/>
  <c r="N65" i="7"/>
  <c r="K65" i="7"/>
  <c r="H65" i="7"/>
  <c r="F65" i="7"/>
  <c r="E65" i="7"/>
  <c r="N64" i="7"/>
  <c r="K64" i="7"/>
  <c r="H64" i="7"/>
  <c r="F64" i="7"/>
  <c r="E64" i="7"/>
  <c r="N63" i="7"/>
  <c r="K63" i="7"/>
  <c r="H63" i="7"/>
  <c r="F63" i="7"/>
  <c r="G63" i="7" s="1"/>
  <c r="E63" i="7"/>
  <c r="D63" i="7"/>
  <c r="N62" i="7"/>
  <c r="K62" i="7"/>
  <c r="H62" i="7"/>
  <c r="F62" i="7"/>
  <c r="E62" i="7"/>
  <c r="G62" i="7" s="1"/>
  <c r="D62" i="7"/>
  <c r="N61" i="7"/>
  <c r="K61" i="7"/>
  <c r="H61" i="7"/>
  <c r="G61" i="7"/>
  <c r="F61" i="7"/>
  <c r="E61" i="7"/>
  <c r="D61" i="7"/>
  <c r="N60" i="7"/>
  <c r="K60" i="7"/>
  <c r="H60" i="7"/>
  <c r="F60" i="7"/>
  <c r="E60" i="7"/>
  <c r="G60" i="7" s="1"/>
  <c r="I60" i="7" s="1"/>
  <c r="J60" i="7" s="1"/>
  <c r="D60" i="7"/>
  <c r="N59" i="7"/>
  <c r="K59" i="7"/>
  <c r="H59" i="7"/>
  <c r="F59" i="7"/>
  <c r="G59" i="7" s="1"/>
  <c r="E59" i="7"/>
  <c r="D59" i="7"/>
  <c r="N58" i="7"/>
  <c r="K58" i="7"/>
  <c r="H58" i="7"/>
  <c r="F58" i="7"/>
  <c r="E58" i="7"/>
  <c r="D58" i="7"/>
  <c r="N57" i="7"/>
  <c r="K57" i="7"/>
  <c r="H57" i="7"/>
  <c r="F57" i="7"/>
  <c r="G57" i="7" s="1"/>
  <c r="E57" i="7"/>
  <c r="D57" i="7"/>
  <c r="N56" i="7"/>
  <c r="K56" i="7"/>
  <c r="H56" i="7"/>
  <c r="F56" i="7"/>
  <c r="E56" i="7"/>
  <c r="G56" i="7" s="1"/>
  <c r="D56" i="7"/>
  <c r="N55" i="7"/>
  <c r="K55" i="7"/>
  <c r="I55" i="7"/>
  <c r="J55" i="7" s="1"/>
  <c r="H55" i="7"/>
  <c r="F55" i="7"/>
  <c r="G55" i="7" s="1"/>
  <c r="D55" i="7"/>
  <c r="N54" i="7"/>
  <c r="K54" i="7"/>
  <c r="H54" i="7"/>
  <c r="G54" i="7"/>
  <c r="F54" i="7"/>
  <c r="D54" i="7"/>
  <c r="N53" i="7"/>
  <c r="K53" i="7"/>
  <c r="H53" i="7"/>
  <c r="I53" i="7" s="1"/>
  <c r="J53" i="7" s="1"/>
  <c r="F53" i="7"/>
  <c r="G53" i="7" s="1"/>
  <c r="D53" i="7"/>
  <c r="N52" i="7"/>
  <c r="K52" i="7"/>
  <c r="H52" i="7"/>
  <c r="F52" i="7"/>
  <c r="G52" i="7" s="1"/>
  <c r="D52" i="7"/>
  <c r="N51" i="7"/>
  <c r="K51" i="7"/>
  <c r="H51" i="7"/>
  <c r="I51" i="7" s="1"/>
  <c r="J51" i="7" s="1"/>
  <c r="G51" i="7"/>
  <c r="F51" i="7"/>
  <c r="D51" i="7"/>
  <c r="N50" i="7"/>
  <c r="K50" i="7"/>
  <c r="H50" i="7"/>
  <c r="F50" i="7"/>
  <c r="G50" i="7" s="1"/>
  <c r="D50" i="7"/>
  <c r="N49" i="7"/>
  <c r="K49" i="7"/>
  <c r="H49" i="7"/>
  <c r="F49" i="7"/>
  <c r="G49" i="7" s="1"/>
  <c r="D49" i="7"/>
  <c r="B46" i="7"/>
  <c r="N45" i="7"/>
  <c r="K45" i="7"/>
  <c r="H45" i="7"/>
  <c r="F45" i="7"/>
  <c r="E45" i="7"/>
  <c r="G45" i="7" s="1"/>
  <c r="D45" i="7"/>
  <c r="B42" i="7"/>
  <c r="N41" i="7"/>
  <c r="K41" i="7"/>
  <c r="H41" i="7"/>
  <c r="F41" i="7"/>
  <c r="E41" i="7"/>
  <c r="D41" i="7" s="1"/>
  <c r="N40" i="7"/>
  <c r="K40" i="7"/>
  <c r="H40" i="7"/>
  <c r="F40" i="7"/>
  <c r="G40" i="7" s="1"/>
  <c r="I40" i="7" s="1"/>
  <c r="J40" i="7" s="1"/>
  <c r="E40" i="7"/>
  <c r="D40" i="7"/>
  <c r="N39" i="7"/>
  <c r="K39" i="7"/>
  <c r="J39" i="7"/>
  <c r="I39" i="7"/>
  <c r="H39" i="7"/>
  <c r="F39" i="7"/>
  <c r="E39" i="7"/>
  <c r="G39" i="7" s="1"/>
  <c r="D39" i="7"/>
  <c r="N38" i="7"/>
  <c r="K38" i="7"/>
  <c r="H38" i="7"/>
  <c r="I38" i="7" s="1"/>
  <c r="J38" i="7" s="1"/>
  <c r="G38" i="7"/>
  <c r="F38" i="7"/>
  <c r="E38" i="7"/>
  <c r="D38" i="7" s="1"/>
  <c r="N37" i="7"/>
  <c r="K37" i="7"/>
  <c r="H37" i="7"/>
  <c r="F37" i="7"/>
  <c r="E37" i="7"/>
  <c r="G37" i="7" s="1"/>
  <c r="D37" i="7"/>
  <c r="N36" i="7"/>
  <c r="K36" i="7"/>
  <c r="I36" i="7"/>
  <c r="J36" i="7" s="1"/>
  <c r="H36" i="7"/>
  <c r="G36" i="7"/>
  <c r="F36" i="7"/>
  <c r="E36" i="7"/>
  <c r="D36" i="7"/>
  <c r="N35" i="7"/>
  <c r="K35" i="7"/>
  <c r="H35" i="7"/>
  <c r="F35" i="7"/>
  <c r="E35" i="7"/>
  <c r="D35" i="7" s="1"/>
  <c r="N34" i="7"/>
  <c r="K34" i="7"/>
  <c r="H34" i="7"/>
  <c r="F34" i="7"/>
  <c r="E34" i="7"/>
  <c r="G34" i="7" s="1"/>
  <c r="I34" i="7" s="1"/>
  <c r="J34" i="7" s="1"/>
  <c r="D34" i="7"/>
  <c r="N33" i="7"/>
  <c r="K33" i="7"/>
  <c r="H33" i="7"/>
  <c r="G33" i="7"/>
  <c r="F33" i="7"/>
  <c r="E33" i="7"/>
  <c r="D33" i="7"/>
  <c r="N32" i="7"/>
  <c r="K32" i="7"/>
  <c r="H32" i="7"/>
  <c r="F32" i="7"/>
  <c r="E32" i="7"/>
  <c r="N31" i="7"/>
  <c r="K31" i="7"/>
  <c r="H31" i="7"/>
  <c r="G31" i="7"/>
  <c r="F31" i="7"/>
  <c r="E31" i="7"/>
  <c r="D31" i="7"/>
  <c r="N30" i="7"/>
  <c r="K30" i="7"/>
  <c r="H30" i="7"/>
  <c r="F30" i="7"/>
  <c r="E30" i="7"/>
  <c r="G30" i="7" s="1"/>
  <c r="D30" i="7"/>
  <c r="N29" i="7"/>
  <c r="K29" i="7"/>
  <c r="L29" i="7" s="1"/>
  <c r="I29" i="7"/>
  <c r="J29" i="7" s="1"/>
  <c r="H29" i="7"/>
  <c r="G29" i="7"/>
  <c r="F29" i="7"/>
  <c r="E29" i="7"/>
  <c r="D29" i="7"/>
  <c r="N28" i="7"/>
  <c r="K28" i="7"/>
  <c r="H28" i="7"/>
  <c r="G28" i="7"/>
  <c r="I28" i="7" s="1"/>
  <c r="J28" i="7" s="1"/>
  <c r="F28" i="7"/>
  <c r="E28" i="7"/>
  <c r="D28" i="7" s="1"/>
  <c r="N27" i="7"/>
  <c r="K27" i="7"/>
  <c r="H27" i="7"/>
  <c r="F27" i="7"/>
  <c r="E27" i="7"/>
  <c r="G27" i="7" s="1"/>
  <c r="D27" i="7"/>
  <c r="N26" i="7"/>
  <c r="K26" i="7"/>
  <c r="H26" i="7"/>
  <c r="F26" i="7"/>
  <c r="E26" i="7"/>
  <c r="N25" i="7"/>
  <c r="K25" i="7"/>
  <c r="H25" i="7"/>
  <c r="F25" i="7"/>
  <c r="E25" i="7"/>
  <c r="G25" i="7" s="1"/>
  <c r="D25" i="7"/>
  <c r="N24" i="7"/>
  <c r="K24" i="7"/>
  <c r="H24" i="7"/>
  <c r="I24" i="7" s="1"/>
  <c r="J24" i="7" s="1"/>
  <c r="G24" i="7"/>
  <c r="F24" i="7"/>
  <c r="E24" i="7"/>
  <c r="D24" i="7"/>
  <c r="N23" i="7"/>
  <c r="K23" i="7"/>
  <c r="H23" i="7"/>
  <c r="F23" i="7"/>
  <c r="E23" i="7"/>
  <c r="G23" i="7" s="1"/>
  <c r="D23" i="7"/>
  <c r="N22" i="7"/>
  <c r="K22" i="7"/>
  <c r="H22" i="7"/>
  <c r="F22" i="7"/>
  <c r="E22" i="7"/>
  <c r="G22" i="7" s="1"/>
  <c r="I22" i="7" s="1"/>
  <c r="J22" i="7" s="1"/>
  <c r="D22" i="7"/>
  <c r="N21" i="7"/>
  <c r="K21" i="7"/>
  <c r="H21" i="7"/>
  <c r="F21" i="7"/>
  <c r="E21" i="7"/>
  <c r="N20" i="7"/>
  <c r="K20" i="7"/>
  <c r="H20" i="7"/>
  <c r="F20" i="7"/>
  <c r="G20" i="7" s="1"/>
  <c r="E20" i="7"/>
  <c r="D20" i="7" s="1"/>
  <c r="N19" i="7"/>
  <c r="K19" i="7"/>
  <c r="H19" i="7"/>
  <c r="I19" i="7" s="1"/>
  <c r="J19" i="7" s="1"/>
  <c r="G19" i="7"/>
  <c r="F19" i="7"/>
  <c r="E19" i="7"/>
  <c r="D19" i="7"/>
  <c r="N18" i="7"/>
  <c r="K18" i="7"/>
  <c r="H18" i="7"/>
  <c r="I18" i="7" s="1"/>
  <c r="J18" i="7" s="1"/>
  <c r="G18" i="7"/>
  <c r="F18" i="7"/>
  <c r="E18" i="7"/>
  <c r="D18" i="7"/>
  <c r="N17" i="7"/>
  <c r="K17" i="7"/>
  <c r="H17" i="7"/>
  <c r="F17" i="7"/>
  <c r="E17" i="7"/>
  <c r="G17" i="7" s="1"/>
  <c r="I17" i="7" s="1"/>
  <c r="J17" i="7" s="1"/>
  <c r="D17" i="7"/>
  <c r="N16" i="7"/>
  <c r="K16" i="7"/>
  <c r="H16" i="7"/>
  <c r="F16" i="7"/>
  <c r="G16" i="7" s="1"/>
  <c r="E16" i="7"/>
  <c r="D16" i="7"/>
  <c r="N15" i="7"/>
  <c r="K15" i="7"/>
  <c r="H15" i="7"/>
  <c r="F15" i="7"/>
  <c r="E15" i="7"/>
  <c r="G15" i="7" s="1"/>
  <c r="D15" i="7"/>
  <c r="N14" i="7"/>
  <c r="K14" i="7"/>
  <c r="H14" i="7"/>
  <c r="I14" i="7" s="1"/>
  <c r="J14" i="7" s="1"/>
  <c r="F14" i="7"/>
  <c r="E14" i="7"/>
  <c r="G14" i="7" s="1"/>
  <c r="D14" i="7"/>
  <c r="N13" i="7"/>
  <c r="K13" i="7"/>
  <c r="H13" i="7"/>
  <c r="F13" i="7"/>
  <c r="G13" i="7" s="1"/>
  <c r="E13" i="7"/>
  <c r="D13" i="7"/>
  <c r="N12" i="7"/>
  <c r="K12" i="7"/>
  <c r="H12" i="7"/>
  <c r="I12" i="7" s="1"/>
  <c r="J12" i="7" s="1"/>
  <c r="F12" i="7"/>
  <c r="E12" i="7"/>
  <c r="G12" i="7" s="1"/>
  <c r="D12" i="7"/>
  <c r="N11" i="7"/>
  <c r="K11" i="7"/>
  <c r="H11" i="7"/>
  <c r="F11" i="7"/>
  <c r="E11" i="7"/>
  <c r="D11" i="7" s="1"/>
  <c r="N10" i="7"/>
  <c r="K10" i="7"/>
  <c r="H10" i="7"/>
  <c r="F10" i="7"/>
  <c r="E10" i="7"/>
  <c r="D10" i="7" s="1"/>
  <c r="N9" i="7"/>
  <c r="K9" i="7"/>
  <c r="H9" i="7"/>
  <c r="G9" i="7"/>
  <c r="F9" i="7"/>
  <c r="E9" i="7"/>
  <c r="D9" i="7"/>
  <c r="N8" i="7"/>
  <c r="K8" i="7"/>
  <c r="H8" i="7"/>
  <c r="F8" i="7"/>
  <c r="E8" i="7"/>
  <c r="G8" i="7" s="1"/>
  <c r="I8" i="7" s="1"/>
  <c r="J8" i="7" s="1"/>
  <c r="D8" i="7"/>
  <c r="N7" i="7"/>
  <c r="K7" i="7"/>
  <c r="I7" i="7"/>
  <c r="J7" i="7" s="1"/>
  <c r="L7" i="7" s="1"/>
  <c r="H7" i="7"/>
  <c r="F7" i="7"/>
  <c r="G7" i="7" s="1"/>
  <c r="E7" i="7"/>
  <c r="D7" i="7"/>
  <c r="N6" i="7"/>
  <c r="K6" i="7"/>
  <c r="I6" i="7"/>
  <c r="J6" i="7" s="1"/>
  <c r="H6" i="7"/>
  <c r="G6" i="7"/>
  <c r="F6" i="7"/>
  <c r="E6" i="7"/>
  <c r="D6" i="7"/>
  <c r="N5" i="7"/>
  <c r="K5" i="7"/>
  <c r="H5" i="7"/>
  <c r="F5" i="7"/>
  <c r="E5" i="7"/>
  <c r="D5" i="7" s="1"/>
  <c r="N4" i="7"/>
  <c r="K4" i="7"/>
  <c r="H4" i="7"/>
  <c r="F4" i="7"/>
  <c r="E4" i="7"/>
  <c r="G4" i="7" s="1"/>
  <c r="D4" i="7"/>
  <c r="N3" i="7"/>
  <c r="K3" i="7"/>
  <c r="H3" i="7"/>
  <c r="F3" i="7"/>
  <c r="E3" i="7"/>
  <c r="G3" i="7" s="1"/>
  <c r="D3" i="7"/>
  <c r="N2" i="7"/>
  <c r="K2" i="7"/>
  <c r="H2" i="7"/>
  <c r="F2" i="7"/>
  <c r="E2" i="7"/>
  <c r="G2" i="7" s="1"/>
  <c r="D2" i="7"/>
  <c r="H544" i="5"/>
  <c r="H543" i="5"/>
  <c r="H542" i="5"/>
  <c r="N541" i="5"/>
  <c r="K541" i="5"/>
  <c r="H541" i="5"/>
  <c r="J541" i="5" s="1"/>
  <c r="C541" i="5"/>
  <c r="F541" i="5" s="1"/>
  <c r="N540" i="5"/>
  <c r="K540" i="5"/>
  <c r="H540" i="5"/>
  <c r="J540" i="5" s="1"/>
  <c r="C540" i="5"/>
  <c r="F540" i="5" s="1"/>
  <c r="N539" i="5"/>
  <c r="K539" i="5"/>
  <c r="J539" i="5"/>
  <c r="H539" i="5"/>
  <c r="C539" i="5"/>
  <c r="F539" i="5" s="1"/>
  <c r="D217" i="3"/>
  <c r="G217" i="3" s="1"/>
  <c r="H217" i="3" s="1"/>
  <c r="B217" i="3"/>
  <c r="G255" i="1"/>
  <c r="V255" i="1" s="1"/>
  <c r="W255" i="1" s="1"/>
  <c r="E255" i="1"/>
  <c r="C255" i="1"/>
  <c r="B255" i="1"/>
  <c r="N538" i="5"/>
  <c r="K538" i="5"/>
  <c r="H538" i="5"/>
  <c r="J538" i="5" s="1"/>
  <c r="C538" i="5"/>
  <c r="F538" i="5" s="1"/>
  <c r="N537" i="5"/>
  <c r="K537" i="5"/>
  <c r="H537" i="5"/>
  <c r="J537" i="5" s="1"/>
  <c r="C537" i="5"/>
  <c r="F537" i="5" s="1"/>
  <c r="N536" i="5"/>
  <c r="K536" i="5"/>
  <c r="J536" i="5"/>
  <c r="H536" i="5"/>
  <c r="C536" i="5"/>
  <c r="F536" i="5" s="1"/>
  <c r="D216" i="3"/>
  <c r="G216" i="3" s="1"/>
  <c r="H216" i="3" s="1"/>
  <c r="B216" i="3"/>
  <c r="G254" i="1"/>
  <c r="E254" i="1"/>
  <c r="C254" i="1" s="1"/>
  <c r="B254" i="1"/>
  <c r="P360" i="11" l="1"/>
  <c r="Q88" i="11"/>
  <c r="Q205" i="11"/>
  <c r="P19" i="11"/>
  <c r="P50" i="11"/>
  <c r="P67" i="11"/>
  <c r="P7" i="12"/>
  <c r="P30" i="12"/>
  <c r="P5" i="11"/>
  <c r="P219" i="11"/>
  <c r="P316" i="11"/>
  <c r="P299" i="11"/>
  <c r="P5" i="12"/>
  <c r="P13" i="12"/>
  <c r="P166" i="11"/>
  <c r="P56" i="11"/>
  <c r="P422" i="11"/>
  <c r="Q429" i="11"/>
  <c r="P543" i="11"/>
  <c r="L18" i="7"/>
  <c r="L24" i="7"/>
  <c r="L34" i="7"/>
  <c r="L60" i="7"/>
  <c r="L128" i="7"/>
  <c r="L146" i="7"/>
  <c r="L244" i="7"/>
  <c r="L290" i="7"/>
  <c r="L598" i="7"/>
  <c r="P45" i="11"/>
  <c r="P179" i="11"/>
  <c r="Q521" i="11"/>
  <c r="P560" i="11"/>
  <c r="Q307" i="11"/>
  <c r="P311" i="11"/>
  <c r="Q327" i="11"/>
  <c r="P375" i="11"/>
  <c r="P35" i="11"/>
  <c r="P385" i="11"/>
  <c r="Q456" i="11"/>
  <c r="P14" i="11"/>
  <c r="Q415" i="11"/>
  <c r="P542" i="11"/>
  <c r="Q19" i="12"/>
  <c r="Q183" i="11"/>
  <c r="Q204" i="11"/>
  <c r="P204" i="11"/>
  <c r="P265" i="11"/>
  <c r="Q347" i="11"/>
  <c r="P397" i="11"/>
  <c r="P399" i="11"/>
  <c r="Q460" i="11"/>
  <c r="P8" i="12"/>
  <c r="P16" i="12"/>
  <c r="P321" i="11"/>
  <c r="P482" i="11"/>
  <c r="P102" i="11"/>
  <c r="P108" i="11"/>
  <c r="P192" i="11"/>
  <c r="P494" i="11"/>
  <c r="P31" i="11"/>
  <c r="P37" i="11"/>
  <c r="Q82" i="11"/>
  <c r="P87" i="11"/>
  <c r="P198" i="11"/>
  <c r="P223" i="11"/>
  <c r="P268" i="11"/>
  <c r="Q271" i="11"/>
  <c r="P289" i="11"/>
  <c r="P451" i="11"/>
  <c r="P463" i="11"/>
  <c r="L115" i="7"/>
  <c r="L151" i="7"/>
  <c r="L225" i="7"/>
  <c r="L255" i="7"/>
  <c r="L259" i="7"/>
  <c r="L261" i="7"/>
  <c r="L316" i="7"/>
  <c r="L348" i="7"/>
  <c r="L363" i="7"/>
  <c r="L369" i="7"/>
  <c r="L394" i="7"/>
  <c r="L445" i="7"/>
  <c r="P188" i="11"/>
  <c r="P205" i="11"/>
  <c r="P217" i="11"/>
  <c r="P319" i="11"/>
  <c r="P420" i="11"/>
  <c r="Q394" i="11"/>
  <c r="Q121" i="11"/>
  <c r="Q469" i="11"/>
  <c r="Q522" i="11"/>
  <c r="Q61" i="11"/>
  <c r="Q316" i="11"/>
  <c r="Q549" i="11"/>
  <c r="P38" i="11"/>
  <c r="P49" i="11"/>
  <c r="P269" i="11"/>
  <c r="P378" i="11"/>
  <c r="P435" i="11"/>
  <c r="P6" i="12"/>
  <c r="P42" i="11"/>
  <c r="P141" i="11"/>
  <c r="Q167" i="11"/>
  <c r="P251" i="11"/>
  <c r="Q261" i="11"/>
  <c r="Q289" i="11"/>
  <c r="P367" i="11"/>
  <c r="P432" i="11"/>
  <c r="Q528" i="11"/>
  <c r="P103" i="11"/>
  <c r="P246" i="11"/>
  <c r="P272" i="11"/>
  <c r="Q291" i="11"/>
  <c r="P350" i="11"/>
  <c r="P363" i="11"/>
  <c r="P389" i="11"/>
  <c r="Q427" i="11"/>
  <c r="P17" i="12"/>
  <c r="P29" i="12"/>
  <c r="Q478" i="11"/>
  <c r="P478" i="11"/>
  <c r="R5" i="12"/>
  <c r="Q5" i="12"/>
  <c r="R12" i="12"/>
  <c r="Q12" i="12"/>
  <c r="R18" i="12"/>
  <c r="Q18" i="12"/>
  <c r="M3" i="12"/>
  <c r="P99" i="11"/>
  <c r="P511" i="11"/>
  <c r="R13" i="12"/>
  <c r="Q13" i="12"/>
  <c r="M28" i="12"/>
  <c r="I11" i="12"/>
  <c r="K11" i="12" s="1"/>
  <c r="M11" i="12" s="1"/>
  <c r="N11" i="12" s="1"/>
  <c r="P11" i="12" s="1"/>
  <c r="H11" i="12"/>
  <c r="H20" i="12" s="1"/>
  <c r="H36" i="12" s="1"/>
  <c r="P60" i="11"/>
  <c r="P180" i="11"/>
  <c r="Q421" i="11"/>
  <c r="P421" i="11"/>
  <c r="H10" i="12"/>
  <c r="I10" i="12"/>
  <c r="K10" i="12" s="1"/>
  <c r="L68" i="7"/>
  <c r="Q107" i="11"/>
  <c r="P143" i="11"/>
  <c r="P338" i="11"/>
  <c r="P342" i="11"/>
  <c r="P358" i="11"/>
  <c r="P429" i="11"/>
  <c r="P433" i="11"/>
  <c r="Q446" i="11"/>
  <c r="P458" i="11"/>
  <c r="Q537" i="11"/>
  <c r="Q6" i="12"/>
  <c r="I18" i="12"/>
  <c r="P24" i="11"/>
  <c r="Q36" i="11"/>
  <c r="P39" i="11"/>
  <c r="P55" i="11"/>
  <c r="P104" i="11"/>
  <c r="P107" i="11"/>
  <c r="Q197" i="11"/>
  <c r="Q209" i="11"/>
  <c r="P264" i="11"/>
  <c r="Q474" i="11"/>
  <c r="P479" i="11"/>
  <c r="P488" i="11"/>
  <c r="Q543" i="11"/>
  <c r="Q103" i="11"/>
  <c r="P129" i="11"/>
  <c r="P152" i="11"/>
  <c r="P176" i="11"/>
  <c r="Q286" i="11"/>
  <c r="P288" i="11"/>
  <c r="P298" i="11"/>
  <c r="P394" i="11"/>
  <c r="P450" i="11"/>
  <c r="Q461" i="11"/>
  <c r="P506" i="11"/>
  <c r="K18" i="12"/>
  <c r="M18" i="12" s="1"/>
  <c r="N18" i="12" s="1"/>
  <c r="P18" i="12" s="1"/>
  <c r="P18" i="11"/>
  <c r="P51" i="11"/>
  <c r="Q140" i="11"/>
  <c r="P167" i="11"/>
  <c r="Q182" i="11"/>
  <c r="Q203" i="11"/>
  <c r="P254" i="11"/>
  <c r="P276" i="11"/>
  <c r="P294" i="11"/>
  <c r="P310" i="11"/>
  <c r="P387" i="11"/>
  <c r="Q414" i="11"/>
  <c r="Q430" i="11"/>
  <c r="Q481" i="11"/>
  <c r="P537" i="11"/>
  <c r="P548" i="11"/>
  <c r="Q555" i="11"/>
  <c r="Q561" i="11"/>
  <c r="P563" i="11"/>
  <c r="L253" i="7"/>
  <c r="P36" i="11"/>
  <c r="Q78" i="11"/>
  <c r="P95" i="11"/>
  <c r="Q109" i="11"/>
  <c r="P133" i="11"/>
  <c r="P172" i="11"/>
  <c r="Q201" i="11"/>
  <c r="P208" i="11"/>
  <c r="P224" i="11"/>
  <c r="P227" i="11"/>
  <c r="P231" i="11"/>
  <c r="Q236" i="11"/>
  <c r="Q290" i="11"/>
  <c r="Q361" i="11"/>
  <c r="Q406" i="11"/>
  <c r="P481" i="11"/>
  <c r="P487" i="11"/>
  <c r="Q4" i="12"/>
  <c r="H14" i="12"/>
  <c r="P15" i="11"/>
  <c r="P75" i="11"/>
  <c r="P97" i="11"/>
  <c r="P131" i="11"/>
  <c r="Q144" i="11"/>
  <c r="Q212" i="11"/>
  <c r="P247" i="11"/>
  <c r="P281" i="11"/>
  <c r="P292" i="11"/>
  <c r="P308" i="11"/>
  <c r="P315" i="11"/>
  <c r="P428" i="11"/>
  <c r="Q449" i="11"/>
  <c r="P468" i="11"/>
  <c r="P525" i="11"/>
  <c r="P555" i="11"/>
  <c r="R24" i="11"/>
  <c r="Q24" i="11"/>
  <c r="K33" i="11"/>
  <c r="J33" i="11"/>
  <c r="M33" i="11" s="1"/>
  <c r="N33" i="11" s="1"/>
  <c r="P33" i="11" s="1"/>
  <c r="R39" i="11"/>
  <c r="Q39" i="11"/>
  <c r="J44" i="11"/>
  <c r="M44" i="11" s="1"/>
  <c r="N44" i="11" s="1"/>
  <c r="P44" i="11" s="1"/>
  <c r="K44" i="11"/>
  <c r="K63" i="11"/>
  <c r="J63" i="11"/>
  <c r="M63" i="11" s="1"/>
  <c r="N63" i="11" s="1"/>
  <c r="P63" i="11" s="1"/>
  <c r="J65" i="11"/>
  <c r="M65" i="11" s="1"/>
  <c r="N65" i="11" s="1"/>
  <c r="P65" i="11" s="1"/>
  <c r="K65" i="11"/>
  <c r="K79" i="11"/>
  <c r="J94" i="11"/>
  <c r="M94" i="11" s="1"/>
  <c r="N94" i="11" s="1"/>
  <c r="P94" i="11" s="1"/>
  <c r="K94" i="11"/>
  <c r="K92" i="11"/>
  <c r="J92" i="11"/>
  <c r="M92" i="11" s="1"/>
  <c r="N92" i="11" s="1"/>
  <c r="P92" i="11" s="1"/>
  <c r="Q6" i="11"/>
  <c r="R6" i="11"/>
  <c r="R22" i="11"/>
  <c r="Q22" i="11"/>
  <c r="K59" i="11"/>
  <c r="J59" i="11"/>
  <c r="M59" i="11" s="1"/>
  <c r="N59" i="11" s="1"/>
  <c r="P59" i="11" s="1"/>
  <c r="M6" i="11"/>
  <c r="N6" i="11" s="1"/>
  <c r="P6" i="11" s="1"/>
  <c r="M8" i="11"/>
  <c r="N8" i="11" s="1"/>
  <c r="P8" i="11" s="1"/>
  <c r="K16" i="11"/>
  <c r="J16" i="11"/>
  <c r="M16" i="11" s="1"/>
  <c r="N16" i="11" s="1"/>
  <c r="P16" i="11" s="1"/>
  <c r="R57" i="11"/>
  <c r="Q57" i="11"/>
  <c r="R20" i="11"/>
  <c r="Q20" i="11"/>
  <c r="K34" i="11"/>
  <c r="J34" i="11"/>
  <c r="M34" i="11" s="1"/>
  <c r="N34" i="11" s="1"/>
  <c r="P34" i="11" s="1"/>
  <c r="M46" i="11"/>
  <c r="N46" i="11" s="1"/>
  <c r="P46" i="11" s="1"/>
  <c r="M57" i="11"/>
  <c r="N57" i="11" s="1"/>
  <c r="P57" i="11" s="1"/>
  <c r="K4" i="11"/>
  <c r="J13" i="11"/>
  <c r="R25" i="11"/>
  <c r="Q25" i="11"/>
  <c r="K43" i="11"/>
  <c r="J43" i="11"/>
  <c r="M43" i="11" s="1"/>
  <c r="N43" i="11" s="1"/>
  <c r="P43" i="11" s="1"/>
  <c r="K142" i="11"/>
  <c r="J142" i="11"/>
  <c r="M142" i="11" s="1"/>
  <c r="N142" i="11" s="1"/>
  <c r="P142" i="11" s="1"/>
  <c r="R23" i="11"/>
  <c r="Q23" i="11"/>
  <c r="R8" i="11"/>
  <c r="Q8" i="11"/>
  <c r="R7" i="11"/>
  <c r="Q7" i="11"/>
  <c r="M7" i="11"/>
  <c r="N7" i="11" s="1"/>
  <c r="P7" i="11" s="1"/>
  <c r="J17" i="11"/>
  <c r="M17" i="11" s="1"/>
  <c r="N17" i="11" s="1"/>
  <c r="P17" i="11" s="1"/>
  <c r="K17" i="11"/>
  <c r="K565" i="11" s="1"/>
  <c r="I574" i="11" s="1"/>
  <c r="R21" i="11"/>
  <c r="Q21" i="11"/>
  <c r="J40" i="11"/>
  <c r="M40" i="11" s="1"/>
  <c r="N40" i="11" s="1"/>
  <c r="P40" i="11" s="1"/>
  <c r="K40" i="11"/>
  <c r="K28" i="11"/>
  <c r="J30" i="11"/>
  <c r="M30" i="11" s="1"/>
  <c r="N30" i="11" s="1"/>
  <c r="P30" i="11" s="1"/>
  <c r="K30" i="11"/>
  <c r="K58" i="11"/>
  <c r="J58" i="11"/>
  <c r="M58" i="11" s="1"/>
  <c r="N58" i="11" s="1"/>
  <c r="P58" i="11" s="1"/>
  <c r="M12" i="11"/>
  <c r="N12" i="11" s="1"/>
  <c r="P12" i="11" s="1"/>
  <c r="J74" i="11"/>
  <c r="M74" i="11" s="1"/>
  <c r="N74" i="11" s="1"/>
  <c r="P74" i="11" s="1"/>
  <c r="J82" i="11"/>
  <c r="M82" i="11" s="1"/>
  <c r="N82" i="11" s="1"/>
  <c r="P82" i="11" s="1"/>
  <c r="K82" i="11"/>
  <c r="L19" i="7"/>
  <c r="J10" i="11"/>
  <c r="J29" i="11"/>
  <c r="M29" i="11" s="1"/>
  <c r="N29" i="11" s="1"/>
  <c r="P29" i="11" s="1"/>
  <c r="R69" i="11"/>
  <c r="K100" i="11"/>
  <c r="Q102" i="11"/>
  <c r="R102" i="11"/>
  <c r="H115" i="11"/>
  <c r="J115" i="11" s="1"/>
  <c r="M115" i="11" s="1"/>
  <c r="N115" i="11" s="1"/>
  <c r="P115" i="11" s="1"/>
  <c r="G115" i="11"/>
  <c r="R141" i="11"/>
  <c r="Q141" i="11"/>
  <c r="J52" i="11"/>
  <c r="K115" i="11"/>
  <c r="K128" i="11"/>
  <c r="K146" i="11"/>
  <c r="G155" i="11"/>
  <c r="H155" i="11"/>
  <c r="J155" i="11" s="1"/>
  <c r="M155" i="11" s="1"/>
  <c r="N155" i="11" s="1"/>
  <c r="P155" i="11" s="1"/>
  <c r="K157" i="11"/>
  <c r="J157" i="11"/>
  <c r="M157" i="11" s="1"/>
  <c r="N157" i="11" s="1"/>
  <c r="P157" i="11" s="1"/>
  <c r="K173" i="11"/>
  <c r="K177" i="11"/>
  <c r="J177" i="11"/>
  <c r="M177" i="11" s="1"/>
  <c r="N177" i="11" s="1"/>
  <c r="P177" i="11" s="1"/>
  <c r="K257" i="11"/>
  <c r="J257" i="11"/>
  <c r="M257" i="11" s="1"/>
  <c r="N257" i="11" s="1"/>
  <c r="P257" i="11" s="1"/>
  <c r="J20" i="11"/>
  <c r="M20" i="11" s="1"/>
  <c r="N20" i="11" s="1"/>
  <c r="P20" i="11" s="1"/>
  <c r="J21" i="11"/>
  <c r="M21" i="11" s="1"/>
  <c r="N21" i="11" s="1"/>
  <c r="P21" i="11" s="1"/>
  <c r="J22" i="11"/>
  <c r="M22" i="11" s="1"/>
  <c r="N22" i="11" s="1"/>
  <c r="P22" i="11" s="1"/>
  <c r="K23" i="11"/>
  <c r="J25" i="11"/>
  <c r="M25" i="11" s="1"/>
  <c r="N25" i="11" s="1"/>
  <c r="P25" i="11" s="1"/>
  <c r="J26" i="11"/>
  <c r="M26" i="11" s="1"/>
  <c r="N26" i="11" s="1"/>
  <c r="P26" i="11" s="1"/>
  <c r="J27" i="11"/>
  <c r="M27" i="11" s="1"/>
  <c r="N27" i="11" s="1"/>
  <c r="P27" i="11" s="1"/>
  <c r="K52" i="11"/>
  <c r="J53" i="11"/>
  <c r="G70" i="11"/>
  <c r="J76" i="11"/>
  <c r="H79" i="11"/>
  <c r="J79" i="11" s="1"/>
  <c r="M79" i="11" s="1"/>
  <c r="N79" i="11" s="1"/>
  <c r="P79" i="11" s="1"/>
  <c r="G79" i="11"/>
  <c r="J80" i="11"/>
  <c r="M80" i="11" s="1"/>
  <c r="N80" i="11" s="1"/>
  <c r="P80" i="11" s="1"/>
  <c r="H83" i="11"/>
  <c r="J83" i="11" s="1"/>
  <c r="M83" i="11" s="1"/>
  <c r="N83" i="11" s="1"/>
  <c r="P83" i="11" s="1"/>
  <c r="G83" i="11"/>
  <c r="J84" i="11"/>
  <c r="M84" i="11" s="1"/>
  <c r="N84" i="11" s="1"/>
  <c r="P84" i="11" s="1"/>
  <c r="J93" i="11"/>
  <c r="M93" i="11" s="1"/>
  <c r="N93" i="11" s="1"/>
  <c r="P93" i="11" s="1"/>
  <c r="H113" i="11"/>
  <c r="G113" i="11"/>
  <c r="K120" i="11"/>
  <c r="J120" i="11"/>
  <c r="M120" i="11" s="1"/>
  <c r="N120" i="11" s="1"/>
  <c r="P120" i="11" s="1"/>
  <c r="R125" i="11"/>
  <c r="Q125" i="11"/>
  <c r="J135" i="11"/>
  <c r="M135" i="11" s="1"/>
  <c r="N135" i="11" s="1"/>
  <c r="P135" i="11" s="1"/>
  <c r="K135" i="11"/>
  <c r="H160" i="11"/>
  <c r="J160" i="11" s="1"/>
  <c r="M160" i="11" s="1"/>
  <c r="N160" i="11" s="1"/>
  <c r="P160" i="11" s="1"/>
  <c r="G160" i="11"/>
  <c r="J169" i="11"/>
  <c r="M169" i="11" s="1"/>
  <c r="N169" i="11" s="1"/>
  <c r="P169" i="11" s="1"/>
  <c r="K169" i="11"/>
  <c r="K184" i="11"/>
  <c r="J184" i="11"/>
  <c r="M184" i="11" s="1"/>
  <c r="N184" i="11" s="1"/>
  <c r="P184" i="11" s="1"/>
  <c r="Q4" i="11"/>
  <c r="Q31" i="11"/>
  <c r="Q32" i="11"/>
  <c r="Q33" i="11"/>
  <c r="Q37" i="11"/>
  <c r="Q65" i="11"/>
  <c r="R65" i="11"/>
  <c r="J66" i="11"/>
  <c r="M66" i="11" s="1"/>
  <c r="N66" i="11" s="1"/>
  <c r="P66" i="11" s="1"/>
  <c r="Q68" i="11"/>
  <c r="J88" i="11"/>
  <c r="M88" i="11" s="1"/>
  <c r="N88" i="11" s="1"/>
  <c r="P88" i="11" s="1"/>
  <c r="K105" i="11"/>
  <c r="J105" i="11"/>
  <c r="K113" i="11"/>
  <c r="J113" i="11"/>
  <c r="K117" i="11"/>
  <c r="J117" i="11"/>
  <c r="M117" i="11" s="1"/>
  <c r="N117" i="11" s="1"/>
  <c r="P117" i="11" s="1"/>
  <c r="H151" i="11"/>
  <c r="J151" i="11" s="1"/>
  <c r="M151" i="11" s="1"/>
  <c r="N151" i="11" s="1"/>
  <c r="P151" i="11" s="1"/>
  <c r="G151" i="11"/>
  <c r="K237" i="11"/>
  <c r="J237" i="11"/>
  <c r="M237" i="11" s="1"/>
  <c r="N237" i="11" s="1"/>
  <c r="P237" i="11" s="1"/>
  <c r="Q92" i="11"/>
  <c r="R92" i="11"/>
  <c r="R96" i="11"/>
  <c r="Q96" i="11"/>
  <c r="Q111" i="11"/>
  <c r="R111" i="11"/>
  <c r="J148" i="11"/>
  <c r="M148" i="11" s="1"/>
  <c r="N148" i="11" s="1"/>
  <c r="P148" i="11" s="1"/>
  <c r="K148" i="11"/>
  <c r="G3" i="11"/>
  <c r="Q5" i="11"/>
  <c r="Q30" i="11"/>
  <c r="Q35" i="11"/>
  <c r="R36" i="11"/>
  <c r="Q38" i="11"/>
  <c r="G59" i="11"/>
  <c r="J61" i="11"/>
  <c r="M61" i="11" s="1"/>
  <c r="N61" i="11" s="1"/>
  <c r="P61" i="11" s="1"/>
  <c r="K66" i="11"/>
  <c r="J70" i="11"/>
  <c r="M70" i="11" s="1"/>
  <c r="N70" i="11" s="1"/>
  <c r="P70" i="11" s="1"/>
  <c r="G74" i="11"/>
  <c r="H74" i="11"/>
  <c r="G86" i="11"/>
  <c r="H86" i="11"/>
  <c r="J86" i="11" s="1"/>
  <c r="M86" i="11" s="1"/>
  <c r="N86" i="11" s="1"/>
  <c r="P86" i="11" s="1"/>
  <c r="K88" i="11"/>
  <c r="Q91" i="11"/>
  <c r="R91" i="11"/>
  <c r="Q95" i="11"/>
  <c r="R95" i="11"/>
  <c r="K111" i="11"/>
  <c r="J111" i="11"/>
  <c r="M111" i="11" s="1"/>
  <c r="N111" i="11" s="1"/>
  <c r="P111" i="11" s="1"/>
  <c r="K130" i="11"/>
  <c r="J130" i="11"/>
  <c r="M130" i="11" s="1"/>
  <c r="N130" i="11" s="1"/>
  <c r="P130" i="11" s="1"/>
  <c r="J139" i="11"/>
  <c r="M139" i="11" s="1"/>
  <c r="N139" i="11" s="1"/>
  <c r="P139" i="11" s="1"/>
  <c r="K139" i="11"/>
  <c r="M156" i="11"/>
  <c r="N156" i="11" s="1"/>
  <c r="P156" i="11" s="1"/>
  <c r="K165" i="11"/>
  <c r="J165" i="11"/>
  <c r="R198" i="11"/>
  <c r="Q198" i="11"/>
  <c r="K206" i="11"/>
  <c r="J206" i="11"/>
  <c r="M206" i="11" s="1"/>
  <c r="N206" i="11" s="1"/>
  <c r="P206" i="11" s="1"/>
  <c r="Q9" i="11"/>
  <c r="Q40" i="11"/>
  <c r="R101" i="11"/>
  <c r="Q101" i="11"/>
  <c r="K109" i="11"/>
  <c r="J109" i="11"/>
  <c r="M109" i="11" s="1"/>
  <c r="N109" i="11" s="1"/>
  <c r="P109" i="11" s="1"/>
  <c r="H116" i="11"/>
  <c r="J116" i="11" s="1"/>
  <c r="M116" i="11" s="1"/>
  <c r="N116" i="11" s="1"/>
  <c r="P116" i="11" s="1"/>
  <c r="G116" i="11"/>
  <c r="R156" i="11"/>
  <c r="Q156" i="11"/>
  <c r="Q191" i="11"/>
  <c r="R191" i="11"/>
  <c r="G216" i="11"/>
  <c r="H216" i="11"/>
  <c r="J216" i="11" s="1"/>
  <c r="M216" i="11" s="1"/>
  <c r="N216" i="11" s="1"/>
  <c r="P216" i="11" s="1"/>
  <c r="L250" i="7"/>
  <c r="L444" i="7"/>
  <c r="L452" i="7"/>
  <c r="L493" i="7"/>
  <c r="L506" i="7"/>
  <c r="H4" i="11"/>
  <c r="J4" i="11" s="1"/>
  <c r="M4" i="11" s="1"/>
  <c r="N4" i="11" s="1"/>
  <c r="P4" i="11" s="1"/>
  <c r="H32" i="11"/>
  <c r="J32" i="11" s="1"/>
  <c r="M32" i="11" s="1"/>
  <c r="N32" i="11" s="1"/>
  <c r="P32" i="11" s="1"/>
  <c r="G58" i="11"/>
  <c r="H69" i="11"/>
  <c r="Q90" i="11"/>
  <c r="R90" i="11"/>
  <c r="M96" i="11"/>
  <c r="N96" i="11" s="1"/>
  <c r="P96" i="11" s="1"/>
  <c r="H106" i="11"/>
  <c r="G106" i="11"/>
  <c r="K119" i="11"/>
  <c r="J119" i="11"/>
  <c r="M119" i="11" s="1"/>
  <c r="N119" i="11" s="1"/>
  <c r="P119" i="11" s="1"/>
  <c r="K122" i="11"/>
  <c r="J122" i="11"/>
  <c r="M122" i="11" s="1"/>
  <c r="N122" i="11" s="1"/>
  <c r="P122" i="11" s="1"/>
  <c r="P123" i="11"/>
  <c r="H214" i="11"/>
  <c r="J214" i="11" s="1"/>
  <c r="M214" i="11" s="1"/>
  <c r="N214" i="11" s="1"/>
  <c r="P214" i="11" s="1"/>
  <c r="G214" i="11"/>
  <c r="Q94" i="11"/>
  <c r="R94" i="11"/>
  <c r="J106" i="11"/>
  <c r="M106" i="11" s="1"/>
  <c r="N106" i="11" s="1"/>
  <c r="P106" i="11" s="1"/>
  <c r="K106" i="11"/>
  <c r="H114" i="11"/>
  <c r="G114" i="11"/>
  <c r="J132" i="11"/>
  <c r="M132" i="11" s="1"/>
  <c r="N132" i="11" s="1"/>
  <c r="P132" i="11" s="1"/>
  <c r="K132" i="11"/>
  <c r="J134" i="11"/>
  <c r="M134" i="11" s="1"/>
  <c r="N134" i="11" s="1"/>
  <c r="P134" i="11" s="1"/>
  <c r="K134" i="11"/>
  <c r="R161" i="11"/>
  <c r="Q161" i="11"/>
  <c r="J3" i="11"/>
  <c r="G10" i="11"/>
  <c r="G11" i="11"/>
  <c r="G12" i="11"/>
  <c r="G13" i="11"/>
  <c r="Q26" i="11"/>
  <c r="H30" i="11"/>
  <c r="G41" i="11"/>
  <c r="Q47" i="11"/>
  <c r="Q56" i="11"/>
  <c r="J69" i="11"/>
  <c r="M69" i="11" s="1"/>
  <c r="N69" i="11" s="1"/>
  <c r="P69" i="11" s="1"/>
  <c r="G77" i="11"/>
  <c r="J78" i="11"/>
  <c r="M78" i="11" s="1"/>
  <c r="N78" i="11" s="1"/>
  <c r="P78" i="11" s="1"/>
  <c r="G81" i="11"/>
  <c r="H85" i="11"/>
  <c r="J85" i="11" s="1"/>
  <c r="M85" i="11" s="1"/>
  <c r="N85" i="11" s="1"/>
  <c r="P85" i="11" s="1"/>
  <c r="G85" i="11"/>
  <c r="J91" i="11"/>
  <c r="M91" i="11" s="1"/>
  <c r="N91" i="11" s="1"/>
  <c r="P91" i="11" s="1"/>
  <c r="J98" i="11"/>
  <c r="M98" i="11" s="1"/>
  <c r="N98" i="11" s="1"/>
  <c r="P98" i="11" s="1"/>
  <c r="J101" i="11"/>
  <c r="M101" i="11" s="1"/>
  <c r="N101" i="11" s="1"/>
  <c r="P101" i="11" s="1"/>
  <c r="G110" i="11"/>
  <c r="H110" i="11"/>
  <c r="G112" i="11"/>
  <c r="K114" i="11"/>
  <c r="J114" i="11"/>
  <c r="M114" i="11" s="1"/>
  <c r="N114" i="11" s="1"/>
  <c r="P114" i="11" s="1"/>
  <c r="R126" i="11"/>
  <c r="Q126" i="11"/>
  <c r="M161" i="11"/>
  <c r="N161" i="11" s="1"/>
  <c r="P161" i="11" s="1"/>
  <c r="K163" i="11"/>
  <c r="Q17" i="11"/>
  <c r="R48" i="11"/>
  <c r="Q48" i="11"/>
  <c r="Q49" i="11"/>
  <c r="J64" i="11"/>
  <c r="M64" i="11" s="1"/>
  <c r="N64" i="11" s="1"/>
  <c r="P64" i="11" s="1"/>
  <c r="K64" i="11"/>
  <c r="Q75" i="11"/>
  <c r="K140" i="11"/>
  <c r="J140" i="11"/>
  <c r="M140" i="11" s="1"/>
  <c r="N140" i="11" s="1"/>
  <c r="P140" i="11" s="1"/>
  <c r="R152" i="11"/>
  <c r="Q152" i="11"/>
  <c r="J195" i="11"/>
  <c r="M195" i="11" s="1"/>
  <c r="N195" i="11" s="1"/>
  <c r="P195" i="11" s="1"/>
  <c r="K195" i="11"/>
  <c r="L565" i="11"/>
  <c r="H28" i="11"/>
  <c r="J28" i="11" s="1"/>
  <c r="M28" i="11" s="1"/>
  <c r="N28" i="11" s="1"/>
  <c r="P28" i="11" s="1"/>
  <c r="G46" i="11"/>
  <c r="H47" i="11"/>
  <c r="J47" i="11" s="1"/>
  <c r="M47" i="11" s="1"/>
  <c r="N47" i="11" s="1"/>
  <c r="P47" i="11" s="1"/>
  <c r="H48" i="11"/>
  <c r="J48" i="11" s="1"/>
  <c r="M48" i="11" s="1"/>
  <c r="N48" i="11" s="1"/>
  <c r="P48" i="11" s="1"/>
  <c r="G52" i="11"/>
  <c r="G53" i="11"/>
  <c r="G71" i="11"/>
  <c r="J73" i="11"/>
  <c r="M73" i="11" s="1"/>
  <c r="N73" i="11" s="1"/>
  <c r="P73" i="11" s="1"/>
  <c r="J81" i="11"/>
  <c r="G89" i="11"/>
  <c r="H89" i="11"/>
  <c r="J89" i="11" s="1"/>
  <c r="J90" i="11"/>
  <c r="M90" i="11" s="1"/>
  <c r="N90" i="11" s="1"/>
  <c r="P90" i="11" s="1"/>
  <c r="Q93" i="11"/>
  <c r="R93" i="11"/>
  <c r="R97" i="11"/>
  <c r="Q97" i="11"/>
  <c r="G100" i="11"/>
  <c r="H100" i="11"/>
  <c r="J100" i="11" s="1"/>
  <c r="M100" i="11" s="1"/>
  <c r="N100" i="11" s="1"/>
  <c r="P100" i="11" s="1"/>
  <c r="K110" i="11"/>
  <c r="J110" i="11"/>
  <c r="M110" i="11" s="1"/>
  <c r="N110" i="11" s="1"/>
  <c r="P110" i="11" s="1"/>
  <c r="K112" i="11"/>
  <c r="J112" i="11"/>
  <c r="K118" i="11"/>
  <c r="J118" i="11"/>
  <c r="M118" i="11" s="1"/>
  <c r="N118" i="11" s="1"/>
  <c r="P118" i="11" s="1"/>
  <c r="J154" i="11"/>
  <c r="M154" i="11" s="1"/>
  <c r="N154" i="11" s="1"/>
  <c r="P154" i="11" s="1"/>
  <c r="K154" i="11"/>
  <c r="M164" i="11"/>
  <c r="N164" i="11" s="1"/>
  <c r="P164" i="11" s="1"/>
  <c r="J11" i="11"/>
  <c r="H54" i="11"/>
  <c r="J54" i="11" s="1"/>
  <c r="M54" i="11" s="1"/>
  <c r="N54" i="11" s="1"/>
  <c r="P54" i="11" s="1"/>
  <c r="G62" i="11"/>
  <c r="M62" i="11" s="1"/>
  <c r="N62" i="11" s="1"/>
  <c r="P62" i="11" s="1"/>
  <c r="J68" i="11"/>
  <c r="M68" i="11" s="1"/>
  <c r="N68" i="11" s="1"/>
  <c r="P68" i="11" s="1"/>
  <c r="J72" i="11"/>
  <c r="M72" i="11" s="1"/>
  <c r="N72" i="11" s="1"/>
  <c r="P72" i="11" s="1"/>
  <c r="K72" i="11"/>
  <c r="G76" i="11"/>
  <c r="J77" i="11"/>
  <c r="G80" i="11"/>
  <c r="G84" i="11"/>
  <c r="G164" i="11"/>
  <c r="J168" i="11"/>
  <c r="M168" i="11" s="1"/>
  <c r="N168" i="11" s="1"/>
  <c r="P168" i="11" s="1"/>
  <c r="K168" i="11"/>
  <c r="J175" i="11"/>
  <c r="M175" i="11" s="1"/>
  <c r="N175" i="11" s="1"/>
  <c r="P175" i="11" s="1"/>
  <c r="K175" i="11"/>
  <c r="J221" i="11"/>
  <c r="M221" i="11" s="1"/>
  <c r="N221" i="11" s="1"/>
  <c r="P221" i="11" s="1"/>
  <c r="R99" i="11"/>
  <c r="Q99" i="11"/>
  <c r="M144" i="11"/>
  <c r="N144" i="11" s="1"/>
  <c r="P144" i="11" s="1"/>
  <c r="K153" i="11"/>
  <c r="J153" i="11"/>
  <c r="K162" i="11"/>
  <c r="J162" i="11"/>
  <c r="M162" i="11" s="1"/>
  <c r="N162" i="11" s="1"/>
  <c r="P162" i="11" s="1"/>
  <c r="Q168" i="11"/>
  <c r="R168" i="11"/>
  <c r="H187" i="11"/>
  <c r="J187" i="11" s="1"/>
  <c r="M187" i="11" s="1"/>
  <c r="N187" i="11" s="1"/>
  <c r="P187" i="11" s="1"/>
  <c r="G187" i="11"/>
  <c r="J202" i="11"/>
  <c r="M202" i="11" s="1"/>
  <c r="N202" i="11" s="1"/>
  <c r="P202" i="11" s="1"/>
  <c r="H221" i="11"/>
  <c r="G221" i="11"/>
  <c r="K229" i="11"/>
  <c r="J229" i="11"/>
  <c r="M229" i="11" s="1"/>
  <c r="N229" i="11" s="1"/>
  <c r="P229" i="11" s="1"/>
  <c r="K252" i="11"/>
  <c r="J252" i="11"/>
  <c r="M252" i="11" s="1"/>
  <c r="N252" i="11" s="1"/>
  <c r="P252" i="11" s="1"/>
  <c r="J71" i="11"/>
  <c r="Q117" i="11"/>
  <c r="G170" i="11"/>
  <c r="H170" i="11"/>
  <c r="J170" i="11" s="1"/>
  <c r="M170" i="11" s="1"/>
  <c r="N170" i="11" s="1"/>
  <c r="P170" i="11" s="1"/>
  <c r="G174" i="11"/>
  <c r="H174" i="11"/>
  <c r="J174" i="11" s="1"/>
  <c r="M174" i="11" s="1"/>
  <c r="N174" i="11" s="1"/>
  <c r="P174" i="11" s="1"/>
  <c r="R211" i="11"/>
  <c r="Q211" i="11"/>
  <c r="Q260" i="11"/>
  <c r="R260" i="11"/>
  <c r="M260" i="11"/>
  <c r="N260" i="11" s="1"/>
  <c r="P260" i="11" s="1"/>
  <c r="J362" i="11"/>
  <c r="M362" i="11" s="1"/>
  <c r="N362" i="11" s="1"/>
  <c r="P362" i="11" s="1"/>
  <c r="K362" i="11"/>
  <c r="Q119" i="11"/>
  <c r="H146" i="11"/>
  <c r="J146" i="11" s="1"/>
  <c r="M146" i="11" s="1"/>
  <c r="N146" i="11" s="1"/>
  <c r="P146" i="11" s="1"/>
  <c r="G146" i="11"/>
  <c r="J183" i="11"/>
  <c r="M183" i="11" s="1"/>
  <c r="N183" i="11" s="1"/>
  <c r="P183" i="11" s="1"/>
  <c r="K191" i="11"/>
  <c r="J191" i="11"/>
  <c r="M191" i="11" s="1"/>
  <c r="N191" i="11" s="1"/>
  <c r="P191" i="11" s="1"/>
  <c r="R218" i="11"/>
  <c r="Q218" i="11"/>
  <c r="J226" i="11"/>
  <c r="M226" i="11" s="1"/>
  <c r="N226" i="11" s="1"/>
  <c r="P226" i="11" s="1"/>
  <c r="R228" i="11"/>
  <c r="Q228" i="11"/>
  <c r="R240" i="11"/>
  <c r="Q240" i="11"/>
  <c r="K273" i="11"/>
  <c r="J273" i="11"/>
  <c r="M273" i="11" s="1"/>
  <c r="N273" i="11" s="1"/>
  <c r="P273" i="11" s="1"/>
  <c r="Q123" i="11"/>
  <c r="G150" i="11"/>
  <c r="J171" i="11"/>
  <c r="M171" i="11" s="1"/>
  <c r="N171" i="11" s="1"/>
  <c r="P171" i="11" s="1"/>
  <c r="K183" i="11"/>
  <c r="Q186" i="11"/>
  <c r="R186" i="11"/>
  <c r="R190" i="11"/>
  <c r="Q190" i="11"/>
  <c r="Q225" i="11"/>
  <c r="R225" i="11"/>
  <c r="K258" i="11"/>
  <c r="Q288" i="11"/>
  <c r="R288" i="11"/>
  <c r="G124" i="11"/>
  <c r="Q129" i="11"/>
  <c r="Q132" i="11"/>
  <c r="G137" i="11"/>
  <c r="M137" i="11" s="1"/>
  <c r="N137" i="11" s="1"/>
  <c r="P137" i="11" s="1"/>
  <c r="G145" i="11"/>
  <c r="J147" i="11"/>
  <c r="M147" i="11" s="1"/>
  <c r="N147" i="11" s="1"/>
  <c r="P147" i="11" s="1"/>
  <c r="R159" i="11"/>
  <c r="Q159" i="11"/>
  <c r="K160" i="11"/>
  <c r="H163" i="11"/>
  <c r="J163" i="11" s="1"/>
  <c r="M163" i="11" s="1"/>
  <c r="N163" i="11" s="1"/>
  <c r="P163" i="11" s="1"/>
  <c r="G163" i="11"/>
  <c r="J178" i="11"/>
  <c r="M178" i="11" s="1"/>
  <c r="N178" i="11" s="1"/>
  <c r="P178" i="11" s="1"/>
  <c r="K178" i="11"/>
  <c r="H181" i="11"/>
  <c r="J181" i="11" s="1"/>
  <c r="G181" i="11"/>
  <c r="K186" i="11"/>
  <c r="J186" i="11"/>
  <c r="M186" i="11" s="1"/>
  <c r="N186" i="11" s="1"/>
  <c r="P186" i="11" s="1"/>
  <c r="H193" i="11"/>
  <c r="J193" i="11" s="1"/>
  <c r="M193" i="11" s="1"/>
  <c r="N193" i="11" s="1"/>
  <c r="P193" i="11" s="1"/>
  <c r="G193" i="11"/>
  <c r="K194" i="11"/>
  <c r="K201" i="11"/>
  <c r="J218" i="11"/>
  <c r="M218" i="11" s="1"/>
  <c r="N218" i="11" s="1"/>
  <c r="P218" i="11" s="1"/>
  <c r="G220" i="11"/>
  <c r="G222" i="11"/>
  <c r="H222" i="11"/>
  <c r="J222" i="11" s="1"/>
  <c r="M222" i="11" s="1"/>
  <c r="N222" i="11" s="1"/>
  <c r="P222" i="11" s="1"/>
  <c r="G238" i="11"/>
  <c r="H238" i="11"/>
  <c r="J325" i="11"/>
  <c r="K325" i="11"/>
  <c r="G105" i="11"/>
  <c r="H128" i="11"/>
  <c r="J128" i="11" s="1"/>
  <c r="M128" i="11" s="1"/>
  <c r="N128" i="11" s="1"/>
  <c r="P128" i="11" s="1"/>
  <c r="G128" i="11"/>
  <c r="G134" i="11"/>
  <c r="G136" i="11"/>
  <c r="G138" i="11"/>
  <c r="F145" i="11"/>
  <c r="H145" i="11" s="1"/>
  <c r="Q157" i="11"/>
  <c r="H169" i="11"/>
  <c r="G169" i="11"/>
  <c r="G173" i="11"/>
  <c r="H173" i="11"/>
  <c r="J173" i="11" s="1"/>
  <c r="M173" i="11" s="1"/>
  <c r="N173" i="11" s="1"/>
  <c r="P173" i="11" s="1"/>
  <c r="Q184" i="11"/>
  <c r="H189" i="11"/>
  <c r="J189" i="11" s="1"/>
  <c r="M189" i="11" s="1"/>
  <c r="N189" i="11" s="1"/>
  <c r="P189" i="11" s="1"/>
  <c r="G189" i="11"/>
  <c r="K197" i="11"/>
  <c r="J197" i="11"/>
  <c r="M197" i="11" s="1"/>
  <c r="N197" i="11" s="1"/>
  <c r="P197" i="11" s="1"/>
  <c r="H213" i="11"/>
  <c r="K218" i="11"/>
  <c r="J220" i="11"/>
  <c r="M220" i="11" s="1"/>
  <c r="N220" i="11" s="1"/>
  <c r="P220" i="11" s="1"/>
  <c r="K236" i="11"/>
  <c r="J236" i="11"/>
  <c r="M236" i="11" s="1"/>
  <c r="N236" i="11" s="1"/>
  <c r="P236" i="11" s="1"/>
  <c r="K238" i="11"/>
  <c r="J238" i="11"/>
  <c r="M238" i="11" s="1"/>
  <c r="N238" i="11" s="1"/>
  <c r="P238" i="11" s="1"/>
  <c r="J267" i="11"/>
  <c r="M267" i="11" s="1"/>
  <c r="N267" i="11" s="1"/>
  <c r="P267" i="11" s="1"/>
  <c r="K267" i="11"/>
  <c r="K286" i="11"/>
  <c r="J286" i="11"/>
  <c r="M286" i="11" s="1"/>
  <c r="N286" i="11" s="1"/>
  <c r="P286" i="11" s="1"/>
  <c r="Q130" i="11"/>
  <c r="Q133" i="11"/>
  <c r="R133" i="11"/>
  <c r="K182" i="11"/>
  <c r="J190" i="11"/>
  <c r="M190" i="11" s="1"/>
  <c r="N190" i="11" s="1"/>
  <c r="P190" i="11" s="1"/>
  <c r="Q196" i="11"/>
  <c r="G210" i="11"/>
  <c r="H210" i="11"/>
  <c r="J210" i="11" s="1"/>
  <c r="M210" i="11" s="1"/>
  <c r="N210" i="11" s="1"/>
  <c r="P210" i="11" s="1"/>
  <c r="Q217" i="11"/>
  <c r="R217" i="11"/>
  <c r="J225" i="11"/>
  <c r="M225" i="11" s="1"/>
  <c r="N225" i="11" s="1"/>
  <c r="P225" i="11" s="1"/>
  <c r="H244" i="11"/>
  <c r="J244" i="11" s="1"/>
  <c r="G244" i="11"/>
  <c r="J150" i="11"/>
  <c r="G153" i="11"/>
  <c r="G158" i="11"/>
  <c r="H158" i="11"/>
  <c r="J158" i="11" s="1"/>
  <c r="M158" i="11" s="1"/>
  <c r="N158" i="11" s="1"/>
  <c r="P158" i="11" s="1"/>
  <c r="J159" i="11"/>
  <c r="M159" i="11" s="1"/>
  <c r="N159" i="11" s="1"/>
  <c r="P159" i="11" s="1"/>
  <c r="G165" i="11"/>
  <c r="K166" i="11"/>
  <c r="Q185" i="11"/>
  <c r="Q188" i="11"/>
  <c r="R188" i="11"/>
  <c r="H199" i="11"/>
  <c r="G199" i="11"/>
  <c r="K200" i="11"/>
  <c r="J200" i="11"/>
  <c r="M200" i="11" s="1"/>
  <c r="N200" i="11" s="1"/>
  <c r="P200" i="11" s="1"/>
  <c r="H215" i="11"/>
  <c r="J215" i="11" s="1"/>
  <c r="M215" i="11" s="1"/>
  <c r="N215" i="11" s="1"/>
  <c r="P215" i="11" s="1"/>
  <c r="G215" i="11"/>
  <c r="R227" i="11"/>
  <c r="Q227" i="11"/>
  <c r="J297" i="11"/>
  <c r="M297" i="11" s="1"/>
  <c r="N297" i="11" s="1"/>
  <c r="P297" i="11" s="1"/>
  <c r="K297" i="11"/>
  <c r="J124" i="11"/>
  <c r="M124" i="11" s="1"/>
  <c r="N124" i="11" s="1"/>
  <c r="P124" i="11" s="1"/>
  <c r="J125" i="11"/>
  <c r="M125" i="11" s="1"/>
  <c r="N125" i="11" s="1"/>
  <c r="P125" i="11" s="1"/>
  <c r="J127" i="11"/>
  <c r="M127" i="11" s="1"/>
  <c r="N127" i="11" s="1"/>
  <c r="P127" i="11" s="1"/>
  <c r="J136" i="11"/>
  <c r="M136" i="11" s="1"/>
  <c r="N136" i="11" s="1"/>
  <c r="P136" i="11" s="1"/>
  <c r="J138" i="11"/>
  <c r="M138" i="11" s="1"/>
  <c r="N138" i="11" s="1"/>
  <c r="P138" i="11" s="1"/>
  <c r="J145" i="11"/>
  <c r="M145" i="11" s="1"/>
  <c r="N145" i="11" s="1"/>
  <c r="P145" i="11" s="1"/>
  <c r="Q147" i="11"/>
  <c r="R167" i="11"/>
  <c r="J207" i="11"/>
  <c r="M207" i="11" s="1"/>
  <c r="N207" i="11" s="1"/>
  <c r="P207" i="11" s="1"/>
  <c r="K207" i="11"/>
  <c r="Q224" i="11"/>
  <c r="R224" i="11"/>
  <c r="H239" i="11"/>
  <c r="G239" i="11"/>
  <c r="J241" i="11"/>
  <c r="M241" i="11" s="1"/>
  <c r="N241" i="11" s="1"/>
  <c r="P241" i="11" s="1"/>
  <c r="K241" i="11"/>
  <c r="H277" i="11"/>
  <c r="J277" i="11" s="1"/>
  <c r="G277" i="11"/>
  <c r="J126" i="11"/>
  <c r="M126" i="11" s="1"/>
  <c r="N126" i="11" s="1"/>
  <c r="P126" i="11" s="1"/>
  <c r="Q148" i="11"/>
  <c r="J149" i="11"/>
  <c r="M149" i="11" s="1"/>
  <c r="N149" i="11" s="1"/>
  <c r="P149" i="11" s="1"/>
  <c r="J185" i="11"/>
  <c r="M185" i="11" s="1"/>
  <c r="N185" i="11" s="1"/>
  <c r="P185" i="11" s="1"/>
  <c r="J196" i="11"/>
  <c r="M196" i="11" s="1"/>
  <c r="N196" i="11" s="1"/>
  <c r="P196" i="11" s="1"/>
  <c r="K196" i="11"/>
  <c r="R197" i="11"/>
  <c r="Q202" i="11"/>
  <c r="Q219" i="11"/>
  <c r="R219" i="11"/>
  <c r="M232" i="11"/>
  <c r="N232" i="11" s="1"/>
  <c r="P232" i="11" s="1"/>
  <c r="K309" i="11"/>
  <c r="J309" i="11"/>
  <c r="M309" i="11" s="1"/>
  <c r="N309" i="11" s="1"/>
  <c r="P309" i="11" s="1"/>
  <c r="Q257" i="11"/>
  <c r="R257" i="11"/>
  <c r="J261" i="11"/>
  <c r="M261" i="11" s="1"/>
  <c r="N261" i="11" s="1"/>
  <c r="P261" i="11" s="1"/>
  <c r="K261" i="11"/>
  <c r="R273" i="11"/>
  <c r="Q273" i="11"/>
  <c r="J295" i="11"/>
  <c r="K295" i="11"/>
  <c r="G300" i="11"/>
  <c r="K313" i="11"/>
  <c r="J275" i="11"/>
  <c r="M275" i="11" s="1"/>
  <c r="N275" i="11" s="1"/>
  <c r="P275" i="11" s="1"/>
  <c r="K275" i="11"/>
  <c r="J280" i="11"/>
  <c r="M280" i="11" s="1"/>
  <c r="N280" i="11" s="1"/>
  <c r="P280" i="11" s="1"/>
  <c r="K280" i="11"/>
  <c r="P304" i="11"/>
  <c r="R416" i="11"/>
  <c r="Q416" i="11"/>
  <c r="K454" i="11"/>
  <c r="J454" i="11"/>
  <c r="M454" i="11" s="1"/>
  <c r="N454" i="11" s="1"/>
  <c r="P454" i="11" s="1"/>
  <c r="K228" i="11"/>
  <c r="J228" i="11"/>
  <c r="M228" i="11" s="1"/>
  <c r="N228" i="11" s="1"/>
  <c r="P228" i="11" s="1"/>
  <c r="R259" i="11"/>
  <c r="Q259" i="11"/>
  <c r="J266" i="11"/>
  <c r="M266" i="11" s="1"/>
  <c r="N266" i="11" s="1"/>
  <c r="P266" i="11" s="1"/>
  <c r="K266" i="11"/>
  <c r="R270" i="11"/>
  <c r="Q270" i="11"/>
  <c r="Q282" i="11"/>
  <c r="Q180" i="11"/>
  <c r="Q194" i="11"/>
  <c r="R209" i="11"/>
  <c r="J240" i="11"/>
  <c r="M240" i="11" s="1"/>
  <c r="N240" i="11" s="1"/>
  <c r="P240" i="11" s="1"/>
  <c r="G243" i="11"/>
  <c r="M243" i="11" s="1"/>
  <c r="N243" i="11" s="1"/>
  <c r="P243" i="11" s="1"/>
  <c r="G250" i="11"/>
  <c r="H263" i="11"/>
  <c r="J263" i="11" s="1"/>
  <c r="M263" i="11" s="1"/>
  <c r="N263" i="11" s="1"/>
  <c r="P263" i="11" s="1"/>
  <c r="G263" i="11"/>
  <c r="H270" i="11"/>
  <c r="J270" i="11" s="1"/>
  <c r="M270" i="11" s="1"/>
  <c r="N270" i="11" s="1"/>
  <c r="P270" i="11" s="1"/>
  <c r="G279" i="11"/>
  <c r="H279" i="11"/>
  <c r="J314" i="11"/>
  <c r="K336" i="11"/>
  <c r="J336" i="11"/>
  <c r="M336" i="11" s="1"/>
  <c r="N336" i="11" s="1"/>
  <c r="P336" i="11" s="1"/>
  <c r="K402" i="11"/>
  <c r="J402" i="11"/>
  <c r="M402" i="11" s="1"/>
  <c r="N402" i="11" s="1"/>
  <c r="P402" i="11" s="1"/>
  <c r="J239" i="11"/>
  <c r="M239" i="11" s="1"/>
  <c r="N239" i="11" s="1"/>
  <c r="P239" i="11" s="1"/>
  <c r="R249" i="11"/>
  <c r="Q249" i="11"/>
  <c r="K290" i="11"/>
  <c r="J290" i="11"/>
  <c r="M290" i="11" s="1"/>
  <c r="N290" i="11" s="1"/>
  <c r="P290" i="11" s="1"/>
  <c r="Q312" i="11"/>
  <c r="R312" i="11"/>
  <c r="K346" i="11"/>
  <c r="G395" i="11"/>
  <c r="H395" i="11"/>
  <c r="J395" i="11" s="1"/>
  <c r="M395" i="11" s="1"/>
  <c r="N395" i="11" s="1"/>
  <c r="P395" i="11" s="1"/>
  <c r="R201" i="11"/>
  <c r="Q232" i="11"/>
  <c r="K239" i="11"/>
  <c r="Q245" i="11"/>
  <c r="K256" i="11"/>
  <c r="J256" i="11"/>
  <c r="M256" i="11" s="1"/>
  <c r="N256" i="11" s="1"/>
  <c r="P256" i="11" s="1"/>
  <c r="J259" i="11"/>
  <c r="M259" i="11" s="1"/>
  <c r="N259" i="11" s="1"/>
  <c r="P259" i="11" s="1"/>
  <c r="K274" i="11"/>
  <c r="M283" i="11"/>
  <c r="N283" i="11" s="1"/>
  <c r="P283" i="11" s="1"/>
  <c r="Q284" i="11"/>
  <c r="K292" i="11"/>
  <c r="J330" i="11"/>
  <c r="M330" i="11" s="1"/>
  <c r="N330" i="11" s="1"/>
  <c r="P330" i="11" s="1"/>
  <c r="K330" i="11"/>
  <c r="Q206" i="11"/>
  <c r="Q208" i="11"/>
  <c r="Q229" i="11"/>
  <c r="Q234" i="11"/>
  <c r="R234" i="11"/>
  <c r="R242" i="11"/>
  <c r="Q242" i="11"/>
  <c r="Q247" i="11"/>
  <c r="R247" i="11"/>
  <c r="Q255" i="11"/>
  <c r="R255" i="11"/>
  <c r="R258" i="11"/>
  <c r="Q258" i="11"/>
  <c r="R265" i="11"/>
  <c r="Q265" i="11"/>
  <c r="K301" i="11"/>
  <c r="H333" i="11"/>
  <c r="J333" i="11" s="1"/>
  <c r="G333" i="11"/>
  <c r="J386" i="11"/>
  <c r="M386" i="11" s="1"/>
  <c r="N386" i="11" s="1"/>
  <c r="P386" i="11" s="1"/>
  <c r="K386" i="11"/>
  <c r="J199" i="11"/>
  <c r="M199" i="11" s="1"/>
  <c r="N199" i="11" s="1"/>
  <c r="P199" i="11" s="1"/>
  <c r="H202" i="11"/>
  <c r="J211" i="11"/>
  <c r="M211" i="11" s="1"/>
  <c r="N211" i="11" s="1"/>
  <c r="P211" i="11" s="1"/>
  <c r="J212" i="11"/>
  <c r="M212" i="11" s="1"/>
  <c r="N212" i="11" s="1"/>
  <c r="P212" i="11" s="1"/>
  <c r="J213" i="11"/>
  <c r="M213" i="11" s="1"/>
  <c r="N213" i="11" s="1"/>
  <c r="P213" i="11" s="1"/>
  <c r="K216" i="11"/>
  <c r="R233" i="11"/>
  <c r="Q233" i="11"/>
  <c r="H242" i="11"/>
  <c r="R246" i="11"/>
  <c r="Q246" i="11"/>
  <c r="H258" i="11"/>
  <c r="J258" i="11" s="1"/>
  <c r="M258" i="11" s="1"/>
  <c r="N258" i="11" s="1"/>
  <c r="P258" i="11" s="1"/>
  <c r="H262" i="11"/>
  <c r="J262" i="11" s="1"/>
  <c r="M262" i="11" s="1"/>
  <c r="N262" i="11" s="1"/>
  <c r="P262" i="11" s="1"/>
  <c r="G267" i="11"/>
  <c r="H267" i="11"/>
  <c r="H278" i="11"/>
  <c r="G278" i="11"/>
  <c r="K285" i="11"/>
  <c r="J285" i="11"/>
  <c r="H230" i="11"/>
  <c r="G230" i="11"/>
  <c r="J242" i="11"/>
  <c r="M242" i="11" s="1"/>
  <c r="N242" i="11" s="1"/>
  <c r="P242" i="11" s="1"/>
  <c r="J203" i="11"/>
  <c r="M203" i="11" s="1"/>
  <c r="N203" i="11" s="1"/>
  <c r="P203" i="11" s="1"/>
  <c r="J209" i="11"/>
  <c r="M209" i="11" s="1"/>
  <c r="N209" i="11" s="1"/>
  <c r="P209" i="11" s="1"/>
  <c r="Q226" i="11"/>
  <c r="J234" i="11"/>
  <c r="M234" i="11" s="1"/>
  <c r="N234" i="11" s="1"/>
  <c r="P234" i="11" s="1"/>
  <c r="K242" i="11"/>
  <c r="H245" i="11"/>
  <c r="J245" i="11" s="1"/>
  <c r="M245" i="11" s="1"/>
  <c r="N245" i="11" s="1"/>
  <c r="P245" i="11" s="1"/>
  <c r="J253" i="11"/>
  <c r="M253" i="11" s="1"/>
  <c r="N253" i="11" s="1"/>
  <c r="P253" i="11" s="1"/>
  <c r="Q283" i="11"/>
  <c r="J291" i="11"/>
  <c r="M291" i="11" s="1"/>
  <c r="N291" i="11" s="1"/>
  <c r="P291" i="11" s="1"/>
  <c r="Q293" i="11"/>
  <c r="R293" i="11"/>
  <c r="J230" i="11"/>
  <c r="M230" i="11" s="1"/>
  <c r="N230" i="11" s="1"/>
  <c r="P230" i="11" s="1"/>
  <c r="K230" i="11"/>
  <c r="Q241" i="11"/>
  <c r="M249" i="11"/>
  <c r="N249" i="11" s="1"/>
  <c r="P249" i="11" s="1"/>
  <c r="R280" i="11"/>
  <c r="Q280" i="11"/>
  <c r="K293" i="11"/>
  <c r="J293" i="11"/>
  <c r="M293" i="11" s="1"/>
  <c r="N293" i="11" s="1"/>
  <c r="P293" i="11" s="1"/>
  <c r="K302" i="11"/>
  <c r="J302" i="11"/>
  <c r="M302" i="11" s="1"/>
  <c r="N302" i="11" s="1"/>
  <c r="P302" i="11" s="1"/>
  <c r="Q304" i="11"/>
  <c r="K341" i="11"/>
  <c r="J341" i="11"/>
  <c r="M341" i="11" s="1"/>
  <c r="N341" i="11" s="1"/>
  <c r="P341" i="11" s="1"/>
  <c r="J349" i="11"/>
  <c r="M349" i="11" s="1"/>
  <c r="N349" i="11" s="1"/>
  <c r="P349" i="11" s="1"/>
  <c r="K349" i="11"/>
  <c r="K356" i="11"/>
  <c r="J356" i="11"/>
  <c r="Q281" i="11"/>
  <c r="J287" i="11"/>
  <c r="M287" i="11" s="1"/>
  <c r="N287" i="11" s="1"/>
  <c r="P287" i="11" s="1"/>
  <c r="K287" i="11"/>
  <c r="Q335" i="11"/>
  <c r="H346" i="11"/>
  <c r="J346" i="11" s="1"/>
  <c r="M346" i="11" s="1"/>
  <c r="N346" i="11" s="1"/>
  <c r="P346" i="11" s="1"/>
  <c r="G346" i="11"/>
  <c r="K351" i="11"/>
  <c r="J351" i="11"/>
  <c r="M351" i="11" s="1"/>
  <c r="N351" i="11" s="1"/>
  <c r="P351" i="11" s="1"/>
  <c r="Q391" i="11"/>
  <c r="R391" i="11"/>
  <c r="M391" i="11"/>
  <c r="N391" i="11" s="1"/>
  <c r="P391" i="11" s="1"/>
  <c r="H309" i="11"/>
  <c r="G309" i="11"/>
  <c r="K323" i="11"/>
  <c r="J323" i="11"/>
  <c r="M323" i="11" s="1"/>
  <c r="N323" i="11" s="1"/>
  <c r="P323" i="11" s="1"/>
  <c r="J327" i="11"/>
  <c r="M327" i="11" s="1"/>
  <c r="N327" i="11" s="1"/>
  <c r="P327" i="11" s="1"/>
  <c r="H355" i="11"/>
  <c r="J355" i="11" s="1"/>
  <c r="G355" i="11"/>
  <c r="K388" i="11"/>
  <c r="J388" i="11"/>
  <c r="M388" i="11" s="1"/>
  <c r="N388" i="11" s="1"/>
  <c r="P388" i="11" s="1"/>
  <c r="J318" i="11"/>
  <c r="M318" i="11" s="1"/>
  <c r="N318" i="11" s="1"/>
  <c r="P318" i="11" s="1"/>
  <c r="K318" i="11"/>
  <c r="K329" i="11"/>
  <c r="J329" i="11"/>
  <c r="M329" i="11" s="1"/>
  <c r="N329" i="11" s="1"/>
  <c r="P329" i="11" s="1"/>
  <c r="K403" i="11"/>
  <c r="J403" i="11"/>
  <c r="M403" i="11" s="1"/>
  <c r="N403" i="11" s="1"/>
  <c r="P403" i="11" s="1"/>
  <c r="Q272" i="11"/>
  <c r="J279" i="11"/>
  <c r="M279" i="11" s="1"/>
  <c r="N279" i="11" s="1"/>
  <c r="P279" i="11" s="1"/>
  <c r="R281" i="11"/>
  <c r="H301" i="11"/>
  <c r="J301" i="11" s="1"/>
  <c r="M301" i="11" s="1"/>
  <c r="N301" i="11" s="1"/>
  <c r="P301" i="11" s="1"/>
  <c r="G301" i="11"/>
  <c r="G313" i="11"/>
  <c r="H313" i="11"/>
  <c r="J313" i="11" s="1"/>
  <c r="M313" i="11" s="1"/>
  <c r="N313" i="11" s="1"/>
  <c r="P313" i="11" s="1"/>
  <c r="Q324" i="11"/>
  <c r="R324" i="11"/>
  <c r="G340" i="11"/>
  <c r="K347" i="11"/>
  <c r="J347" i="11"/>
  <c r="M347" i="11" s="1"/>
  <c r="N347" i="11" s="1"/>
  <c r="P347" i="11" s="1"/>
  <c r="K352" i="11"/>
  <c r="J357" i="11"/>
  <c r="M357" i="11" s="1"/>
  <c r="N357" i="11" s="1"/>
  <c r="P357" i="11" s="1"/>
  <c r="K357" i="11"/>
  <c r="K401" i="11"/>
  <c r="J401" i="11"/>
  <c r="M401" i="11" s="1"/>
  <c r="N401" i="11" s="1"/>
  <c r="P401" i="11" s="1"/>
  <c r="K509" i="11"/>
  <c r="Q231" i="11"/>
  <c r="G252" i="11"/>
  <c r="H253" i="11"/>
  <c r="H266" i="11"/>
  <c r="G266" i="11"/>
  <c r="Q269" i="11"/>
  <c r="R269" i="11"/>
  <c r="K279" i="11"/>
  <c r="G285" i="11"/>
  <c r="H322" i="11"/>
  <c r="J322" i="11" s="1"/>
  <c r="M322" i="11" s="1"/>
  <c r="N322" i="11" s="1"/>
  <c r="P322" i="11" s="1"/>
  <c r="H324" i="11"/>
  <c r="J324" i="11" s="1"/>
  <c r="M324" i="11" s="1"/>
  <c r="N324" i="11" s="1"/>
  <c r="P324" i="11" s="1"/>
  <c r="R337" i="11"/>
  <c r="Q337" i="11"/>
  <c r="K383" i="11"/>
  <c r="M396" i="11"/>
  <c r="N396" i="11" s="1"/>
  <c r="P396" i="11" s="1"/>
  <c r="K364" i="11"/>
  <c r="J364" i="11"/>
  <c r="M364" i="11" s="1"/>
  <c r="N364" i="11" s="1"/>
  <c r="P364" i="11" s="1"/>
  <c r="J366" i="11"/>
  <c r="K366" i="11"/>
  <c r="Q379" i="11"/>
  <c r="R379" i="11"/>
  <c r="K409" i="11"/>
  <c r="J409" i="11"/>
  <c r="M409" i="11" s="1"/>
  <c r="N409" i="11" s="1"/>
  <c r="P409" i="11" s="1"/>
  <c r="J282" i="11"/>
  <c r="M282" i="11" s="1"/>
  <c r="N282" i="11" s="1"/>
  <c r="P282" i="11" s="1"/>
  <c r="K282" i="11"/>
  <c r="Q308" i="11"/>
  <c r="R308" i="11"/>
  <c r="G317" i="11"/>
  <c r="H317" i="11"/>
  <c r="J317" i="11" s="1"/>
  <c r="M317" i="11" s="1"/>
  <c r="N317" i="11" s="1"/>
  <c r="P317" i="11" s="1"/>
  <c r="Q319" i="11"/>
  <c r="R319" i="11"/>
  <c r="H328" i="11"/>
  <c r="J328" i="11" s="1"/>
  <c r="M328" i="11" s="1"/>
  <c r="N328" i="11" s="1"/>
  <c r="P328" i="11" s="1"/>
  <c r="G328" i="11"/>
  <c r="R330" i="11"/>
  <c r="Q330" i="11"/>
  <c r="R347" i="11"/>
  <c r="Q398" i="11"/>
  <c r="R398" i="11"/>
  <c r="Q172" i="11"/>
  <c r="Q237" i="11"/>
  <c r="H271" i="11"/>
  <c r="J271" i="11" s="1"/>
  <c r="M271" i="11" s="1"/>
  <c r="N271" i="11" s="1"/>
  <c r="P271" i="11" s="1"/>
  <c r="G274" i="11"/>
  <c r="H274" i="11"/>
  <c r="J274" i="11" s="1"/>
  <c r="M274" i="11" s="1"/>
  <c r="N274" i="11" s="1"/>
  <c r="P274" i="11" s="1"/>
  <c r="J278" i="11"/>
  <c r="M278" i="11" s="1"/>
  <c r="N278" i="11" s="1"/>
  <c r="P278" i="11" s="1"/>
  <c r="R302" i="11"/>
  <c r="Q302" i="11"/>
  <c r="H334" i="11"/>
  <c r="H348" i="11"/>
  <c r="J348" i="11" s="1"/>
  <c r="G348" i="11"/>
  <c r="R402" i="11"/>
  <c r="Q402" i="11"/>
  <c r="J380" i="11"/>
  <c r="M380" i="11" s="1"/>
  <c r="N380" i="11" s="1"/>
  <c r="P380" i="11" s="1"/>
  <c r="H383" i="11"/>
  <c r="J383" i="11" s="1"/>
  <c r="M383" i="11" s="1"/>
  <c r="N383" i="11" s="1"/>
  <c r="P383" i="11" s="1"/>
  <c r="G383" i="11"/>
  <c r="K392" i="11"/>
  <c r="J392" i="11"/>
  <c r="M392" i="11" s="1"/>
  <c r="N392" i="11" s="1"/>
  <c r="P392" i="11" s="1"/>
  <c r="Q411" i="11"/>
  <c r="R411" i="11"/>
  <c r="K414" i="11"/>
  <c r="J414" i="11"/>
  <c r="M414" i="11" s="1"/>
  <c r="N414" i="11" s="1"/>
  <c r="P414" i="11" s="1"/>
  <c r="J417" i="11"/>
  <c r="M417" i="11" s="1"/>
  <c r="N417" i="11" s="1"/>
  <c r="P417" i="11" s="1"/>
  <c r="K417" i="11"/>
  <c r="J431" i="11"/>
  <c r="M431" i="11" s="1"/>
  <c r="N431" i="11" s="1"/>
  <c r="P431" i="11" s="1"/>
  <c r="K431" i="11"/>
  <c r="J471" i="11"/>
  <c r="M471" i="11" s="1"/>
  <c r="N471" i="11" s="1"/>
  <c r="P471" i="11" s="1"/>
  <c r="K471" i="11"/>
  <c r="J500" i="11"/>
  <c r="M500" i="11" s="1"/>
  <c r="N500" i="11" s="1"/>
  <c r="P500" i="11" s="1"/>
  <c r="K500" i="11"/>
  <c r="J522" i="11"/>
  <c r="M522" i="11" s="1"/>
  <c r="N522" i="11" s="1"/>
  <c r="P522" i="11" s="1"/>
  <c r="K522" i="11"/>
  <c r="R526" i="11"/>
  <c r="Q526" i="11"/>
  <c r="G354" i="11"/>
  <c r="J398" i="11"/>
  <c r="M398" i="11" s="1"/>
  <c r="N398" i="11" s="1"/>
  <c r="P398" i="11" s="1"/>
  <c r="M426" i="11"/>
  <c r="N426" i="11" s="1"/>
  <c r="P426" i="11" s="1"/>
  <c r="Q436" i="11"/>
  <c r="R436" i="11"/>
  <c r="J460" i="11"/>
  <c r="M460" i="11" s="1"/>
  <c r="N460" i="11" s="1"/>
  <c r="P460" i="11" s="1"/>
  <c r="K460" i="11"/>
  <c r="Q487" i="11"/>
  <c r="R487" i="11"/>
  <c r="J306" i="11"/>
  <c r="M306" i="11" s="1"/>
  <c r="N306" i="11" s="1"/>
  <c r="P306" i="11" s="1"/>
  <c r="K312" i="11"/>
  <c r="J312" i="11"/>
  <c r="M312" i="11" s="1"/>
  <c r="N312" i="11" s="1"/>
  <c r="P312" i="11" s="1"/>
  <c r="Q351" i="11"/>
  <c r="Q360" i="11"/>
  <c r="R370" i="11"/>
  <c r="Q370" i="11"/>
  <c r="Q412" i="11"/>
  <c r="Q426" i="11"/>
  <c r="R426" i="11"/>
  <c r="R445" i="11"/>
  <c r="Q445" i="11"/>
  <c r="J507" i="11"/>
  <c r="M507" i="11" s="1"/>
  <c r="N507" i="11" s="1"/>
  <c r="P507" i="11" s="1"/>
  <c r="K507" i="11"/>
  <c r="Q517" i="11"/>
  <c r="R517" i="11"/>
  <c r="J549" i="11"/>
  <c r="M549" i="11" s="1"/>
  <c r="N549" i="11" s="1"/>
  <c r="P549" i="11" s="1"/>
  <c r="K549" i="11"/>
  <c r="Q200" i="11"/>
  <c r="J284" i="11"/>
  <c r="M284" i="11" s="1"/>
  <c r="N284" i="11" s="1"/>
  <c r="P284" i="11" s="1"/>
  <c r="Q292" i="11"/>
  <c r="G295" i="11"/>
  <c r="G296" i="11"/>
  <c r="M296" i="11" s="1"/>
  <c r="N296" i="11" s="1"/>
  <c r="P296" i="11" s="1"/>
  <c r="G297" i="11"/>
  <c r="J300" i="11"/>
  <c r="J305" i="11"/>
  <c r="M305" i="11" s="1"/>
  <c r="N305" i="11" s="1"/>
  <c r="P305" i="11" s="1"/>
  <c r="K306" i="11"/>
  <c r="G326" i="11"/>
  <c r="G332" i="11"/>
  <c r="J334" i="11"/>
  <c r="M334" i="11" s="1"/>
  <c r="N334" i="11" s="1"/>
  <c r="P334" i="11" s="1"/>
  <c r="J335" i="11"/>
  <c r="M335" i="11" s="1"/>
  <c r="N335" i="11" s="1"/>
  <c r="P335" i="11" s="1"/>
  <c r="J340" i="11"/>
  <c r="M340" i="11" s="1"/>
  <c r="N340" i="11" s="1"/>
  <c r="P340" i="11" s="1"/>
  <c r="G344" i="11"/>
  <c r="M344" i="11" s="1"/>
  <c r="N344" i="11" s="1"/>
  <c r="P344" i="11" s="1"/>
  <c r="G345" i="11"/>
  <c r="H345" i="11"/>
  <c r="J345" i="11" s="1"/>
  <c r="M345" i="11" s="1"/>
  <c r="N345" i="11" s="1"/>
  <c r="P345" i="11" s="1"/>
  <c r="G359" i="11"/>
  <c r="J361" i="11"/>
  <c r="M361" i="11" s="1"/>
  <c r="N361" i="11" s="1"/>
  <c r="P361" i="11" s="1"/>
  <c r="H365" i="11"/>
  <c r="J374" i="11"/>
  <c r="M374" i="11" s="1"/>
  <c r="N374" i="11" s="1"/>
  <c r="P374" i="11" s="1"/>
  <c r="K374" i="11"/>
  <c r="J379" i="11"/>
  <c r="M379" i="11" s="1"/>
  <c r="N379" i="11" s="1"/>
  <c r="P379" i="11" s="1"/>
  <c r="R408" i="11"/>
  <c r="Q408" i="11"/>
  <c r="R414" i="11"/>
  <c r="J439" i="11"/>
  <c r="M439" i="11" s="1"/>
  <c r="N439" i="11" s="1"/>
  <c r="P439" i="11" s="1"/>
  <c r="K495" i="11"/>
  <c r="Q276" i="11"/>
  <c r="K354" i="11"/>
  <c r="J354" i="11"/>
  <c r="M354" i="11" s="1"/>
  <c r="N354" i="11" s="1"/>
  <c r="P354" i="11" s="1"/>
  <c r="Q363" i="11"/>
  <c r="J365" i="11"/>
  <c r="M365" i="11" s="1"/>
  <c r="N365" i="11" s="1"/>
  <c r="P365" i="11" s="1"/>
  <c r="Q368" i="11"/>
  <c r="K370" i="11"/>
  <c r="J370" i="11"/>
  <c r="M370" i="11" s="1"/>
  <c r="N370" i="11" s="1"/>
  <c r="P370" i="11" s="1"/>
  <c r="R397" i="11"/>
  <c r="Q397" i="11"/>
  <c r="K406" i="11"/>
  <c r="J406" i="11"/>
  <c r="M406" i="11" s="1"/>
  <c r="N406" i="11" s="1"/>
  <c r="P406" i="11" s="1"/>
  <c r="G413" i="11"/>
  <c r="H413" i="11"/>
  <c r="H418" i="11"/>
  <c r="J418" i="11" s="1"/>
  <c r="G418" i="11"/>
  <c r="J475" i="11"/>
  <c r="M475" i="11" s="1"/>
  <c r="N475" i="11" s="1"/>
  <c r="P475" i="11" s="1"/>
  <c r="K475" i="11"/>
  <c r="K485" i="11"/>
  <c r="J485" i="11"/>
  <c r="M485" i="11" s="1"/>
  <c r="N485" i="11" s="1"/>
  <c r="P485" i="11" s="1"/>
  <c r="J515" i="11"/>
  <c r="M515" i="11" s="1"/>
  <c r="N515" i="11" s="1"/>
  <c r="P515" i="11" s="1"/>
  <c r="Q331" i="11"/>
  <c r="R358" i="11"/>
  <c r="Q358" i="11"/>
  <c r="H381" i="11"/>
  <c r="J381" i="11" s="1"/>
  <c r="G381" i="11"/>
  <c r="H400" i="11"/>
  <c r="J400" i="11" s="1"/>
  <c r="G400" i="11"/>
  <c r="K408" i="11"/>
  <c r="J408" i="11"/>
  <c r="M408" i="11" s="1"/>
  <c r="N408" i="11" s="1"/>
  <c r="P408" i="11" s="1"/>
  <c r="Q410" i="11"/>
  <c r="R410" i="11"/>
  <c r="K413" i="11"/>
  <c r="J413" i="11"/>
  <c r="M413" i="11" s="1"/>
  <c r="N413" i="11" s="1"/>
  <c r="P413" i="11" s="1"/>
  <c r="J423" i="11"/>
  <c r="M423" i="11" s="1"/>
  <c r="N423" i="11" s="1"/>
  <c r="P423" i="11" s="1"/>
  <c r="K423" i="11"/>
  <c r="K443" i="11"/>
  <c r="J443" i="11"/>
  <c r="M443" i="11" s="1"/>
  <c r="N443" i="11" s="1"/>
  <c r="P443" i="11" s="1"/>
  <c r="J489" i="11"/>
  <c r="M489" i="11" s="1"/>
  <c r="N489" i="11" s="1"/>
  <c r="P489" i="11" s="1"/>
  <c r="K489" i="11"/>
  <c r="Q287" i="11"/>
  <c r="G314" i="11"/>
  <c r="Q323" i="11"/>
  <c r="G325" i="11"/>
  <c r="H331" i="11"/>
  <c r="J331" i="11" s="1"/>
  <c r="M331" i="11" s="1"/>
  <c r="N331" i="11" s="1"/>
  <c r="P331" i="11" s="1"/>
  <c r="J339" i="11"/>
  <c r="M339" i="11" s="1"/>
  <c r="N339" i="11" s="1"/>
  <c r="P339" i="11" s="1"/>
  <c r="G343" i="11"/>
  <c r="M343" i="11" s="1"/>
  <c r="N343" i="11" s="1"/>
  <c r="P343" i="11" s="1"/>
  <c r="H351" i="11"/>
  <c r="J353" i="11"/>
  <c r="M353" i="11" s="1"/>
  <c r="N353" i="11" s="1"/>
  <c r="P353" i="11" s="1"/>
  <c r="G357" i="11"/>
  <c r="G369" i="11"/>
  <c r="H372" i="11"/>
  <c r="J372" i="11" s="1"/>
  <c r="M372" i="11" s="1"/>
  <c r="N372" i="11" s="1"/>
  <c r="P372" i="11" s="1"/>
  <c r="G372" i="11"/>
  <c r="K378" i="11"/>
  <c r="J382" i="11"/>
  <c r="M382" i="11" s="1"/>
  <c r="N382" i="11" s="1"/>
  <c r="P382" i="11" s="1"/>
  <c r="K387" i="11"/>
  <c r="Q393" i="11"/>
  <c r="R393" i="11"/>
  <c r="G425" i="11"/>
  <c r="J438" i="11"/>
  <c r="M438" i="11" s="1"/>
  <c r="N438" i="11" s="1"/>
  <c r="P438" i="11" s="1"/>
  <c r="Q464" i="11"/>
  <c r="R464" i="11"/>
  <c r="M464" i="11"/>
  <c r="N464" i="11" s="1"/>
  <c r="P464" i="11" s="1"/>
  <c r="R482" i="11"/>
  <c r="Q482" i="11"/>
  <c r="K373" i="11"/>
  <c r="J373" i="11"/>
  <c r="M373" i="11" s="1"/>
  <c r="N373" i="11" s="1"/>
  <c r="P373" i="11" s="1"/>
  <c r="H384" i="11"/>
  <c r="J384" i="11" s="1"/>
  <c r="G384" i="11"/>
  <c r="K410" i="11"/>
  <c r="J410" i="11"/>
  <c r="M410" i="11" s="1"/>
  <c r="N410" i="11" s="1"/>
  <c r="P410" i="11" s="1"/>
  <c r="R437" i="11"/>
  <c r="Q437" i="11"/>
  <c r="K459" i="11"/>
  <c r="J459" i="11"/>
  <c r="M459" i="11" s="1"/>
  <c r="N459" i="11" s="1"/>
  <c r="P459" i="11" s="1"/>
  <c r="K512" i="11"/>
  <c r="J512" i="11"/>
  <c r="M512" i="11" s="1"/>
  <c r="N512" i="11" s="1"/>
  <c r="P512" i="11" s="1"/>
  <c r="K369" i="11"/>
  <c r="J369" i="11"/>
  <c r="M369" i="11" s="1"/>
  <c r="N369" i="11" s="1"/>
  <c r="P369" i="11" s="1"/>
  <c r="R376" i="11"/>
  <c r="Q376" i="11"/>
  <c r="J393" i="11"/>
  <c r="M393" i="11" s="1"/>
  <c r="N393" i="11" s="1"/>
  <c r="P393" i="11" s="1"/>
  <c r="K393" i="11"/>
  <c r="R396" i="11"/>
  <c r="Q396" i="11"/>
  <c r="J405" i="11"/>
  <c r="M405" i="11" s="1"/>
  <c r="N405" i="11" s="1"/>
  <c r="P405" i="11" s="1"/>
  <c r="K405" i="11"/>
  <c r="R407" i="11"/>
  <c r="Q407" i="11"/>
  <c r="K440" i="11"/>
  <c r="J440" i="11"/>
  <c r="M440" i="11" s="1"/>
  <c r="N440" i="11" s="1"/>
  <c r="P440" i="11" s="1"/>
  <c r="K491" i="11"/>
  <c r="J491" i="11"/>
  <c r="M491" i="11" s="1"/>
  <c r="N491" i="11" s="1"/>
  <c r="P491" i="11" s="1"/>
  <c r="G356" i="11"/>
  <c r="R360" i="11"/>
  <c r="H376" i="11"/>
  <c r="J376" i="11" s="1"/>
  <c r="M376" i="11" s="1"/>
  <c r="N376" i="11" s="1"/>
  <c r="P376" i="11" s="1"/>
  <c r="G380" i="11"/>
  <c r="H407" i="11"/>
  <c r="J407" i="11" s="1"/>
  <c r="M407" i="11" s="1"/>
  <c r="N407" i="11" s="1"/>
  <c r="P407" i="11" s="1"/>
  <c r="J427" i="11"/>
  <c r="M427" i="11" s="1"/>
  <c r="N427" i="11" s="1"/>
  <c r="P427" i="11" s="1"/>
  <c r="R431" i="11"/>
  <c r="Q431" i="11"/>
  <c r="Q448" i="11"/>
  <c r="R448" i="11"/>
  <c r="J455" i="11"/>
  <c r="M455" i="11" s="1"/>
  <c r="N455" i="11" s="1"/>
  <c r="P455" i="11" s="1"/>
  <c r="R471" i="11"/>
  <c r="Q471" i="11"/>
  <c r="Q321" i="11"/>
  <c r="J337" i="11"/>
  <c r="M337" i="11" s="1"/>
  <c r="N337" i="11" s="1"/>
  <c r="P337" i="11" s="1"/>
  <c r="K337" i="11"/>
  <c r="Q339" i="11"/>
  <c r="H366" i="11"/>
  <c r="G366" i="11"/>
  <c r="J368" i="11"/>
  <c r="M368" i="11" s="1"/>
  <c r="N368" i="11" s="1"/>
  <c r="P368" i="11" s="1"/>
  <c r="H371" i="11"/>
  <c r="J371" i="11" s="1"/>
  <c r="M371" i="11" s="1"/>
  <c r="N371" i="11" s="1"/>
  <c r="P371" i="11" s="1"/>
  <c r="G371" i="11"/>
  <c r="R375" i="11"/>
  <c r="Q375" i="11"/>
  <c r="K407" i="11"/>
  <c r="R409" i="11"/>
  <c r="Q409" i="11"/>
  <c r="J486" i="11"/>
  <c r="M486" i="11" s="1"/>
  <c r="N486" i="11" s="1"/>
  <c r="P486" i="11" s="1"/>
  <c r="K486" i="11"/>
  <c r="M390" i="11"/>
  <c r="N390" i="11" s="1"/>
  <c r="P390" i="11" s="1"/>
  <c r="Q405" i="11"/>
  <c r="R406" i="11"/>
  <c r="K446" i="11"/>
  <c r="J446" i="11"/>
  <c r="M446" i="11" s="1"/>
  <c r="N446" i="11" s="1"/>
  <c r="P446" i="11" s="1"/>
  <c r="K465" i="11"/>
  <c r="J465" i="11"/>
  <c r="M465" i="11" s="1"/>
  <c r="N465" i="11" s="1"/>
  <c r="P465" i="11" s="1"/>
  <c r="M472" i="11"/>
  <c r="N472" i="11" s="1"/>
  <c r="P472" i="11" s="1"/>
  <c r="R481" i="11"/>
  <c r="J492" i="11"/>
  <c r="M492" i="11" s="1"/>
  <c r="N492" i="11" s="1"/>
  <c r="P492" i="11" s="1"/>
  <c r="H498" i="11"/>
  <c r="J498" i="11" s="1"/>
  <c r="G498" i="11"/>
  <c r="Q507" i="11"/>
  <c r="R507" i="11"/>
  <c r="Q349" i="11"/>
  <c r="Q352" i="11"/>
  <c r="Q367" i="11"/>
  <c r="Q417" i="11"/>
  <c r="Q433" i="11"/>
  <c r="M437" i="11"/>
  <c r="N437" i="11" s="1"/>
  <c r="P437" i="11" s="1"/>
  <c r="J448" i="11"/>
  <c r="M448" i="11" s="1"/>
  <c r="N448" i="11" s="1"/>
  <c r="P448" i="11" s="1"/>
  <c r="K448" i="11"/>
  <c r="Q465" i="11"/>
  <c r="R484" i="11"/>
  <c r="Q484" i="11"/>
  <c r="R506" i="11"/>
  <c r="Q506" i="11"/>
  <c r="R511" i="11"/>
  <c r="Q511" i="11"/>
  <c r="M517" i="11"/>
  <c r="N517" i="11" s="1"/>
  <c r="P517" i="11" s="1"/>
  <c r="K526" i="11"/>
  <c r="J526" i="11"/>
  <c r="M526" i="11" s="1"/>
  <c r="N526" i="11" s="1"/>
  <c r="P526" i="11" s="1"/>
  <c r="J411" i="11"/>
  <c r="M411" i="11" s="1"/>
  <c r="N411" i="11" s="1"/>
  <c r="P411" i="11" s="1"/>
  <c r="K442" i="11"/>
  <c r="J442" i="11"/>
  <c r="M442" i="11" s="1"/>
  <c r="N442" i="11" s="1"/>
  <c r="P442" i="11" s="1"/>
  <c r="K445" i="11"/>
  <c r="J445" i="11"/>
  <c r="M445" i="11" s="1"/>
  <c r="N445" i="11" s="1"/>
  <c r="P445" i="11" s="1"/>
  <c r="K467" i="11"/>
  <c r="J467" i="11"/>
  <c r="M467" i="11" s="1"/>
  <c r="N467" i="11" s="1"/>
  <c r="P467" i="11" s="1"/>
  <c r="R470" i="11"/>
  <c r="Q470" i="11"/>
  <c r="K503" i="11"/>
  <c r="R508" i="11"/>
  <c r="Q508" i="11"/>
  <c r="K524" i="11"/>
  <c r="J524" i="11"/>
  <c r="M524" i="11" s="1"/>
  <c r="N524" i="11" s="1"/>
  <c r="P524" i="11" s="1"/>
  <c r="J559" i="11"/>
  <c r="M559" i="11" s="1"/>
  <c r="N559" i="11" s="1"/>
  <c r="P559" i="11" s="1"/>
  <c r="Q373" i="11"/>
  <c r="K411" i="11"/>
  <c r="J412" i="11"/>
  <c r="M412" i="11" s="1"/>
  <c r="N412" i="11" s="1"/>
  <c r="P412" i="11" s="1"/>
  <c r="J415" i="11"/>
  <c r="M415" i="11" s="1"/>
  <c r="N415" i="11" s="1"/>
  <c r="P415" i="11" s="1"/>
  <c r="J416" i="11"/>
  <c r="M416" i="11" s="1"/>
  <c r="N416" i="11" s="1"/>
  <c r="P416" i="11" s="1"/>
  <c r="H419" i="11"/>
  <c r="J419" i="11" s="1"/>
  <c r="M419" i="11" s="1"/>
  <c r="N419" i="11" s="1"/>
  <c r="P419" i="11" s="1"/>
  <c r="J430" i="11"/>
  <c r="M430" i="11" s="1"/>
  <c r="N430" i="11" s="1"/>
  <c r="P430" i="11" s="1"/>
  <c r="M436" i="11"/>
  <c r="N436" i="11" s="1"/>
  <c r="P436" i="11" s="1"/>
  <c r="J453" i="11"/>
  <c r="M453" i="11" s="1"/>
  <c r="N453" i="11" s="1"/>
  <c r="P453" i="11" s="1"/>
  <c r="Q473" i="11"/>
  <c r="R473" i="11"/>
  <c r="R544" i="11"/>
  <c r="Q544" i="11"/>
  <c r="K559" i="11"/>
  <c r="H370" i="11"/>
  <c r="G392" i="11"/>
  <c r="J424" i="11"/>
  <c r="M424" i="11" s="1"/>
  <c r="N424" i="11" s="1"/>
  <c r="P424" i="11" s="1"/>
  <c r="K430" i="11"/>
  <c r="K436" i="11"/>
  <c r="J474" i="11"/>
  <c r="M474" i="11" s="1"/>
  <c r="N474" i="11" s="1"/>
  <c r="P474" i="11" s="1"/>
  <c r="R483" i="11"/>
  <c r="Q483" i="11"/>
  <c r="J484" i="11"/>
  <c r="M484" i="11" s="1"/>
  <c r="N484" i="11" s="1"/>
  <c r="P484" i="11" s="1"/>
  <c r="R486" i="11"/>
  <c r="Q486" i="11"/>
  <c r="H499" i="11"/>
  <c r="G499" i="11"/>
  <c r="K514" i="11"/>
  <c r="J514" i="11"/>
  <c r="M514" i="11" s="1"/>
  <c r="N514" i="11" s="1"/>
  <c r="P514" i="11" s="1"/>
  <c r="J528" i="11"/>
  <c r="M528" i="11" s="1"/>
  <c r="N528" i="11" s="1"/>
  <c r="P528" i="11" s="1"/>
  <c r="K528" i="11"/>
  <c r="K535" i="11"/>
  <c r="J535" i="11"/>
  <c r="M535" i="11" s="1"/>
  <c r="N535" i="11" s="1"/>
  <c r="P535" i="11" s="1"/>
  <c r="K441" i="11"/>
  <c r="J441" i="11"/>
  <c r="M441" i="11" s="1"/>
  <c r="N441" i="11" s="1"/>
  <c r="P441" i="11" s="1"/>
  <c r="R444" i="11"/>
  <c r="Q444" i="11"/>
  <c r="K447" i="11"/>
  <c r="J447" i="11"/>
  <c r="M447" i="11" s="1"/>
  <c r="N447" i="11" s="1"/>
  <c r="P447" i="11" s="1"/>
  <c r="K466" i="11"/>
  <c r="J466" i="11"/>
  <c r="M466" i="11" s="1"/>
  <c r="N466" i="11" s="1"/>
  <c r="P466" i="11" s="1"/>
  <c r="J477" i="11"/>
  <c r="M477" i="11" s="1"/>
  <c r="N477" i="11" s="1"/>
  <c r="P477" i="11" s="1"/>
  <c r="K477" i="11"/>
  <c r="Q501" i="11"/>
  <c r="R501" i="11"/>
  <c r="H505" i="11"/>
  <c r="J505" i="11" s="1"/>
  <c r="G505" i="11"/>
  <c r="G510" i="11"/>
  <c r="H510" i="11"/>
  <c r="J510" i="11" s="1"/>
  <c r="M510" i="11" s="1"/>
  <c r="N510" i="11" s="1"/>
  <c r="P510" i="11" s="1"/>
  <c r="R523" i="11"/>
  <c r="Q523" i="11"/>
  <c r="K533" i="11"/>
  <c r="J533" i="11"/>
  <c r="M554" i="11"/>
  <c r="N554" i="11" s="1"/>
  <c r="P554" i="11" s="1"/>
  <c r="Q476" i="11"/>
  <c r="R476" i="11"/>
  <c r="J490" i="11"/>
  <c r="M490" i="11" s="1"/>
  <c r="N490" i="11" s="1"/>
  <c r="P490" i="11" s="1"/>
  <c r="J493" i="11"/>
  <c r="M493" i="11" s="1"/>
  <c r="N493" i="11" s="1"/>
  <c r="P493" i="11" s="1"/>
  <c r="J499" i="11"/>
  <c r="M499" i="11" s="1"/>
  <c r="N499" i="11" s="1"/>
  <c r="P499" i="11" s="1"/>
  <c r="J508" i="11"/>
  <c r="M508" i="11" s="1"/>
  <c r="N508" i="11" s="1"/>
  <c r="P508" i="11" s="1"/>
  <c r="G516" i="11"/>
  <c r="Q554" i="11"/>
  <c r="R554" i="11"/>
  <c r="Q385" i="11"/>
  <c r="Q387" i="11"/>
  <c r="Q388" i="11"/>
  <c r="Q399" i="11"/>
  <c r="R405" i="11"/>
  <c r="K429" i="11"/>
  <c r="M434" i="11"/>
  <c r="N434" i="11" s="1"/>
  <c r="P434" i="11" s="1"/>
  <c r="K444" i="11"/>
  <c r="J444" i="11"/>
  <c r="M444" i="11" s="1"/>
  <c r="N444" i="11" s="1"/>
  <c r="P444" i="11" s="1"/>
  <c r="J457" i="11"/>
  <c r="M457" i="11" s="1"/>
  <c r="N457" i="11" s="1"/>
  <c r="P457" i="11" s="1"/>
  <c r="J462" i="11"/>
  <c r="M462" i="11" s="1"/>
  <c r="N462" i="11" s="1"/>
  <c r="P462" i="11" s="1"/>
  <c r="J483" i="11"/>
  <c r="M483" i="11" s="1"/>
  <c r="N483" i="11" s="1"/>
  <c r="P483" i="11" s="1"/>
  <c r="K483" i="11"/>
  <c r="J513" i="11"/>
  <c r="M513" i="11" s="1"/>
  <c r="N513" i="11" s="1"/>
  <c r="P513" i="11" s="1"/>
  <c r="K513" i="11"/>
  <c r="H382" i="11"/>
  <c r="J572" i="11"/>
  <c r="G404" i="11"/>
  <c r="M404" i="11" s="1"/>
  <c r="N404" i="11" s="1"/>
  <c r="P404" i="11" s="1"/>
  <c r="J476" i="11"/>
  <c r="M476" i="11" s="1"/>
  <c r="N476" i="11" s="1"/>
  <c r="P476" i="11" s="1"/>
  <c r="K476" i="11"/>
  <c r="M480" i="11"/>
  <c r="N480" i="11" s="1"/>
  <c r="P480" i="11" s="1"/>
  <c r="J496" i="11"/>
  <c r="M496" i="11" s="1"/>
  <c r="N496" i="11" s="1"/>
  <c r="P496" i="11" s="1"/>
  <c r="H520" i="11"/>
  <c r="J520" i="11" s="1"/>
  <c r="M520" i="11" s="1"/>
  <c r="N520" i="11" s="1"/>
  <c r="P520" i="11" s="1"/>
  <c r="G520" i="11"/>
  <c r="K530" i="11"/>
  <c r="J530" i="11"/>
  <c r="M530" i="11" s="1"/>
  <c r="N530" i="11" s="1"/>
  <c r="P530" i="11" s="1"/>
  <c r="K545" i="11"/>
  <c r="H559" i="11"/>
  <c r="G559" i="11"/>
  <c r="K562" i="11"/>
  <c r="J562" i="11"/>
  <c r="M562" i="11" s="1"/>
  <c r="N562" i="11" s="1"/>
  <c r="P562" i="11" s="1"/>
  <c r="Q443" i="11"/>
  <c r="Q502" i="11"/>
  <c r="G515" i="11"/>
  <c r="H515" i="11"/>
  <c r="J523" i="11"/>
  <c r="M523" i="11" s="1"/>
  <c r="N523" i="11" s="1"/>
  <c r="P523" i="11" s="1"/>
  <c r="Q548" i="11"/>
  <c r="R548" i="11"/>
  <c r="Q441" i="11"/>
  <c r="Q500" i="11"/>
  <c r="J529" i="11"/>
  <c r="M529" i="11" s="1"/>
  <c r="N529" i="11" s="1"/>
  <c r="P529" i="11" s="1"/>
  <c r="J561" i="11"/>
  <c r="M561" i="11" s="1"/>
  <c r="N561" i="11" s="1"/>
  <c r="P561" i="11" s="1"/>
  <c r="K561" i="11"/>
  <c r="R525" i="11"/>
  <c r="Q525" i="11"/>
  <c r="H541" i="11"/>
  <c r="G541" i="11"/>
  <c r="M544" i="11"/>
  <c r="N544" i="11" s="1"/>
  <c r="P544" i="11" s="1"/>
  <c r="H503" i="11"/>
  <c r="J503" i="11" s="1"/>
  <c r="M503" i="11" s="1"/>
  <c r="N503" i="11" s="1"/>
  <c r="P503" i="11" s="1"/>
  <c r="J519" i="11"/>
  <c r="M519" i="11" s="1"/>
  <c r="N519" i="11" s="1"/>
  <c r="P519" i="11" s="1"/>
  <c r="R531" i="11"/>
  <c r="Q531" i="11"/>
  <c r="H553" i="11"/>
  <c r="J553" i="11" s="1"/>
  <c r="M553" i="11" s="1"/>
  <c r="N553" i="11" s="1"/>
  <c r="P553" i="11" s="1"/>
  <c r="G553" i="11"/>
  <c r="R534" i="11"/>
  <c r="Q534" i="11"/>
  <c r="K551" i="11"/>
  <c r="J551" i="11"/>
  <c r="M551" i="11" s="1"/>
  <c r="N551" i="11" s="1"/>
  <c r="P551" i="11" s="1"/>
  <c r="G558" i="11"/>
  <c r="H558" i="11"/>
  <c r="Q453" i="11"/>
  <c r="Q488" i="11"/>
  <c r="J502" i="11"/>
  <c r="M502" i="11" s="1"/>
  <c r="N502" i="11" s="1"/>
  <c r="P502" i="11" s="1"/>
  <c r="K518" i="11"/>
  <c r="J518" i="11"/>
  <c r="M518" i="11" s="1"/>
  <c r="N518" i="11" s="1"/>
  <c r="P518" i="11" s="1"/>
  <c r="J531" i="11"/>
  <c r="M531" i="11" s="1"/>
  <c r="N531" i="11" s="1"/>
  <c r="P531" i="11" s="1"/>
  <c r="J556" i="11"/>
  <c r="M556" i="11" s="1"/>
  <c r="N556" i="11" s="1"/>
  <c r="P556" i="11" s="1"/>
  <c r="G562" i="11"/>
  <c r="J501" i="11"/>
  <c r="M501" i="11" s="1"/>
  <c r="N501" i="11" s="1"/>
  <c r="P501" i="11" s="1"/>
  <c r="K501" i="11"/>
  <c r="K534" i="11"/>
  <c r="J534" i="11"/>
  <c r="M534" i="11" s="1"/>
  <c r="N534" i="11" s="1"/>
  <c r="P534" i="11" s="1"/>
  <c r="Q490" i="11"/>
  <c r="H495" i="11"/>
  <c r="J495" i="11" s="1"/>
  <c r="M495" i="11" s="1"/>
  <c r="N495" i="11" s="1"/>
  <c r="P495" i="11" s="1"/>
  <c r="Q496" i="11"/>
  <c r="H497" i="11"/>
  <c r="J497" i="11" s="1"/>
  <c r="M497" i="11" s="1"/>
  <c r="N497" i="11" s="1"/>
  <c r="P497" i="11" s="1"/>
  <c r="G509" i="11"/>
  <c r="H509" i="11"/>
  <c r="J509" i="11" s="1"/>
  <c r="M509" i="11" s="1"/>
  <c r="N509" i="11" s="1"/>
  <c r="P509" i="11" s="1"/>
  <c r="J521" i="11"/>
  <c r="M521" i="11" s="1"/>
  <c r="N521" i="11" s="1"/>
  <c r="P521" i="11" s="1"/>
  <c r="G524" i="11"/>
  <c r="H524" i="11"/>
  <c r="G533" i="11"/>
  <c r="Q542" i="11"/>
  <c r="R542" i="11"/>
  <c r="K543" i="11"/>
  <c r="H547" i="11"/>
  <c r="J547" i="11" s="1"/>
  <c r="M547" i="11" s="1"/>
  <c r="N547" i="11" s="1"/>
  <c r="P547" i="11" s="1"/>
  <c r="G547" i="11"/>
  <c r="Q527" i="11"/>
  <c r="K557" i="11"/>
  <c r="J557" i="11"/>
  <c r="M557" i="11" s="1"/>
  <c r="N557" i="11" s="1"/>
  <c r="P557" i="11" s="1"/>
  <c r="Q557" i="11"/>
  <c r="J541" i="11"/>
  <c r="M541" i="11" s="1"/>
  <c r="N541" i="11" s="1"/>
  <c r="P541" i="11" s="1"/>
  <c r="K541" i="11"/>
  <c r="K547" i="11"/>
  <c r="K558" i="11"/>
  <c r="J558" i="11"/>
  <c r="M558" i="11" s="1"/>
  <c r="N558" i="11" s="1"/>
  <c r="P558" i="11" s="1"/>
  <c r="Q530" i="11"/>
  <c r="R527" i="11"/>
  <c r="R528" i="11"/>
  <c r="Q529" i="11"/>
  <c r="G538" i="11"/>
  <c r="H539" i="11"/>
  <c r="J539" i="11" s="1"/>
  <c r="M539" i="11" s="1"/>
  <c r="N539" i="11" s="1"/>
  <c r="P539" i="11" s="1"/>
  <c r="J540" i="11"/>
  <c r="M540" i="11" s="1"/>
  <c r="N540" i="11" s="1"/>
  <c r="P540" i="11" s="1"/>
  <c r="J546" i="11"/>
  <c r="M546" i="11" s="1"/>
  <c r="N546" i="11" s="1"/>
  <c r="P546" i="11" s="1"/>
  <c r="J552" i="11"/>
  <c r="M552" i="11" s="1"/>
  <c r="N552" i="11" s="1"/>
  <c r="P552" i="11" s="1"/>
  <c r="H557" i="11"/>
  <c r="J573" i="11"/>
  <c r="Q563" i="11"/>
  <c r="F532" i="11"/>
  <c r="Q536" i="11"/>
  <c r="H545" i="11"/>
  <c r="J545" i="11" s="1"/>
  <c r="M545" i="11" s="1"/>
  <c r="N545" i="11" s="1"/>
  <c r="P545" i="11" s="1"/>
  <c r="R537" i="11"/>
  <c r="R543" i="11"/>
  <c r="R549" i="11"/>
  <c r="R555" i="11"/>
  <c r="R561" i="11"/>
  <c r="Q560" i="11"/>
  <c r="L72" i="7"/>
  <c r="L165" i="7"/>
  <c r="L222" i="7"/>
  <c r="L228" i="7"/>
  <c r="L287" i="7"/>
  <c r="L305" i="7"/>
  <c r="L311" i="7"/>
  <c r="L471" i="7"/>
  <c r="L485" i="7"/>
  <c r="L586" i="7"/>
  <c r="L6" i="7"/>
  <c r="L12" i="7"/>
  <c r="L14" i="7"/>
  <c r="L39" i="7"/>
  <c r="L75" i="7"/>
  <c r="L77" i="7"/>
  <c r="L93" i="7"/>
  <c r="L180" i="7"/>
  <c r="L186" i="7"/>
  <c r="L267" i="7"/>
  <c r="L327" i="7"/>
  <c r="L333" i="7"/>
  <c r="L350" i="7"/>
  <c r="L90" i="7"/>
  <c r="L268" i="7"/>
  <c r="L149" i="7"/>
  <c r="L80" i="7"/>
  <c r="L109" i="7"/>
  <c r="L125" i="7"/>
  <c r="L143" i="7"/>
  <c r="L181" i="7"/>
  <c r="L183" i="7"/>
  <c r="L189" i="7"/>
  <c r="L281" i="7"/>
  <c r="L322" i="7"/>
  <c r="L443" i="7"/>
  <c r="L462" i="7"/>
  <c r="L500" i="7"/>
  <c r="F2" i="9"/>
  <c r="L236" i="7"/>
  <c r="L262" i="7"/>
  <c r="L279" i="7"/>
  <c r="L303" i="7"/>
  <c r="L520" i="7"/>
  <c r="L108" i="7"/>
  <c r="L148" i="7"/>
  <c r="L168" i="7"/>
  <c r="L174" i="7"/>
  <c r="L178" i="7"/>
  <c r="L192" i="7"/>
  <c r="L227" i="7"/>
  <c r="L294" i="7"/>
  <c r="L308" i="7"/>
  <c r="L339" i="7"/>
  <c r="L357" i="7"/>
  <c r="L499" i="7"/>
  <c r="K12" i="8"/>
  <c r="E4" i="8"/>
  <c r="P2" i="8"/>
  <c r="L36" i="7"/>
  <c r="L38" i="7"/>
  <c r="L389" i="7"/>
  <c r="L423" i="7"/>
  <c r="L483" i="7"/>
  <c r="L564" i="7"/>
  <c r="L602" i="7"/>
  <c r="S2" i="8"/>
  <c r="S5" i="8" s="1"/>
  <c r="L338" i="7"/>
  <c r="L336" i="7"/>
  <c r="L375" i="7"/>
  <c r="L431" i="7"/>
  <c r="L53" i="7"/>
  <c r="L55" i="7"/>
  <c r="L388" i="7"/>
  <c r="L492" i="7"/>
  <c r="L273" i="7"/>
  <c r="L8" i="7"/>
  <c r="L28" i="7"/>
  <c r="L51" i="7"/>
  <c r="L126" i="7"/>
  <c r="L144" i="7"/>
  <c r="L160" i="7"/>
  <c r="L204" i="7"/>
  <c r="L206" i="7"/>
  <c r="L210" i="7"/>
  <c r="L219" i="7"/>
  <c r="L221" i="7"/>
  <c r="L257" i="7"/>
  <c r="L265" i="7"/>
  <c r="L359" i="7"/>
  <c r="L519" i="7"/>
  <c r="L139" i="7"/>
  <c r="L22" i="7"/>
  <c r="L133" i="7"/>
  <c r="L215" i="7"/>
  <c r="L300" i="7"/>
  <c r="L379" i="7"/>
  <c r="L381" i="7"/>
  <c r="L433" i="7"/>
  <c r="L475" i="7"/>
  <c r="L510" i="7"/>
  <c r="L512" i="7"/>
  <c r="L589" i="7"/>
  <c r="L461" i="7"/>
  <c r="L17" i="7"/>
  <c r="L74" i="7"/>
  <c r="L130" i="7"/>
  <c r="L299" i="7"/>
  <c r="L343" i="7"/>
  <c r="L353" i="7"/>
  <c r="L370" i="7"/>
  <c r="L376" i="7"/>
  <c r="L438" i="7"/>
  <c r="L40" i="7"/>
  <c r="L70" i="7"/>
  <c r="L78" i="7"/>
  <c r="L86" i="7"/>
  <c r="L116" i="7"/>
  <c r="L118" i="7"/>
  <c r="L179" i="7"/>
  <c r="L201" i="7"/>
  <c r="L209" i="7"/>
  <c r="L232" i="7"/>
  <c r="L256" i="7"/>
  <c r="L301" i="7"/>
  <c r="L332" i="7"/>
  <c r="L358" i="7"/>
  <c r="L366" i="7"/>
  <c r="L382" i="7"/>
  <c r="L404" i="7"/>
  <c r="L416" i="7"/>
  <c r="L579" i="7"/>
  <c r="L595" i="7"/>
  <c r="L603" i="7"/>
  <c r="I67" i="7"/>
  <c r="J67" i="7" s="1"/>
  <c r="L67" i="7" s="1"/>
  <c r="I64" i="7"/>
  <c r="J64" i="7" s="1"/>
  <c r="L64" i="7" s="1"/>
  <c r="I218" i="7"/>
  <c r="J218" i="7" s="1"/>
  <c r="L218" i="7" s="1"/>
  <c r="I169" i="7"/>
  <c r="J169" i="7" s="1"/>
  <c r="L169" i="7" s="1"/>
  <c r="I330" i="7"/>
  <c r="J330" i="7" s="1"/>
  <c r="L330" i="7" s="1"/>
  <c r="I198" i="7"/>
  <c r="J198" i="7" s="1"/>
  <c r="L198" i="7" s="1"/>
  <c r="I45" i="7"/>
  <c r="J45" i="7" s="1"/>
  <c r="L45" i="7" s="1"/>
  <c r="N46" i="7"/>
  <c r="J47" i="7" s="1"/>
  <c r="I61" i="7"/>
  <c r="J61" i="7" s="1"/>
  <c r="L61" i="7" s="1"/>
  <c r="G260" i="7"/>
  <c r="I260" i="7" s="1"/>
  <c r="J260" i="7" s="1"/>
  <c r="L260" i="7" s="1"/>
  <c r="I307" i="7"/>
  <c r="J307" i="7" s="1"/>
  <c r="L307" i="7" s="1"/>
  <c r="G342" i="7"/>
  <c r="D342" i="7"/>
  <c r="I349" i="7"/>
  <c r="J349" i="7" s="1"/>
  <c r="L349" i="7" s="1"/>
  <c r="I482" i="7"/>
  <c r="J482" i="7" s="1"/>
  <c r="L482" i="7" s="1"/>
  <c r="I231" i="7"/>
  <c r="J231" i="7" s="1"/>
  <c r="L231" i="7" s="1"/>
  <c r="I54" i="7"/>
  <c r="J54" i="7" s="1"/>
  <c r="L54" i="7" s="1"/>
  <c r="I23" i="7"/>
  <c r="J23" i="7" s="1"/>
  <c r="L23" i="7" s="1"/>
  <c r="I140" i="7"/>
  <c r="J140" i="7" s="1"/>
  <c r="L140" i="7" s="1"/>
  <c r="I142" i="7"/>
  <c r="J142" i="7" s="1"/>
  <c r="L142" i="7" s="1"/>
  <c r="I230" i="7"/>
  <c r="J230" i="7" s="1"/>
  <c r="L230" i="7" s="1"/>
  <c r="G64" i="7"/>
  <c r="D64" i="7"/>
  <c r="I87" i="7"/>
  <c r="J87" i="7" s="1"/>
  <c r="L87" i="7" s="1"/>
  <c r="I114" i="7"/>
  <c r="J114" i="7" s="1"/>
  <c r="L114" i="7" s="1"/>
  <c r="I119" i="7"/>
  <c r="J119" i="7" s="1"/>
  <c r="L119" i="7" s="1"/>
  <c r="I157" i="7"/>
  <c r="J157" i="7" s="1"/>
  <c r="L157" i="7" s="1"/>
  <c r="I283" i="7"/>
  <c r="J283" i="7" s="1"/>
  <c r="L283" i="7" s="1"/>
  <c r="I313" i="7"/>
  <c r="J313" i="7" s="1"/>
  <c r="L313" i="7" s="1"/>
  <c r="I27" i="7"/>
  <c r="J27" i="7" s="1"/>
  <c r="L27" i="7" s="1"/>
  <c r="I49" i="7"/>
  <c r="J49" i="7" s="1"/>
  <c r="L49" i="7" s="1"/>
  <c r="D66" i="7"/>
  <c r="G96" i="7"/>
  <c r="I96" i="7" s="1"/>
  <c r="J96" i="7" s="1"/>
  <c r="L96" i="7" s="1"/>
  <c r="D96" i="7"/>
  <c r="I99" i="7"/>
  <c r="J99" i="7" s="1"/>
  <c r="L99" i="7" s="1"/>
  <c r="I103" i="7"/>
  <c r="J103" i="7" s="1"/>
  <c r="L103" i="7" s="1"/>
  <c r="N354" i="7"/>
  <c r="J355" i="7" s="1"/>
  <c r="D326" i="7"/>
  <c r="G326" i="7"/>
  <c r="I340" i="7"/>
  <c r="J340" i="7" s="1"/>
  <c r="L340" i="7" s="1"/>
  <c r="I342" i="7"/>
  <c r="J342" i="7" s="1"/>
  <c r="L342" i="7" s="1"/>
  <c r="I346" i="7"/>
  <c r="J346" i="7" s="1"/>
  <c r="L346" i="7" s="1"/>
  <c r="D249" i="7"/>
  <c r="G249" i="7"/>
  <c r="D86" i="7"/>
  <c r="D141" i="7"/>
  <c r="G163" i="7"/>
  <c r="I163" i="7" s="1"/>
  <c r="J163" i="7" s="1"/>
  <c r="L163" i="7" s="1"/>
  <c r="D163" i="7"/>
  <c r="D177" i="7"/>
  <c r="I200" i="7"/>
  <c r="J200" i="7" s="1"/>
  <c r="L200" i="7" s="1"/>
  <c r="G224" i="7"/>
  <c r="I224" i="7" s="1"/>
  <c r="J224" i="7" s="1"/>
  <c r="L224" i="7" s="1"/>
  <c r="D224" i="7"/>
  <c r="G306" i="7"/>
  <c r="I306" i="7" s="1"/>
  <c r="J306" i="7" s="1"/>
  <c r="L306" i="7" s="1"/>
  <c r="D306" i="7"/>
  <c r="I31" i="7"/>
  <c r="J31" i="7" s="1"/>
  <c r="L31" i="7" s="1"/>
  <c r="I83" i="7"/>
  <c r="J83" i="7" s="1"/>
  <c r="L83" i="7" s="1"/>
  <c r="I150" i="7"/>
  <c r="J150" i="7" s="1"/>
  <c r="L150" i="7" s="1"/>
  <c r="G41" i="7"/>
  <c r="G117" i="7"/>
  <c r="I117" i="7" s="1"/>
  <c r="J117" i="7" s="1"/>
  <c r="L117" i="7" s="1"/>
  <c r="D117" i="7"/>
  <c r="I145" i="7"/>
  <c r="J145" i="7" s="1"/>
  <c r="L145" i="7" s="1"/>
  <c r="I233" i="7"/>
  <c r="J233" i="7" s="1"/>
  <c r="L233" i="7" s="1"/>
  <c r="G258" i="7"/>
  <c r="G10" i="7"/>
  <c r="I10" i="7" s="1"/>
  <c r="J10" i="7" s="1"/>
  <c r="L10" i="7" s="1"/>
  <c r="G264" i="7"/>
  <c r="I264" i="7" s="1"/>
  <c r="J264" i="7" s="1"/>
  <c r="L264" i="7" s="1"/>
  <c r="D264" i="7"/>
  <c r="I284" i="7"/>
  <c r="J284" i="7" s="1"/>
  <c r="L284" i="7" s="1"/>
  <c r="G35" i="7"/>
  <c r="I58" i="7"/>
  <c r="J58" i="7" s="1"/>
  <c r="L58" i="7" s="1"/>
  <c r="I249" i="7"/>
  <c r="J249" i="7" s="1"/>
  <c r="L249" i="7" s="1"/>
  <c r="G101" i="7"/>
  <c r="I101" i="7" s="1"/>
  <c r="J101" i="7" s="1"/>
  <c r="L101" i="7" s="1"/>
  <c r="D101" i="7"/>
  <c r="I124" i="7"/>
  <c r="J124" i="7" s="1"/>
  <c r="L124" i="7" s="1"/>
  <c r="I173" i="7"/>
  <c r="J173" i="7" s="1"/>
  <c r="L173" i="7" s="1"/>
  <c r="I214" i="7"/>
  <c r="J214" i="7" s="1"/>
  <c r="L214" i="7" s="1"/>
  <c r="G365" i="7"/>
  <c r="D365" i="7"/>
  <c r="I441" i="7"/>
  <c r="J441" i="7" s="1"/>
  <c r="L441" i="7" s="1"/>
  <c r="I16" i="7"/>
  <c r="J16" i="7" s="1"/>
  <c r="L16" i="7" s="1"/>
  <c r="I50" i="7"/>
  <c r="J50" i="7" s="1"/>
  <c r="L50" i="7" s="1"/>
  <c r="I254" i="7"/>
  <c r="J254" i="7" s="1"/>
  <c r="L254" i="7" s="1"/>
  <c r="I280" i="7"/>
  <c r="J280" i="7" s="1"/>
  <c r="L280" i="7" s="1"/>
  <c r="I318" i="7"/>
  <c r="J318" i="7" s="1"/>
  <c r="L318" i="7" s="1"/>
  <c r="G5" i="7"/>
  <c r="I5" i="7" s="1"/>
  <c r="J5" i="7" s="1"/>
  <c r="L5" i="7" s="1"/>
  <c r="I104" i="7"/>
  <c r="J104" i="7" s="1"/>
  <c r="L104" i="7" s="1"/>
  <c r="D190" i="7"/>
  <c r="G190" i="7"/>
  <c r="I190" i="7" s="1"/>
  <c r="J190" i="7" s="1"/>
  <c r="L190" i="7" s="1"/>
  <c r="H608" i="7"/>
  <c r="I63" i="7"/>
  <c r="J63" i="7" s="1"/>
  <c r="L63" i="7" s="1"/>
  <c r="G208" i="7"/>
  <c r="I235" i="7"/>
  <c r="J235" i="7" s="1"/>
  <c r="L235" i="7" s="1"/>
  <c r="I2" i="7"/>
  <c r="I13" i="7"/>
  <c r="J13" i="7" s="1"/>
  <c r="L13" i="7" s="1"/>
  <c r="I112" i="7"/>
  <c r="J112" i="7" s="1"/>
  <c r="L112" i="7" s="1"/>
  <c r="G142" i="7"/>
  <c r="G185" i="7"/>
  <c r="G242" i="7"/>
  <c r="I242" i="7" s="1"/>
  <c r="J242" i="7" s="1"/>
  <c r="L242" i="7" s="1"/>
  <c r="D242" i="7"/>
  <c r="I272" i="7"/>
  <c r="J272" i="7" s="1"/>
  <c r="L272" i="7" s="1"/>
  <c r="I274" i="7"/>
  <c r="J274" i="7" s="1"/>
  <c r="L274" i="7" s="1"/>
  <c r="G309" i="7"/>
  <c r="D309" i="7"/>
  <c r="D313" i="7"/>
  <c r="G313" i="7"/>
  <c r="I325" i="7"/>
  <c r="J325" i="7" s="1"/>
  <c r="L325" i="7" s="1"/>
  <c r="I35" i="7"/>
  <c r="J35" i="7" s="1"/>
  <c r="L35" i="7" s="1"/>
  <c r="G166" i="7"/>
  <c r="I166" i="7" s="1"/>
  <c r="J166" i="7" s="1"/>
  <c r="L166" i="7" s="1"/>
  <c r="D166" i="7"/>
  <c r="I185" i="7"/>
  <c r="J185" i="7" s="1"/>
  <c r="L185" i="7" s="1"/>
  <c r="I203" i="7"/>
  <c r="J203" i="7" s="1"/>
  <c r="L203" i="7" s="1"/>
  <c r="G21" i="7"/>
  <c r="I21" i="7" s="1"/>
  <c r="J21" i="7" s="1"/>
  <c r="L21" i="7" s="1"/>
  <c r="D21" i="7"/>
  <c r="D26" i="7"/>
  <c r="G26" i="7"/>
  <c r="I26" i="7" s="1"/>
  <c r="J26" i="7" s="1"/>
  <c r="L26" i="7" s="1"/>
  <c r="I57" i="7"/>
  <c r="J57" i="7" s="1"/>
  <c r="L57" i="7" s="1"/>
  <c r="I79" i="7"/>
  <c r="J79" i="7" s="1"/>
  <c r="L79" i="7" s="1"/>
  <c r="L88" i="7"/>
  <c r="I177" i="7"/>
  <c r="J177" i="7" s="1"/>
  <c r="L177" i="7" s="1"/>
  <c r="I184" i="7"/>
  <c r="J184" i="7" s="1"/>
  <c r="L184" i="7" s="1"/>
  <c r="I191" i="7"/>
  <c r="J191" i="7" s="1"/>
  <c r="L191" i="7" s="1"/>
  <c r="I229" i="7"/>
  <c r="J229" i="7" s="1"/>
  <c r="L229" i="7" s="1"/>
  <c r="G266" i="7"/>
  <c r="I266" i="7" s="1"/>
  <c r="J266" i="7" s="1"/>
  <c r="L266" i="7" s="1"/>
  <c r="G282" i="7"/>
  <c r="D282" i="7"/>
  <c r="D332" i="7"/>
  <c r="I335" i="7"/>
  <c r="J335" i="7" s="1"/>
  <c r="L335" i="7" s="1"/>
  <c r="I460" i="7"/>
  <c r="J460" i="7" s="1"/>
  <c r="L460" i="7" s="1"/>
  <c r="G436" i="7"/>
  <c r="I436" i="7" s="1"/>
  <c r="J436" i="7" s="1"/>
  <c r="L436" i="7" s="1"/>
  <c r="I447" i="7"/>
  <c r="J447" i="7" s="1"/>
  <c r="L447" i="7" s="1"/>
  <c r="I434" i="7"/>
  <c r="J434" i="7" s="1"/>
  <c r="L434" i="7" s="1"/>
  <c r="I9" i="7"/>
  <c r="J9" i="7" s="1"/>
  <c r="L9" i="7" s="1"/>
  <c r="I73" i="7"/>
  <c r="J73" i="7" s="1"/>
  <c r="L73" i="7" s="1"/>
  <c r="I89" i="7"/>
  <c r="J89" i="7" s="1"/>
  <c r="L89" i="7" s="1"/>
  <c r="I211" i="7"/>
  <c r="J211" i="7" s="1"/>
  <c r="L211" i="7" s="1"/>
  <c r="G91" i="7"/>
  <c r="I91" i="7" s="1"/>
  <c r="J91" i="7" s="1"/>
  <c r="L91" i="7" s="1"/>
  <c r="D91" i="7"/>
  <c r="I205" i="7"/>
  <c r="J205" i="7" s="1"/>
  <c r="L205" i="7" s="1"/>
  <c r="I223" i="7"/>
  <c r="J223" i="7" s="1"/>
  <c r="L223" i="7" s="1"/>
  <c r="G240" i="7"/>
  <c r="N276" i="7" s="1"/>
  <c r="J277" i="7" s="1"/>
  <c r="D240" i="7"/>
  <c r="I246" i="7"/>
  <c r="J246" i="7" s="1"/>
  <c r="L246" i="7" s="1"/>
  <c r="I298" i="7"/>
  <c r="J298" i="7" s="1"/>
  <c r="L298" i="7" s="1"/>
  <c r="I310" i="7"/>
  <c r="J310" i="7" s="1"/>
  <c r="L310" i="7" s="1"/>
  <c r="G371" i="7"/>
  <c r="I371" i="7" s="1"/>
  <c r="J371" i="7" s="1"/>
  <c r="L371" i="7" s="1"/>
  <c r="D371" i="7"/>
  <c r="I37" i="7"/>
  <c r="J37" i="7" s="1"/>
  <c r="L37" i="7" s="1"/>
  <c r="I92" i="7"/>
  <c r="J92" i="7" s="1"/>
  <c r="L92" i="7" s="1"/>
  <c r="I226" i="7"/>
  <c r="J226" i="7" s="1"/>
  <c r="L226" i="7" s="1"/>
  <c r="I289" i="7"/>
  <c r="J289" i="7" s="1"/>
  <c r="L289" i="7" s="1"/>
  <c r="G291" i="7"/>
  <c r="D291" i="7"/>
  <c r="I20" i="7"/>
  <c r="J20" i="7" s="1"/>
  <c r="L20" i="7" s="1"/>
  <c r="I41" i="7"/>
  <c r="J41" i="7" s="1"/>
  <c r="L41" i="7" s="1"/>
  <c r="I197" i="7"/>
  <c r="J197" i="7" s="1"/>
  <c r="L197" i="7" s="1"/>
  <c r="I208" i="7"/>
  <c r="J208" i="7" s="1"/>
  <c r="L208" i="7" s="1"/>
  <c r="D223" i="7"/>
  <c r="G223" i="7"/>
  <c r="G286" i="7"/>
  <c r="D286" i="7"/>
  <c r="G315" i="7"/>
  <c r="I315" i="7" s="1"/>
  <c r="J315" i="7" s="1"/>
  <c r="L315" i="7" s="1"/>
  <c r="D315" i="7"/>
  <c r="I367" i="7"/>
  <c r="J367" i="7" s="1"/>
  <c r="L367" i="7" s="1"/>
  <c r="I95" i="7"/>
  <c r="J95" i="7" s="1"/>
  <c r="L95" i="7" s="1"/>
  <c r="I98" i="7"/>
  <c r="J98" i="7" s="1"/>
  <c r="L98" i="7" s="1"/>
  <c r="G100" i="7"/>
  <c r="I100" i="7" s="1"/>
  <c r="J100" i="7" s="1"/>
  <c r="L100" i="7" s="1"/>
  <c r="D100" i="7"/>
  <c r="I129" i="7"/>
  <c r="J129" i="7" s="1"/>
  <c r="L129" i="7" s="1"/>
  <c r="D283" i="7"/>
  <c r="G283" i="7"/>
  <c r="D288" i="7"/>
  <c r="G288" i="7"/>
  <c r="I288" i="7" s="1"/>
  <c r="J288" i="7" s="1"/>
  <c r="L288" i="7" s="1"/>
  <c r="I291" i="7"/>
  <c r="J291" i="7" s="1"/>
  <c r="L291" i="7" s="1"/>
  <c r="I293" i="7"/>
  <c r="J293" i="7" s="1"/>
  <c r="L293" i="7" s="1"/>
  <c r="I326" i="7"/>
  <c r="J326" i="7" s="1"/>
  <c r="L326" i="7" s="1"/>
  <c r="I329" i="7"/>
  <c r="J329" i="7" s="1"/>
  <c r="L329" i="7" s="1"/>
  <c r="I4" i="7"/>
  <c r="J4" i="7" s="1"/>
  <c r="L4" i="7" s="1"/>
  <c r="G65" i="7"/>
  <c r="D65" i="7"/>
  <c r="I123" i="7"/>
  <c r="J123" i="7" s="1"/>
  <c r="L123" i="7" s="1"/>
  <c r="I132" i="7"/>
  <c r="J132" i="7" s="1"/>
  <c r="L132" i="7" s="1"/>
  <c r="I135" i="7"/>
  <c r="J135" i="7" s="1"/>
  <c r="L135" i="7" s="1"/>
  <c r="I138" i="7"/>
  <c r="J138" i="7" s="1"/>
  <c r="L138" i="7" s="1"/>
  <c r="I159" i="7"/>
  <c r="J159" i="7" s="1"/>
  <c r="L159" i="7" s="1"/>
  <c r="I193" i="7"/>
  <c r="J193" i="7" s="1"/>
  <c r="L193" i="7" s="1"/>
  <c r="I30" i="7"/>
  <c r="J30" i="7" s="1"/>
  <c r="L30" i="7" s="1"/>
  <c r="I56" i="7"/>
  <c r="J56" i="7" s="1"/>
  <c r="L56" i="7" s="1"/>
  <c r="I110" i="7"/>
  <c r="J110" i="7" s="1"/>
  <c r="L110" i="7" s="1"/>
  <c r="I113" i="7"/>
  <c r="J113" i="7" s="1"/>
  <c r="L113" i="7" s="1"/>
  <c r="I162" i="7"/>
  <c r="J162" i="7" s="1"/>
  <c r="L162" i="7" s="1"/>
  <c r="I176" i="7"/>
  <c r="J176" i="7" s="1"/>
  <c r="L176" i="7" s="1"/>
  <c r="I199" i="7"/>
  <c r="J199" i="7" s="1"/>
  <c r="L199" i="7" s="1"/>
  <c r="I220" i="7"/>
  <c r="J220" i="7" s="1"/>
  <c r="L220" i="7" s="1"/>
  <c r="I243" i="7"/>
  <c r="J243" i="7" s="1"/>
  <c r="L243" i="7" s="1"/>
  <c r="G297" i="7"/>
  <c r="I297" i="7" s="1"/>
  <c r="J297" i="7" s="1"/>
  <c r="L297" i="7" s="1"/>
  <c r="D297" i="7"/>
  <c r="G373" i="7"/>
  <c r="I373" i="7" s="1"/>
  <c r="J373" i="7" s="1"/>
  <c r="L373" i="7" s="1"/>
  <c r="D373" i="7"/>
  <c r="G11" i="7"/>
  <c r="I11" i="7" s="1"/>
  <c r="J11" i="7" s="1"/>
  <c r="L11" i="7" s="1"/>
  <c r="I15" i="7"/>
  <c r="J15" i="7" s="1"/>
  <c r="L15" i="7" s="1"/>
  <c r="D32" i="7"/>
  <c r="G32" i="7"/>
  <c r="I32" i="7" s="1"/>
  <c r="J32" i="7" s="1"/>
  <c r="L32" i="7" s="1"/>
  <c r="I33" i="7"/>
  <c r="J33" i="7" s="1"/>
  <c r="L33" i="7" s="1"/>
  <c r="I59" i="7"/>
  <c r="J59" i="7" s="1"/>
  <c r="L59" i="7" s="1"/>
  <c r="D84" i="7"/>
  <c r="G84" i="7"/>
  <c r="I84" i="7" s="1"/>
  <c r="J84" i="7" s="1"/>
  <c r="L84" i="7" s="1"/>
  <c r="I85" i="7"/>
  <c r="J85" i="7" s="1"/>
  <c r="L85" i="7" s="1"/>
  <c r="I94" i="7"/>
  <c r="J94" i="7" s="1"/>
  <c r="L94" i="7" s="1"/>
  <c r="I170" i="7"/>
  <c r="J170" i="7" s="1"/>
  <c r="L170" i="7" s="1"/>
  <c r="I234" i="7"/>
  <c r="J234" i="7" s="1"/>
  <c r="L234" i="7" s="1"/>
  <c r="G270" i="7"/>
  <c r="I317" i="7"/>
  <c r="J317" i="7" s="1"/>
  <c r="L317" i="7" s="1"/>
  <c r="I323" i="7"/>
  <c r="J323" i="7" s="1"/>
  <c r="L323" i="7" s="1"/>
  <c r="D352" i="7"/>
  <c r="G352" i="7"/>
  <c r="I387" i="7"/>
  <c r="J387" i="7" s="1"/>
  <c r="L387" i="7" s="1"/>
  <c r="G411" i="7"/>
  <c r="I411" i="7" s="1"/>
  <c r="J411" i="7" s="1"/>
  <c r="L411" i="7" s="1"/>
  <c r="D411" i="7"/>
  <c r="I3" i="7"/>
  <c r="J3" i="7" s="1"/>
  <c r="L3" i="7" s="1"/>
  <c r="G58" i="7"/>
  <c r="N105" i="7" s="1"/>
  <c r="I62" i="7"/>
  <c r="J62" i="7" s="1"/>
  <c r="L62" i="7" s="1"/>
  <c r="I97" i="7"/>
  <c r="J97" i="7" s="1"/>
  <c r="L97" i="7" s="1"/>
  <c r="G102" i="7"/>
  <c r="I102" i="7" s="1"/>
  <c r="J102" i="7" s="1"/>
  <c r="L102" i="7" s="1"/>
  <c r="I134" i="7"/>
  <c r="J134" i="7" s="1"/>
  <c r="L134" i="7" s="1"/>
  <c r="I167" i="7"/>
  <c r="J167" i="7" s="1"/>
  <c r="L167" i="7" s="1"/>
  <c r="G169" i="7"/>
  <c r="G172" i="7"/>
  <c r="I207" i="7"/>
  <c r="J207" i="7" s="1"/>
  <c r="L207" i="7" s="1"/>
  <c r="I213" i="7"/>
  <c r="J213" i="7" s="1"/>
  <c r="L213" i="7" s="1"/>
  <c r="G245" i="7"/>
  <c r="I245" i="7" s="1"/>
  <c r="J245" i="7" s="1"/>
  <c r="L245" i="7" s="1"/>
  <c r="I251" i="7"/>
  <c r="J251" i="7" s="1"/>
  <c r="L251" i="7" s="1"/>
  <c r="I270" i="7"/>
  <c r="J270" i="7" s="1"/>
  <c r="L270" i="7" s="1"/>
  <c r="G292" i="7"/>
  <c r="I302" i="7"/>
  <c r="J302" i="7" s="1"/>
  <c r="L302" i="7" s="1"/>
  <c r="G368" i="7"/>
  <c r="G427" i="7"/>
  <c r="D427" i="7"/>
  <c r="D466" i="7"/>
  <c r="G466" i="7"/>
  <c r="G470" i="7"/>
  <c r="I470" i="7" s="1"/>
  <c r="J470" i="7" s="1"/>
  <c r="L470" i="7" s="1"/>
  <c r="D470" i="7"/>
  <c r="I365" i="7"/>
  <c r="J365" i="7" s="1"/>
  <c r="L365" i="7" s="1"/>
  <c r="G367" i="7"/>
  <c r="D367" i="7"/>
  <c r="I429" i="7"/>
  <c r="J429" i="7" s="1"/>
  <c r="L429" i="7" s="1"/>
  <c r="D437" i="7"/>
  <c r="G437" i="7"/>
  <c r="G455" i="7"/>
  <c r="G494" i="7"/>
  <c r="D494" i="7"/>
  <c r="I437" i="7"/>
  <c r="J437" i="7" s="1"/>
  <c r="L437" i="7" s="1"/>
  <c r="D430" i="7"/>
  <c r="G430" i="7"/>
  <c r="I430" i="7" s="1"/>
  <c r="J430" i="7" s="1"/>
  <c r="L430" i="7" s="1"/>
  <c r="I448" i="7"/>
  <c r="J448" i="7" s="1"/>
  <c r="L448" i="7" s="1"/>
  <c r="I477" i="7"/>
  <c r="J477" i="7" s="1"/>
  <c r="L477" i="7" s="1"/>
  <c r="I52" i="7"/>
  <c r="J52" i="7" s="1"/>
  <c r="L52" i="7" s="1"/>
  <c r="I312" i="7"/>
  <c r="J312" i="7" s="1"/>
  <c r="L312" i="7" s="1"/>
  <c r="G346" i="7"/>
  <c r="D346" i="7"/>
  <c r="N397" i="7"/>
  <c r="J398" i="7" s="1"/>
  <c r="I384" i="7"/>
  <c r="J384" i="7" s="1"/>
  <c r="L384" i="7" s="1"/>
  <c r="I408" i="7"/>
  <c r="J408" i="7" s="1"/>
  <c r="L408" i="7" s="1"/>
  <c r="I25" i="7"/>
  <c r="J25" i="7" s="1"/>
  <c r="L25" i="7" s="1"/>
  <c r="I65" i="7"/>
  <c r="J65" i="7" s="1"/>
  <c r="L65" i="7" s="1"/>
  <c r="G76" i="7"/>
  <c r="I76" i="7" s="1"/>
  <c r="J76" i="7" s="1"/>
  <c r="L76" i="7" s="1"/>
  <c r="G137" i="7"/>
  <c r="I141" i="7"/>
  <c r="J141" i="7" s="1"/>
  <c r="L141" i="7" s="1"/>
  <c r="I158" i="7"/>
  <c r="J158" i="7" s="1"/>
  <c r="L158" i="7" s="1"/>
  <c r="G161" i="7"/>
  <c r="I161" i="7" s="1"/>
  <c r="J161" i="7" s="1"/>
  <c r="L161" i="7" s="1"/>
  <c r="G202" i="7"/>
  <c r="I202" i="7" s="1"/>
  <c r="J202" i="7" s="1"/>
  <c r="L202" i="7" s="1"/>
  <c r="I269" i="7"/>
  <c r="J269" i="7" s="1"/>
  <c r="L269" i="7" s="1"/>
  <c r="I271" i="7"/>
  <c r="J271" i="7" s="1"/>
  <c r="L271" i="7" s="1"/>
  <c r="I296" i="7"/>
  <c r="J296" i="7" s="1"/>
  <c r="L296" i="7" s="1"/>
  <c r="I309" i="7"/>
  <c r="J309" i="7" s="1"/>
  <c r="L309" i="7" s="1"/>
  <c r="I314" i="7"/>
  <c r="J314" i="7" s="1"/>
  <c r="L314" i="7" s="1"/>
  <c r="I352" i="7"/>
  <c r="J352" i="7" s="1"/>
  <c r="L352" i="7" s="1"/>
  <c r="I450" i="7"/>
  <c r="J450" i="7" s="1"/>
  <c r="L450" i="7" s="1"/>
  <c r="I66" i="7"/>
  <c r="J66" i="7" s="1"/>
  <c r="L66" i="7" s="1"/>
  <c r="G140" i="7"/>
  <c r="D140" i="7"/>
  <c r="G198" i="7"/>
  <c r="N237" i="7" s="1"/>
  <c r="I241" i="7"/>
  <c r="J241" i="7" s="1"/>
  <c r="L241" i="7" s="1"/>
  <c r="I263" i="7"/>
  <c r="J263" i="7" s="1"/>
  <c r="L263" i="7" s="1"/>
  <c r="G269" i="7"/>
  <c r="D271" i="7"/>
  <c r="G271" i="7"/>
  <c r="I345" i="7"/>
  <c r="J345" i="7" s="1"/>
  <c r="L345" i="7" s="1"/>
  <c r="I360" i="7"/>
  <c r="J360" i="7" s="1"/>
  <c r="L360" i="7" s="1"/>
  <c r="G393" i="7"/>
  <c r="I393" i="7" s="1"/>
  <c r="J393" i="7" s="1"/>
  <c r="L393" i="7" s="1"/>
  <c r="G539" i="7"/>
  <c r="G474" i="7"/>
  <c r="I474" i="7" s="1"/>
  <c r="J474" i="7" s="1"/>
  <c r="L474" i="7" s="1"/>
  <c r="D474" i="7"/>
  <c r="I252" i="7"/>
  <c r="J252" i="7" s="1"/>
  <c r="L252" i="7" s="1"/>
  <c r="G295" i="7"/>
  <c r="I295" i="7" s="1"/>
  <c r="J295" i="7" s="1"/>
  <c r="L295" i="7" s="1"/>
  <c r="D324" i="7"/>
  <c r="G324" i="7"/>
  <c r="I324" i="7" s="1"/>
  <c r="J324" i="7" s="1"/>
  <c r="L324" i="7" s="1"/>
  <c r="G334" i="7"/>
  <c r="I334" i="7" s="1"/>
  <c r="J334" i="7" s="1"/>
  <c r="L334" i="7" s="1"/>
  <c r="G361" i="7"/>
  <c r="D361" i="7"/>
  <c r="G386" i="7"/>
  <c r="I478" i="7"/>
  <c r="J478" i="7" s="1"/>
  <c r="L478" i="7" s="1"/>
  <c r="I153" i="7"/>
  <c r="J153" i="7" s="1"/>
  <c r="L153" i="7" s="1"/>
  <c r="G175" i="7"/>
  <c r="I175" i="7" s="1"/>
  <c r="J175" i="7" s="1"/>
  <c r="L175" i="7" s="1"/>
  <c r="D175" i="7"/>
  <c r="I188" i="7"/>
  <c r="J188" i="7" s="1"/>
  <c r="L188" i="7" s="1"/>
  <c r="I212" i="7"/>
  <c r="J212" i="7" s="1"/>
  <c r="L212" i="7" s="1"/>
  <c r="G251" i="7"/>
  <c r="D251" i="7"/>
  <c r="I275" i="7"/>
  <c r="J275" i="7" s="1"/>
  <c r="L275" i="7" s="1"/>
  <c r="I282" i="7"/>
  <c r="J282" i="7" s="1"/>
  <c r="L282" i="7" s="1"/>
  <c r="I292" i="7"/>
  <c r="J292" i="7" s="1"/>
  <c r="L292" i="7" s="1"/>
  <c r="J399" i="7"/>
  <c r="I456" i="7"/>
  <c r="J456" i="7" s="1"/>
  <c r="L456" i="7" s="1"/>
  <c r="I459" i="7"/>
  <c r="J459" i="7" s="1"/>
  <c r="L459" i="7" s="1"/>
  <c r="G482" i="7"/>
  <c r="D482" i="7"/>
  <c r="G136" i="7"/>
  <c r="I137" i="7"/>
  <c r="J137" i="7" s="1"/>
  <c r="L137" i="7" s="1"/>
  <c r="G152" i="7"/>
  <c r="I152" i="7" s="1"/>
  <c r="J152" i="7" s="1"/>
  <c r="L152" i="7" s="1"/>
  <c r="I164" i="7"/>
  <c r="J164" i="7" s="1"/>
  <c r="L164" i="7" s="1"/>
  <c r="G171" i="7"/>
  <c r="I171" i="7" s="1"/>
  <c r="J171" i="7" s="1"/>
  <c r="L171" i="7" s="1"/>
  <c r="I172" i="7"/>
  <c r="J172" i="7" s="1"/>
  <c r="L172" i="7" s="1"/>
  <c r="G187" i="7"/>
  <c r="I187" i="7" s="1"/>
  <c r="J187" i="7" s="1"/>
  <c r="L187" i="7" s="1"/>
  <c r="I240" i="7"/>
  <c r="J240" i="7" s="1"/>
  <c r="L240" i="7" s="1"/>
  <c r="G247" i="7"/>
  <c r="I247" i="7" s="1"/>
  <c r="J247" i="7" s="1"/>
  <c r="L247" i="7" s="1"/>
  <c r="I248" i="7"/>
  <c r="J248" i="7" s="1"/>
  <c r="L248" i="7" s="1"/>
  <c r="G263" i="7"/>
  <c r="I341" i="7"/>
  <c r="J341" i="7" s="1"/>
  <c r="L341" i="7" s="1"/>
  <c r="I347" i="7"/>
  <c r="J347" i="7" s="1"/>
  <c r="L347" i="7" s="1"/>
  <c r="I361" i="7"/>
  <c r="J361" i="7" s="1"/>
  <c r="L361" i="7" s="1"/>
  <c r="I364" i="7"/>
  <c r="J364" i="7" s="1"/>
  <c r="L364" i="7" s="1"/>
  <c r="G383" i="7"/>
  <c r="I383" i="7" s="1"/>
  <c r="J383" i="7" s="1"/>
  <c r="L383" i="7" s="1"/>
  <c r="D383" i="7"/>
  <c r="G391" i="7"/>
  <c r="I391" i="7" s="1"/>
  <c r="J391" i="7" s="1"/>
  <c r="L391" i="7" s="1"/>
  <c r="D391" i="7"/>
  <c r="G407" i="7"/>
  <c r="I407" i="7" s="1"/>
  <c r="J407" i="7" s="1"/>
  <c r="L407" i="7" s="1"/>
  <c r="I410" i="7"/>
  <c r="J410" i="7" s="1"/>
  <c r="L410" i="7" s="1"/>
  <c r="G417" i="7"/>
  <c r="I417" i="7" s="1"/>
  <c r="J417" i="7" s="1"/>
  <c r="L417" i="7" s="1"/>
  <c r="G429" i="7"/>
  <c r="D429" i="7"/>
  <c r="I480" i="7"/>
  <c r="J480" i="7" s="1"/>
  <c r="L480" i="7" s="1"/>
  <c r="G449" i="7"/>
  <c r="G484" i="7"/>
  <c r="I484" i="7" s="1"/>
  <c r="J484" i="7" s="1"/>
  <c r="L484" i="7" s="1"/>
  <c r="I494" i="7"/>
  <c r="J494" i="7" s="1"/>
  <c r="L494" i="7" s="1"/>
  <c r="G496" i="7"/>
  <c r="D496" i="7"/>
  <c r="D509" i="7"/>
  <c r="I534" i="7"/>
  <c r="J534" i="7" s="1"/>
  <c r="L534" i="7" s="1"/>
  <c r="G498" i="7"/>
  <c r="I498" i="7" s="1"/>
  <c r="J498" i="7" s="1"/>
  <c r="L498" i="7" s="1"/>
  <c r="D498" i="7"/>
  <c r="I449" i="7"/>
  <c r="J449" i="7" s="1"/>
  <c r="L449" i="7" s="1"/>
  <c r="G486" i="7"/>
  <c r="I486" i="7" s="1"/>
  <c r="J486" i="7" s="1"/>
  <c r="L486" i="7" s="1"/>
  <c r="D486" i="7"/>
  <c r="I496" i="7"/>
  <c r="J496" i="7" s="1"/>
  <c r="L496" i="7" s="1"/>
  <c r="I501" i="7"/>
  <c r="J501" i="7" s="1"/>
  <c r="L501" i="7" s="1"/>
  <c r="I567" i="7"/>
  <c r="J567" i="7" s="1"/>
  <c r="L567" i="7" s="1"/>
  <c r="I446" i="7"/>
  <c r="J446" i="7" s="1"/>
  <c r="L446" i="7" s="1"/>
  <c r="I455" i="7"/>
  <c r="J455" i="7" s="1"/>
  <c r="L455" i="7" s="1"/>
  <c r="D468" i="7"/>
  <c r="I469" i="7"/>
  <c r="J469" i="7" s="1"/>
  <c r="L469" i="7" s="1"/>
  <c r="G476" i="7"/>
  <c r="I479" i="7"/>
  <c r="J479" i="7" s="1"/>
  <c r="L479" i="7" s="1"/>
  <c r="I509" i="7"/>
  <c r="J509" i="7" s="1"/>
  <c r="L509" i="7" s="1"/>
  <c r="G533" i="7"/>
  <c r="I533" i="7" s="1"/>
  <c r="J533" i="7" s="1"/>
  <c r="L533" i="7" s="1"/>
  <c r="G546" i="7"/>
  <c r="G488" i="7"/>
  <c r="D488" i="7"/>
  <c r="I337" i="7"/>
  <c r="J337" i="7" s="1"/>
  <c r="L337" i="7" s="1"/>
  <c r="I380" i="7"/>
  <c r="J380" i="7" s="1"/>
  <c r="L380" i="7" s="1"/>
  <c r="I442" i="7"/>
  <c r="J442" i="7" s="1"/>
  <c r="L442" i="7" s="1"/>
  <c r="I71" i="7"/>
  <c r="J71" i="7" s="1"/>
  <c r="L71" i="7" s="1"/>
  <c r="I147" i="7"/>
  <c r="J147" i="7" s="1"/>
  <c r="L147" i="7" s="1"/>
  <c r="I182" i="7"/>
  <c r="J182" i="7" s="1"/>
  <c r="L182" i="7" s="1"/>
  <c r="I258" i="7"/>
  <c r="J258" i="7" s="1"/>
  <c r="L258" i="7" s="1"/>
  <c r="I286" i="7"/>
  <c r="J286" i="7" s="1"/>
  <c r="L286" i="7" s="1"/>
  <c r="I304" i="7"/>
  <c r="J304" i="7" s="1"/>
  <c r="L304" i="7" s="1"/>
  <c r="G351" i="7"/>
  <c r="I351" i="7" s="1"/>
  <c r="J351" i="7" s="1"/>
  <c r="L351" i="7" s="1"/>
  <c r="D351" i="7"/>
  <c r="I386" i="7"/>
  <c r="J386" i="7" s="1"/>
  <c r="L386" i="7" s="1"/>
  <c r="I390" i="7"/>
  <c r="J390" i="7" s="1"/>
  <c r="L390" i="7" s="1"/>
  <c r="I412" i="7"/>
  <c r="J412" i="7" s="1"/>
  <c r="L412" i="7" s="1"/>
  <c r="I432" i="7"/>
  <c r="J432" i="7" s="1"/>
  <c r="L432" i="7" s="1"/>
  <c r="I476" i="7"/>
  <c r="J476" i="7" s="1"/>
  <c r="L476" i="7" s="1"/>
  <c r="G478" i="7"/>
  <c r="D478" i="7"/>
  <c r="G502" i="7"/>
  <c r="I502" i="7" s="1"/>
  <c r="J502" i="7" s="1"/>
  <c r="L502" i="7" s="1"/>
  <c r="D502" i="7"/>
  <c r="G216" i="7"/>
  <c r="I216" i="7" s="1"/>
  <c r="J216" i="7" s="1"/>
  <c r="L216" i="7" s="1"/>
  <c r="I217" i="7"/>
  <c r="J217" i="7" s="1"/>
  <c r="L217" i="7" s="1"/>
  <c r="G285" i="7"/>
  <c r="N319" i="7" s="1"/>
  <c r="I344" i="7"/>
  <c r="J344" i="7" s="1"/>
  <c r="L344" i="7" s="1"/>
  <c r="I396" i="7"/>
  <c r="J396" i="7" s="1"/>
  <c r="L396" i="7" s="1"/>
  <c r="I415" i="7"/>
  <c r="J415" i="7" s="1"/>
  <c r="L415" i="7" s="1"/>
  <c r="G422" i="7"/>
  <c r="D422" i="7"/>
  <c r="G441" i="7"/>
  <c r="G448" i="7"/>
  <c r="I451" i="7"/>
  <c r="J451" i="7" s="1"/>
  <c r="L451" i="7" s="1"/>
  <c r="I468" i="7"/>
  <c r="J468" i="7" s="1"/>
  <c r="L468" i="7" s="1"/>
  <c r="I488" i="7"/>
  <c r="J488" i="7" s="1"/>
  <c r="L488" i="7" s="1"/>
  <c r="G490" i="7"/>
  <c r="I490" i="7" s="1"/>
  <c r="J490" i="7" s="1"/>
  <c r="L490" i="7" s="1"/>
  <c r="D490" i="7"/>
  <c r="I523" i="7"/>
  <c r="J523" i="7" s="1"/>
  <c r="L523" i="7" s="1"/>
  <c r="N605" i="7"/>
  <c r="J607" i="7" s="1"/>
  <c r="I530" i="7"/>
  <c r="J530" i="7" s="1"/>
  <c r="L530" i="7" s="1"/>
  <c r="I552" i="7"/>
  <c r="J552" i="7" s="1"/>
  <c r="L552" i="7" s="1"/>
  <c r="G552" i="7"/>
  <c r="I570" i="7"/>
  <c r="J570" i="7" s="1"/>
  <c r="L570" i="7" s="1"/>
  <c r="I549" i="7"/>
  <c r="J549" i="7" s="1"/>
  <c r="L549" i="7" s="1"/>
  <c r="I576" i="7"/>
  <c r="J576" i="7" s="1"/>
  <c r="L576" i="7" s="1"/>
  <c r="G472" i="7"/>
  <c r="I472" i="7" s="1"/>
  <c r="J472" i="7" s="1"/>
  <c r="L472" i="7" s="1"/>
  <c r="D472" i="7"/>
  <c r="I481" i="7"/>
  <c r="J481" i="7" s="1"/>
  <c r="L481" i="7" s="1"/>
  <c r="I546" i="7"/>
  <c r="J546" i="7" s="1"/>
  <c r="L546" i="7" s="1"/>
  <c r="G558" i="7"/>
  <c r="I558" i="7" s="1"/>
  <c r="J558" i="7" s="1"/>
  <c r="L558" i="7" s="1"/>
  <c r="I573" i="7"/>
  <c r="J573" i="7" s="1"/>
  <c r="L573" i="7" s="1"/>
  <c r="I368" i="7"/>
  <c r="J368" i="7" s="1"/>
  <c r="L368" i="7" s="1"/>
  <c r="I372" i="7"/>
  <c r="J372" i="7" s="1"/>
  <c r="L372" i="7" s="1"/>
  <c r="G395" i="7"/>
  <c r="I395" i="7" s="1"/>
  <c r="J395" i="7" s="1"/>
  <c r="L395" i="7" s="1"/>
  <c r="G447" i="7"/>
  <c r="G480" i="7"/>
  <c r="I489" i="7"/>
  <c r="J489" i="7" s="1"/>
  <c r="L489" i="7" s="1"/>
  <c r="I497" i="7"/>
  <c r="J497" i="7" s="1"/>
  <c r="L497" i="7" s="1"/>
  <c r="G513" i="7"/>
  <c r="I513" i="7" s="1"/>
  <c r="J513" i="7" s="1"/>
  <c r="L513" i="7" s="1"/>
  <c r="D513" i="7"/>
  <c r="I522" i="7"/>
  <c r="J522" i="7" s="1"/>
  <c r="L522" i="7" s="1"/>
  <c r="I535" i="7"/>
  <c r="J535" i="7" s="1"/>
  <c r="L535" i="7" s="1"/>
  <c r="G585" i="7"/>
  <c r="I491" i="7"/>
  <c r="J491" i="7" s="1"/>
  <c r="L491" i="7" s="1"/>
  <c r="I524" i="7"/>
  <c r="J524" i="7" s="1"/>
  <c r="L524" i="7" s="1"/>
  <c r="G330" i="7"/>
  <c r="I331" i="7"/>
  <c r="J331" i="7" s="1"/>
  <c r="L331" i="7" s="1"/>
  <c r="I362" i="7"/>
  <c r="J362" i="7" s="1"/>
  <c r="L362" i="7" s="1"/>
  <c r="I374" i="7"/>
  <c r="J374" i="7" s="1"/>
  <c r="L374" i="7" s="1"/>
  <c r="G377" i="7"/>
  <c r="I377" i="7" s="1"/>
  <c r="J377" i="7" s="1"/>
  <c r="L377" i="7" s="1"/>
  <c r="I378" i="7"/>
  <c r="J378" i="7" s="1"/>
  <c r="L378" i="7" s="1"/>
  <c r="G409" i="7"/>
  <c r="N419" i="7" s="1"/>
  <c r="I428" i="7"/>
  <c r="J428" i="7" s="1"/>
  <c r="L428" i="7" s="1"/>
  <c r="I473" i="7"/>
  <c r="J473" i="7" s="1"/>
  <c r="L473" i="7" s="1"/>
  <c r="I487" i="7"/>
  <c r="J487" i="7" s="1"/>
  <c r="L487" i="7" s="1"/>
  <c r="G523" i="7"/>
  <c r="I529" i="7"/>
  <c r="J529" i="7" s="1"/>
  <c r="L529" i="7" s="1"/>
  <c r="I540" i="7"/>
  <c r="J540" i="7" s="1"/>
  <c r="L540" i="7" s="1"/>
  <c r="G515" i="7"/>
  <c r="I515" i="7" s="1"/>
  <c r="J515" i="7" s="1"/>
  <c r="L515" i="7" s="1"/>
  <c r="I516" i="7"/>
  <c r="J516" i="7" s="1"/>
  <c r="L516" i="7" s="1"/>
  <c r="I526" i="7"/>
  <c r="J526" i="7" s="1"/>
  <c r="L526" i="7" s="1"/>
  <c r="I536" i="7"/>
  <c r="J536" i="7" s="1"/>
  <c r="L536" i="7" s="1"/>
  <c r="I539" i="7"/>
  <c r="J539" i="7" s="1"/>
  <c r="L539" i="7" s="1"/>
  <c r="G548" i="7"/>
  <c r="I548" i="7" s="1"/>
  <c r="J548" i="7" s="1"/>
  <c r="L548" i="7" s="1"/>
  <c r="G554" i="7"/>
  <c r="I554" i="7" s="1"/>
  <c r="J554" i="7" s="1"/>
  <c r="L554" i="7" s="1"/>
  <c r="G560" i="7"/>
  <c r="G566" i="7"/>
  <c r="G572" i="7"/>
  <c r="G578" i="7"/>
  <c r="I578" i="7" s="1"/>
  <c r="J578" i="7" s="1"/>
  <c r="L578" i="7" s="1"/>
  <c r="I585" i="7"/>
  <c r="J585" i="7" s="1"/>
  <c r="L585" i="7" s="1"/>
  <c r="I588" i="7"/>
  <c r="J588" i="7" s="1"/>
  <c r="L588" i="7" s="1"/>
  <c r="I591" i="7"/>
  <c r="J591" i="7" s="1"/>
  <c r="L591" i="7" s="1"/>
  <c r="I594" i="7"/>
  <c r="J594" i="7" s="1"/>
  <c r="L594" i="7" s="1"/>
  <c r="I597" i="7"/>
  <c r="J597" i="7" s="1"/>
  <c r="L597" i="7" s="1"/>
  <c r="I600" i="7"/>
  <c r="J600" i="7" s="1"/>
  <c r="L600" i="7" s="1"/>
  <c r="G405" i="7"/>
  <c r="I405" i="7" s="1"/>
  <c r="J405" i="7" s="1"/>
  <c r="L405" i="7" s="1"/>
  <c r="I406" i="7"/>
  <c r="J406" i="7" s="1"/>
  <c r="L406" i="7" s="1"/>
  <c r="G435" i="7"/>
  <c r="I435" i="7" s="1"/>
  <c r="J435" i="7" s="1"/>
  <c r="L435" i="7" s="1"/>
  <c r="G453" i="7"/>
  <c r="I453" i="7" s="1"/>
  <c r="J453" i="7" s="1"/>
  <c r="L453" i="7" s="1"/>
  <c r="I454" i="7"/>
  <c r="J454" i="7" s="1"/>
  <c r="L454" i="7" s="1"/>
  <c r="G507" i="7"/>
  <c r="I507" i="7" s="1"/>
  <c r="J507" i="7" s="1"/>
  <c r="L507" i="7" s="1"/>
  <c r="I508" i="7"/>
  <c r="J508" i="7" s="1"/>
  <c r="L508" i="7" s="1"/>
  <c r="G511" i="7"/>
  <c r="I511" i="7" s="1"/>
  <c r="J511" i="7" s="1"/>
  <c r="L511" i="7" s="1"/>
  <c r="G525" i="7"/>
  <c r="I525" i="7" s="1"/>
  <c r="J525" i="7" s="1"/>
  <c r="L525" i="7" s="1"/>
  <c r="I532" i="7"/>
  <c r="J532" i="7" s="1"/>
  <c r="L532" i="7" s="1"/>
  <c r="G541" i="7"/>
  <c r="I541" i="7" s="1"/>
  <c r="J541" i="7" s="1"/>
  <c r="L541" i="7" s="1"/>
  <c r="I545" i="7"/>
  <c r="J545" i="7" s="1"/>
  <c r="L545" i="7" s="1"/>
  <c r="I551" i="7"/>
  <c r="J551" i="7" s="1"/>
  <c r="L551" i="7" s="1"/>
  <c r="I557" i="7"/>
  <c r="J557" i="7" s="1"/>
  <c r="L557" i="7" s="1"/>
  <c r="I560" i="7"/>
  <c r="J560" i="7" s="1"/>
  <c r="L560" i="7" s="1"/>
  <c r="I563" i="7"/>
  <c r="J563" i="7" s="1"/>
  <c r="L563" i="7" s="1"/>
  <c r="I566" i="7"/>
  <c r="J566" i="7" s="1"/>
  <c r="L566" i="7" s="1"/>
  <c r="I569" i="7"/>
  <c r="J569" i="7" s="1"/>
  <c r="L569" i="7" s="1"/>
  <c r="I572" i="7"/>
  <c r="J572" i="7" s="1"/>
  <c r="L572" i="7" s="1"/>
  <c r="I575" i="7"/>
  <c r="J575" i="7" s="1"/>
  <c r="L575" i="7" s="1"/>
  <c r="G587" i="7"/>
  <c r="G593" i="7"/>
  <c r="I604" i="7"/>
  <c r="J604" i="7" s="1"/>
  <c r="L604" i="7" s="1"/>
  <c r="G400" i="7"/>
  <c r="G413" i="7"/>
  <c r="I413" i="7" s="1"/>
  <c r="J413" i="7" s="1"/>
  <c r="L413" i="7" s="1"/>
  <c r="I414" i="7"/>
  <c r="J414" i="7" s="1"/>
  <c r="L414" i="7" s="1"/>
  <c r="G439" i="7"/>
  <c r="I439" i="7" s="1"/>
  <c r="J439" i="7" s="1"/>
  <c r="L439" i="7" s="1"/>
  <c r="I440" i="7"/>
  <c r="J440" i="7" s="1"/>
  <c r="L440" i="7" s="1"/>
  <c r="G457" i="7"/>
  <c r="I457" i="7" s="1"/>
  <c r="J457" i="7" s="1"/>
  <c r="L457" i="7" s="1"/>
  <c r="I458" i="7"/>
  <c r="J458" i="7" s="1"/>
  <c r="L458" i="7" s="1"/>
  <c r="G521" i="7"/>
  <c r="I521" i="7" s="1"/>
  <c r="J521" i="7" s="1"/>
  <c r="L521" i="7" s="1"/>
  <c r="G531" i="7"/>
  <c r="I538" i="7"/>
  <c r="J538" i="7" s="1"/>
  <c r="L538" i="7" s="1"/>
  <c r="G550" i="7"/>
  <c r="I550" i="7" s="1"/>
  <c r="J550" i="7" s="1"/>
  <c r="L550" i="7" s="1"/>
  <c r="G556" i="7"/>
  <c r="I556" i="7" s="1"/>
  <c r="J556" i="7" s="1"/>
  <c r="L556" i="7" s="1"/>
  <c r="G562" i="7"/>
  <c r="I562" i="7" s="1"/>
  <c r="J562" i="7" s="1"/>
  <c r="L562" i="7" s="1"/>
  <c r="G568" i="7"/>
  <c r="G574" i="7"/>
  <c r="G580" i="7"/>
  <c r="I580" i="7" s="1"/>
  <c r="J580" i="7" s="1"/>
  <c r="L580" i="7" s="1"/>
  <c r="I584" i="7"/>
  <c r="J584" i="7" s="1"/>
  <c r="L584" i="7" s="1"/>
  <c r="I587" i="7"/>
  <c r="J587" i="7" s="1"/>
  <c r="L587" i="7" s="1"/>
  <c r="I590" i="7"/>
  <c r="J590" i="7" s="1"/>
  <c r="L590" i="7" s="1"/>
  <c r="I593" i="7"/>
  <c r="J593" i="7" s="1"/>
  <c r="L593" i="7" s="1"/>
  <c r="I596" i="7"/>
  <c r="J596" i="7" s="1"/>
  <c r="L596" i="7" s="1"/>
  <c r="I599" i="7"/>
  <c r="J599" i="7" s="1"/>
  <c r="L599" i="7" s="1"/>
  <c r="I528" i="7"/>
  <c r="J528" i="7" s="1"/>
  <c r="L528" i="7" s="1"/>
  <c r="I514" i="7"/>
  <c r="J514" i="7" s="1"/>
  <c r="L514" i="7" s="1"/>
  <c r="G517" i="7"/>
  <c r="I517" i="7" s="1"/>
  <c r="J517" i="7" s="1"/>
  <c r="L517" i="7" s="1"/>
  <c r="G527" i="7"/>
  <c r="I527" i="7" s="1"/>
  <c r="J527" i="7" s="1"/>
  <c r="L527" i="7" s="1"/>
  <c r="I531" i="7"/>
  <c r="J531" i="7" s="1"/>
  <c r="L531" i="7" s="1"/>
  <c r="G537" i="7"/>
  <c r="I537" i="7" s="1"/>
  <c r="J537" i="7" s="1"/>
  <c r="L537" i="7" s="1"/>
  <c r="I547" i="7"/>
  <c r="J547" i="7" s="1"/>
  <c r="L547" i="7" s="1"/>
  <c r="I553" i="7"/>
  <c r="J553" i="7" s="1"/>
  <c r="L553" i="7" s="1"/>
  <c r="I559" i="7"/>
  <c r="J559" i="7" s="1"/>
  <c r="L559" i="7" s="1"/>
  <c r="I565" i="7"/>
  <c r="J565" i="7" s="1"/>
  <c r="L565" i="7" s="1"/>
  <c r="I568" i="7"/>
  <c r="J568" i="7" s="1"/>
  <c r="L568" i="7" s="1"/>
  <c r="I571" i="7"/>
  <c r="J571" i="7" s="1"/>
  <c r="L571" i="7" s="1"/>
  <c r="I574" i="7"/>
  <c r="J574" i="7" s="1"/>
  <c r="L574" i="7" s="1"/>
  <c r="I577" i="7"/>
  <c r="J577" i="7" s="1"/>
  <c r="L577" i="7" s="1"/>
  <c r="J606" i="7"/>
  <c r="P541" i="5"/>
  <c r="L541" i="5"/>
  <c r="M541" i="5" s="1"/>
  <c r="O541" i="5" s="1"/>
  <c r="G541" i="5"/>
  <c r="L539" i="5"/>
  <c r="M539" i="5" s="1"/>
  <c r="O539" i="5" s="1"/>
  <c r="G539" i="5"/>
  <c r="P539" i="5"/>
  <c r="L540" i="5"/>
  <c r="M540" i="5" s="1"/>
  <c r="O540" i="5" s="1"/>
  <c r="G540" i="5"/>
  <c r="P540" i="5"/>
  <c r="E217" i="3"/>
  <c r="F217" i="3" s="1"/>
  <c r="H255" i="1"/>
  <c r="I255" i="1" s="1"/>
  <c r="T255" i="1"/>
  <c r="U255" i="1" s="1"/>
  <c r="L255" i="1"/>
  <c r="M255" i="1" s="1"/>
  <c r="N255" i="1"/>
  <c r="O255" i="1" s="1"/>
  <c r="P255" i="1"/>
  <c r="Q255" i="1" s="1"/>
  <c r="R255" i="1"/>
  <c r="S255" i="1" s="1"/>
  <c r="V254" i="1"/>
  <c r="W254" i="1" s="1"/>
  <c r="J255" i="1"/>
  <c r="K255" i="1" s="1"/>
  <c r="L537" i="5"/>
  <c r="M537" i="5" s="1"/>
  <c r="O537" i="5" s="1"/>
  <c r="G537" i="5"/>
  <c r="P537" i="5"/>
  <c r="P538" i="5"/>
  <c r="L538" i="5"/>
  <c r="M538" i="5" s="1"/>
  <c r="O538" i="5" s="1"/>
  <c r="G538" i="5"/>
  <c r="L536" i="5"/>
  <c r="M536" i="5" s="1"/>
  <c r="O536" i="5" s="1"/>
  <c r="G536" i="5"/>
  <c r="P536" i="5"/>
  <c r="E216" i="3"/>
  <c r="F216" i="3" s="1"/>
  <c r="T254" i="1"/>
  <c r="U254" i="1" s="1"/>
  <c r="L254" i="1"/>
  <c r="M254" i="1" s="1"/>
  <c r="N254" i="1"/>
  <c r="O254" i="1" s="1"/>
  <c r="H254" i="1"/>
  <c r="I254" i="1" s="1"/>
  <c r="P254" i="1"/>
  <c r="Q254" i="1" s="1"/>
  <c r="R254" i="1"/>
  <c r="S254" i="1" s="1"/>
  <c r="J254" i="1"/>
  <c r="K254" i="1" s="1"/>
  <c r="M10" i="12" l="1"/>
  <c r="N10" i="12" s="1"/>
  <c r="P10" i="12" s="1"/>
  <c r="K20" i="12"/>
  <c r="N28" i="12"/>
  <c r="P28" i="12" s="1"/>
  <c r="M31" i="12"/>
  <c r="M33" i="12" s="1"/>
  <c r="R14" i="12"/>
  <c r="Q14" i="12"/>
  <c r="Q10" i="12"/>
  <c r="R10" i="12"/>
  <c r="N3" i="12"/>
  <c r="P3" i="12" s="1"/>
  <c r="M20" i="12"/>
  <c r="M36" i="12" s="1"/>
  <c r="R11" i="12"/>
  <c r="Q11" i="12"/>
  <c r="M14" i="12"/>
  <c r="N14" i="12" s="1"/>
  <c r="P14" i="12" s="1"/>
  <c r="Q538" i="11"/>
  <c r="R538" i="11"/>
  <c r="R516" i="11"/>
  <c r="Q516" i="11"/>
  <c r="M516" i="11"/>
  <c r="N516" i="11" s="1"/>
  <c r="P516" i="11" s="1"/>
  <c r="R371" i="11"/>
  <c r="Q371" i="11"/>
  <c r="M384" i="11"/>
  <c r="N384" i="11" s="1"/>
  <c r="P384" i="11" s="1"/>
  <c r="R295" i="11"/>
  <c r="Q295" i="11"/>
  <c r="R328" i="11"/>
  <c r="Q328" i="11"/>
  <c r="Q263" i="11"/>
  <c r="R263" i="11"/>
  <c r="R193" i="11"/>
  <c r="Q193" i="11"/>
  <c r="M81" i="11"/>
  <c r="N81" i="11" s="1"/>
  <c r="P81" i="11" s="1"/>
  <c r="R85" i="11"/>
  <c r="Q85" i="11"/>
  <c r="R12" i="11"/>
  <c r="Q12" i="11"/>
  <c r="Q106" i="11"/>
  <c r="R106" i="11"/>
  <c r="R274" i="11"/>
  <c r="Q274" i="11"/>
  <c r="M11" i="11"/>
  <c r="N11" i="11" s="1"/>
  <c r="P11" i="11" s="1"/>
  <c r="Q216" i="11"/>
  <c r="R216" i="11"/>
  <c r="R400" i="11"/>
  <c r="Q400" i="11"/>
  <c r="R418" i="11"/>
  <c r="Q418" i="11"/>
  <c r="R317" i="11"/>
  <c r="Q317" i="11"/>
  <c r="M355" i="11"/>
  <c r="N355" i="11" s="1"/>
  <c r="P355" i="11" s="1"/>
  <c r="M333" i="11"/>
  <c r="N333" i="11" s="1"/>
  <c r="P333" i="11" s="1"/>
  <c r="M277" i="11"/>
  <c r="N277" i="11" s="1"/>
  <c r="P277" i="11" s="1"/>
  <c r="Q153" i="11"/>
  <c r="R153" i="11"/>
  <c r="R238" i="11"/>
  <c r="Q238" i="11"/>
  <c r="M181" i="11"/>
  <c r="N181" i="11" s="1"/>
  <c r="P181" i="11" s="1"/>
  <c r="R145" i="11"/>
  <c r="Q145" i="11"/>
  <c r="R301" i="11"/>
  <c r="Q301" i="11"/>
  <c r="H532" i="11"/>
  <c r="J532" i="11" s="1"/>
  <c r="M532" i="11" s="1"/>
  <c r="N532" i="11" s="1"/>
  <c r="P532" i="11" s="1"/>
  <c r="G532" i="11"/>
  <c r="R355" i="11"/>
  <c r="Q355" i="11"/>
  <c r="Q158" i="11"/>
  <c r="R158" i="11"/>
  <c r="Q380" i="11"/>
  <c r="R380" i="11"/>
  <c r="Q369" i="11"/>
  <c r="R369" i="11"/>
  <c r="R266" i="11"/>
  <c r="Q266" i="11"/>
  <c r="M285" i="11"/>
  <c r="N285" i="11" s="1"/>
  <c r="P285" i="11" s="1"/>
  <c r="R395" i="11"/>
  <c r="Q395" i="11"/>
  <c r="Q300" i="11"/>
  <c r="R300" i="11"/>
  <c r="R199" i="11"/>
  <c r="Q199" i="11"/>
  <c r="M150" i="11"/>
  <c r="N150" i="11" s="1"/>
  <c r="P150" i="11" s="1"/>
  <c r="R137" i="11"/>
  <c r="Q137" i="11"/>
  <c r="M71" i="11"/>
  <c r="N71" i="11" s="1"/>
  <c r="P71" i="11" s="1"/>
  <c r="R164" i="11"/>
  <c r="Q164" i="11"/>
  <c r="Q112" i="11"/>
  <c r="R112" i="11"/>
  <c r="M113" i="11"/>
  <c r="N113" i="11" s="1"/>
  <c r="P113" i="11" s="1"/>
  <c r="Q79" i="11"/>
  <c r="R79" i="11"/>
  <c r="R314" i="11"/>
  <c r="Q314" i="11"/>
  <c r="R52" i="11"/>
  <c r="Q52" i="11"/>
  <c r="R357" i="11"/>
  <c r="Q357" i="11"/>
  <c r="R381" i="11"/>
  <c r="Q381" i="11"/>
  <c r="Q359" i="11"/>
  <c r="R359" i="11"/>
  <c r="R354" i="11"/>
  <c r="Q354" i="11"/>
  <c r="Q348" i="11"/>
  <c r="R348" i="11"/>
  <c r="R244" i="11"/>
  <c r="Q244" i="11"/>
  <c r="Q222" i="11"/>
  <c r="R222" i="11"/>
  <c r="Q84" i="11"/>
  <c r="R84" i="11"/>
  <c r="R46" i="11"/>
  <c r="Q46" i="11"/>
  <c r="Q58" i="11"/>
  <c r="R58" i="11"/>
  <c r="M13" i="11"/>
  <c r="N13" i="11" s="1"/>
  <c r="P13" i="11" s="1"/>
  <c r="Q165" i="11"/>
  <c r="R165" i="11"/>
  <c r="Q105" i="11"/>
  <c r="R105" i="11"/>
  <c r="R11" i="11"/>
  <c r="Q11" i="11"/>
  <c r="R509" i="11"/>
  <c r="Q509" i="11"/>
  <c r="Q332" i="11"/>
  <c r="R332" i="11"/>
  <c r="Q285" i="11"/>
  <c r="R285" i="11"/>
  <c r="R250" i="11"/>
  <c r="Q250" i="11"/>
  <c r="Q210" i="11"/>
  <c r="R210" i="11"/>
  <c r="R174" i="11"/>
  <c r="Q174" i="11"/>
  <c r="R62" i="11"/>
  <c r="Q62" i="11"/>
  <c r="R81" i="11"/>
  <c r="Q81" i="11"/>
  <c r="R86" i="11"/>
  <c r="Q86" i="11"/>
  <c r="R559" i="11"/>
  <c r="Q559" i="11"/>
  <c r="R505" i="11"/>
  <c r="Q505" i="11"/>
  <c r="R498" i="11"/>
  <c r="Q498" i="11"/>
  <c r="R366" i="11"/>
  <c r="Q366" i="11"/>
  <c r="M366" i="11"/>
  <c r="N366" i="11" s="1"/>
  <c r="P366" i="11" s="1"/>
  <c r="M325" i="11"/>
  <c r="N325" i="11" s="1"/>
  <c r="P325" i="11" s="1"/>
  <c r="Q100" i="11"/>
  <c r="R100" i="11"/>
  <c r="R53" i="11"/>
  <c r="Q53" i="11"/>
  <c r="M3" i="11"/>
  <c r="Q160" i="11"/>
  <c r="R160" i="11"/>
  <c r="Q83" i="11"/>
  <c r="R83" i="11"/>
  <c r="M505" i="11"/>
  <c r="N505" i="11" s="1"/>
  <c r="P505" i="11" s="1"/>
  <c r="M498" i="11"/>
  <c r="N498" i="11" s="1"/>
  <c r="P498" i="11" s="1"/>
  <c r="Q326" i="11"/>
  <c r="R326" i="11"/>
  <c r="R346" i="11"/>
  <c r="Q346" i="11"/>
  <c r="R230" i="11"/>
  <c r="Q230" i="11"/>
  <c r="R277" i="11"/>
  <c r="Q277" i="11"/>
  <c r="R169" i="11"/>
  <c r="Q169" i="11"/>
  <c r="Q181" i="11"/>
  <c r="R181" i="11"/>
  <c r="Q170" i="11"/>
  <c r="R170" i="11"/>
  <c r="Q77" i="11"/>
  <c r="R77" i="11"/>
  <c r="R214" i="11"/>
  <c r="Q214" i="11"/>
  <c r="Q74" i="11"/>
  <c r="R74" i="11"/>
  <c r="R155" i="11"/>
  <c r="Q155" i="11"/>
  <c r="M538" i="11"/>
  <c r="N538" i="11" s="1"/>
  <c r="P538" i="11" s="1"/>
  <c r="M400" i="11"/>
  <c r="N400" i="11" s="1"/>
  <c r="P400" i="11" s="1"/>
  <c r="M418" i="11"/>
  <c r="N418" i="11" s="1"/>
  <c r="P418" i="11" s="1"/>
  <c r="R558" i="11"/>
  <c r="Q558" i="11"/>
  <c r="R541" i="11"/>
  <c r="Q541" i="11"/>
  <c r="M533" i="11"/>
  <c r="N533" i="11" s="1"/>
  <c r="P533" i="11" s="1"/>
  <c r="M381" i="11"/>
  <c r="N381" i="11" s="1"/>
  <c r="P381" i="11" s="1"/>
  <c r="R413" i="11"/>
  <c r="Q413" i="11"/>
  <c r="M348" i="11"/>
  <c r="N348" i="11" s="1"/>
  <c r="P348" i="11" s="1"/>
  <c r="R278" i="11"/>
  <c r="Q278" i="11"/>
  <c r="M314" i="11"/>
  <c r="N314" i="11" s="1"/>
  <c r="P314" i="11" s="1"/>
  <c r="M295" i="11"/>
  <c r="N295" i="11" s="1"/>
  <c r="P295" i="11" s="1"/>
  <c r="R239" i="11"/>
  <c r="Q239" i="11"/>
  <c r="M244" i="11"/>
  <c r="N244" i="11" s="1"/>
  <c r="P244" i="11" s="1"/>
  <c r="R138" i="11"/>
  <c r="Q138" i="11"/>
  <c r="Q220" i="11"/>
  <c r="R220" i="11"/>
  <c r="M153" i="11"/>
  <c r="N153" i="11" s="1"/>
  <c r="P153" i="11" s="1"/>
  <c r="R80" i="11"/>
  <c r="Q80" i="11"/>
  <c r="Q110" i="11"/>
  <c r="R110" i="11"/>
  <c r="R41" i="11"/>
  <c r="Q41" i="11"/>
  <c r="R59" i="11"/>
  <c r="Q59" i="11"/>
  <c r="M105" i="11"/>
  <c r="N105" i="11" s="1"/>
  <c r="P105" i="11" s="1"/>
  <c r="F565" i="11"/>
  <c r="M76" i="11"/>
  <c r="N76" i="11" s="1"/>
  <c r="P76" i="11" s="1"/>
  <c r="M41" i="11"/>
  <c r="N41" i="11" s="1"/>
  <c r="P41" i="11" s="1"/>
  <c r="Q325" i="11"/>
  <c r="R325" i="11"/>
  <c r="R313" i="11"/>
  <c r="Q313" i="11"/>
  <c r="Q383" i="11"/>
  <c r="R383" i="11"/>
  <c r="R215" i="11"/>
  <c r="Q215" i="11"/>
  <c r="Q146" i="11"/>
  <c r="R146" i="11"/>
  <c r="Q187" i="11"/>
  <c r="R187" i="11"/>
  <c r="R71" i="11"/>
  <c r="Q71" i="11"/>
  <c r="R10" i="11"/>
  <c r="Q10" i="11"/>
  <c r="R3" i="11"/>
  <c r="Q3" i="11"/>
  <c r="Q151" i="11"/>
  <c r="R151" i="11"/>
  <c r="R533" i="11"/>
  <c r="Q533" i="11"/>
  <c r="R520" i="11"/>
  <c r="Q520" i="11"/>
  <c r="R345" i="11"/>
  <c r="Q345" i="11"/>
  <c r="M300" i="11"/>
  <c r="N300" i="11" s="1"/>
  <c r="P300" i="11" s="1"/>
  <c r="M359" i="11"/>
  <c r="N359" i="11" s="1"/>
  <c r="P359" i="11" s="1"/>
  <c r="R252" i="11"/>
  <c r="Q252" i="11"/>
  <c r="Q340" i="11"/>
  <c r="R340" i="11"/>
  <c r="Q309" i="11"/>
  <c r="R309" i="11"/>
  <c r="M326" i="11"/>
  <c r="N326" i="11" s="1"/>
  <c r="P326" i="11" s="1"/>
  <c r="R136" i="11"/>
  <c r="Q136" i="11"/>
  <c r="R124" i="11"/>
  <c r="Q124" i="11"/>
  <c r="M77" i="11"/>
  <c r="N77" i="11" s="1"/>
  <c r="P77" i="11" s="1"/>
  <c r="M89" i="11"/>
  <c r="N89" i="11" s="1"/>
  <c r="P89" i="11" s="1"/>
  <c r="R70" i="11"/>
  <c r="Q70" i="11"/>
  <c r="R404" i="11"/>
  <c r="Q404" i="11"/>
  <c r="R547" i="11"/>
  <c r="Q547" i="11"/>
  <c r="R372" i="11"/>
  <c r="Q372" i="11"/>
  <c r="R333" i="11"/>
  <c r="Q333" i="11"/>
  <c r="R515" i="11"/>
  <c r="Q515" i="11"/>
  <c r="R392" i="11"/>
  <c r="Q392" i="11"/>
  <c r="R356" i="11"/>
  <c r="Q356" i="11"/>
  <c r="Q425" i="11"/>
  <c r="M425" i="11"/>
  <c r="N425" i="11" s="1"/>
  <c r="P425" i="11" s="1"/>
  <c r="R425" i="11"/>
  <c r="Q343" i="11"/>
  <c r="R343" i="11"/>
  <c r="R344" i="11"/>
  <c r="Q344" i="11"/>
  <c r="Q297" i="11"/>
  <c r="R297" i="11"/>
  <c r="M332" i="11"/>
  <c r="N332" i="11" s="1"/>
  <c r="P332" i="11" s="1"/>
  <c r="M356" i="11"/>
  <c r="N356" i="11" s="1"/>
  <c r="P356" i="11" s="1"/>
  <c r="Q279" i="11"/>
  <c r="R279" i="11"/>
  <c r="R134" i="11"/>
  <c r="Q134" i="11"/>
  <c r="Q163" i="11"/>
  <c r="R163" i="11"/>
  <c r="Q76" i="11"/>
  <c r="R76" i="11"/>
  <c r="M112" i="11"/>
  <c r="N112" i="11" s="1"/>
  <c r="P112" i="11" s="1"/>
  <c r="Q89" i="11"/>
  <c r="R89" i="11"/>
  <c r="Q114" i="11"/>
  <c r="R114" i="11"/>
  <c r="Q116" i="11"/>
  <c r="R116" i="11"/>
  <c r="M165" i="11"/>
  <c r="N165" i="11" s="1"/>
  <c r="P165" i="11" s="1"/>
  <c r="M250" i="11"/>
  <c r="N250" i="11" s="1"/>
  <c r="P250" i="11" s="1"/>
  <c r="M53" i="11"/>
  <c r="N53" i="11" s="1"/>
  <c r="P53" i="11" s="1"/>
  <c r="M10" i="11"/>
  <c r="N10" i="11" s="1"/>
  <c r="P10" i="11" s="1"/>
  <c r="R553" i="11"/>
  <c r="Q553" i="11"/>
  <c r="R510" i="11"/>
  <c r="Q510" i="11"/>
  <c r="Q115" i="11"/>
  <c r="R115" i="11"/>
  <c r="Q243" i="11"/>
  <c r="R243" i="11"/>
  <c r="R173" i="11"/>
  <c r="Q173" i="11"/>
  <c r="R524" i="11"/>
  <c r="Q524" i="11"/>
  <c r="R562" i="11"/>
  <c r="Q562" i="11"/>
  <c r="R499" i="11"/>
  <c r="Q499" i="11"/>
  <c r="Q384" i="11"/>
  <c r="R384" i="11"/>
  <c r="R296" i="11"/>
  <c r="Q296" i="11"/>
  <c r="R267" i="11"/>
  <c r="Q267" i="11"/>
  <c r="Q189" i="11"/>
  <c r="R189" i="11"/>
  <c r="R128" i="11"/>
  <c r="Q128" i="11"/>
  <c r="Q150" i="11"/>
  <c r="R150" i="11"/>
  <c r="Q221" i="11"/>
  <c r="R221" i="11"/>
  <c r="R13" i="11"/>
  <c r="Q13" i="11"/>
  <c r="Q113" i="11"/>
  <c r="R113" i="11"/>
  <c r="M52" i="11"/>
  <c r="N52" i="11" s="1"/>
  <c r="P52" i="11" s="1"/>
  <c r="F30" i="9"/>
  <c r="E33" i="9" s="1"/>
  <c r="E34" i="9" s="1"/>
  <c r="G2" i="9"/>
  <c r="G30" i="9" s="1"/>
  <c r="P5" i="8"/>
  <c r="T2" i="8"/>
  <c r="T5" i="8" s="1"/>
  <c r="J320" i="7"/>
  <c r="J321" i="7"/>
  <c r="J421" i="7"/>
  <c r="J420" i="7"/>
  <c r="J238" i="7"/>
  <c r="J239" i="7"/>
  <c r="J107" i="7"/>
  <c r="J106" i="7"/>
  <c r="N503" i="7"/>
  <c r="I466" i="7"/>
  <c r="J466" i="7" s="1"/>
  <c r="L466" i="7" s="1"/>
  <c r="G608" i="7"/>
  <c r="N401" i="7"/>
  <c r="I400" i="7"/>
  <c r="J400" i="7" s="1"/>
  <c r="L400" i="7" s="1"/>
  <c r="I136" i="7"/>
  <c r="J136" i="7" s="1"/>
  <c r="L136" i="7" s="1"/>
  <c r="N154" i="7"/>
  <c r="N581" i="7"/>
  <c r="N120" i="7"/>
  <c r="J278" i="7"/>
  <c r="I285" i="7"/>
  <c r="J285" i="7" s="1"/>
  <c r="L285" i="7" s="1"/>
  <c r="N194" i="7"/>
  <c r="G612" i="7" s="1"/>
  <c r="J356" i="7"/>
  <c r="I427" i="7"/>
  <c r="J427" i="7" s="1"/>
  <c r="L427" i="7" s="1"/>
  <c r="N463" i="7"/>
  <c r="I409" i="7"/>
  <c r="J409" i="7" s="1"/>
  <c r="L409" i="7" s="1"/>
  <c r="N42" i="7"/>
  <c r="J2" i="7"/>
  <c r="L2" i="7" s="1"/>
  <c r="N424" i="7"/>
  <c r="I422" i="7"/>
  <c r="J422" i="7" s="1"/>
  <c r="L422" i="7" s="1"/>
  <c r="J48" i="7"/>
  <c r="N542" i="7"/>
  <c r="C544" i="5"/>
  <c r="F544" i="5" s="1"/>
  <c r="C543" i="5"/>
  <c r="F543" i="5" s="1"/>
  <c r="C542" i="5"/>
  <c r="F542" i="5" s="1"/>
  <c r="N535" i="5"/>
  <c r="K535" i="5"/>
  <c r="H535" i="5"/>
  <c r="J535" i="5" s="1"/>
  <c r="C535" i="5"/>
  <c r="F535" i="5" s="1"/>
  <c r="N534" i="5"/>
  <c r="K534" i="5"/>
  <c r="H534" i="5"/>
  <c r="J534" i="5" s="1"/>
  <c r="C534" i="5"/>
  <c r="F534" i="5" s="1"/>
  <c r="N533" i="5"/>
  <c r="K533" i="5"/>
  <c r="H533" i="5"/>
  <c r="J533" i="5" s="1"/>
  <c r="C533" i="5"/>
  <c r="F533" i="5" s="1"/>
  <c r="G253" i="1"/>
  <c r="V253" i="1" s="1"/>
  <c r="W253" i="1" s="1"/>
  <c r="E253" i="1"/>
  <c r="B253" i="1" s="1"/>
  <c r="C253" i="1"/>
  <c r="D215" i="3"/>
  <c r="B215" i="3"/>
  <c r="N532" i="5"/>
  <c r="K532" i="5"/>
  <c r="H532" i="5"/>
  <c r="J532" i="5" s="1"/>
  <c r="C532" i="5"/>
  <c r="F532" i="5" s="1"/>
  <c r="N531" i="5"/>
  <c r="K531" i="5"/>
  <c r="H531" i="5"/>
  <c r="J531" i="5" s="1"/>
  <c r="C531" i="5"/>
  <c r="F531" i="5" s="1"/>
  <c r="N530" i="5"/>
  <c r="K530" i="5"/>
  <c r="H530" i="5"/>
  <c r="J530" i="5" s="1"/>
  <c r="C530" i="5"/>
  <c r="F530" i="5" s="1"/>
  <c r="N529" i="5"/>
  <c r="K529" i="5"/>
  <c r="H529" i="5"/>
  <c r="J529" i="5" s="1"/>
  <c r="C529" i="5"/>
  <c r="F529" i="5" s="1"/>
  <c r="N528" i="5"/>
  <c r="K528" i="5"/>
  <c r="H528" i="5"/>
  <c r="J528" i="5" s="1"/>
  <c r="C528" i="5"/>
  <c r="F528" i="5" s="1"/>
  <c r="N527" i="5"/>
  <c r="K527" i="5"/>
  <c r="H527" i="5"/>
  <c r="J527" i="5" s="1"/>
  <c r="C527" i="5"/>
  <c r="F527" i="5" s="1"/>
  <c r="D214" i="3"/>
  <c r="B214" i="3"/>
  <c r="G252" i="1"/>
  <c r="E252" i="1"/>
  <c r="C252" i="1"/>
  <c r="B252" i="1"/>
  <c r="E256" i="1"/>
  <c r="B256" i="1" s="1"/>
  <c r="G256" i="1"/>
  <c r="P256" i="1" s="1"/>
  <c r="Q256" i="1" s="1"/>
  <c r="K36" i="12" l="1"/>
  <c r="R20" i="12"/>
  <c r="J23" i="12" s="1"/>
  <c r="Q532" i="11"/>
  <c r="Q565" i="11" s="1"/>
  <c r="R532" i="11"/>
  <c r="J565" i="11"/>
  <c r="G565" i="11"/>
  <c r="J574" i="11" s="1"/>
  <c r="M565" i="11"/>
  <c r="N3" i="11"/>
  <c r="P3" i="11" s="1"/>
  <c r="J505" i="7"/>
  <c r="J504" i="7"/>
  <c r="J122" i="7"/>
  <c r="J121" i="7"/>
  <c r="J425" i="7"/>
  <c r="J426" i="7"/>
  <c r="J582" i="7"/>
  <c r="J583" i="7"/>
  <c r="J402" i="7"/>
  <c r="J403" i="7"/>
  <c r="J465" i="7"/>
  <c r="J464" i="7"/>
  <c r="G613" i="7"/>
  <c r="N608" i="7"/>
  <c r="J544" i="7"/>
  <c r="J543" i="7"/>
  <c r="J195" i="7"/>
  <c r="J196" i="7"/>
  <c r="J156" i="7"/>
  <c r="J155" i="7"/>
  <c r="I608" i="7"/>
  <c r="J608" i="7" s="1"/>
  <c r="J43" i="7"/>
  <c r="G614" i="7"/>
  <c r="J44" i="7"/>
  <c r="G214" i="3"/>
  <c r="H214" i="3" s="1"/>
  <c r="G215" i="3"/>
  <c r="H215" i="3" s="1"/>
  <c r="G544" i="5"/>
  <c r="G543" i="5"/>
  <c r="G542" i="5"/>
  <c r="P534" i="5"/>
  <c r="G534" i="5"/>
  <c r="L534" i="5"/>
  <c r="M534" i="5" s="1"/>
  <c r="O534" i="5" s="1"/>
  <c r="L533" i="5"/>
  <c r="M533" i="5" s="1"/>
  <c r="O533" i="5" s="1"/>
  <c r="P533" i="5"/>
  <c r="G533" i="5"/>
  <c r="P535" i="5"/>
  <c r="G535" i="5"/>
  <c r="L535" i="5"/>
  <c r="M535" i="5" s="1"/>
  <c r="O535" i="5" s="1"/>
  <c r="H253" i="1"/>
  <c r="I253" i="1" s="1"/>
  <c r="J253" i="1"/>
  <c r="K253" i="1" s="1"/>
  <c r="N253" i="1"/>
  <c r="O253" i="1" s="1"/>
  <c r="P253" i="1"/>
  <c r="Q253" i="1" s="1"/>
  <c r="R253" i="1"/>
  <c r="S253" i="1" s="1"/>
  <c r="T253" i="1"/>
  <c r="U253" i="1" s="1"/>
  <c r="L253" i="1"/>
  <c r="M253" i="1" s="1"/>
  <c r="V252" i="1"/>
  <c r="W252" i="1" s="1"/>
  <c r="E215" i="3"/>
  <c r="F215" i="3" s="1"/>
  <c r="L531" i="5"/>
  <c r="M531" i="5" s="1"/>
  <c r="O531" i="5" s="1"/>
  <c r="G531" i="5"/>
  <c r="P531" i="5"/>
  <c r="P532" i="5"/>
  <c r="G532" i="5"/>
  <c r="L532" i="5"/>
  <c r="M532" i="5" s="1"/>
  <c r="O532" i="5" s="1"/>
  <c r="L530" i="5"/>
  <c r="M530" i="5" s="1"/>
  <c r="O530" i="5" s="1"/>
  <c r="G530" i="5"/>
  <c r="P530" i="5"/>
  <c r="L528" i="5"/>
  <c r="M528" i="5" s="1"/>
  <c r="O528" i="5" s="1"/>
  <c r="G528" i="5"/>
  <c r="P528" i="5"/>
  <c r="G527" i="5"/>
  <c r="P527" i="5"/>
  <c r="L527" i="5"/>
  <c r="M527" i="5" s="1"/>
  <c r="O527" i="5" s="1"/>
  <c r="P529" i="5"/>
  <c r="L529" i="5"/>
  <c r="M529" i="5" s="1"/>
  <c r="O529" i="5" s="1"/>
  <c r="G529" i="5"/>
  <c r="E214" i="3"/>
  <c r="F214" i="3" s="1"/>
  <c r="T252" i="1"/>
  <c r="U252" i="1" s="1"/>
  <c r="H252" i="1"/>
  <c r="I252" i="1" s="1"/>
  <c r="L252" i="1"/>
  <c r="M252" i="1" s="1"/>
  <c r="N252" i="1"/>
  <c r="O252" i="1" s="1"/>
  <c r="P252" i="1"/>
  <c r="Q252" i="1" s="1"/>
  <c r="R252" i="1"/>
  <c r="S252" i="1" s="1"/>
  <c r="J252" i="1"/>
  <c r="K252" i="1" s="1"/>
  <c r="H256" i="1"/>
  <c r="I256" i="1" s="1"/>
  <c r="V256" i="1"/>
  <c r="W256" i="1" s="1"/>
  <c r="J256" i="1"/>
  <c r="K256" i="1" s="1"/>
  <c r="T256" i="1"/>
  <c r="U256" i="1" s="1"/>
  <c r="R256" i="1"/>
  <c r="S256" i="1" s="1"/>
  <c r="C256" i="1"/>
  <c r="L256" i="1" s="1"/>
  <c r="M256" i="1" s="1"/>
  <c r="I571" i="11" l="1"/>
  <c r="N565" i="11"/>
  <c r="M567" i="11"/>
  <c r="M568" i="11"/>
  <c r="R565" i="11"/>
  <c r="N256" i="1"/>
  <c r="O256" i="1" s="1"/>
  <c r="H526" i="5" l="1"/>
  <c r="H525" i="5"/>
  <c r="H524" i="5"/>
  <c r="C526" i="5"/>
  <c r="F526" i="5" s="1"/>
  <c r="C525" i="5"/>
  <c r="F525" i="5" s="1"/>
  <c r="G525" i="5" s="1"/>
  <c r="C524" i="5"/>
  <c r="F524" i="5" s="1"/>
  <c r="N523" i="5"/>
  <c r="K523" i="5"/>
  <c r="H523" i="5"/>
  <c r="J523" i="5" s="1"/>
  <c r="C523" i="5"/>
  <c r="F523" i="5" s="1"/>
  <c r="N522" i="5"/>
  <c r="K522" i="5"/>
  <c r="H522" i="5"/>
  <c r="J522" i="5" s="1"/>
  <c r="C522" i="5"/>
  <c r="F522" i="5" s="1"/>
  <c r="N521" i="5"/>
  <c r="K521" i="5"/>
  <c r="H521" i="5"/>
  <c r="J521" i="5" s="1"/>
  <c r="C521" i="5"/>
  <c r="F521" i="5" s="1"/>
  <c r="N520" i="5"/>
  <c r="K520" i="5"/>
  <c r="H520" i="5"/>
  <c r="J520" i="5" s="1"/>
  <c r="C520" i="5"/>
  <c r="F520" i="5" s="1"/>
  <c r="N519" i="5"/>
  <c r="K519" i="5"/>
  <c r="H519" i="5"/>
  <c r="J519" i="5" s="1"/>
  <c r="C519" i="5"/>
  <c r="F519" i="5" s="1"/>
  <c r="N518" i="5"/>
  <c r="K518" i="5"/>
  <c r="H518" i="5"/>
  <c r="J518" i="5" s="1"/>
  <c r="C518" i="5"/>
  <c r="F518" i="5" s="1"/>
  <c r="G526" i="5" l="1"/>
  <c r="G524" i="5"/>
  <c r="P523" i="5"/>
  <c r="L523" i="5"/>
  <c r="M523" i="5" s="1"/>
  <c r="O523" i="5" s="1"/>
  <c r="G523" i="5"/>
  <c r="L522" i="5"/>
  <c r="M522" i="5" s="1"/>
  <c r="O522" i="5" s="1"/>
  <c r="G522" i="5"/>
  <c r="P522" i="5"/>
  <c r="L521" i="5"/>
  <c r="M521" i="5" s="1"/>
  <c r="O521" i="5" s="1"/>
  <c r="G521" i="5"/>
  <c r="P521" i="5"/>
  <c r="L519" i="5"/>
  <c r="M519" i="5" s="1"/>
  <c r="O519" i="5" s="1"/>
  <c r="P519" i="5"/>
  <c r="G519" i="5"/>
  <c r="G518" i="5"/>
  <c r="L518" i="5"/>
  <c r="M518" i="5" s="1"/>
  <c r="O518" i="5" s="1"/>
  <c r="P518" i="5"/>
  <c r="P520" i="5"/>
  <c r="L520" i="5"/>
  <c r="M520" i="5" s="1"/>
  <c r="O520" i="5" s="1"/>
  <c r="G520" i="5"/>
  <c r="D212" i="3" l="1"/>
  <c r="G212" i="3" s="1"/>
  <c r="H212" i="3" s="1"/>
  <c r="B212" i="3"/>
  <c r="G250" i="1"/>
  <c r="E250" i="1"/>
  <c r="C250" i="1" s="1"/>
  <c r="B218" i="3"/>
  <c r="V250" i="1" l="1"/>
  <c r="W250" i="1" s="1"/>
  <c r="B250" i="1"/>
  <c r="E212" i="3"/>
  <c r="F212" i="3" s="1"/>
  <c r="H250" i="1"/>
  <c r="I250" i="1" s="1"/>
  <c r="T250" i="1"/>
  <c r="U250" i="1" s="1"/>
  <c r="L250" i="1"/>
  <c r="M250" i="1" s="1"/>
  <c r="N250" i="1"/>
  <c r="O250" i="1" s="1"/>
  <c r="P250" i="1"/>
  <c r="Q250" i="1" s="1"/>
  <c r="R250" i="1"/>
  <c r="S250" i="1" s="1"/>
  <c r="J250" i="1"/>
  <c r="K250" i="1" s="1"/>
  <c r="N526" i="5"/>
  <c r="K526" i="5"/>
  <c r="J526" i="5"/>
  <c r="N525" i="5"/>
  <c r="K525" i="5"/>
  <c r="J525" i="5"/>
  <c r="N524" i="5"/>
  <c r="K524" i="5"/>
  <c r="J524" i="5"/>
  <c r="G251" i="1"/>
  <c r="P251" i="1" s="1"/>
  <c r="Q251" i="1" s="1"/>
  <c r="E251" i="1"/>
  <c r="C251" i="1" s="1"/>
  <c r="L525" i="5" l="1"/>
  <c r="M525" i="5" s="1"/>
  <c r="O525" i="5" s="1"/>
  <c r="P525" i="5"/>
  <c r="P526" i="5"/>
  <c r="L526" i="5"/>
  <c r="M526" i="5" s="1"/>
  <c r="O526" i="5" s="1"/>
  <c r="L524" i="5"/>
  <c r="M524" i="5" s="1"/>
  <c r="O524" i="5" s="1"/>
  <c r="P524" i="5"/>
  <c r="L251" i="1"/>
  <c r="M251" i="1" s="1"/>
  <c r="R251" i="1"/>
  <c r="S251" i="1" s="1"/>
  <c r="T251" i="1"/>
  <c r="U251" i="1" s="1"/>
  <c r="V251" i="1"/>
  <c r="W251" i="1" s="1"/>
  <c r="N251" i="1"/>
  <c r="O251" i="1" s="1"/>
  <c r="B251" i="1"/>
  <c r="H251" i="1" s="1"/>
  <c r="I251" i="1" s="1"/>
  <c r="J251" i="1" l="1"/>
  <c r="K251" i="1" s="1"/>
  <c r="D213" i="3" l="1"/>
  <c r="B213" i="3"/>
  <c r="N517" i="5"/>
  <c r="K517" i="5"/>
  <c r="H517" i="5"/>
  <c r="J517" i="5" s="1"/>
  <c r="C517" i="5"/>
  <c r="F517" i="5" s="1"/>
  <c r="N516" i="5"/>
  <c r="K516" i="5"/>
  <c r="H516" i="5"/>
  <c r="J516" i="5" s="1"/>
  <c r="C516" i="5"/>
  <c r="F516" i="5" s="1"/>
  <c r="N515" i="5"/>
  <c r="K515" i="5"/>
  <c r="H515" i="5"/>
  <c r="J515" i="5" s="1"/>
  <c r="C515" i="5"/>
  <c r="F515" i="5" s="1"/>
  <c r="D211" i="3"/>
  <c r="B211" i="3"/>
  <c r="G249" i="1"/>
  <c r="R249" i="1" s="1"/>
  <c r="S249" i="1" s="1"/>
  <c r="E249" i="1"/>
  <c r="C249" i="1" s="1"/>
  <c r="G97" i="6"/>
  <c r="G96" i="6"/>
  <c r="G95" i="6"/>
  <c r="C97" i="6"/>
  <c r="C96" i="6"/>
  <c r="C95" i="6"/>
  <c r="M94" i="6"/>
  <c r="J94" i="6"/>
  <c r="G94" i="6"/>
  <c r="I94" i="6" s="1"/>
  <c r="C94" i="6"/>
  <c r="E94" i="6" s="1"/>
  <c r="M93" i="6"/>
  <c r="J93" i="6"/>
  <c r="G93" i="6"/>
  <c r="I93" i="6" s="1"/>
  <c r="C93" i="6"/>
  <c r="E93" i="6" s="1"/>
  <c r="M92" i="6"/>
  <c r="J92" i="6"/>
  <c r="G92" i="6"/>
  <c r="I92" i="6" s="1"/>
  <c r="C92" i="6"/>
  <c r="E92" i="6" s="1"/>
  <c r="N514" i="5"/>
  <c r="K514" i="5"/>
  <c r="H514" i="5"/>
  <c r="J514" i="5" s="1"/>
  <c r="C514" i="5"/>
  <c r="F514" i="5" s="1"/>
  <c r="N513" i="5"/>
  <c r="K513" i="5"/>
  <c r="H513" i="5"/>
  <c r="J513" i="5" s="1"/>
  <c r="C513" i="5"/>
  <c r="F513" i="5" s="1"/>
  <c r="N512" i="5"/>
  <c r="K512" i="5"/>
  <c r="H512" i="5"/>
  <c r="J512" i="5" s="1"/>
  <c r="C512" i="5"/>
  <c r="F512" i="5" s="1"/>
  <c r="G213" i="3" l="1"/>
  <c r="H213" i="3" s="1"/>
  <c r="B249" i="1"/>
  <c r="J249" i="1" s="1"/>
  <c r="K249" i="1" s="1"/>
  <c r="E213" i="3"/>
  <c r="F213" i="3" s="1"/>
  <c r="G211" i="3"/>
  <c r="H211" i="3" s="1"/>
  <c r="L515" i="5"/>
  <c r="M515" i="5" s="1"/>
  <c r="O515" i="5" s="1"/>
  <c r="P515" i="5"/>
  <c r="G515" i="5"/>
  <c r="G516" i="5"/>
  <c r="P516" i="5"/>
  <c r="L516" i="5"/>
  <c r="M516" i="5" s="1"/>
  <c r="O516" i="5" s="1"/>
  <c r="P517" i="5"/>
  <c r="G517" i="5"/>
  <c r="L517" i="5"/>
  <c r="M517" i="5" s="1"/>
  <c r="O517" i="5" s="1"/>
  <c r="E211" i="3"/>
  <c r="F211" i="3" s="1"/>
  <c r="T249" i="1"/>
  <c r="U249" i="1" s="1"/>
  <c r="V249" i="1"/>
  <c r="W249" i="1" s="1"/>
  <c r="L249" i="1"/>
  <c r="M249" i="1" s="1"/>
  <c r="N249" i="1"/>
  <c r="O249" i="1" s="1"/>
  <c r="P249" i="1"/>
  <c r="Q249" i="1" s="1"/>
  <c r="O94" i="6"/>
  <c r="F94" i="6"/>
  <c r="K94" i="6"/>
  <c r="L94" i="6" s="1"/>
  <c r="N94" i="6" s="1"/>
  <c r="F92" i="6"/>
  <c r="O92" i="6"/>
  <c r="K92" i="6"/>
  <c r="L92" i="6" s="1"/>
  <c r="N92" i="6" s="1"/>
  <c r="O93" i="6"/>
  <c r="K93" i="6"/>
  <c r="L93" i="6" s="1"/>
  <c r="N93" i="6" s="1"/>
  <c r="F93" i="6"/>
  <c r="L513" i="5"/>
  <c r="M513" i="5" s="1"/>
  <c r="O513" i="5" s="1"/>
  <c r="G513" i="5"/>
  <c r="P513" i="5"/>
  <c r="P512" i="5"/>
  <c r="L512" i="5"/>
  <c r="M512" i="5" s="1"/>
  <c r="O512" i="5" s="1"/>
  <c r="G512" i="5"/>
  <c r="P514" i="5"/>
  <c r="L514" i="5"/>
  <c r="M514" i="5" s="1"/>
  <c r="O514" i="5" s="1"/>
  <c r="G514" i="5"/>
  <c r="J543" i="5"/>
  <c r="J544" i="5"/>
  <c r="N511" i="5"/>
  <c r="K511" i="5"/>
  <c r="H511" i="5"/>
  <c r="J511" i="5" s="1"/>
  <c r="C511" i="5"/>
  <c r="F511" i="5" s="1"/>
  <c r="N510" i="5"/>
  <c r="K510" i="5"/>
  <c r="H510" i="5"/>
  <c r="J510" i="5" s="1"/>
  <c r="C510" i="5"/>
  <c r="F510" i="5" s="1"/>
  <c r="N509" i="5"/>
  <c r="K509" i="5"/>
  <c r="H509" i="5"/>
  <c r="J509" i="5" s="1"/>
  <c r="C509" i="5"/>
  <c r="F509" i="5" s="1"/>
  <c r="D210" i="3"/>
  <c r="B210" i="3"/>
  <c r="G248" i="1"/>
  <c r="E248" i="1"/>
  <c r="B248" i="1" s="1"/>
  <c r="C248" i="1"/>
  <c r="J542" i="5"/>
  <c r="N508" i="5"/>
  <c r="K508" i="5"/>
  <c r="H508" i="5"/>
  <c r="J508" i="5" s="1"/>
  <c r="C508" i="5"/>
  <c r="F508" i="5" s="1"/>
  <c r="N507" i="5"/>
  <c r="K507" i="5"/>
  <c r="H507" i="5"/>
  <c r="J507" i="5" s="1"/>
  <c r="C507" i="5"/>
  <c r="F507" i="5" s="1"/>
  <c r="N506" i="5"/>
  <c r="K506" i="5"/>
  <c r="H506" i="5"/>
  <c r="J506" i="5" s="1"/>
  <c r="C506" i="5"/>
  <c r="F506" i="5" s="1"/>
  <c r="D209" i="3"/>
  <c r="B209" i="3"/>
  <c r="G247" i="1"/>
  <c r="E247" i="1"/>
  <c r="B247" i="1" s="1"/>
  <c r="E97" i="6"/>
  <c r="E96" i="6"/>
  <c r="M91" i="6"/>
  <c r="J91" i="6"/>
  <c r="G91" i="6"/>
  <c r="I91" i="6" s="1"/>
  <c r="C91" i="6"/>
  <c r="E91" i="6" s="1"/>
  <c r="M90" i="6"/>
  <c r="J90" i="6"/>
  <c r="G90" i="6"/>
  <c r="I90" i="6" s="1"/>
  <c r="C90" i="6"/>
  <c r="E90" i="6" s="1"/>
  <c r="M89" i="6"/>
  <c r="J89" i="6"/>
  <c r="G89" i="6"/>
  <c r="I89" i="6" s="1"/>
  <c r="C89" i="6"/>
  <c r="E89" i="6" s="1"/>
  <c r="N505" i="5"/>
  <c r="K505" i="5"/>
  <c r="H505" i="5"/>
  <c r="J505" i="5" s="1"/>
  <c r="C505" i="5"/>
  <c r="F505" i="5" s="1"/>
  <c r="N504" i="5"/>
  <c r="K504" i="5"/>
  <c r="H504" i="5"/>
  <c r="J504" i="5" s="1"/>
  <c r="C504" i="5"/>
  <c r="F504" i="5" s="1"/>
  <c r="N503" i="5"/>
  <c r="K503" i="5"/>
  <c r="H503" i="5"/>
  <c r="J503" i="5" s="1"/>
  <c r="C503" i="5"/>
  <c r="F503" i="5" s="1"/>
  <c r="H502" i="5"/>
  <c r="J502" i="5" s="1"/>
  <c r="H501" i="5"/>
  <c r="J501" i="5" s="1"/>
  <c r="H500" i="5"/>
  <c r="J500" i="5" s="1"/>
  <c r="C502" i="5"/>
  <c r="F502" i="5" s="1"/>
  <c r="C501" i="5"/>
  <c r="F501" i="5" s="1"/>
  <c r="C500" i="5"/>
  <c r="F500" i="5" s="1"/>
  <c r="N502" i="5"/>
  <c r="K502" i="5"/>
  <c r="N501" i="5"/>
  <c r="K501" i="5"/>
  <c r="N500" i="5"/>
  <c r="K500" i="5"/>
  <c r="N499" i="5"/>
  <c r="K499" i="5"/>
  <c r="H499" i="5"/>
  <c r="J499" i="5" s="1"/>
  <c r="C499" i="5"/>
  <c r="F499" i="5" s="1"/>
  <c r="N498" i="5"/>
  <c r="K498" i="5"/>
  <c r="H498" i="5"/>
  <c r="J498" i="5" s="1"/>
  <c r="C498" i="5"/>
  <c r="F498" i="5" s="1"/>
  <c r="N497" i="5"/>
  <c r="K497" i="5"/>
  <c r="H497" i="5"/>
  <c r="J497" i="5" s="1"/>
  <c r="C497" i="5"/>
  <c r="F497" i="5" s="1"/>
  <c r="D208" i="3"/>
  <c r="B208" i="3"/>
  <c r="G246" i="1"/>
  <c r="E246" i="1"/>
  <c r="C246" i="1" s="1"/>
  <c r="N496" i="5"/>
  <c r="K496" i="5"/>
  <c r="H496" i="5"/>
  <c r="J496" i="5" s="1"/>
  <c r="C496" i="5"/>
  <c r="F496" i="5" s="1"/>
  <c r="N495" i="5"/>
  <c r="K495" i="5"/>
  <c r="H495" i="5"/>
  <c r="J495" i="5" s="1"/>
  <c r="C495" i="5"/>
  <c r="F495" i="5" s="1"/>
  <c r="N494" i="5"/>
  <c r="K494" i="5"/>
  <c r="H494" i="5"/>
  <c r="J494" i="5" s="1"/>
  <c r="C494" i="5"/>
  <c r="F494" i="5" s="1"/>
  <c r="D207" i="3"/>
  <c r="B207" i="3"/>
  <c r="G245" i="1"/>
  <c r="E245" i="1"/>
  <c r="C245" i="1" s="1"/>
  <c r="N493" i="5"/>
  <c r="K493" i="5"/>
  <c r="H493" i="5"/>
  <c r="J493" i="5" s="1"/>
  <c r="C493" i="5"/>
  <c r="F493" i="5" s="1"/>
  <c r="P493" i="5" s="1"/>
  <c r="N492" i="5"/>
  <c r="K492" i="5"/>
  <c r="H492" i="5"/>
  <c r="J492" i="5" s="1"/>
  <c r="C492" i="5"/>
  <c r="F492" i="5" s="1"/>
  <c r="N491" i="5"/>
  <c r="K491" i="5"/>
  <c r="H491" i="5"/>
  <c r="J491" i="5" s="1"/>
  <c r="C491" i="5"/>
  <c r="F491" i="5" s="1"/>
  <c r="D206" i="3"/>
  <c r="B206" i="3"/>
  <c r="G244" i="1"/>
  <c r="E244" i="1"/>
  <c r="C244" i="1" s="1"/>
  <c r="N490" i="5"/>
  <c r="K490" i="5"/>
  <c r="H490" i="5"/>
  <c r="J490" i="5" s="1"/>
  <c r="C490" i="5"/>
  <c r="F490" i="5" s="1"/>
  <c r="N489" i="5"/>
  <c r="K489" i="5"/>
  <c r="H489" i="5"/>
  <c r="J489" i="5" s="1"/>
  <c r="C489" i="5"/>
  <c r="F489" i="5" s="1"/>
  <c r="N488" i="5"/>
  <c r="K488" i="5"/>
  <c r="H488" i="5"/>
  <c r="J488" i="5" s="1"/>
  <c r="C488" i="5"/>
  <c r="F488" i="5" s="1"/>
  <c r="N487" i="5"/>
  <c r="K487" i="5"/>
  <c r="H487" i="5"/>
  <c r="J487" i="5" s="1"/>
  <c r="C487" i="5"/>
  <c r="F487" i="5" s="1"/>
  <c r="N486" i="5"/>
  <c r="K486" i="5"/>
  <c r="H486" i="5"/>
  <c r="J486" i="5" s="1"/>
  <c r="C486" i="5"/>
  <c r="F486" i="5" s="1"/>
  <c r="N485" i="5"/>
  <c r="K485" i="5"/>
  <c r="H485" i="5"/>
  <c r="J485" i="5" s="1"/>
  <c r="C485" i="5"/>
  <c r="F485" i="5" s="1"/>
  <c r="D205" i="3"/>
  <c r="B205" i="3"/>
  <c r="G243" i="1"/>
  <c r="E243" i="1"/>
  <c r="C243" i="1" s="1"/>
  <c r="N484" i="5"/>
  <c r="K484" i="5"/>
  <c r="H484" i="5"/>
  <c r="J484" i="5" s="1"/>
  <c r="C484" i="5"/>
  <c r="F484" i="5" s="1"/>
  <c r="N483" i="5"/>
  <c r="K483" i="5"/>
  <c r="H483" i="5"/>
  <c r="J483" i="5" s="1"/>
  <c r="C483" i="5"/>
  <c r="F483" i="5" s="1"/>
  <c r="N482" i="5"/>
  <c r="K482" i="5"/>
  <c r="H482" i="5"/>
  <c r="J482" i="5" s="1"/>
  <c r="C482" i="5"/>
  <c r="F482" i="5" s="1"/>
  <c r="D204" i="3"/>
  <c r="B204" i="3"/>
  <c r="G242" i="1"/>
  <c r="E242" i="1"/>
  <c r="C242" i="1" s="1"/>
  <c r="N481" i="5"/>
  <c r="K481" i="5"/>
  <c r="H481" i="5"/>
  <c r="J481" i="5" s="1"/>
  <c r="C481" i="5"/>
  <c r="F481" i="5" s="1"/>
  <c r="N480" i="5"/>
  <c r="K480" i="5"/>
  <c r="H480" i="5"/>
  <c r="J480" i="5" s="1"/>
  <c r="C480" i="5"/>
  <c r="F480" i="5" s="1"/>
  <c r="N479" i="5"/>
  <c r="K479" i="5"/>
  <c r="H479" i="5"/>
  <c r="J479" i="5" s="1"/>
  <c r="C479" i="5"/>
  <c r="F479" i="5" s="1"/>
  <c r="D203" i="3"/>
  <c r="B203" i="3"/>
  <c r="G241" i="1"/>
  <c r="E241" i="1"/>
  <c r="C241" i="1" s="1"/>
  <c r="M97" i="6"/>
  <c r="J97" i="6"/>
  <c r="I97" i="6"/>
  <c r="M96" i="6"/>
  <c r="J96" i="6"/>
  <c r="I96" i="6"/>
  <c r="M95" i="6"/>
  <c r="J95" i="6"/>
  <c r="I95" i="6"/>
  <c r="E95" i="6"/>
  <c r="N478" i="5"/>
  <c r="K478" i="5"/>
  <c r="H478" i="5"/>
  <c r="J478" i="5" s="1"/>
  <c r="C478" i="5"/>
  <c r="F478" i="5" s="1"/>
  <c r="N477" i="5"/>
  <c r="K477" i="5"/>
  <c r="H477" i="5"/>
  <c r="J477" i="5" s="1"/>
  <c r="C477" i="5"/>
  <c r="F477" i="5" s="1"/>
  <c r="N476" i="5"/>
  <c r="K476" i="5"/>
  <c r="H476" i="5"/>
  <c r="J476" i="5" s="1"/>
  <c r="C476" i="5"/>
  <c r="F476" i="5" s="1"/>
  <c r="D202" i="3"/>
  <c r="B202" i="3"/>
  <c r="G240" i="1"/>
  <c r="E240" i="1"/>
  <c r="B240" i="1" s="1"/>
  <c r="N475" i="5"/>
  <c r="K475" i="5"/>
  <c r="H475" i="5"/>
  <c r="J475" i="5" s="1"/>
  <c r="C475" i="5"/>
  <c r="F475" i="5" s="1"/>
  <c r="N474" i="5"/>
  <c r="K474" i="5"/>
  <c r="H474" i="5"/>
  <c r="J474" i="5" s="1"/>
  <c r="C474" i="5"/>
  <c r="F474" i="5" s="1"/>
  <c r="N473" i="5"/>
  <c r="K473" i="5"/>
  <c r="H473" i="5"/>
  <c r="J473" i="5" s="1"/>
  <c r="C473" i="5"/>
  <c r="F473" i="5" s="1"/>
  <c r="H472" i="5"/>
  <c r="J472" i="5" s="1"/>
  <c r="H471" i="5"/>
  <c r="J471" i="5" s="1"/>
  <c r="H470" i="5"/>
  <c r="J470" i="5" s="1"/>
  <c r="B201" i="3"/>
  <c r="D201" i="3"/>
  <c r="D218" i="3"/>
  <c r="C470" i="5"/>
  <c r="F470" i="5" s="1"/>
  <c r="K470" i="5"/>
  <c r="N470" i="5"/>
  <c r="C471" i="5"/>
  <c r="F471" i="5" s="1"/>
  <c r="K471" i="5"/>
  <c r="N471" i="5"/>
  <c r="C472" i="5"/>
  <c r="F472" i="5" s="1"/>
  <c r="K472" i="5"/>
  <c r="N472" i="5"/>
  <c r="K542" i="5"/>
  <c r="N542" i="5"/>
  <c r="K543" i="5"/>
  <c r="N543" i="5"/>
  <c r="K544" i="5"/>
  <c r="N544" i="5"/>
  <c r="E239" i="1"/>
  <c r="B239" i="1" s="1"/>
  <c r="G239" i="1"/>
  <c r="P239" i="1" s="1"/>
  <c r="Q239" i="1" s="1"/>
  <c r="H249" i="1" l="1"/>
  <c r="I249" i="1" s="1"/>
  <c r="C247" i="1"/>
  <c r="L247" i="1" s="1"/>
  <c r="M247" i="1" s="1"/>
  <c r="V247" i="1"/>
  <c r="W247" i="1" s="1"/>
  <c r="G210" i="3"/>
  <c r="H210" i="3" s="1"/>
  <c r="V248" i="1"/>
  <c r="W248" i="1" s="1"/>
  <c r="B246" i="1"/>
  <c r="J246" i="1" s="1"/>
  <c r="K246" i="1" s="1"/>
  <c r="C240" i="1"/>
  <c r="N240" i="1" s="1"/>
  <c r="O240" i="1" s="1"/>
  <c r="L509" i="5"/>
  <c r="M509" i="5" s="1"/>
  <c r="O509" i="5" s="1"/>
  <c r="G509" i="5"/>
  <c r="P509" i="5"/>
  <c r="L510" i="5"/>
  <c r="M510" i="5" s="1"/>
  <c r="O510" i="5" s="1"/>
  <c r="G510" i="5"/>
  <c r="P510" i="5"/>
  <c r="P511" i="5"/>
  <c r="L511" i="5"/>
  <c r="M511" i="5" s="1"/>
  <c r="O511" i="5" s="1"/>
  <c r="G511" i="5"/>
  <c r="G472" i="5"/>
  <c r="T248" i="1"/>
  <c r="U248" i="1" s="1"/>
  <c r="E210" i="3"/>
  <c r="F210" i="3" s="1"/>
  <c r="L248" i="1"/>
  <c r="M248" i="1" s="1"/>
  <c r="N248" i="1"/>
  <c r="O248" i="1" s="1"/>
  <c r="P248" i="1"/>
  <c r="Q248" i="1" s="1"/>
  <c r="H248" i="1"/>
  <c r="I248" i="1" s="1"/>
  <c r="R248" i="1"/>
  <c r="S248" i="1" s="1"/>
  <c r="B244" i="1"/>
  <c r="J244" i="1" s="1"/>
  <c r="K244" i="1" s="1"/>
  <c r="J248" i="1"/>
  <c r="K248" i="1" s="1"/>
  <c r="E209" i="3"/>
  <c r="F209" i="3" s="1"/>
  <c r="L507" i="5"/>
  <c r="M507" i="5" s="1"/>
  <c r="O507" i="5" s="1"/>
  <c r="G507" i="5"/>
  <c r="P507" i="5"/>
  <c r="L506" i="5"/>
  <c r="M506" i="5" s="1"/>
  <c r="O506" i="5" s="1"/>
  <c r="G506" i="5"/>
  <c r="P506" i="5"/>
  <c r="P508" i="5"/>
  <c r="L508" i="5"/>
  <c r="M508" i="5" s="1"/>
  <c r="O508" i="5" s="1"/>
  <c r="G508" i="5"/>
  <c r="G500" i="5"/>
  <c r="G209" i="3"/>
  <c r="H209" i="3" s="1"/>
  <c r="G207" i="3"/>
  <c r="H207" i="3" s="1"/>
  <c r="T247" i="1"/>
  <c r="U247" i="1" s="1"/>
  <c r="G208" i="3"/>
  <c r="H208" i="3" s="1"/>
  <c r="H247" i="1"/>
  <c r="I247" i="1" s="1"/>
  <c r="P247" i="1"/>
  <c r="Q247" i="1" s="1"/>
  <c r="R247" i="1"/>
  <c r="S247" i="1" s="1"/>
  <c r="V246" i="1"/>
  <c r="W246" i="1" s="1"/>
  <c r="B245" i="1"/>
  <c r="J245" i="1" s="1"/>
  <c r="K245" i="1" s="1"/>
  <c r="J247" i="1"/>
  <c r="K247" i="1" s="1"/>
  <c r="K89" i="6"/>
  <c r="L89" i="6" s="1"/>
  <c r="N89" i="6" s="1"/>
  <c r="F89" i="6"/>
  <c r="O89" i="6"/>
  <c r="K90" i="6"/>
  <c r="L90" i="6" s="1"/>
  <c r="N90" i="6" s="1"/>
  <c r="F90" i="6"/>
  <c r="O90" i="6"/>
  <c r="O91" i="6"/>
  <c r="K91" i="6"/>
  <c r="L91" i="6" s="1"/>
  <c r="N91" i="6" s="1"/>
  <c r="F91" i="6"/>
  <c r="P505" i="5"/>
  <c r="G505" i="5"/>
  <c r="L505" i="5"/>
  <c r="M505" i="5" s="1"/>
  <c r="O505" i="5" s="1"/>
  <c r="L503" i="5"/>
  <c r="M503" i="5" s="1"/>
  <c r="O503" i="5" s="1"/>
  <c r="G503" i="5"/>
  <c r="P503" i="5"/>
  <c r="L504" i="5"/>
  <c r="M504" i="5" s="1"/>
  <c r="O504" i="5" s="1"/>
  <c r="G504" i="5"/>
  <c r="P504" i="5"/>
  <c r="G502" i="5"/>
  <c r="G501" i="5"/>
  <c r="L500" i="5"/>
  <c r="M500" i="5" s="1"/>
  <c r="O500" i="5" s="1"/>
  <c r="P500" i="5"/>
  <c r="L501" i="5"/>
  <c r="M501" i="5" s="1"/>
  <c r="O501" i="5" s="1"/>
  <c r="P501" i="5"/>
  <c r="P502" i="5"/>
  <c r="L502" i="5"/>
  <c r="M502" i="5" s="1"/>
  <c r="O502" i="5" s="1"/>
  <c r="P499" i="5"/>
  <c r="G499" i="5"/>
  <c r="L499" i="5"/>
  <c r="M499" i="5" s="1"/>
  <c r="O499" i="5" s="1"/>
  <c r="L497" i="5"/>
  <c r="M497" i="5" s="1"/>
  <c r="O497" i="5" s="1"/>
  <c r="P497" i="5"/>
  <c r="G497" i="5"/>
  <c r="G498" i="5"/>
  <c r="P498" i="5"/>
  <c r="L498" i="5"/>
  <c r="M498" i="5" s="1"/>
  <c r="O498" i="5" s="1"/>
  <c r="E208" i="3"/>
  <c r="F208" i="3" s="1"/>
  <c r="G206" i="3"/>
  <c r="H206" i="3" s="1"/>
  <c r="L246" i="1"/>
  <c r="M246" i="1" s="1"/>
  <c r="N246" i="1"/>
  <c r="O246" i="1" s="1"/>
  <c r="P246" i="1"/>
  <c r="Q246" i="1" s="1"/>
  <c r="R246" i="1"/>
  <c r="S246" i="1" s="1"/>
  <c r="H246" i="1"/>
  <c r="I246" i="1" s="1"/>
  <c r="T246" i="1"/>
  <c r="U246" i="1" s="1"/>
  <c r="V245" i="1"/>
  <c r="W245" i="1" s="1"/>
  <c r="G494" i="5"/>
  <c r="P494" i="5"/>
  <c r="L494" i="5"/>
  <c r="M494" i="5" s="1"/>
  <c r="O494" i="5" s="1"/>
  <c r="G495" i="5"/>
  <c r="P495" i="5"/>
  <c r="L495" i="5"/>
  <c r="M495" i="5" s="1"/>
  <c r="O495" i="5" s="1"/>
  <c r="P496" i="5"/>
  <c r="L496" i="5"/>
  <c r="M496" i="5" s="1"/>
  <c r="O496" i="5" s="1"/>
  <c r="G496" i="5"/>
  <c r="T245" i="1"/>
  <c r="U245" i="1" s="1"/>
  <c r="E207" i="3"/>
  <c r="F207" i="3" s="1"/>
  <c r="N245" i="1"/>
  <c r="O245" i="1" s="1"/>
  <c r="L245" i="1"/>
  <c r="M245" i="1" s="1"/>
  <c r="P245" i="1"/>
  <c r="Q245" i="1" s="1"/>
  <c r="R245" i="1"/>
  <c r="S245" i="1" s="1"/>
  <c r="V244" i="1"/>
  <c r="W244" i="1" s="1"/>
  <c r="B241" i="1"/>
  <c r="H241" i="1" s="1"/>
  <c r="I241" i="1" s="1"/>
  <c r="L492" i="5"/>
  <c r="M492" i="5" s="1"/>
  <c r="O492" i="5" s="1"/>
  <c r="G492" i="5"/>
  <c r="P492" i="5"/>
  <c r="L491" i="5"/>
  <c r="M491" i="5" s="1"/>
  <c r="O491" i="5" s="1"/>
  <c r="G491" i="5"/>
  <c r="P491" i="5"/>
  <c r="G493" i="5"/>
  <c r="L493" i="5"/>
  <c r="M493" i="5" s="1"/>
  <c r="O493" i="5" s="1"/>
  <c r="T244" i="1"/>
  <c r="U244" i="1" s="1"/>
  <c r="E206" i="3"/>
  <c r="F206" i="3" s="1"/>
  <c r="G204" i="3"/>
  <c r="H204" i="3" s="1"/>
  <c r="N244" i="1"/>
  <c r="O244" i="1" s="1"/>
  <c r="P244" i="1"/>
  <c r="Q244" i="1" s="1"/>
  <c r="G205" i="3"/>
  <c r="H205" i="3" s="1"/>
  <c r="L244" i="1"/>
  <c r="M244" i="1" s="1"/>
  <c r="R244" i="1"/>
  <c r="S244" i="1" s="1"/>
  <c r="L243" i="1"/>
  <c r="M243" i="1" s="1"/>
  <c r="B243" i="1"/>
  <c r="H243" i="1" s="1"/>
  <c r="I243" i="1" s="1"/>
  <c r="L488" i="5"/>
  <c r="M488" i="5" s="1"/>
  <c r="O488" i="5" s="1"/>
  <c r="G488" i="5"/>
  <c r="P488" i="5"/>
  <c r="L489" i="5"/>
  <c r="M489" i="5" s="1"/>
  <c r="O489" i="5" s="1"/>
  <c r="G489" i="5"/>
  <c r="P489" i="5"/>
  <c r="P490" i="5"/>
  <c r="L490" i="5"/>
  <c r="M490" i="5" s="1"/>
  <c r="O490" i="5" s="1"/>
  <c r="G490" i="5"/>
  <c r="L485" i="5"/>
  <c r="M485" i="5" s="1"/>
  <c r="O485" i="5" s="1"/>
  <c r="G485" i="5"/>
  <c r="P485" i="5"/>
  <c r="L486" i="5"/>
  <c r="M486" i="5" s="1"/>
  <c r="O486" i="5" s="1"/>
  <c r="G486" i="5"/>
  <c r="P486" i="5"/>
  <c r="P487" i="5"/>
  <c r="L487" i="5"/>
  <c r="M487" i="5" s="1"/>
  <c r="O487" i="5" s="1"/>
  <c r="G487" i="5"/>
  <c r="T243" i="1"/>
  <c r="U243" i="1" s="1"/>
  <c r="E205" i="3"/>
  <c r="F205" i="3" s="1"/>
  <c r="G201" i="3"/>
  <c r="H201" i="3" s="1"/>
  <c r="P243" i="1"/>
  <c r="Q243" i="1" s="1"/>
  <c r="R243" i="1"/>
  <c r="S243" i="1" s="1"/>
  <c r="N243" i="1"/>
  <c r="O243" i="1" s="1"/>
  <c r="V243" i="1"/>
  <c r="W243" i="1" s="1"/>
  <c r="B242" i="1"/>
  <c r="H242" i="1" s="1"/>
  <c r="I242" i="1" s="1"/>
  <c r="N242" i="1"/>
  <c r="O242" i="1" s="1"/>
  <c r="E204" i="3"/>
  <c r="F204" i="3" s="1"/>
  <c r="L482" i="5"/>
  <c r="M482" i="5" s="1"/>
  <c r="O482" i="5" s="1"/>
  <c r="G482" i="5"/>
  <c r="P482" i="5"/>
  <c r="L483" i="5"/>
  <c r="M483" i="5" s="1"/>
  <c r="O483" i="5" s="1"/>
  <c r="G483" i="5"/>
  <c r="P483" i="5"/>
  <c r="P484" i="5"/>
  <c r="L484" i="5"/>
  <c r="M484" i="5" s="1"/>
  <c r="O484" i="5" s="1"/>
  <c r="G484" i="5"/>
  <c r="J242" i="1"/>
  <c r="K242" i="1" s="1"/>
  <c r="V242" i="1"/>
  <c r="W242" i="1" s="1"/>
  <c r="E203" i="3"/>
  <c r="F203" i="3" s="1"/>
  <c r="P242" i="1"/>
  <c r="Q242" i="1" s="1"/>
  <c r="R242" i="1"/>
  <c r="S242" i="1" s="1"/>
  <c r="E218" i="3"/>
  <c r="F218" i="3" s="1"/>
  <c r="L242" i="1"/>
  <c r="M242" i="1" s="1"/>
  <c r="T241" i="1"/>
  <c r="U241" i="1" s="1"/>
  <c r="T242" i="1"/>
  <c r="U242" i="1" s="1"/>
  <c r="P481" i="5"/>
  <c r="G481" i="5"/>
  <c r="L481" i="5"/>
  <c r="M481" i="5" s="1"/>
  <c r="O481" i="5" s="1"/>
  <c r="L479" i="5"/>
  <c r="M479" i="5" s="1"/>
  <c r="O479" i="5" s="1"/>
  <c r="G479" i="5"/>
  <c r="P479" i="5"/>
  <c r="L480" i="5"/>
  <c r="M480" i="5" s="1"/>
  <c r="O480" i="5" s="1"/>
  <c r="P480" i="5"/>
  <c r="G480" i="5"/>
  <c r="G203" i="3"/>
  <c r="H203" i="3" s="1"/>
  <c r="G202" i="3"/>
  <c r="H202" i="3" s="1"/>
  <c r="V241" i="1"/>
  <c r="W241" i="1" s="1"/>
  <c r="R241" i="1"/>
  <c r="S241" i="1" s="1"/>
  <c r="P241" i="1"/>
  <c r="Q241" i="1" s="1"/>
  <c r="L241" i="1"/>
  <c r="M241" i="1" s="1"/>
  <c r="N241" i="1"/>
  <c r="O241" i="1" s="1"/>
  <c r="V240" i="1"/>
  <c r="W240" i="1" s="1"/>
  <c r="O95" i="6"/>
  <c r="K95" i="6"/>
  <c r="L95" i="6" s="1"/>
  <c r="N95" i="6" s="1"/>
  <c r="F95" i="6"/>
  <c r="K96" i="6"/>
  <c r="L96" i="6" s="1"/>
  <c r="N96" i="6" s="1"/>
  <c r="F96" i="6"/>
  <c r="O96" i="6"/>
  <c r="O97" i="6"/>
  <c r="K97" i="6"/>
  <c r="L97" i="6" s="1"/>
  <c r="N97" i="6" s="1"/>
  <c r="F97" i="6"/>
  <c r="P478" i="5"/>
  <c r="G478" i="5"/>
  <c r="L478" i="5"/>
  <c r="M478" i="5" s="1"/>
  <c r="O478" i="5" s="1"/>
  <c r="L476" i="5"/>
  <c r="M476" i="5" s="1"/>
  <c r="O476" i="5" s="1"/>
  <c r="G476" i="5"/>
  <c r="P476" i="5"/>
  <c r="L477" i="5"/>
  <c r="M477" i="5" s="1"/>
  <c r="O477" i="5" s="1"/>
  <c r="G477" i="5"/>
  <c r="P477" i="5"/>
  <c r="G470" i="5"/>
  <c r="E202" i="3"/>
  <c r="F202" i="3" s="1"/>
  <c r="R240" i="1"/>
  <c r="S240" i="1" s="1"/>
  <c r="P240" i="1"/>
  <c r="Q240" i="1" s="1"/>
  <c r="H240" i="1"/>
  <c r="I240" i="1" s="1"/>
  <c r="T240" i="1"/>
  <c r="U240" i="1" s="1"/>
  <c r="J240" i="1"/>
  <c r="K240" i="1" s="1"/>
  <c r="G473" i="5"/>
  <c r="P473" i="5"/>
  <c r="L473" i="5"/>
  <c r="M473" i="5" s="1"/>
  <c r="O473" i="5" s="1"/>
  <c r="L474" i="5"/>
  <c r="M474" i="5" s="1"/>
  <c r="O474" i="5" s="1"/>
  <c r="G474" i="5"/>
  <c r="P474" i="5"/>
  <c r="P475" i="5"/>
  <c r="L475" i="5"/>
  <c r="M475" i="5" s="1"/>
  <c r="O475" i="5" s="1"/>
  <c r="G475" i="5"/>
  <c r="L470" i="5"/>
  <c r="M470" i="5" s="1"/>
  <c r="O470" i="5" s="1"/>
  <c r="P470" i="5"/>
  <c r="L544" i="5"/>
  <c r="M544" i="5" s="1"/>
  <c r="O544" i="5" s="1"/>
  <c r="G218" i="3"/>
  <c r="H218" i="3" s="1"/>
  <c r="E201" i="3"/>
  <c r="F201" i="3" s="1"/>
  <c r="G471" i="5"/>
  <c r="L471" i="5"/>
  <c r="M471" i="5" s="1"/>
  <c r="O471" i="5" s="1"/>
  <c r="P471" i="5"/>
  <c r="L542" i="5"/>
  <c r="M542" i="5" s="1"/>
  <c r="O542" i="5" s="1"/>
  <c r="P542" i="5"/>
  <c r="L543" i="5"/>
  <c r="M543" i="5" s="1"/>
  <c r="O543" i="5" s="1"/>
  <c r="P543" i="5"/>
  <c r="L472" i="5"/>
  <c r="M472" i="5" s="1"/>
  <c r="O472" i="5" s="1"/>
  <c r="T239" i="1"/>
  <c r="U239" i="1" s="1"/>
  <c r="P472" i="5"/>
  <c r="P544" i="5"/>
  <c r="V239" i="1"/>
  <c r="W239" i="1" s="1"/>
  <c r="H239" i="1"/>
  <c r="I239" i="1" s="1"/>
  <c r="J239" i="1"/>
  <c r="K239" i="1" s="1"/>
  <c r="R239" i="1"/>
  <c r="S239" i="1" s="1"/>
  <c r="C239" i="1"/>
  <c r="N247" i="1" l="1"/>
  <c r="O247" i="1" s="1"/>
  <c r="J243" i="1"/>
  <c r="K243" i="1" s="1"/>
  <c r="H244" i="1"/>
  <c r="I244" i="1" s="1"/>
  <c r="L240" i="1"/>
  <c r="M240" i="1" s="1"/>
  <c r="H245" i="1"/>
  <c r="I245" i="1" s="1"/>
  <c r="J241" i="1"/>
  <c r="K241" i="1" s="1"/>
  <c r="L239" i="1"/>
  <c r="M239" i="1" s="1"/>
  <c r="N239" i="1"/>
  <c r="O239" i="1" s="1"/>
  <c r="M88" i="6" l="1"/>
  <c r="J88" i="6"/>
  <c r="G88" i="6"/>
  <c r="I88" i="6" s="1"/>
  <c r="C88" i="6"/>
  <c r="E88" i="6" s="1"/>
  <c r="M87" i="6"/>
  <c r="J87" i="6"/>
  <c r="G87" i="6"/>
  <c r="I87" i="6" s="1"/>
  <c r="C87" i="6"/>
  <c r="E87" i="6" s="1"/>
  <c r="M86" i="6"/>
  <c r="J86" i="6"/>
  <c r="G86" i="6"/>
  <c r="I86" i="6" s="1"/>
  <c r="C86" i="6"/>
  <c r="E86" i="6" s="1"/>
  <c r="H469" i="5"/>
  <c r="J469" i="5" s="1"/>
  <c r="H468" i="5"/>
  <c r="J468" i="5" s="1"/>
  <c r="H467" i="5"/>
  <c r="J467" i="5" s="1"/>
  <c r="C469" i="5"/>
  <c r="F469" i="5" s="1"/>
  <c r="C468" i="5"/>
  <c r="F468" i="5" s="1"/>
  <c r="C467" i="5"/>
  <c r="F467" i="5" s="1"/>
  <c r="N469" i="5"/>
  <c r="K469" i="5"/>
  <c r="N468" i="5"/>
  <c r="K468" i="5"/>
  <c r="N467" i="5"/>
  <c r="K467" i="5"/>
  <c r="N466" i="5"/>
  <c r="K466" i="5"/>
  <c r="H466" i="5"/>
  <c r="J466" i="5" s="1"/>
  <c r="C466" i="5"/>
  <c r="F466" i="5" s="1"/>
  <c r="P466" i="5" s="1"/>
  <c r="N465" i="5"/>
  <c r="K465" i="5"/>
  <c r="H465" i="5"/>
  <c r="J465" i="5" s="1"/>
  <c r="C465" i="5"/>
  <c r="F465" i="5" s="1"/>
  <c r="N464" i="5"/>
  <c r="K464" i="5"/>
  <c r="H464" i="5"/>
  <c r="J464" i="5" s="1"/>
  <c r="C464" i="5"/>
  <c r="F464" i="5" s="1"/>
  <c r="B200" i="3"/>
  <c r="B199" i="3"/>
  <c r="B198" i="3"/>
  <c r="B197" i="3"/>
  <c r="B196" i="3"/>
  <c r="B195" i="3"/>
  <c r="B194" i="3"/>
  <c r="B193" i="3"/>
  <c r="B192" i="3"/>
  <c r="B191" i="3"/>
  <c r="B190" i="3"/>
  <c r="B189" i="3"/>
  <c r="B188" i="3"/>
  <c r="B187" i="3"/>
  <c r="B186" i="3"/>
  <c r="B185" i="3"/>
  <c r="B184" i="3"/>
  <c r="B183" i="3"/>
  <c r="D200" i="3"/>
  <c r="G238" i="1"/>
  <c r="E238" i="1"/>
  <c r="B238" i="1" s="1"/>
  <c r="D199" i="3"/>
  <c r="G237" i="1"/>
  <c r="E237" i="1"/>
  <c r="C237" i="1" s="1"/>
  <c r="N463" i="5"/>
  <c r="K463" i="5"/>
  <c r="H463" i="5"/>
  <c r="J463" i="5" s="1"/>
  <c r="C463" i="5"/>
  <c r="F463" i="5" s="1"/>
  <c r="N462" i="5"/>
  <c r="K462" i="5"/>
  <c r="H462" i="5"/>
  <c r="J462" i="5" s="1"/>
  <c r="C462" i="5"/>
  <c r="F462" i="5" s="1"/>
  <c r="N461" i="5"/>
  <c r="K461" i="5"/>
  <c r="H461" i="5"/>
  <c r="J461" i="5" s="1"/>
  <c r="C461" i="5"/>
  <c r="F461" i="5" s="1"/>
  <c r="M85" i="6"/>
  <c r="J85" i="6"/>
  <c r="G85" i="6"/>
  <c r="I85" i="6" s="1"/>
  <c r="C85" i="6"/>
  <c r="E85" i="6" s="1"/>
  <c r="M84" i="6"/>
  <c r="J84" i="6"/>
  <c r="G84" i="6"/>
  <c r="I84" i="6" s="1"/>
  <c r="C84" i="6"/>
  <c r="E84" i="6" s="1"/>
  <c r="M83" i="6"/>
  <c r="J83" i="6"/>
  <c r="G83" i="6"/>
  <c r="I83" i="6" s="1"/>
  <c r="C83" i="6"/>
  <c r="E83" i="6" s="1"/>
  <c r="N460" i="5"/>
  <c r="K460" i="5"/>
  <c r="H460" i="5"/>
  <c r="J460" i="5" s="1"/>
  <c r="C460" i="5"/>
  <c r="F460" i="5" s="1"/>
  <c r="N459" i="5"/>
  <c r="K459" i="5"/>
  <c r="H459" i="5"/>
  <c r="J459" i="5" s="1"/>
  <c r="C459" i="5"/>
  <c r="F459" i="5" s="1"/>
  <c r="N458" i="5"/>
  <c r="K458" i="5"/>
  <c r="H458" i="5"/>
  <c r="J458" i="5" s="1"/>
  <c r="C458" i="5"/>
  <c r="F458" i="5" s="1"/>
  <c r="N457" i="5"/>
  <c r="K457" i="5"/>
  <c r="H457" i="5"/>
  <c r="J457" i="5" s="1"/>
  <c r="C457" i="5"/>
  <c r="F457" i="5" s="1"/>
  <c r="P457" i="5" s="1"/>
  <c r="N456" i="5"/>
  <c r="K456" i="5"/>
  <c r="H456" i="5"/>
  <c r="J456" i="5" s="1"/>
  <c r="C456" i="5"/>
  <c r="F456" i="5" s="1"/>
  <c r="N455" i="5"/>
  <c r="K455" i="5"/>
  <c r="H455" i="5"/>
  <c r="J455" i="5" s="1"/>
  <c r="C455" i="5"/>
  <c r="F455" i="5" s="1"/>
  <c r="D198" i="3"/>
  <c r="G236" i="1"/>
  <c r="E236" i="1"/>
  <c r="N454" i="5"/>
  <c r="K454" i="5"/>
  <c r="H454" i="5"/>
  <c r="J454" i="5" s="1"/>
  <c r="C454" i="5"/>
  <c r="F454" i="5" s="1"/>
  <c r="P454" i="5" s="1"/>
  <c r="N453" i="5"/>
  <c r="K453" i="5"/>
  <c r="H453" i="5"/>
  <c r="J453" i="5" s="1"/>
  <c r="C453" i="5"/>
  <c r="F453" i="5" s="1"/>
  <c r="N452" i="5"/>
  <c r="K452" i="5"/>
  <c r="H452" i="5"/>
  <c r="J452" i="5" s="1"/>
  <c r="C452" i="5"/>
  <c r="F452" i="5" s="1"/>
  <c r="M82" i="6"/>
  <c r="J82" i="6"/>
  <c r="G82" i="6"/>
  <c r="I82" i="6" s="1"/>
  <c r="C82" i="6"/>
  <c r="E82" i="6" s="1"/>
  <c r="M81" i="6"/>
  <c r="J81" i="6"/>
  <c r="G81" i="6"/>
  <c r="I81" i="6" s="1"/>
  <c r="C81" i="6"/>
  <c r="E81" i="6" s="1"/>
  <c r="M80" i="6"/>
  <c r="J80" i="6"/>
  <c r="G80" i="6"/>
  <c r="I80" i="6" s="1"/>
  <c r="C80" i="6"/>
  <c r="E80" i="6" s="1"/>
  <c r="H451" i="5"/>
  <c r="J451" i="5" s="1"/>
  <c r="C451" i="5"/>
  <c r="F451" i="5" s="1"/>
  <c r="H450" i="5"/>
  <c r="J450" i="5" s="1"/>
  <c r="C450" i="5"/>
  <c r="F450" i="5" s="1"/>
  <c r="H449" i="5"/>
  <c r="J449" i="5" s="1"/>
  <c r="C449" i="5"/>
  <c r="F449" i="5" s="1"/>
  <c r="N451" i="5"/>
  <c r="K451" i="5"/>
  <c r="N450" i="5"/>
  <c r="K450" i="5"/>
  <c r="N449" i="5"/>
  <c r="K449" i="5"/>
  <c r="N448" i="5"/>
  <c r="K448" i="5"/>
  <c r="H448" i="5"/>
  <c r="J448" i="5" s="1"/>
  <c r="C448" i="5"/>
  <c r="F448" i="5" s="1"/>
  <c r="N447" i="5"/>
  <c r="K447" i="5"/>
  <c r="H447" i="5"/>
  <c r="J447" i="5" s="1"/>
  <c r="C447" i="5"/>
  <c r="F447" i="5" s="1"/>
  <c r="N446" i="5"/>
  <c r="K446" i="5"/>
  <c r="H446" i="5"/>
  <c r="J446" i="5" s="1"/>
  <c r="C446" i="5"/>
  <c r="F446" i="5" s="1"/>
  <c r="D197" i="3"/>
  <c r="G235" i="1"/>
  <c r="E235" i="1"/>
  <c r="C235" i="1" s="1"/>
  <c r="N445" i="5"/>
  <c r="K445" i="5"/>
  <c r="H445" i="5"/>
  <c r="J445" i="5" s="1"/>
  <c r="C445" i="5"/>
  <c r="F445" i="5" s="1"/>
  <c r="N444" i="5"/>
  <c r="K444" i="5"/>
  <c r="H444" i="5"/>
  <c r="J444" i="5" s="1"/>
  <c r="C444" i="5"/>
  <c r="F444" i="5" s="1"/>
  <c r="N443" i="5"/>
  <c r="K443" i="5"/>
  <c r="H443" i="5"/>
  <c r="J443" i="5" s="1"/>
  <c r="C443" i="5"/>
  <c r="F443" i="5" s="1"/>
  <c r="D196" i="3"/>
  <c r="G234" i="1"/>
  <c r="E234" i="1"/>
  <c r="C234" i="1" s="1"/>
  <c r="N442" i="5"/>
  <c r="K442" i="5"/>
  <c r="H442" i="5"/>
  <c r="J442" i="5" s="1"/>
  <c r="C442" i="5"/>
  <c r="F442" i="5" s="1"/>
  <c r="P442" i="5" s="1"/>
  <c r="N441" i="5"/>
  <c r="K441" i="5"/>
  <c r="H441" i="5"/>
  <c r="J441" i="5" s="1"/>
  <c r="C441" i="5"/>
  <c r="F441" i="5" s="1"/>
  <c r="P441" i="5" s="1"/>
  <c r="N440" i="5"/>
  <c r="K440" i="5"/>
  <c r="H440" i="5"/>
  <c r="J440" i="5" s="1"/>
  <c r="C440" i="5"/>
  <c r="F440" i="5" s="1"/>
  <c r="D195" i="3"/>
  <c r="G233" i="1"/>
  <c r="E233" i="1"/>
  <c r="C233" i="1" s="1"/>
  <c r="V238" i="1" l="1"/>
  <c r="W238" i="1" s="1"/>
  <c r="B237" i="1"/>
  <c r="H237" i="1" s="1"/>
  <c r="I237" i="1" s="1"/>
  <c r="K86" i="6"/>
  <c r="L86" i="6" s="1"/>
  <c r="N86" i="6" s="1"/>
  <c r="O86" i="6"/>
  <c r="F86" i="6"/>
  <c r="F87" i="6"/>
  <c r="O87" i="6"/>
  <c r="K87" i="6"/>
  <c r="L87" i="6" s="1"/>
  <c r="N87" i="6" s="1"/>
  <c r="O88" i="6"/>
  <c r="K88" i="6"/>
  <c r="L88" i="6" s="1"/>
  <c r="N88" i="6" s="1"/>
  <c r="F88" i="6"/>
  <c r="P469" i="5"/>
  <c r="L469" i="5"/>
  <c r="M469" i="5" s="1"/>
  <c r="O469" i="5" s="1"/>
  <c r="G469" i="5"/>
  <c r="L468" i="5"/>
  <c r="M468" i="5" s="1"/>
  <c r="O468" i="5" s="1"/>
  <c r="P468" i="5"/>
  <c r="G468" i="5"/>
  <c r="L467" i="5"/>
  <c r="M467" i="5" s="1"/>
  <c r="O467" i="5" s="1"/>
  <c r="G467" i="5"/>
  <c r="P467" i="5"/>
  <c r="L465" i="5"/>
  <c r="M465" i="5" s="1"/>
  <c r="O465" i="5" s="1"/>
  <c r="P465" i="5"/>
  <c r="G465" i="5"/>
  <c r="L464" i="5"/>
  <c r="M464" i="5" s="1"/>
  <c r="O464" i="5" s="1"/>
  <c r="G464" i="5"/>
  <c r="P464" i="5"/>
  <c r="G466" i="5"/>
  <c r="L466" i="5"/>
  <c r="M466" i="5" s="1"/>
  <c r="O466" i="5" s="1"/>
  <c r="E200" i="3"/>
  <c r="F200" i="3" s="1"/>
  <c r="G199" i="3"/>
  <c r="H199" i="3" s="1"/>
  <c r="H238" i="1"/>
  <c r="I238" i="1" s="1"/>
  <c r="G200" i="3"/>
  <c r="H200" i="3" s="1"/>
  <c r="T238" i="1"/>
  <c r="U238" i="1" s="1"/>
  <c r="R238" i="1"/>
  <c r="S238" i="1" s="1"/>
  <c r="C238" i="1"/>
  <c r="L238" i="1" s="1"/>
  <c r="M238" i="1" s="1"/>
  <c r="J238" i="1"/>
  <c r="K238" i="1" s="1"/>
  <c r="P238" i="1"/>
  <c r="Q238" i="1" s="1"/>
  <c r="J237" i="1"/>
  <c r="K237" i="1" s="1"/>
  <c r="E199" i="3"/>
  <c r="F199" i="3" s="1"/>
  <c r="L237" i="1"/>
  <c r="M237" i="1" s="1"/>
  <c r="N237" i="1"/>
  <c r="O237" i="1" s="1"/>
  <c r="P237" i="1"/>
  <c r="Q237" i="1" s="1"/>
  <c r="G198" i="3"/>
  <c r="H198" i="3" s="1"/>
  <c r="R237" i="1"/>
  <c r="S237" i="1" s="1"/>
  <c r="V237" i="1"/>
  <c r="W237" i="1" s="1"/>
  <c r="G195" i="3"/>
  <c r="H195" i="3" s="1"/>
  <c r="T237" i="1"/>
  <c r="U237" i="1" s="1"/>
  <c r="V235" i="1"/>
  <c r="W235" i="1" s="1"/>
  <c r="V233" i="1"/>
  <c r="W233" i="1" s="1"/>
  <c r="V236" i="1"/>
  <c r="W236" i="1" s="1"/>
  <c r="L462" i="5"/>
  <c r="M462" i="5" s="1"/>
  <c r="O462" i="5" s="1"/>
  <c r="G462" i="5"/>
  <c r="P462" i="5"/>
  <c r="P463" i="5"/>
  <c r="L463" i="5"/>
  <c r="M463" i="5" s="1"/>
  <c r="O463" i="5" s="1"/>
  <c r="G463" i="5"/>
  <c r="P461" i="5"/>
  <c r="G461" i="5"/>
  <c r="L461" i="5"/>
  <c r="M461" i="5" s="1"/>
  <c r="O461" i="5" s="1"/>
  <c r="K84" i="6"/>
  <c r="L84" i="6" s="1"/>
  <c r="N84" i="6" s="1"/>
  <c r="F84" i="6"/>
  <c r="O84" i="6"/>
  <c r="O85" i="6"/>
  <c r="K85" i="6"/>
  <c r="L85" i="6" s="1"/>
  <c r="N85" i="6" s="1"/>
  <c r="F85" i="6"/>
  <c r="O83" i="6"/>
  <c r="K83" i="6"/>
  <c r="L83" i="6" s="1"/>
  <c r="N83" i="6" s="1"/>
  <c r="F83" i="6"/>
  <c r="P460" i="5"/>
  <c r="L460" i="5"/>
  <c r="M460" i="5" s="1"/>
  <c r="O460" i="5" s="1"/>
  <c r="G460" i="5"/>
  <c r="P458" i="5"/>
  <c r="L458" i="5"/>
  <c r="M458" i="5" s="1"/>
  <c r="O458" i="5" s="1"/>
  <c r="G458" i="5"/>
  <c r="L459" i="5"/>
  <c r="M459" i="5" s="1"/>
  <c r="O459" i="5" s="1"/>
  <c r="G459" i="5"/>
  <c r="P459" i="5"/>
  <c r="L453" i="5"/>
  <c r="M453" i="5" s="1"/>
  <c r="O453" i="5" s="1"/>
  <c r="P453" i="5"/>
  <c r="G453" i="5"/>
  <c r="L456" i="5"/>
  <c r="M456" i="5" s="1"/>
  <c r="O456" i="5" s="1"/>
  <c r="G456" i="5"/>
  <c r="P456" i="5"/>
  <c r="L452" i="5"/>
  <c r="M452" i="5" s="1"/>
  <c r="O452" i="5" s="1"/>
  <c r="G452" i="5"/>
  <c r="P452" i="5"/>
  <c r="L455" i="5"/>
  <c r="M455" i="5" s="1"/>
  <c r="O455" i="5" s="1"/>
  <c r="G455" i="5"/>
  <c r="P455" i="5"/>
  <c r="G457" i="5"/>
  <c r="L457" i="5"/>
  <c r="M457" i="5" s="1"/>
  <c r="O457" i="5" s="1"/>
  <c r="E198" i="3"/>
  <c r="F198" i="3" s="1"/>
  <c r="T236" i="1"/>
  <c r="U236" i="1" s="1"/>
  <c r="G196" i="3"/>
  <c r="H196" i="3" s="1"/>
  <c r="G197" i="3"/>
  <c r="H197" i="3" s="1"/>
  <c r="P236" i="1"/>
  <c r="Q236" i="1" s="1"/>
  <c r="R236" i="1"/>
  <c r="S236" i="1" s="1"/>
  <c r="B236" i="1"/>
  <c r="H236" i="1" s="1"/>
  <c r="I236" i="1" s="1"/>
  <c r="V234" i="1"/>
  <c r="W234" i="1" s="1"/>
  <c r="C236" i="1"/>
  <c r="G450" i="5"/>
  <c r="L454" i="5"/>
  <c r="M454" i="5" s="1"/>
  <c r="O454" i="5" s="1"/>
  <c r="G451" i="5"/>
  <c r="L446" i="5"/>
  <c r="M446" i="5" s="1"/>
  <c r="O446" i="5" s="1"/>
  <c r="G454" i="5"/>
  <c r="K80" i="6"/>
  <c r="L80" i="6" s="1"/>
  <c r="N80" i="6" s="1"/>
  <c r="O81" i="6"/>
  <c r="F81" i="6"/>
  <c r="K81" i="6"/>
  <c r="L81" i="6" s="1"/>
  <c r="N81" i="6" s="1"/>
  <c r="O82" i="6"/>
  <c r="F82" i="6"/>
  <c r="K82" i="6"/>
  <c r="L82" i="6" s="1"/>
  <c r="N82" i="6" s="1"/>
  <c r="F80" i="6"/>
  <c r="O80" i="6"/>
  <c r="G449" i="5"/>
  <c r="L451" i="5"/>
  <c r="M451" i="5" s="1"/>
  <c r="O451" i="5" s="1"/>
  <c r="P451" i="5"/>
  <c r="L449" i="5"/>
  <c r="M449" i="5" s="1"/>
  <c r="O449" i="5" s="1"/>
  <c r="P449" i="5"/>
  <c r="P450" i="5"/>
  <c r="L450" i="5"/>
  <c r="M450" i="5" s="1"/>
  <c r="O450" i="5" s="1"/>
  <c r="P448" i="5"/>
  <c r="G448" i="5"/>
  <c r="L448" i="5"/>
  <c r="M448" i="5" s="1"/>
  <c r="O448" i="5" s="1"/>
  <c r="P447" i="5"/>
  <c r="G447" i="5"/>
  <c r="L447" i="5"/>
  <c r="M447" i="5" s="1"/>
  <c r="O447" i="5" s="1"/>
  <c r="G446" i="5"/>
  <c r="P446" i="5"/>
  <c r="E197" i="3"/>
  <c r="F197" i="3" s="1"/>
  <c r="L235" i="1"/>
  <c r="M235" i="1" s="1"/>
  <c r="P235" i="1"/>
  <c r="Q235" i="1" s="1"/>
  <c r="R235" i="1"/>
  <c r="S235" i="1" s="1"/>
  <c r="B235" i="1"/>
  <c r="H235" i="1" s="1"/>
  <c r="I235" i="1" s="1"/>
  <c r="T235" i="1"/>
  <c r="U235" i="1" s="1"/>
  <c r="N235" i="1"/>
  <c r="O235" i="1" s="1"/>
  <c r="L443" i="5"/>
  <c r="M443" i="5" s="1"/>
  <c r="O443" i="5" s="1"/>
  <c r="P445" i="5"/>
  <c r="G445" i="5"/>
  <c r="L445" i="5"/>
  <c r="M445" i="5" s="1"/>
  <c r="O445" i="5" s="1"/>
  <c r="P444" i="5"/>
  <c r="G444" i="5"/>
  <c r="L444" i="5"/>
  <c r="M444" i="5" s="1"/>
  <c r="O444" i="5" s="1"/>
  <c r="G443" i="5"/>
  <c r="P443" i="5"/>
  <c r="L234" i="1"/>
  <c r="M234" i="1" s="1"/>
  <c r="E196" i="3"/>
  <c r="F196" i="3" s="1"/>
  <c r="R234" i="1"/>
  <c r="S234" i="1" s="1"/>
  <c r="P234" i="1"/>
  <c r="Q234" i="1" s="1"/>
  <c r="B234" i="1"/>
  <c r="H234" i="1" s="1"/>
  <c r="I234" i="1" s="1"/>
  <c r="T234" i="1"/>
  <c r="U234" i="1" s="1"/>
  <c r="N234" i="1"/>
  <c r="O234" i="1" s="1"/>
  <c r="L440" i="5"/>
  <c r="M440" i="5" s="1"/>
  <c r="O440" i="5" s="1"/>
  <c r="P440" i="5"/>
  <c r="G440" i="5"/>
  <c r="L441" i="5"/>
  <c r="M441" i="5" s="1"/>
  <c r="O441" i="5" s="1"/>
  <c r="L442" i="5"/>
  <c r="M442" i="5" s="1"/>
  <c r="O442" i="5" s="1"/>
  <c r="G441" i="5"/>
  <c r="G442" i="5"/>
  <c r="E195" i="3"/>
  <c r="F195" i="3" s="1"/>
  <c r="L233" i="1"/>
  <c r="M233" i="1" s="1"/>
  <c r="R233" i="1"/>
  <c r="S233" i="1" s="1"/>
  <c r="N233" i="1"/>
  <c r="O233" i="1" s="1"/>
  <c r="B233" i="1"/>
  <c r="H233" i="1" s="1"/>
  <c r="I233" i="1" s="1"/>
  <c r="T233" i="1"/>
  <c r="U233" i="1" s="1"/>
  <c r="P233" i="1"/>
  <c r="Q233" i="1" s="1"/>
  <c r="N439" i="5"/>
  <c r="K439" i="5"/>
  <c r="H439" i="5"/>
  <c r="J439" i="5" s="1"/>
  <c r="C439" i="5"/>
  <c r="F439" i="5" s="1"/>
  <c r="N438" i="5"/>
  <c r="K438" i="5"/>
  <c r="H438" i="5"/>
  <c r="J438" i="5" s="1"/>
  <c r="C438" i="5"/>
  <c r="F438" i="5" s="1"/>
  <c r="N437" i="5"/>
  <c r="K437" i="5"/>
  <c r="H437" i="5"/>
  <c r="J437" i="5" s="1"/>
  <c r="C437" i="5"/>
  <c r="F437" i="5" s="1"/>
  <c r="D194" i="3"/>
  <c r="G232" i="1"/>
  <c r="E232" i="1"/>
  <c r="B232" i="1" s="1"/>
  <c r="N436" i="5"/>
  <c r="K436" i="5"/>
  <c r="H436" i="5"/>
  <c r="J436" i="5" s="1"/>
  <c r="C436" i="5"/>
  <c r="F436" i="5" s="1"/>
  <c r="N435" i="5"/>
  <c r="K435" i="5"/>
  <c r="H435" i="5"/>
  <c r="J435" i="5" s="1"/>
  <c r="C435" i="5"/>
  <c r="F435" i="5" s="1"/>
  <c r="N434" i="5"/>
  <c r="K434" i="5"/>
  <c r="H434" i="5"/>
  <c r="J434" i="5" s="1"/>
  <c r="C434" i="5"/>
  <c r="F434" i="5" s="1"/>
  <c r="N433" i="5"/>
  <c r="K433" i="5"/>
  <c r="H433" i="5"/>
  <c r="J433" i="5" s="1"/>
  <c r="C433" i="5"/>
  <c r="F433" i="5" s="1"/>
  <c r="P433" i="5" s="1"/>
  <c r="N432" i="5"/>
  <c r="K432" i="5"/>
  <c r="H432" i="5"/>
  <c r="J432" i="5" s="1"/>
  <c r="C432" i="5"/>
  <c r="F432" i="5" s="1"/>
  <c r="N431" i="5"/>
  <c r="K431" i="5"/>
  <c r="H431" i="5"/>
  <c r="J431" i="5" s="1"/>
  <c r="C431" i="5"/>
  <c r="F431" i="5" s="1"/>
  <c r="D193" i="3"/>
  <c r="G231" i="1"/>
  <c r="E231" i="1"/>
  <c r="C231" i="1" s="1"/>
  <c r="N430" i="5"/>
  <c r="K430" i="5"/>
  <c r="H430" i="5"/>
  <c r="J430" i="5" s="1"/>
  <c r="C430" i="5"/>
  <c r="F430" i="5" s="1"/>
  <c r="N429" i="5"/>
  <c r="K429" i="5"/>
  <c r="H429" i="5"/>
  <c r="J429" i="5" s="1"/>
  <c r="C429" i="5"/>
  <c r="F429" i="5" s="1"/>
  <c r="N428" i="5"/>
  <c r="K428" i="5"/>
  <c r="H428" i="5"/>
  <c r="J428" i="5" s="1"/>
  <c r="C428" i="5"/>
  <c r="F428" i="5" s="1"/>
  <c r="D192" i="3"/>
  <c r="G230" i="1"/>
  <c r="R230" i="1" s="1"/>
  <c r="S230" i="1" s="1"/>
  <c r="E230" i="1"/>
  <c r="C230" i="1" s="1"/>
  <c r="N427" i="5"/>
  <c r="K427" i="5"/>
  <c r="H427" i="5"/>
  <c r="J427" i="5" s="1"/>
  <c r="C427" i="5"/>
  <c r="F427" i="5" s="1"/>
  <c r="P427" i="5" s="1"/>
  <c r="N426" i="5"/>
  <c r="K426" i="5"/>
  <c r="H426" i="5"/>
  <c r="J426" i="5" s="1"/>
  <c r="C426" i="5"/>
  <c r="F426" i="5" s="1"/>
  <c r="P426" i="5" s="1"/>
  <c r="N425" i="5"/>
  <c r="K425" i="5"/>
  <c r="H425" i="5"/>
  <c r="J425" i="5" s="1"/>
  <c r="C425" i="5"/>
  <c r="F425" i="5" s="1"/>
  <c r="D191" i="3"/>
  <c r="G229" i="1"/>
  <c r="E229" i="1"/>
  <c r="B229" i="1" s="1"/>
  <c r="N424" i="5"/>
  <c r="K424" i="5"/>
  <c r="H424" i="5"/>
  <c r="J424" i="5" s="1"/>
  <c r="C424" i="5"/>
  <c r="F424" i="5" s="1"/>
  <c r="N423" i="5"/>
  <c r="K423" i="5"/>
  <c r="H423" i="5"/>
  <c r="J423" i="5" s="1"/>
  <c r="C423" i="5"/>
  <c r="F423" i="5" s="1"/>
  <c r="N422" i="5"/>
  <c r="K422" i="5"/>
  <c r="H422" i="5"/>
  <c r="J422" i="5" s="1"/>
  <c r="C422" i="5"/>
  <c r="F422" i="5" s="1"/>
  <c r="D190" i="3"/>
  <c r="G228" i="1"/>
  <c r="E228" i="1"/>
  <c r="C228" i="1" s="1"/>
  <c r="J236" i="1" l="1"/>
  <c r="K236" i="1" s="1"/>
  <c r="C229" i="1"/>
  <c r="L229" i="1" s="1"/>
  <c r="M229" i="1" s="1"/>
  <c r="N238" i="1"/>
  <c r="O238" i="1" s="1"/>
  <c r="G192" i="3"/>
  <c r="H192" i="3" s="1"/>
  <c r="J235" i="1"/>
  <c r="K235" i="1" s="1"/>
  <c r="L236" i="1"/>
  <c r="M236" i="1" s="1"/>
  <c r="N236" i="1"/>
  <c r="O236" i="1" s="1"/>
  <c r="G194" i="3"/>
  <c r="H194" i="3" s="1"/>
  <c r="G193" i="3"/>
  <c r="H193" i="3" s="1"/>
  <c r="G191" i="3"/>
  <c r="H191" i="3" s="1"/>
  <c r="V232" i="1"/>
  <c r="W232" i="1" s="1"/>
  <c r="C232" i="1"/>
  <c r="N232" i="1" s="1"/>
  <c r="O232" i="1" s="1"/>
  <c r="J234" i="1"/>
  <c r="K234" i="1" s="1"/>
  <c r="V231" i="1"/>
  <c r="W231" i="1" s="1"/>
  <c r="B231" i="1"/>
  <c r="J231" i="1" s="1"/>
  <c r="K231" i="1" s="1"/>
  <c r="J233" i="1"/>
  <c r="K233" i="1" s="1"/>
  <c r="L437" i="5"/>
  <c r="M437" i="5" s="1"/>
  <c r="O437" i="5" s="1"/>
  <c r="L434" i="5"/>
  <c r="M434" i="5" s="1"/>
  <c r="O434" i="5" s="1"/>
  <c r="P439" i="5"/>
  <c r="G439" i="5"/>
  <c r="L439" i="5"/>
  <c r="M439" i="5" s="1"/>
  <c r="O439" i="5" s="1"/>
  <c r="P438" i="5"/>
  <c r="G438" i="5"/>
  <c r="L438" i="5"/>
  <c r="M438" i="5" s="1"/>
  <c r="O438" i="5" s="1"/>
  <c r="G437" i="5"/>
  <c r="P437" i="5"/>
  <c r="E194" i="3"/>
  <c r="F194" i="3" s="1"/>
  <c r="H232" i="1"/>
  <c r="I232" i="1" s="1"/>
  <c r="P232" i="1"/>
  <c r="Q232" i="1" s="1"/>
  <c r="T232" i="1"/>
  <c r="U232" i="1" s="1"/>
  <c r="V228" i="1"/>
  <c r="W228" i="1" s="1"/>
  <c r="J232" i="1"/>
  <c r="K232" i="1" s="1"/>
  <c r="R232" i="1"/>
  <c r="S232" i="1" s="1"/>
  <c r="P436" i="5"/>
  <c r="G436" i="5"/>
  <c r="L436" i="5"/>
  <c r="M436" i="5" s="1"/>
  <c r="O436" i="5" s="1"/>
  <c r="L435" i="5"/>
  <c r="M435" i="5" s="1"/>
  <c r="O435" i="5" s="1"/>
  <c r="P435" i="5"/>
  <c r="G435" i="5"/>
  <c r="G434" i="5"/>
  <c r="P434" i="5"/>
  <c r="L431" i="5"/>
  <c r="M431" i="5" s="1"/>
  <c r="O431" i="5" s="1"/>
  <c r="P432" i="5"/>
  <c r="G432" i="5"/>
  <c r="L432" i="5"/>
  <c r="M432" i="5" s="1"/>
  <c r="O432" i="5" s="1"/>
  <c r="G431" i="5"/>
  <c r="P431" i="5"/>
  <c r="L433" i="5"/>
  <c r="M433" i="5" s="1"/>
  <c r="O433" i="5" s="1"/>
  <c r="G433" i="5"/>
  <c r="L231" i="1"/>
  <c r="M231" i="1" s="1"/>
  <c r="G190" i="3"/>
  <c r="H190" i="3" s="1"/>
  <c r="E193" i="3"/>
  <c r="F193" i="3" s="1"/>
  <c r="P231" i="1"/>
  <c r="Q231" i="1" s="1"/>
  <c r="R231" i="1"/>
  <c r="S231" i="1" s="1"/>
  <c r="T231" i="1"/>
  <c r="U231" i="1" s="1"/>
  <c r="N231" i="1"/>
  <c r="O231" i="1" s="1"/>
  <c r="L430" i="5"/>
  <c r="M430" i="5" s="1"/>
  <c r="O430" i="5" s="1"/>
  <c r="P430" i="5"/>
  <c r="G430" i="5"/>
  <c r="L428" i="5"/>
  <c r="M428" i="5" s="1"/>
  <c r="O428" i="5" s="1"/>
  <c r="P428" i="5"/>
  <c r="G428" i="5"/>
  <c r="P429" i="5"/>
  <c r="G429" i="5"/>
  <c r="L429" i="5"/>
  <c r="M429" i="5" s="1"/>
  <c r="O429" i="5" s="1"/>
  <c r="E192" i="3"/>
  <c r="F192" i="3" s="1"/>
  <c r="L230" i="1"/>
  <c r="M230" i="1" s="1"/>
  <c r="V230" i="1"/>
  <c r="W230" i="1" s="1"/>
  <c r="N230" i="1"/>
  <c r="O230" i="1" s="1"/>
  <c r="V229" i="1"/>
  <c r="W229" i="1" s="1"/>
  <c r="P230" i="1"/>
  <c r="Q230" i="1" s="1"/>
  <c r="B228" i="1"/>
  <c r="H228" i="1" s="1"/>
  <c r="I228" i="1" s="1"/>
  <c r="B230" i="1"/>
  <c r="H230" i="1" s="1"/>
  <c r="I230" i="1" s="1"/>
  <c r="T230" i="1"/>
  <c r="U230" i="1" s="1"/>
  <c r="L427" i="5"/>
  <c r="M427" i="5" s="1"/>
  <c r="O427" i="5" s="1"/>
  <c r="L424" i="5"/>
  <c r="M424" i="5" s="1"/>
  <c r="O424" i="5" s="1"/>
  <c r="L425" i="5"/>
  <c r="M425" i="5" s="1"/>
  <c r="O425" i="5" s="1"/>
  <c r="P425" i="5"/>
  <c r="G425" i="5"/>
  <c r="G427" i="5"/>
  <c r="L426" i="5"/>
  <c r="M426" i="5" s="1"/>
  <c r="O426" i="5" s="1"/>
  <c r="G426" i="5"/>
  <c r="E191" i="3"/>
  <c r="F191" i="3" s="1"/>
  <c r="H229" i="1"/>
  <c r="I229" i="1" s="1"/>
  <c r="P229" i="1"/>
  <c r="Q229" i="1" s="1"/>
  <c r="J229" i="1"/>
  <c r="K229" i="1" s="1"/>
  <c r="R229" i="1"/>
  <c r="S229" i="1" s="1"/>
  <c r="T229" i="1"/>
  <c r="U229" i="1" s="1"/>
  <c r="L422" i="5"/>
  <c r="M422" i="5" s="1"/>
  <c r="O422" i="5" s="1"/>
  <c r="P422" i="5"/>
  <c r="G422" i="5"/>
  <c r="P423" i="5"/>
  <c r="G423" i="5"/>
  <c r="L423" i="5"/>
  <c r="M423" i="5" s="1"/>
  <c r="O423" i="5" s="1"/>
  <c r="G424" i="5"/>
  <c r="P424" i="5"/>
  <c r="L228" i="1"/>
  <c r="M228" i="1" s="1"/>
  <c r="E190" i="3"/>
  <c r="F190" i="3" s="1"/>
  <c r="R228" i="1"/>
  <c r="S228" i="1" s="1"/>
  <c r="P228" i="1"/>
  <c r="Q228" i="1" s="1"/>
  <c r="T228" i="1"/>
  <c r="U228" i="1" s="1"/>
  <c r="N228" i="1"/>
  <c r="O228" i="1" s="1"/>
  <c r="N229" i="1" l="1"/>
  <c r="O229" i="1" s="1"/>
  <c r="J228" i="1"/>
  <c r="K228" i="1" s="1"/>
  <c r="H231" i="1"/>
  <c r="I231" i="1" s="1"/>
  <c r="L232" i="1"/>
  <c r="M232" i="1" s="1"/>
  <c r="J230" i="1"/>
  <c r="K230" i="1" s="1"/>
  <c r="N421" i="5"/>
  <c r="K421" i="5"/>
  <c r="H421" i="5"/>
  <c r="J421" i="5" s="1"/>
  <c r="C421" i="5"/>
  <c r="F421" i="5" s="1"/>
  <c r="N420" i="5"/>
  <c r="K420" i="5"/>
  <c r="H420" i="5"/>
  <c r="J420" i="5" s="1"/>
  <c r="C420" i="5"/>
  <c r="F420" i="5" s="1"/>
  <c r="N419" i="5"/>
  <c r="K419" i="5"/>
  <c r="H419" i="5"/>
  <c r="J419" i="5" s="1"/>
  <c r="C419" i="5"/>
  <c r="F419" i="5" s="1"/>
  <c r="N418" i="5"/>
  <c r="K418" i="5"/>
  <c r="H418" i="5"/>
  <c r="J418" i="5" s="1"/>
  <c r="C418" i="5"/>
  <c r="F418" i="5" s="1"/>
  <c r="N417" i="5"/>
  <c r="K417" i="5"/>
  <c r="H417" i="5"/>
  <c r="J417" i="5" s="1"/>
  <c r="C417" i="5"/>
  <c r="F417" i="5" s="1"/>
  <c r="N416" i="5"/>
  <c r="K416" i="5"/>
  <c r="H416" i="5"/>
  <c r="J416" i="5" s="1"/>
  <c r="C416" i="5"/>
  <c r="F416" i="5" s="1"/>
  <c r="D189" i="3"/>
  <c r="G227" i="1"/>
  <c r="E227" i="1"/>
  <c r="C227" i="1" s="1"/>
  <c r="N415" i="5"/>
  <c r="K415" i="5"/>
  <c r="H415" i="5"/>
  <c r="J415" i="5" s="1"/>
  <c r="C415" i="5"/>
  <c r="F415" i="5" s="1"/>
  <c r="N414" i="5"/>
  <c r="K414" i="5"/>
  <c r="H414" i="5"/>
  <c r="J414" i="5" s="1"/>
  <c r="C414" i="5"/>
  <c r="F414" i="5" s="1"/>
  <c r="P414" i="5" s="1"/>
  <c r="N413" i="5"/>
  <c r="K413" i="5"/>
  <c r="H413" i="5"/>
  <c r="J413" i="5" s="1"/>
  <c r="C413" i="5"/>
  <c r="F413" i="5" s="1"/>
  <c r="M79" i="6"/>
  <c r="J79" i="6"/>
  <c r="G79" i="6"/>
  <c r="I79" i="6" s="1"/>
  <c r="C79" i="6"/>
  <c r="E79" i="6" s="1"/>
  <c r="M78" i="6"/>
  <c r="J78" i="6"/>
  <c r="G78" i="6"/>
  <c r="I78" i="6" s="1"/>
  <c r="C78" i="6"/>
  <c r="E78" i="6" s="1"/>
  <c r="M77" i="6"/>
  <c r="J77" i="6"/>
  <c r="G77" i="6"/>
  <c r="I77" i="6" s="1"/>
  <c r="C77" i="6"/>
  <c r="E77" i="6" s="1"/>
  <c r="O77" i="6" s="1"/>
  <c r="N412" i="5"/>
  <c r="K412" i="5"/>
  <c r="H412" i="5"/>
  <c r="J412" i="5" s="1"/>
  <c r="C412" i="5"/>
  <c r="F412" i="5" s="1"/>
  <c r="P412" i="5" s="1"/>
  <c r="N411" i="5"/>
  <c r="K411" i="5"/>
  <c r="H411" i="5"/>
  <c r="J411" i="5" s="1"/>
  <c r="C411" i="5"/>
  <c r="F411" i="5" s="1"/>
  <c r="N410" i="5"/>
  <c r="K410" i="5"/>
  <c r="H410" i="5"/>
  <c r="J410" i="5" s="1"/>
  <c r="C410" i="5"/>
  <c r="F410" i="5" s="1"/>
  <c r="D188" i="3"/>
  <c r="G226" i="1"/>
  <c r="E226" i="1"/>
  <c r="C226" i="1" s="1"/>
  <c r="N409" i="5"/>
  <c r="K409" i="5"/>
  <c r="H409" i="5"/>
  <c r="J409" i="5" s="1"/>
  <c r="C409" i="5"/>
  <c r="F409" i="5" s="1"/>
  <c r="N408" i="5"/>
  <c r="K408" i="5"/>
  <c r="H408" i="5"/>
  <c r="J408" i="5" s="1"/>
  <c r="C408" i="5"/>
  <c r="F408" i="5" s="1"/>
  <c r="N407" i="5"/>
  <c r="K407" i="5"/>
  <c r="H407" i="5"/>
  <c r="J407" i="5" s="1"/>
  <c r="C407" i="5"/>
  <c r="F407" i="5" s="1"/>
  <c r="D187" i="3"/>
  <c r="G225" i="1"/>
  <c r="E225" i="1"/>
  <c r="C225" i="1" s="1"/>
  <c r="M76" i="6"/>
  <c r="J76" i="6"/>
  <c r="G76" i="6"/>
  <c r="I76" i="6" s="1"/>
  <c r="C76" i="6"/>
  <c r="E76" i="6" s="1"/>
  <c r="M75" i="6"/>
  <c r="J75" i="6"/>
  <c r="G75" i="6"/>
  <c r="I75" i="6" s="1"/>
  <c r="C75" i="6"/>
  <c r="E75" i="6" s="1"/>
  <c r="M74" i="6"/>
  <c r="J74" i="6"/>
  <c r="G74" i="6"/>
  <c r="I74" i="6" s="1"/>
  <c r="C74" i="6"/>
  <c r="E74" i="6" s="1"/>
  <c r="N406" i="5"/>
  <c r="K406" i="5"/>
  <c r="H406" i="5"/>
  <c r="J406" i="5" s="1"/>
  <c r="C406" i="5"/>
  <c r="F406" i="5" s="1"/>
  <c r="P406" i="5" s="1"/>
  <c r="N405" i="5"/>
  <c r="K405" i="5"/>
  <c r="H405" i="5"/>
  <c r="J405" i="5" s="1"/>
  <c r="C405" i="5"/>
  <c r="F405" i="5" s="1"/>
  <c r="N404" i="5"/>
  <c r="K404" i="5"/>
  <c r="H404" i="5"/>
  <c r="J404" i="5" s="1"/>
  <c r="C404" i="5"/>
  <c r="F404" i="5" s="1"/>
  <c r="B545" i="5"/>
  <c r="N403" i="5"/>
  <c r="K403" i="5"/>
  <c r="H403" i="5"/>
  <c r="J403" i="5" s="1"/>
  <c r="C403" i="5"/>
  <c r="F403" i="5" s="1"/>
  <c r="N402" i="5"/>
  <c r="K402" i="5"/>
  <c r="H402" i="5"/>
  <c r="J402" i="5" s="1"/>
  <c r="C402" i="5"/>
  <c r="F402" i="5" s="1"/>
  <c r="N401" i="5"/>
  <c r="K401" i="5"/>
  <c r="H401" i="5"/>
  <c r="J401" i="5" s="1"/>
  <c r="C401" i="5"/>
  <c r="F401" i="5" s="1"/>
  <c r="D186" i="3"/>
  <c r="G224" i="1"/>
  <c r="E224" i="1"/>
  <c r="C224" i="1" s="1"/>
  <c r="N400" i="5"/>
  <c r="K400" i="5"/>
  <c r="H400" i="5"/>
  <c r="J400" i="5" s="1"/>
  <c r="C400" i="5"/>
  <c r="F400" i="5" s="1"/>
  <c r="N399" i="5"/>
  <c r="K399" i="5"/>
  <c r="H399" i="5"/>
  <c r="J399" i="5" s="1"/>
  <c r="C399" i="5"/>
  <c r="F399" i="5" s="1"/>
  <c r="N398" i="5"/>
  <c r="K398" i="5"/>
  <c r="H398" i="5"/>
  <c r="J398" i="5" s="1"/>
  <c r="C398" i="5"/>
  <c r="F398" i="5" s="1"/>
  <c r="D185" i="3"/>
  <c r="G223" i="1"/>
  <c r="E223" i="1"/>
  <c r="C223" i="1" s="1"/>
  <c r="M73" i="6"/>
  <c r="J73" i="6"/>
  <c r="G73" i="6"/>
  <c r="I73" i="6" s="1"/>
  <c r="C73" i="6"/>
  <c r="E73" i="6" s="1"/>
  <c r="M72" i="6"/>
  <c r="J72" i="6"/>
  <c r="G72" i="6"/>
  <c r="I72" i="6" s="1"/>
  <c r="C72" i="6"/>
  <c r="E72" i="6" s="1"/>
  <c r="M71" i="6"/>
  <c r="J71" i="6"/>
  <c r="G71" i="6"/>
  <c r="I71" i="6" s="1"/>
  <c r="C71" i="6"/>
  <c r="E71" i="6" s="1"/>
  <c r="H397" i="5"/>
  <c r="J397" i="5" s="1"/>
  <c r="H396" i="5"/>
  <c r="J396" i="5" s="1"/>
  <c r="H395" i="5"/>
  <c r="J395" i="5" s="1"/>
  <c r="C397" i="5"/>
  <c r="F397" i="5" s="1"/>
  <c r="C396" i="5"/>
  <c r="F396" i="5" s="1"/>
  <c r="C395" i="5"/>
  <c r="F395" i="5" s="1"/>
  <c r="N397" i="5"/>
  <c r="K397" i="5"/>
  <c r="N396" i="5"/>
  <c r="K396" i="5"/>
  <c r="N395" i="5"/>
  <c r="K395" i="5"/>
  <c r="N394" i="5"/>
  <c r="K394" i="5"/>
  <c r="H394" i="5"/>
  <c r="J394" i="5" s="1"/>
  <c r="C394" i="5"/>
  <c r="F394" i="5" s="1"/>
  <c r="N393" i="5"/>
  <c r="K393" i="5"/>
  <c r="H393" i="5"/>
  <c r="J393" i="5" s="1"/>
  <c r="C393" i="5"/>
  <c r="F393" i="5" s="1"/>
  <c r="N392" i="5"/>
  <c r="K392" i="5"/>
  <c r="H392" i="5"/>
  <c r="J392" i="5" s="1"/>
  <c r="C392" i="5"/>
  <c r="F392" i="5" s="1"/>
  <c r="N391" i="5"/>
  <c r="K391" i="5"/>
  <c r="H391" i="5"/>
  <c r="J391" i="5" s="1"/>
  <c r="C391" i="5"/>
  <c r="F391" i="5" s="1"/>
  <c r="P391" i="5" s="1"/>
  <c r="N390" i="5"/>
  <c r="K390" i="5"/>
  <c r="H390" i="5"/>
  <c r="J390" i="5" s="1"/>
  <c r="C390" i="5"/>
  <c r="F390" i="5" s="1"/>
  <c r="P390" i="5" s="1"/>
  <c r="N389" i="5"/>
  <c r="K389" i="5"/>
  <c r="H389" i="5"/>
  <c r="J389" i="5" s="1"/>
  <c r="C389" i="5"/>
  <c r="F389" i="5" s="1"/>
  <c r="D184" i="3"/>
  <c r="G222" i="1"/>
  <c r="E222" i="1"/>
  <c r="C222" i="1" s="1"/>
  <c r="N388" i="5"/>
  <c r="K388" i="5"/>
  <c r="H388" i="5"/>
  <c r="J388" i="5" s="1"/>
  <c r="C388" i="5"/>
  <c r="F388" i="5" s="1"/>
  <c r="N387" i="5"/>
  <c r="K387" i="5"/>
  <c r="H387" i="5"/>
  <c r="J387" i="5" s="1"/>
  <c r="C387" i="5"/>
  <c r="F387" i="5" s="1"/>
  <c r="P387" i="5" s="1"/>
  <c r="N386" i="5"/>
  <c r="K386" i="5"/>
  <c r="H386" i="5"/>
  <c r="J386" i="5" s="1"/>
  <c r="C386" i="5"/>
  <c r="F386" i="5" s="1"/>
  <c r="D183" i="3"/>
  <c r="G221" i="1"/>
  <c r="E221" i="1"/>
  <c r="C221" i="1" s="1"/>
  <c r="F75" i="6" l="1"/>
  <c r="F71" i="6"/>
  <c r="F73" i="6"/>
  <c r="K77" i="6"/>
  <c r="L77" i="6" s="1"/>
  <c r="N77" i="6" s="1"/>
  <c r="F72" i="6"/>
  <c r="G189" i="3"/>
  <c r="H189" i="3" s="1"/>
  <c r="G188" i="3"/>
  <c r="H188" i="3" s="1"/>
  <c r="V227" i="1"/>
  <c r="W227" i="1" s="1"/>
  <c r="L419" i="5"/>
  <c r="M419" i="5" s="1"/>
  <c r="O419" i="5" s="1"/>
  <c r="V225" i="1"/>
  <c r="W225" i="1" s="1"/>
  <c r="P421" i="5"/>
  <c r="G421" i="5"/>
  <c r="L421" i="5"/>
  <c r="M421" i="5" s="1"/>
  <c r="O421" i="5" s="1"/>
  <c r="L420" i="5"/>
  <c r="M420" i="5" s="1"/>
  <c r="O420" i="5" s="1"/>
  <c r="P420" i="5"/>
  <c r="G420" i="5"/>
  <c r="G419" i="5"/>
  <c r="P419" i="5"/>
  <c r="P417" i="5"/>
  <c r="G417" i="5"/>
  <c r="L417" i="5"/>
  <c r="M417" i="5" s="1"/>
  <c r="O417" i="5" s="1"/>
  <c r="L416" i="5"/>
  <c r="M416" i="5" s="1"/>
  <c r="O416" i="5" s="1"/>
  <c r="P418" i="5"/>
  <c r="G418" i="5"/>
  <c r="L418" i="5"/>
  <c r="M418" i="5" s="1"/>
  <c r="O418" i="5" s="1"/>
  <c r="G416" i="5"/>
  <c r="P416" i="5"/>
  <c r="E189" i="3"/>
  <c r="F189" i="3" s="1"/>
  <c r="L227" i="1"/>
  <c r="M227" i="1" s="1"/>
  <c r="P227" i="1"/>
  <c r="Q227" i="1" s="1"/>
  <c r="V226" i="1"/>
  <c r="W226" i="1" s="1"/>
  <c r="R227" i="1"/>
  <c r="S227" i="1" s="1"/>
  <c r="V224" i="1"/>
  <c r="W224" i="1" s="1"/>
  <c r="B227" i="1"/>
  <c r="H227" i="1" s="1"/>
  <c r="I227" i="1" s="1"/>
  <c r="T227" i="1"/>
  <c r="U227" i="1" s="1"/>
  <c r="B225" i="1"/>
  <c r="H225" i="1" s="1"/>
  <c r="I225" i="1" s="1"/>
  <c r="N227" i="1"/>
  <c r="O227" i="1" s="1"/>
  <c r="L410" i="5"/>
  <c r="M410" i="5" s="1"/>
  <c r="O410" i="5" s="1"/>
  <c r="L413" i="5"/>
  <c r="M413" i="5" s="1"/>
  <c r="O413" i="5" s="1"/>
  <c r="P413" i="5"/>
  <c r="G413" i="5"/>
  <c r="P415" i="5"/>
  <c r="G415" i="5"/>
  <c r="L415" i="5"/>
  <c r="M415" i="5" s="1"/>
  <c r="O415" i="5" s="1"/>
  <c r="L414" i="5"/>
  <c r="M414" i="5" s="1"/>
  <c r="O414" i="5" s="1"/>
  <c r="G414" i="5"/>
  <c r="O78" i="6"/>
  <c r="F78" i="6"/>
  <c r="K78" i="6"/>
  <c r="L78" i="6" s="1"/>
  <c r="N78" i="6" s="1"/>
  <c r="K74" i="6"/>
  <c r="L74" i="6" s="1"/>
  <c r="N74" i="6" s="1"/>
  <c r="F74" i="6"/>
  <c r="O79" i="6"/>
  <c r="F79" i="6"/>
  <c r="K79" i="6"/>
  <c r="L79" i="6" s="1"/>
  <c r="N79" i="6" s="1"/>
  <c r="O76" i="6"/>
  <c r="F76" i="6"/>
  <c r="F77" i="6"/>
  <c r="P411" i="5"/>
  <c r="G411" i="5"/>
  <c r="L411" i="5"/>
  <c r="M411" i="5" s="1"/>
  <c r="O411" i="5" s="1"/>
  <c r="G410" i="5"/>
  <c r="P410" i="5"/>
  <c r="L412" i="5"/>
  <c r="M412" i="5" s="1"/>
  <c r="O412" i="5" s="1"/>
  <c r="G412" i="5"/>
  <c r="E188" i="3"/>
  <c r="F188" i="3" s="1"/>
  <c r="G186" i="3"/>
  <c r="H186" i="3" s="1"/>
  <c r="G187" i="3"/>
  <c r="H187" i="3" s="1"/>
  <c r="G185" i="3"/>
  <c r="H185" i="3" s="1"/>
  <c r="G184" i="3"/>
  <c r="H184" i="3" s="1"/>
  <c r="L226" i="1"/>
  <c r="M226" i="1" s="1"/>
  <c r="P226" i="1"/>
  <c r="Q226" i="1" s="1"/>
  <c r="V221" i="1"/>
  <c r="W221" i="1" s="1"/>
  <c r="R226" i="1"/>
  <c r="S226" i="1" s="1"/>
  <c r="B226" i="1"/>
  <c r="H226" i="1" s="1"/>
  <c r="I226" i="1" s="1"/>
  <c r="T226" i="1"/>
  <c r="U226" i="1" s="1"/>
  <c r="N226" i="1"/>
  <c r="O226" i="1" s="1"/>
  <c r="L407" i="5"/>
  <c r="M407" i="5" s="1"/>
  <c r="O407" i="5" s="1"/>
  <c r="P409" i="5"/>
  <c r="G409" i="5"/>
  <c r="L409" i="5"/>
  <c r="M409" i="5" s="1"/>
  <c r="O409" i="5" s="1"/>
  <c r="P408" i="5"/>
  <c r="G408" i="5"/>
  <c r="L408" i="5"/>
  <c r="M408" i="5" s="1"/>
  <c r="O408" i="5" s="1"/>
  <c r="G407" i="5"/>
  <c r="P407" i="5"/>
  <c r="E187" i="3"/>
  <c r="F187" i="3" s="1"/>
  <c r="P405" i="5"/>
  <c r="L405" i="5"/>
  <c r="M405" i="5" s="1"/>
  <c r="O405" i="5" s="1"/>
  <c r="R225" i="1"/>
  <c r="S225" i="1" s="1"/>
  <c r="P225" i="1"/>
  <c r="Q225" i="1" s="1"/>
  <c r="L225" i="1"/>
  <c r="M225" i="1" s="1"/>
  <c r="T225" i="1"/>
  <c r="U225" i="1" s="1"/>
  <c r="N225" i="1"/>
  <c r="O225" i="1" s="1"/>
  <c r="K71" i="6"/>
  <c r="L71" i="6" s="1"/>
  <c r="N71" i="6" s="1"/>
  <c r="L404" i="5"/>
  <c r="M404" i="5" s="1"/>
  <c r="O404" i="5" s="1"/>
  <c r="O75" i="6"/>
  <c r="K75" i="6"/>
  <c r="L75" i="6" s="1"/>
  <c r="N75" i="6" s="1"/>
  <c r="O74" i="6"/>
  <c r="K76" i="6"/>
  <c r="L76" i="6" s="1"/>
  <c r="N76" i="6" s="1"/>
  <c r="P404" i="5"/>
  <c r="G404" i="5"/>
  <c r="L406" i="5"/>
  <c r="M406" i="5" s="1"/>
  <c r="O406" i="5" s="1"/>
  <c r="G405" i="5"/>
  <c r="G406" i="5"/>
  <c r="L401" i="5"/>
  <c r="M401" i="5" s="1"/>
  <c r="O401" i="5" s="1"/>
  <c r="P401" i="5"/>
  <c r="G401" i="5"/>
  <c r="P403" i="5"/>
  <c r="G403" i="5"/>
  <c r="L403" i="5"/>
  <c r="M403" i="5" s="1"/>
  <c r="O403" i="5" s="1"/>
  <c r="P402" i="5"/>
  <c r="G402" i="5"/>
  <c r="L402" i="5"/>
  <c r="M402" i="5" s="1"/>
  <c r="O402" i="5" s="1"/>
  <c r="E186" i="3"/>
  <c r="F186" i="3" s="1"/>
  <c r="L224" i="1"/>
  <c r="M224" i="1" s="1"/>
  <c r="P224" i="1"/>
  <c r="Q224" i="1" s="1"/>
  <c r="V223" i="1"/>
  <c r="W223" i="1" s="1"/>
  <c r="R224" i="1"/>
  <c r="S224" i="1" s="1"/>
  <c r="V222" i="1"/>
  <c r="W222" i="1" s="1"/>
  <c r="B224" i="1"/>
  <c r="H224" i="1" s="1"/>
  <c r="I224" i="1" s="1"/>
  <c r="T224" i="1"/>
  <c r="U224" i="1" s="1"/>
  <c r="N224" i="1"/>
  <c r="O224" i="1" s="1"/>
  <c r="L398" i="5"/>
  <c r="M398" i="5" s="1"/>
  <c r="O398" i="5" s="1"/>
  <c r="P400" i="5"/>
  <c r="G400" i="5"/>
  <c r="L400" i="5"/>
  <c r="M400" i="5" s="1"/>
  <c r="O400" i="5" s="1"/>
  <c r="P399" i="5"/>
  <c r="G399" i="5"/>
  <c r="L399" i="5"/>
  <c r="M399" i="5" s="1"/>
  <c r="O399" i="5" s="1"/>
  <c r="G398" i="5"/>
  <c r="P398" i="5"/>
  <c r="E185" i="3"/>
  <c r="F185" i="3" s="1"/>
  <c r="G183" i="3"/>
  <c r="H183" i="3" s="1"/>
  <c r="L223" i="1"/>
  <c r="M223" i="1" s="1"/>
  <c r="P223" i="1"/>
  <c r="Q223" i="1" s="1"/>
  <c r="R223" i="1"/>
  <c r="S223" i="1" s="1"/>
  <c r="B223" i="1"/>
  <c r="H223" i="1" s="1"/>
  <c r="I223" i="1" s="1"/>
  <c r="T223" i="1"/>
  <c r="U223" i="1" s="1"/>
  <c r="N223" i="1"/>
  <c r="O223" i="1" s="1"/>
  <c r="O72" i="6"/>
  <c r="K72" i="6"/>
  <c r="L72" i="6" s="1"/>
  <c r="N72" i="6" s="1"/>
  <c r="O73" i="6"/>
  <c r="K73" i="6"/>
  <c r="L73" i="6" s="1"/>
  <c r="N73" i="6" s="1"/>
  <c r="O71" i="6"/>
  <c r="L395" i="5"/>
  <c r="M395" i="5" s="1"/>
  <c r="O395" i="5" s="1"/>
  <c r="P396" i="5"/>
  <c r="G396" i="5"/>
  <c r="L396" i="5"/>
  <c r="M396" i="5" s="1"/>
  <c r="O396" i="5" s="1"/>
  <c r="P397" i="5"/>
  <c r="G397" i="5"/>
  <c r="L397" i="5"/>
  <c r="M397" i="5" s="1"/>
  <c r="O397" i="5" s="1"/>
  <c r="L390" i="5"/>
  <c r="M390" i="5" s="1"/>
  <c r="O390" i="5" s="1"/>
  <c r="G395" i="5"/>
  <c r="P395" i="5"/>
  <c r="L392" i="5"/>
  <c r="M392" i="5" s="1"/>
  <c r="O392" i="5" s="1"/>
  <c r="P392" i="5"/>
  <c r="G392" i="5"/>
  <c r="P394" i="5"/>
  <c r="L394" i="5"/>
  <c r="M394" i="5" s="1"/>
  <c r="O394" i="5" s="1"/>
  <c r="G394" i="5"/>
  <c r="P393" i="5"/>
  <c r="G393" i="5"/>
  <c r="L393" i="5"/>
  <c r="M393" i="5" s="1"/>
  <c r="O393" i="5" s="1"/>
  <c r="L389" i="5"/>
  <c r="M389" i="5" s="1"/>
  <c r="O389" i="5" s="1"/>
  <c r="G389" i="5"/>
  <c r="P389" i="5"/>
  <c r="L391" i="5"/>
  <c r="M391" i="5" s="1"/>
  <c r="O391" i="5" s="1"/>
  <c r="G390" i="5"/>
  <c r="G391" i="5"/>
  <c r="E184" i="3"/>
  <c r="F184" i="3" s="1"/>
  <c r="L222" i="1"/>
  <c r="M222" i="1" s="1"/>
  <c r="T222" i="1"/>
  <c r="U222" i="1" s="1"/>
  <c r="P222" i="1"/>
  <c r="Q222" i="1" s="1"/>
  <c r="R222" i="1"/>
  <c r="S222" i="1" s="1"/>
  <c r="N222" i="1"/>
  <c r="O222" i="1" s="1"/>
  <c r="B222" i="1"/>
  <c r="H222" i="1" s="1"/>
  <c r="I222" i="1" s="1"/>
  <c r="L388" i="5"/>
  <c r="M388" i="5" s="1"/>
  <c r="O388" i="5" s="1"/>
  <c r="L386" i="5"/>
  <c r="M386" i="5" s="1"/>
  <c r="O386" i="5" s="1"/>
  <c r="P386" i="5"/>
  <c r="G386" i="5"/>
  <c r="G388" i="5"/>
  <c r="P388" i="5"/>
  <c r="L387" i="5"/>
  <c r="M387" i="5" s="1"/>
  <c r="O387" i="5" s="1"/>
  <c r="G387" i="5"/>
  <c r="E183" i="3"/>
  <c r="F183" i="3" s="1"/>
  <c r="L221" i="1"/>
  <c r="M221" i="1" s="1"/>
  <c r="P221" i="1"/>
  <c r="Q221" i="1" s="1"/>
  <c r="R221" i="1"/>
  <c r="S221" i="1" s="1"/>
  <c r="B221" i="1"/>
  <c r="H221" i="1" s="1"/>
  <c r="I221" i="1" s="1"/>
  <c r="T221" i="1"/>
  <c r="U221" i="1" s="1"/>
  <c r="N221" i="1"/>
  <c r="O221" i="1" s="1"/>
  <c r="N385" i="5"/>
  <c r="K385" i="5"/>
  <c r="H385" i="5"/>
  <c r="J385" i="5" s="1"/>
  <c r="C385" i="5"/>
  <c r="F385" i="5" s="1"/>
  <c r="N384" i="5"/>
  <c r="K384" i="5"/>
  <c r="H384" i="5"/>
  <c r="J384" i="5" s="1"/>
  <c r="C384" i="5"/>
  <c r="F384" i="5" s="1"/>
  <c r="N383" i="5"/>
  <c r="K383" i="5"/>
  <c r="H383" i="5"/>
  <c r="J383" i="5" s="1"/>
  <c r="C383" i="5"/>
  <c r="F383" i="5" s="1"/>
  <c r="D182" i="3"/>
  <c r="B182" i="3"/>
  <c r="J227" i="1" l="1"/>
  <c r="K227" i="1" s="1"/>
  <c r="G182" i="3"/>
  <c r="H182" i="3" s="1"/>
  <c r="J226" i="1"/>
  <c r="K226" i="1" s="1"/>
  <c r="J225" i="1"/>
  <c r="K225" i="1" s="1"/>
  <c r="J223" i="1"/>
  <c r="K223" i="1" s="1"/>
  <c r="J224" i="1"/>
  <c r="K224" i="1" s="1"/>
  <c r="J222" i="1"/>
  <c r="K222" i="1" s="1"/>
  <c r="J221" i="1"/>
  <c r="K221" i="1" s="1"/>
  <c r="P384" i="5"/>
  <c r="G384" i="5"/>
  <c r="L384" i="5"/>
  <c r="M384" i="5" s="1"/>
  <c r="O384" i="5" s="1"/>
  <c r="P383" i="5"/>
  <c r="G383" i="5"/>
  <c r="L383" i="5"/>
  <c r="M383" i="5" s="1"/>
  <c r="O383" i="5" s="1"/>
  <c r="P385" i="5"/>
  <c r="L385" i="5"/>
  <c r="M385" i="5" s="1"/>
  <c r="O385" i="5" s="1"/>
  <c r="G385" i="5"/>
  <c r="E182" i="3"/>
  <c r="F182" i="3" s="1"/>
  <c r="G220" i="1"/>
  <c r="E220" i="1"/>
  <c r="C220" i="1" s="1"/>
  <c r="N382" i="5"/>
  <c r="K382" i="5"/>
  <c r="H382" i="5"/>
  <c r="J382" i="5" s="1"/>
  <c r="C382" i="5"/>
  <c r="F382" i="5" s="1"/>
  <c r="P382" i="5" s="1"/>
  <c r="N381" i="5"/>
  <c r="K381" i="5"/>
  <c r="H381" i="5"/>
  <c r="J381" i="5" s="1"/>
  <c r="C381" i="5"/>
  <c r="F381" i="5" s="1"/>
  <c r="P381" i="5" s="1"/>
  <c r="N380" i="5"/>
  <c r="K380" i="5"/>
  <c r="H380" i="5"/>
  <c r="J380" i="5" s="1"/>
  <c r="C380" i="5"/>
  <c r="F380" i="5" s="1"/>
  <c r="N379" i="5"/>
  <c r="K379" i="5"/>
  <c r="H379" i="5"/>
  <c r="J379" i="5" s="1"/>
  <c r="C379" i="5"/>
  <c r="F379" i="5" s="1"/>
  <c r="N378" i="5"/>
  <c r="K378" i="5"/>
  <c r="H378" i="5"/>
  <c r="J378" i="5" s="1"/>
  <c r="C378" i="5"/>
  <c r="F378" i="5" s="1"/>
  <c r="N377" i="5"/>
  <c r="K377" i="5"/>
  <c r="H377" i="5"/>
  <c r="J377" i="5" s="1"/>
  <c r="C377" i="5"/>
  <c r="F377" i="5" s="1"/>
  <c r="D181" i="3"/>
  <c r="B181" i="3"/>
  <c r="G219" i="1"/>
  <c r="R219" i="1" s="1"/>
  <c r="S219" i="1" s="1"/>
  <c r="E219" i="1"/>
  <c r="C219" i="1" s="1"/>
  <c r="N376" i="5"/>
  <c r="K376" i="5"/>
  <c r="H376" i="5"/>
  <c r="J376" i="5" s="1"/>
  <c r="C376" i="5"/>
  <c r="F376" i="5" s="1"/>
  <c r="P376" i="5" s="1"/>
  <c r="N375" i="5"/>
  <c r="K375" i="5"/>
  <c r="H375" i="5"/>
  <c r="J375" i="5" s="1"/>
  <c r="C375" i="5"/>
  <c r="F375" i="5" s="1"/>
  <c r="P375" i="5" s="1"/>
  <c r="N374" i="5"/>
  <c r="K374" i="5"/>
  <c r="H374" i="5"/>
  <c r="J374" i="5" s="1"/>
  <c r="C374" i="5"/>
  <c r="F374" i="5" s="1"/>
  <c r="D180" i="3"/>
  <c r="B180" i="3"/>
  <c r="G218" i="1"/>
  <c r="E218" i="1"/>
  <c r="C218" i="1" s="1"/>
  <c r="N373" i="5"/>
  <c r="K373" i="5"/>
  <c r="H373" i="5"/>
  <c r="J373" i="5" s="1"/>
  <c r="C373" i="5"/>
  <c r="F373" i="5" s="1"/>
  <c r="N372" i="5"/>
  <c r="K372" i="5"/>
  <c r="H372" i="5"/>
  <c r="J372" i="5" s="1"/>
  <c r="C372" i="5"/>
  <c r="F372" i="5" s="1"/>
  <c r="P372" i="5" s="1"/>
  <c r="N371" i="5"/>
  <c r="K371" i="5"/>
  <c r="H371" i="5"/>
  <c r="J371" i="5" s="1"/>
  <c r="C371" i="5"/>
  <c r="F371" i="5" s="1"/>
  <c r="N370" i="5"/>
  <c r="K370" i="5"/>
  <c r="H370" i="5"/>
  <c r="J370" i="5" s="1"/>
  <c r="C370" i="5"/>
  <c r="F370" i="5" s="1"/>
  <c r="P370" i="5" s="1"/>
  <c r="N369" i="5"/>
  <c r="K369" i="5"/>
  <c r="H369" i="5"/>
  <c r="J369" i="5" s="1"/>
  <c r="C369" i="5"/>
  <c r="F369" i="5" s="1"/>
  <c r="N368" i="5"/>
  <c r="K368" i="5"/>
  <c r="H368" i="5"/>
  <c r="J368" i="5" s="1"/>
  <c r="C368" i="5"/>
  <c r="F368" i="5" s="1"/>
  <c r="D179" i="3"/>
  <c r="B179" i="3"/>
  <c r="G217" i="1"/>
  <c r="E217" i="1"/>
  <c r="C217" i="1" s="1"/>
  <c r="D178" i="3"/>
  <c r="B178" i="3"/>
  <c r="G216" i="1"/>
  <c r="R216" i="1" s="1"/>
  <c r="S216" i="1" s="1"/>
  <c r="E216" i="1"/>
  <c r="C216" i="1" s="1"/>
  <c r="N367" i="5"/>
  <c r="K367" i="5"/>
  <c r="H367" i="5"/>
  <c r="J367" i="5" s="1"/>
  <c r="C367" i="5"/>
  <c r="F367" i="5" s="1"/>
  <c r="N366" i="5"/>
  <c r="K366" i="5"/>
  <c r="H366" i="5"/>
  <c r="J366" i="5" s="1"/>
  <c r="C366" i="5"/>
  <c r="F366" i="5" s="1"/>
  <c r="N365" i="5"/>
  <c r="K365" i="5"/>
  <c r="H365" i="5"/>
  <c r="J365" i="5" s="1"/>
  <c r="C365" i="5"/>
  <c r="F365" i="5" s="1"/>
  <c r="N364" i="5"/>
  <c r="K364" i="5"/>
  <c r="H364" i="5"/>
  <c r="J364" i="5" s="1"/>
  <c r="C364" i="5"/>
  <c r="F364" i="5" s="1"/>
  <c r="N363" i="5"/>
  <c r="K363" i="5"/>
  <c r="H363" i="5"/>
  <c r="J363" i="5" s="1"/>
  <c r="C363" i="5"/>
  <c r="F363" i="5" s="1"/>
  <c r="N362" i="5"/>
  <c r="K362" i="5"/>
  <c r="H362" i="5"/>
  <c r="J362" i="5" s="1"/>
  <c r="C362" i="5"/>
  <c r="F362" i="5" s="1"/>
  <c r="B98" i="6"/>
  <c r="V220" i="1" l="1"/>
  <c r="W220" i="1" s="1"/>
  <c r="G181" i="3"/>
  <c r="H181" i="3" s="1"/>
  <c r="V217" i="1"/>
  <c r="W217" i="1" s="1"/>
  <c r="V218" i="1"/>
  <c r="W218" i="1" s="1"/>
  <c r="L380" i="5"/>
  <c r="M380" i="5" s="1"/>
  <c r="O380" i="5" s="1"/>
  <c r="G179" i="3"/>
  <c r="H179" i="3" s="1"/>
  <c r="L220" i="1"/>
  <c r="M220" i="1" s="1"/>
  <c r="P220" i="1"/>
  <c r="Q220" i="1" s="1"/>
  <c r="R220" i="1"/>
  <c r="S220" i="1" s="1"/>
  <c r="B220" i="1"/>
  <c r="H220" i="1" s="1"/>
  <c r="I220" i="1" s="1"/>
  <c r="T220" i="1"/>
  <c r="U220" i="1" s="1"/>
  <c r="N220" i="1"/>
  <c r="O220" i="1" s="1"/>
  <c r="L381" i="5"/>
  <c r="M381" i="5" s="1"/>
  <c r="O381" i="5" s="1"/>
  <c r="G380" i="5"/>
  <c r="P380" i="5"/>
  <c r="L382" i="5"/>
  <c r="M382" i="5" s="1"/>
  <c r="O382" i="5" s="1"/>
  <c r="G381" i="5"/>
  <c r="G382" i="5"/>
  <c r="L377" i="5"/>
  <c r="M377" i="5" s="1"/>
  <c r="O377" i="5" s="1"/>
  <c r="P379" i="5"/>
  <c r="G379" i="5"/>
  <c r="L379" i="5"/>
  <c r="M379" i="5" s="1"/>
  <c r="O379" i="5" s="1"/>
  <c r="P378" i="5"/>
  <c r="G378" i="5"/>
  <c r="L378" i="5"/>
  <c r="M378" i="5" s="1"/>
  <c r="O378" i="5" s="1"/>
  <c r="G377" i="5"/>
  <c r="P377" i="5"/>
  <c r="L375" i="5"/>
  <c r="M375" i="5" s="1"/>
  <c r="O375" i="5" s="1"/>
  <c r="E181" i="3"/>
  <c r="F181" i="3" s="1"/>
  <c r="T219" i="1"/>
  <c r="U219" i="1" s="1"/>
  <c r="G180" i="3"/>
  <c r="H180" i="3" s="1"/>
  <c r="G178" i="3"/>
  <c r="H178" i="3" s="1"/>
  <c r="L219" i="1"/>
  <c r="M219" i="1" s="1"/>
  <c r="V219" i="1"/>
  <c r="W219" i="1" s="1"/>
  <c r="N219" i="1"/>
  <c r="O219" i="1" s="1"/>
  <c r="P219" i="1"/>
  <c r="Q219" i="1" s="1"/>
  <c r="B219" i="1"/>
  <c r="H219" i="1" s="1"/>
  <c r="I219" i="1" s="1"/>
  <c r="L374" i="5"/>
  <c r="M374" i="5" s="1"/>
  <c r="O374" i="5" s="1"/>
  <c r="G374" i="5"/>
  <c r="P374" i="5"/>
  <c r="G372" i="5"/>
  <c r="L376" i="5"/>
  <c r="M376" i="5" s="1"/>
  <c r="O376" i="5" s="1"/>
  <c r="L372" i="5"/>
  <c r="M372" i="5" s="1"/>
  <c r="O372" i="5" s="1"/>
  <c r="G375" i="5"/>
  <c r="G376" i="5"/>
  <c r="L218" i="1"/>
  <c r="M218" i="1" s="1"/>
  <c r="E180" i="3"/>
  <c r="F180" i="3" s="1"/>
  <c r="P218" i="1"/>
  <c r="Q218" i="1" s="1"/>
  <c r="R218" i="1"/>
  <c r="S218" i="1" s="1"/>
  <c r="B218" i="1"/>
  <c r="H218" i="1" s="1"/>
  <c r="I218" i="1" s="1"/>
  <c r="T218" i="1"/>
  <c r="U218" i="1" s="1"/>
  <c r="N218" i="1"/>
  <c r="O218" i="1" s="1"/>
  <c r="L371" i="5"/>
  <c r="M371" i="5" s="1"/>
  <c r="O371" i="5" s="1"/>
  <c r="L368" i="5"/>
  <c r="M368" i="5" s="1"/>
  <c r="O368" i="5" s="1"/>
  <c r="P373" i="5"/>
  <c r="G373" i="5"/>
  <c r="L373" i="5"/>
  <c r="M373" i="5" s="1"/>
  <c r="O373" i="5" s="1"/>
  <c r="G366" i="5"/>
  <c r="P366" i="5"/>
  <c r="G371" i="5"/>
  <c r="P371" i="5"/>
  <c r="L366" i="5"/>
  <c r="M366" i="5" s="1"/>
  <c r="O366" i="5" s="1"/>
  <c r="P369" i="5"/>
  <c r="G369" i="5"/>
  <c r="L369" i="5"/>
  <c r="M369" i="5" s="1"/>
  <c r="O369" i="5" s="1"/>
  <c r="G368" i="5"/>
  <c r="P368" i="5"/>
  <c r="L370" i="5"/>
  <c r="M370" i="5" s="1"/>
  <c r="O370" i="5" s="1"/>
  <c r="G370" i="5"/>
  <c r="E179" i="3"/>
  <c r="F179" i="3" s="1"/>
  <c r="T217" i="1"/>
  <c r="U217" i="1" s="1"/>
  <c r="L217" i="1"/>
  <c r="M217" i="1" s="1"/>
  <c r="R217" i="1"/>
  <c r="S217" i="1" s="1"/>
  <c r="P217" i="1"/>
  <c r="Q217" i="1" s="1"/>
  <c r="B217" i="1"/>
  <c r="H217" i="1" s="1"/>
  <c r="I217" i="1" s="1"/>
  <c r="N217" i="1"/>
  <c r="O217" i="1" s="1"/>
  <c r="E178" i="3"/>
  <c r="F178" i="3" s="1"/>
  <c r="L216" i="1"/>
  <c r="M216" i="1" s="1"/>
  <c r="N216" i="1"/>
  <c r="O216" i="1" s="1"/>
  <c r="V216" i="1"/>
  <c r="W216" i="1" s="1"/>
  <c r="P216" i="1"/>
  <c r="Q216" i="1" s="1"/>
  <c r="B216" i="1"/>
  <c r="H216" i="1" s="1"/>
  <c r="I216" i="1" s="1"/>
  <c r="T216" i="1"/>
  <c r="U216" i="1" s="1"/>
  <c r="L365" i="5"/>
  <c r="M365" i="5" s="1"/>
  <c r="O365" i="5" s="1"/>
  <c r="P367" i="5"/>
  <c r="G367" i="5"/>
  <c r="L367" i="5"/>
  <c r="M367" i="5" s="1"/>
  <c r="O367" i="5" s="1"/>
  <c r="G365" i="5"/>
  <c r="P365" i="5"/>
  <c r="L362" i="5"/>
  <c r="M362" i="5" s="1"/>
  <c r="O362" i="5" s="1"/>
  <c r="P362" i="5"/>
  <c r="G362" i="5"/>
  <c r="P363" i="5"/>
  <c r="G363" i="5"/>
  <c r="L363" i="5"/>
  <c r="M363" i="5" s="1"/>
  <c r="O363" i="5" s="1"/>
  <c r="P364" i="5"/>
  <c r="G364" i="5"/>
  <c r="L364" i="5"/>
  <c r="M364" i="5" s="1"/>
  <c r="O364" i="5" s="1"/>
  <c r="D177" i="3"/>
  <c r="B177" i="3"/>
  <c r="G215" i="1"/>
  <c r="E215" i="1"/>
  <c r="C215" i="1" s="1"/>
  <c r="N361" i="5"/>
  <c r="K361" i="5"/>
  <c r="H361" i="5"/>
  <c r="J361" i="5" s="1"/>
  <c r="C361" i="5"/>
  <c r="F361" i="5" s="1"/>
  <c r="P361" i="5" s="1"/>
  <c r="N360" i="5"/>
  <c r="K360" i="5"/>
  <c r="H360" i="5"/>
  <c r="J360" i="5" s="1"/>
  <c r="C360" i="5"/>
  <c r="F360" i="5" s="1"/>
  <c r="P360" i="5" s="1"/>
  <c r="N359" i="5"/>
  <c r="K359" i="5"/>
  <c r="H359" i="5"/>
  <c r="J359" i="5" s="1"/>
  <c r="C359" i="5"/>
  <c r="F359" i="5" s="1"/>
  <c r="M70" i="6"/>
  <c r="J70" i="6"/>
  <c r="G70" i="6"/>
  <c r="I70" i="6" s="1"/>
  <c r="C70" i="6"/>
  <c r="E70" i="6" s="1"/>
  <c r="F70" i="6" s="1"/>
  <c r="M69" i="6"/>
  <c r="J69" i="6"/>
  <c r="G69" i="6"/>
  <c r="I69" i="6" s="1"/>
  <c r="C69" i="6"/>
  <c r="E69" i="6" s="1"/>
  <c r="M68" i="6"/>
  <c r="J68" i="6"/>
  <c r="G68" i="6"/>
  <c r="I68" i="6" s="1"/>
  <c r="C68" i="6"/>
  <c r="E68" i="6" s="1"/>
  <c r="N358" i="5"/>
  <c r="K358" i="5"/>
  <c r="H358" i="5"/>
  <c r="J358" i="5" s="1"/>
  <c r="C358" i="5"/>
  <c r="F358" i="5" s="1"/>
  <c r="N357" i="5"/>
  <c r="K357" i="5"/>
  <c r="H357" i="5"/>
  <c r="J357" i="5" s="1"/>
  <c r="C357" i="5"/>
  <c r="F357" i="5" s="1"/>
  <c r="N356" i="5"/>
  <c r="K356" i="5"/>
  <c r="H356" i="5"/>
  <c r="J356" i="5" s="1"/>
  <c r="C356" i="5"/>
  <c r="F356" i="5" s="1"/>
  <c r="D176" i="3"/>
  <c r="B176" i="3"/>
  <c r="G214" i="1"/>
  <c r="E214" i="1"/>
  <c r="C214" i="1" s="1"/>
  <c r="F68" i="6" l="1"/>
  <c r="F69" i="6"/>
  <c r="V214" i="1"/>
  <c r="W214" i="1" s="1"/>
  <c r="G176" i="3"/>
  <c r="H176" i="3" s="1"/>
  <c r="V215" i="1"/>
  <c r="W215" i="1" s="1"/>
  <c r="J219" i="1"/>
  <c r="K219" i="1" s="1"/>
  <c r="J220" i="1"/>
  <c r="K220" i="1" s="1"/>
  <c r="J218" i="1"/>
  <c r="K218" i="1" s="1"/>
  <c r="G177" i="3"/>
  <c r="H177" i="3" s="1"/>
  <c r="J216" i="1"/>
  <c r="K216" i="1" s="1"/>
  <c r="J217" i="1"/>
  <c r="K217" i="1" s="1"/>
  <c r="B215" i="1"/>
  <c r="H215" i="1" s="1"/>
  <c r="I215" i="1" s="1"/>
  <c r="L360" i="5"/>
  <c r="M360" i="5" s="1"/>
  <c r="O360" i="5" s="1"/>
  <c r="L359" i="5"/>
  <c r="M359" i="5" s="1"/>
  <c r="O359" i="5" s="1"/>
  <c r="E177" i="3"/>
  <c r="F177" i="3" s="1"/>
  <c r="L215" i="1"/>
  <c r="M215" i="1" s="1"/>
  <c r="P215" i="1"/>
  <c r="Q215" i="1" s="1"/>
  <c r="R215" i="1"/>
  <c r="S215" i="1" s="1"/>
  <c r="T215" i="1"/>
  <c r="U215" i="1" s="1"/>
  <c r="N215" i="1"/>
  <c r="O215" i="1" s="1"/>
  <c r="L361" i="5"/>
  <c r="M361" i="5" s="1"/>
  <c r="O361" i="5" s="1"/>
  <c r="G359" i="5"/>
  <c r="G360" i="5"/>
  <c r="P359" i="5"/>
  <c r="L356" i="5"/>
  <c r="M356" i="5" s="1"/>
  <c r="O356" i="5" s="1"/>
  <c r="G361" i="5"/>
  <c r="K69" i="6"/>
  <c r="L69" i="6" s="1"/>
  <c r="N69" i="6" s="1"/>
  <c r="O69" i="6"/>
  <c r="K68" i="6"/>
  <c r="L68" i="6" s="1"/>
  <c r="N68" i="6" s="1"/>
  <c r="O68" i="6"/>
  <c r="O70" i="6"/>
  <c r="K70" i="6"/>
  <c r="L70" i="6" s="1"/>
  <c r="N70" i="6" s="1"/>
  <c r="P357" i="5"/>
  <c r="G357" i="5"/>
  <c r="L357" i="5"/>
  <c r="M357" i="5" s="1"/>
  <c r="O357" i="5" s="1"/>
  <c r="P358" i="5"/>
  <c r="G358" i="5"/>
  <c r="L358" i="5"/>
  <c r="M358" i="5" s="1"/>
  <c r="O358" i="5" s="1"/>
  <c r="G356" i="5"/>
  <c r="P356" i="5"/>
  <c r="E176" i="3"/>
  <c r="F176" i="3" s="1"/>
  <c r="L214" i="1"/>
  <c r="M214" i="1" s="1"/>
  <c r="P214" i="1"/>
  <c r="Q214" i="1" s="1"/>
  <c r="B214" i="1"/>
  <c r="H214" i="1" s="1"/>
  <c r="I214" i="1" s="1"/>
  <c r="T214" i="1"/>
  <c r="U214" i="1" s="1"/>
  <c r="R214" i="1"/>
  <c r="S214" i="1" s="1"/>
  <c r="N214" i="1"/>
  <c r="O214" i="1" s="1"/>
  <c r="N355" i="5"/>
  <c r="K355" i="5"/>
  <c r="H355" i="5"/>
  <c r="J355" i="5" s="1"/>
  <c r="D355" i="5"/>
  <c r="C355" i="5"/>
  <c r="N354" i="5"/>
  <c r="K354" i="5"/>
  <c r="H354" i="5"/>
  <c r="J354" i="5" s="1"/>
  <c r="D354" i="5"/>
  <c r="C354" i="5"/>
  <c r="N353" i="5"/>
  <c r="K353" i="5"/>
  <c r="H353" i="5"/>
  <c r="J353" i="5" s="1"/>
  <c r="D353" i="5"/>
  <c r="C353" i="5"/>
  <c r="D175" i="3"/>
  <c r="B175" i="3"/>
  <c r="G213" i="1"/>
  <c r="E213" i="1"/>
  <c r="C213" i="1" s="1"/>
  <c r="M67" i="6"/>
  <c r="J67" i="6"/>
  <c r="G67" i="6"/>
  <c r="I67" i="6" s="1"/>
  <c r="E67" i="6"/>
  <c r="M66" i="6"/>
  <c r="J66" i="6"/>
  <c r="G66" i="6"/>
  <c r="I66" i="6" s="1"/>
  <c r="C66" i="6"/>
  <c r="E66" i="6" s="1"/>
  <c r="M65" i="6"/>
  <c r="J65" i="6"/>
  <c r="G65" i="6"/>
  <c r="I65" i="6" s="1"/>
  <c r="E65" i="6"/>
  <c r="O65" i="6" l="1"/>
  <c r="F65" i="6"/>
  <c r="O66" i="6"/>
  <c r="F66" i="6"/>
  <c r="O67" i="6"/>
  <c r="F67" i="6"/>
  <c r="J215" i="1"/>
  <c r="K215" i="1" s="1"/>
  <c r="V213" i="1"/>
  <c r="W213" i="1" s="1"/>
  <c r="F354" i="5"/>
  <c r="P354" i="5" s="1"/>
  <c r="G175" i="3"/>
  <c r="H175" i="3" s="1"/>
  <c r="J214" i="1"/>
  <c r="K214" i="1" s="1"/>
  <c r="F355" i="5"/>
  <c r="P355" i="5" s="1"/>
  <c r="F353" i="5"/>
  <c r="P353" i="5" s="1"/>
  <c r="K67" i="6"/>
  <c r="L67" i="6" s="1"/>
  <c r="N67" i="6" s="1"/>
  <c r="E175" i="3"/>
  <c r="F175" i="3" s="1"/>
  <c r="L213" i="1"/>
  <c r="M213" i="1" s="1"/>
  <c r="T213" i="1"/>
  <c r="U213" i="1" s="1"/>
  <c r="P213" i="1"/>
  <c r="Q213" i="1" s="1"/>
  <c r="B213" i="1"/>
  <c r="H213" i="1" s="1"/>
  <c r="I213" i="1" s="1"/>
  <c r="R213" i="1"/>
  <c r="S213" i="1" s="1"/>
  <c r="N213" i="1"/>
  <c r="O213" i="1" s="1"/>
  <c r="K65" i="6"/>
  <c r="L65" i="6" s="1"/>
  <c r="N65" i="6" s="1"/>
  <c r="K66" i="6"/>
  <c r="L66" i="6" s="1"/>
  <c r="N66" i="6" s="1"/>
  <c r="N352" i="5"/>
  <c r="K352" i="5"/>
  <c r="H352" i="5"/>
  <c r="J352" i="5" s="1"/>
  <c r="C352" i="5"/>
  <c r="F352" i="5" s="1"/>
  <c r="N351" i="5"/>
  <c r="K351" i="5"/>
  <c r="H351" i="5"/>
  <c r="J351" i="5" s="1"/>
  <c r="C351" i="5"/>
  <c r="F351" i="5" s="1"/>
  <c r="P351" i="5" s="1"/>
  <c r="N350" i="5"/>
  <c r="K350" i="5"/>
  <c r="H350" i="5"/>
  <c r="J350" i="5" s="1"/>
  <c r="C350" i="5"/>
  <c r="F350" i="5" s="1"/>
  <c r="P350" i="5" s="1"/>
  <c r="N349" i="5"/>
  <c r="K349" i="5"/>
  <c r="H349" i="5"/>
  <c r="J349" i="5" s="1"/>
  <c r="C349" i="5"/>
  <c r="F349" i="5" s="1"/>
  <c r="P349" i="5" s="1"/>
  <c r="N348" i="5"/>
  <c r="K348" i="5"/>
  <c r="H348" i="5"/>
  <c r="J348" i="5" s="1"/>
  <c r="C348" i="5"/>
  <c r="F348" i="5" s="1"/>
  <c r="N347" i="5"/>
  <c r="K347" i="5"/>
  <c r="H347" i="5"/>
  <c r="J347" i="5" s="1"/>
  <c r="C347" i="5"/>
  <c r="F347" i="5" s="1"/>
  <c r="P347" i="5" s="1"/>
  <c r="D174" i="3"/>
  <c r="B174" i="3"/>
  <c r="G212" i="1"/>
  <c r="E212" i="1"/>
  <c r="C212" i="1" s="1"/>
  <c r="D173" i="3"/>
  <c r="B173" i="3"/>
  <c r="G211" i="1"/>
  <c r="E211" i="1"/>
  <c r="C211" i="1" s="1"/>
  <c r="M64" i="6"/>
  <c r="J64" i="6"/>
  <c r="G64" i="6"/>
  <c r="I64" i="6" s="1"/>
  <c r="C64" i="6"/>
  <c r="E64" i="6" s="1"/>
  <c r="M63" i="6"/>
  <c r="J63" i="6"/>
  <c r="G63" i="6"/>
  <c r="I63" i="6" s="1"/>
  <c r="C63" i="6"/>
  <c r="E63" i="6" s="1"/>
  <c r="M62" i="6"/>
  <c r="J62" i="6"/>
  <c r="G62" i="6"/>
  <c r="I62" i="6" s="1"/>
  <c r="C62" i="6"/>
  <c r="E62" i="6" s="1"/>
  <c r="H343" i="5"/>
  <c r="C343" i="5"/>
  <c r="F343" i="5" s="1"/>
  <c r="P343" i="5" s="1"/>
  <c r="H342" i="5"/>
  <c r="J342" i="5" s="1"/>
  <c r="C342" i="5"/>
  <c r="F342" i="5" s="1"/>
  <c r="P342" i="5" s="1"/>
  <c r="H341" i="5"/>
  <c r="C341" i="5"/>
  <c r="F341" i="5" s="1"/>
  <c r="P341" i="5" s="1"/>
  <c r="N343" i="5"/>
  <c r="K343" i="5"/>
  <c r="N342" i="5"/>
  <c r="K342" i="5"/>
  <c r="N341" i="5"/>
  <c r="K341" i="5"/>
  <c r="N346" i="5"/>
  <c r="K346" i="5"/>
  <c r="H346" i="5"/>
  <c r="J346" i="5" s="1"/>
  <c r="F346" i="5"/>
  <c r="P346" i="5" s="1"/>
  <c r="N345" i="5"/>
  <c r="K345" i="5"/>
  <c r="H345" i="5"/>
  <c r="J345" i="5" s="1"/>
  <c r="F345" i="5"/>
  <c r="P345" i="5" s="1"/>
  <c r="N344" i="5"/>
  <c r="K344" i="5"/>
  <c r="H344" i="5"/>
  <c r="J344" i="5" s="1"/>
  <c r="F344" i="5"/>
  <c r="P344" i="5" s="1"/>
  <c r="N340" i="5"/>
  <c r="K340" i="5"/>
  <c r="H340" i="5"/>
  <c r="J340" i="5" s="1"/>
  <c r="C340" i="5"/>
  <c r="F340" i="5" s="1"/>
  <c r="P340" i="5" s="1"/>
  <c r="N339" i="5"/>
  <c r="K339" i="5"/>
  <c r="H339" i="5"/>
  <c r="J339" i="5" s="1"/>
  <c r="C339" i="5"/>
  <c r="F339" i="5" s="1"/>
  <c r="P339" i="5" s="1"/>
  <c r="N338" i="5"/>
  <c r="K338" i="5"/>
  <c r="H338" i="5"/>
  <c r="J338" i="5" s="1"/>
  <c r="C338" i="5"/>
  <c r="F338" i="5" s="1"/>
  <c r="P338" i="5" s="1"/>
  <c r="N337" i="5"/>
  <c r="K337" i="5"/>
  <c r="H337" i="5"/>
  <c r="J337" i="5" s="1"/>
  <c r="C337" i="5"/>
  <c r="F337" i="5" s="1"/>
  <c r="P337" i="5" s="1"/>
  <c r="N336" i="5"/>
  <c r="K336" i="5"/>
  <c r="H336" i="5"/>
  <c r="J336" i="5" s="1"/>
  <c r="C336" i="5"/>
  <c r="F336" i="5" s="1"/>
  <c r="P336" i="5" s="1"/>
  <c r="N335" i="5"/>
  <c r="K335" i="5"/>
  <c r="H335" i="5"/>
  <c r="J335" i="5" s="1"/>
  <c r="C335" i="5"/>
  <c r="F335" i="5" s="1"/>
  <c r="P335" i="5" s="1"/>
  <c r="D172" i="3"/>
  <c r="B172" i="3"/>
  <c r="G210" i="1"/>
  <c r="R210" i="1" s="1"/>
  <c r="S210" i="1" s="1"/>
  <c r="E210" i="1"/>
  <c r="B210" i="1" s="1"/>
  <c r="N334" i="5"/>
  <c r="K334" i="5"/>
  <c r="H334" i="5"/>
  <c r="J334" i="5" s="1"/>
  <c r="C334" i="5"/>
  <c r="F334" i="5" s="1"/>
  <c r="P334" i="5" s="1"/>
  <c r="N333" i="5"/>
  <c r="K333" i="5"/>
  <c r="H333" i="5"/>
  <c r="J333" i="5" s="1"/>
  <c r="C333" i="5"/>
  <c r="F333" i="5" s="1"/>
  <c r="P333" i="5" s="1"/>
  <c r="N332" i="5"/>
  <c r="K332" i="5"/>
  <c r="H332" i="5"/>
  <c r="J332" i="5" s="1"/>
  <c r="C332" i="5"/>
  <c r="F332" i="5" s="1"/>
  <c r="P332" i="5" s="1"/>
  <c r="D171" i="3"/>
  <c r="B171" i="3"/>
  <c r="G209" i="1"/>
  <c r="E209" i="1"/>
  <c r="C209" i="1" s="1"/>
  <c r="N331" i="5"/>
  <c r="K331" i="5"/>
  <c r="H331" i="5"/>
  <c r="J331" i="5" s="1"/>
  <c r="C331" i="5"/>
  <c r="F331" i="5" s="1"/>
  <c r="N330" i="5"/>
  <c r="K330" i="5"/>
  <c r="H330" i="5"/>
  <c r="J330" i="5" s="1"/>
  <c r="C330" i="5"/>
  <c r="F330" i="5" s="1"/>
  <c r="P330" i="5" s="1"/>
  <c r="N329" i="5"/>
  <c r="K329" i="5"/>
  <c r="H329" i="5"/>
  <c r="J329" i="5" s="1"/>
  <c r="C329" i="5"/>
  <c r="F329" i="5" s="1"/>
  <c r="P329" i="5" s="1"/>
  <c r="N328" i="5"/>
  <c r="K328" i="5"/>
  <c r="H328" i="5"/>
  <c r="J328" i="5" s="1"/>
  <c r="C328" i="5"/>
  <c r="F328" i="5" s="1"/>
  <c r="P328" i="5" s="1"/>
  <c r="N327" i="5"/>
  <c r="K327" i="5"/>
  <c r="H327" i="5"/>
  <c r="J327" i="5" s="1"/>
  <c r="C327" i="5"/>
  <c r="F327" i="5" s="1"/>
  <c r="P327" i="5" s="1"/>
  <c r="N326" i="5"/>
  <c r="K326" i="5"/>
  <c r="H326" i="5"/>
  <c r="J326" i="5" s="1"/>
  <c r="C326" i="5"/>
  <c r="F326" i="5" s="1"/>
  <c r="P326" i="5" s="1"/>
  <c r="D170" i="3"/>
  <c r="B170" i="3"/>
  <c r="G208" i="1"/>
  <c r="E208" i="1"/>
  <c r="C208" i="1" s="1"/>
  <c r="N325" i="5"/>
  <c r="K325" i="5"/>
  <c r="H325" i="5"/>
  <c r="J325" i="5" s="1"/>
  <c r="C325" i="5"/>
  <c r="F325" i="5" s="1"/>
  <c r="P325" i="5" s="1"/>
  <c r="N324" i="5"/>
  <c r="K324" i="5"/>
  <c r="H324" i="5"/>
  <c r="J324" i="5" s="1"/>
  <c r="C324" i="5"/>
  <c r="F324" i="5" s="1"/>
  <c r="P324" i="5" s="1"/>
  <c r="N323" i="5"/>
  <c r="K323" i="5"/>
  <c r="H323" i="5"/>
  <c r="J323" i="5" s="1"/>
  <c r="C323" i="5"/>
  <c r="F323" i="5" s="1"/>
  <c r="P323" i="5" s="1"/>
  <c r="D169" i="3"/>
  <c r="B169" i="3"/>
  <c r="G207" i="1"/>
  <c r="E207" i="1"/>
  <c r="C207" i="1" s="1"/>
  <c r="N322" i="5"/>
  <c r="K322" i="5"/>
  <c r="H322" i="5"/>
  <c r="J322" i="5" s="1"/>
  <c r="C322" i="5"/>
  <c r="F322" i="5" s="1"/>
  <c r="P322" i="5" s="1"/>
  <c r="N321" i="5"/>
  <c r="K321" i="5"/>
  <c r="H321" i="5"/>
  <c r="J321" i="5" s="1"/>
  <c r="C321" i="5"/>
  <c r="F321" i="5" s="1"/>
  <c r="P321" i="5" s="1"/>
  <c r="N320" i="5"/>
  <c r="K320" i="5"/>
  <c r="H320" i="5"/>
  <c r="J320" i="5" s="1"/>
  <c r="C320" i="5"/>
  <c r="F320" i="5" s="1"/>
  <c r="P320" i="5" s="1"/>
  <c r="G206" i="1"/>
  <c r="E206" i="1"/>
  <c r="C206" i="1" s="1"/>
  <c r="D168" i="3"/>
  <c r="B168" i="3"/>
  <c r="N319" i="5"/>
  <c r="K319" i="5"/>
  <c r="H319" i="5"/>
  <c r="J319" i="5" s="1"/>
  <c r="C319" i="5"/>
  <c r="F319" i="5" s="1"/>
  <c r="P319" i="5" s="1"/>
  <c r="N318" i="5"/>
  <c r="K318" i="5"/>
  <c r="H318" i="5"/>
  <c r="J318" i="5" s="1"/>
  <c r="C318" i="5"/>
  <c r="F318" i="5" s="1"/>
  <c r="P318" i="5" s="1"/>
  <c r="N317" i="5"/>
  <c r="K317" i="5"/>
  <c r="H317" i="5"/>
  <c r="J317" i="5" s="1"/>
  <c r="C317" i="5"/>
  <c r="F317" i="5" s="1"/>
  <c r="P317" i="5" s="1"/>
  <c r="N316" i="5"/>
  <c r="K316" i="5"/>
  <c r="H316" i="5"/>
  <c r="J316" i="5" s="1"/>
  <c r="C316" i="5"/>
  <c r="F316" i="5" s="1"/>
  <c r="P316" i="5" s="1"/>
  <c r="N315" i="5"/>
  <c r="K315" i="5"/>
  <c r="H315" i="5"/>
  <c r="J315" i="5" s="1"/>
  <c r="C315" i="5"/>
  <c r="F315" i="5" s="1"/>
  <c r="P315" i="5" s="1"/>
  <c r="N314" i="5"/>
  <c r="K314" i="5"/>
  <c r="H314" i="5"/>
  <c r="J314" i="5" s="1"/>
  <c r="C314" i="5"/>
  <c r="F314" i="5" s="1"/>
  <c r="P314" i="5" s="1"/>
  <c r="D167" i="3"/>
  <c r="B167" i="3"/>
  <c r="G205" i="1"/>
  <c r="E205" i="1"/>
  <c r="C205" i="1" s="1"/>
  <c r="G204" i="1"/>
  <c r="E204" i="1"/>
  <c r="C204" i="1" s="1"/>
  <c r="D166" i="3"/>
  <c r="B166" i="3"/>
  <c r="N313" i="5"/>
  <c r="K313" i="5"/>
  <c r="H313" i="5"/>
  <c r="J313" i="5" s="1"/>
  <c r="C313" i="5"/>
  <c r="F313" i="5" s="1"/>
  <c r="P313" i="5" s="1"/>
  <c r="N312" i="5"/>
  <c r="K312" i="5"/>
  <c r="H312" i="5"/>
  <c r="J312" i="5" s="1"/>
  <c r="C312" i="5"/>
  <c r="F312" i="5" s="1"/>
  <c r="P312" i="5" s="1"/>
  <c r="N311" i="5"/>
  <c r="K311" i="5"/>
  <c r="H311" i="5"/>
  <c r="J311" i="5" s="1"/>
  <c r="C311" i="5"/>
  <c r="F311" i="5" s="1"/>
  <c r="P311" i="5" s="1"/>
  <c r="N310" i="5"/>
  <c r="K310" i="5"/>
  <c r="H310" i="5"/>
  <c r="J310" i="5" s="1"/>
  <c r="C310" i="5"/>
  <c r="F310" i="5" s="1"/>
  <c r="P310" i="5" s="1"/>
  <c r="N309" i="5"/>
  <c r="K309" i="5"/>
  <c r="H309" i="5"/>
  <c r="J309" i="5" s="1"/>
  <c r="C309" i="5"/>
  <c r="F309" i="5" s="1"/>
  <c r="P309" i="5" s="1"/>
  <c r="N308" i="5"/>
  <c r="K308" i="5"/>
  <c r="H308" i="5"/>
  <c r="J308" i="5" s="1"/>
  <c r="C308" i="5"/>
  <c r="F308" i="5" s="1"/>
  <c r="P308" i="5" s="1"/>
  <c r="D165" i="3"/>
  <c r="B165" i="3"/>
  <c r="G203" i="1"/>
  <c r="E203" i="1"/>
  <c r="C203" i="1" s="1"/>
  <c r="N307" i="5"/>
  <c r="K307" i="5"/>
  <c r="H307" i="5"/>
  <c r="J307" i="5" s="1"/>
  <c r="C307" i="5"/>
  <c r="F307" i="5" s="1"/>
  <c r="P307" i="5" s="1"/>
  <c r="N306" i="5"/>
  <c r="K306" i="5"/>
  <c r="H306" i="5"/>
  <c r="J306" i="5" s="1"/>
  <c r="C306" i="5"/>
  <c r="F306" i="5" s="1"/>
  <c r="P306" i="5" s="1"/>
  <c r="N305" i="5"/>
  <c r="K305" i="5"/>
  <c r="H305" i="5"/>
  <c r="J305" i="5" s="1"/>
  <c r="C305" i="5"/>
  <c r="F305" i="5" s="1"/>
  <c r="P305" i="5" s="1"/>
  <c r="D164" i="3"/>
  <c r="B164" i="3"/>
  <c r="G202" i="1"/>
  <c r="E202" i="1"/>
  <c r="C202" i="1" s="1"/>
  <c r="M61" i="6"/>
  <c r="J61" i="6"/>
  <c r="G61" i="6"/>
  <c r="I61" i="6" s="1"/>
  <c r="D61" i="6"/>
  <c r="C61" i="6"/>
  <c r="M60" i="6"/>
  <c r="J60" i="6"/>
  <c r="G60" i="6"/>
  <c r="I60" i="6" s="1"/>
  <c r="D60" i="6"/>
  <c r="C60" i="6"/>
  <c r="M59" i="6"/>
  <c r="J59" i="6"/>
  <c r="G59" i="6"/>
  <c r="I59" i="6" s="1"/>
  <c r="D59" i="6"/>
  <c r="C59" i="6"/>
  <c r="N304" i="5"/>
  <c r="K304" i="5"/>
  <c r="H304" i="5"/>
  <c r="J304" i="5" s="1"/>
  <c r="C304" i="5"/>
  <c r="F304" i="5" s="1"/>
  <c r="P304" i="5" s="1"/>
  <c r="N303" i="5"/>
  <c r="K303" i="5"/>
  <c r="H303" i="5"/>
  <c r="J303" i="5" s="1"/>
  <c r="C303" i="5"/>
  <c r="F303" i="5" s="1"/>
  <c r="P303" i="5" s="1"/>
  <c r="N302" i="5"/>
  <c r="K302" i="5"/>
  <c r="H302" i="5"/>
  <c r="J302" i="5" s="1"/>
  <c r="C302" i="5"/>
  <c r="F302" i="5" s="1"/>
  <c r="P302" i="5" s="1"/>
  <c r="N301" i="5"/>
  <c r="K301" i="5"/>
  <c r="H301" i="5"/>
  <c r="J301" i="5" s="1"/>
  <c r="D301" i="5"/>
  <c r="C301" i="5"/>
  <c r="N300" i="5"/>
  <c r="K300" i="5"/>
  <c r="H300" i="5"/>
  <c r="J300" i="5" s="1"/>
  <c r="D300" i="5"/>
  <c r="C300" i="5"/>
  <c r="N299" i="5"/>
  <c r="K299" i="5"/>
  <c r="H299" i="5"/>
  <c r="J299" i="5" s="1"/>
  <c r="D299" i="5"/>
  <c r="C299" i="5"/>
  <c r="D163" i="3"/>
  <c r="B163" i="3"/>
  <c r="G201" i="1"/>
  <c r="E201" i="1"/>
  <c r="C201" i="1" s="1"/>
  <c r="M58" i="6"/>
  <c r="J58" i="6"/>
  <c r="G58" i="6"/>
  <c r="I58" i="6" s="1"/>
  <c r="C58" i="6"/>
  <c r="E58" i="6" s="1"/>
  <c r="M57" i="6"/>
  <c r="J57" i="6"/>
  <c r="G57" i="6"/>
  <c r="I57" i="6" s="1"/>
  <c r="E57" i="6"/>
  <c r="M56" i="6"/>
  <c r="J56" i="6"/>
  <c r="G56" i="6"/>
  <c r="I56" i="6" s="1"/>
  <c r="C56" i="6"/>
  <c r="E56" i="6" s="1"/>
  <c r="N298" i="5"/>
  <c r="K298" i="5"/>
  <c r="H298" i="5"/>
  <c r="J298" i="5" s="1"/>
  <c r="C298" i="5"/>
  <c r="F298" i="5" s="1"/>
  <c r="P298" i="5" s="1"/>
  <c r="N297" i="5"/>
  <c r="K297" i="5"/>
  <c r="H297" i="5"/>
  <c r="J297" i="5" s="1"/>
  <c r="C297" i="5"/>
  <c r="F297" i="5" s="1"/>
  <c r="P297" i="5" s="1"/>
  <c r="N296" i="5"/>
  <c r="K296" i="5"/>
  <c r="H296" i="5"/>
  <c r="J296" i="5" s="1"/>
  <c r="C296" i="5"/>
  <c r="F296" i="5" s="1"/>
  <c r="P296" i="5" s="1"/>
  <c r="N295" i="5"/>
  <c r="K295" i="5"/>
  <c r="H295" i="5"/>
  <c r="J295" i="5" s="1"/>
  <c r="C295" i="5"/>
  <c r="F295" i="5" s="1"/>
  <c r="P295" i="5" s="1"/>
  <c r="N294" i="5"/>
  <c r="K294" i="5"/>
  <c r="H294" i="5"/>
  <c r="J294" i="5" s="1"/>
  <c r="C294" i="5"/>
  <c r="F294" i="5" s="1"/>
  <c r="P294" i="5" s="1"/>
  <c r="N293" i="5"/>
  <c r="K293" i="5"/>
  <c r="H293" i="5"/>
  <c r="J293" i="5" s="1"/>
  <c r="C293" i="5"/>
  <c r="F293" i="5" s="1"/>
  <c r="P293" i="5" s="1"/>
  <c r="D162" i="3"/>
  <c r="B162" i="3"/>
  <c r="G200" i="1"/>
  <c r="E200" i="1"/>
  <c r="B200" i="1" s="1"/>
  <c r="N292" i="5"/>
  <c r="K292" i="5"/>
  <c r="H292" i="5"/>
  <c r="J292" i="5" s="1"/>
  <c r="F292" i="5"/>
  <c r="P292" i="5" s="1"/>
  <c r="N291" i="5"/>
  <c r="K291" i="5"/>
  <c r="H291" i="5"/>
  <c r="J291" i="5" s="1"/>
  <c r="F291" i="5"/>
  <c r="P291" i="5" s="1"/>
  <c r="N290" i="5"/>
  <c r="K290" i="5"/>
  <c r="H290" i="5"/>
  <c r="J290" i="5" s="1"/>
  <c r="F290" i="5"/>
  <c r="P290" i="5" s="1"/>
  <c r="M55" i="6"/>
  <c r="J55" i="6"/>
  <c r="G55" i="6"/>
  <c r="I55" i="6" s="1"/>
  <c r="C55" i="6"/>
  <c r="E55" i="6" s="1"/>
  <c r="M54" i="6"/>
  <c r="J54" i="6"/>
  <c r="G54" i="6"/>
  <c r="I54" i="6" s="1"/>
  <c r="C54" i="6"/>
  <c r="E54" i="6" s="1"/>
  <c r="M53" i="6"/>
  <c r="J53" i="6"/>
  <c r="G53" i="6"/>
  <c r="I53" i="6" s="1"/>
  <c r="C53" i="6"/>
  <c r="E53" i="6" s="1"/>
  <c r="H289" i="5"/>
  <c r="J289" i="5" s="1"/>
  <c r="H288" i="5"/>
  <c r="J288" i="5" s="1"/>
  <c r="H287" i="5"/>
  <c r="J287" i="5" s="1"/>
  <c r="C289" i="5"/>
  <c r="F289" i="5" s="1"/>
  <c r="P289" i="5" s="1"/>
  <c r="C288" i="5"/>
  <c r="F288" i="5" s="1"/>
  <c r="P288" i="5" s="1"/>
  <c r="C287" i="5"/>
  <c r="F287" i="5" s="1"/>
  <c r="P287" i="5" s="1"/>
  <c r="N286" i="5"/>
  <c r="K286" i="5"/>
  <c r="H286" i="5"/>
  <c r="J286" i="5" s="1"/>
  <c r="C286" i="5"/>
  <c r="F286" i="5" s="1"/>
  <c r="P286" i="5" s="1"/>
  <c r="N285" i="5"/>
  <c r="K285" i="5"/>
  <c r="H285" i="5"/>
  <c r="J285" i="5" s="1"/>
  <c r="C285" i="5"/>
  <c r="F285" i="5" s="1"/>
  <c r="P285" i="5" s="1"/>
  <c r="N284" i="5"/>
  <c r="K284" i="5"/>
  <c r="H284" i="5"/>
  <c r="J284" i="5" s="1"/>
  <c r="C284" i="5"/>
  <c r="F284" i="5" s="1"/>
  <c r="P284" i="5" s="1"/>
  <c r="N289" i="5"/>
  <c r="K289" i="5"/>
  <c r="N288" i="5"/>
  <c r="K288" i="5"/>
  <c r="N287" i="5"/>
  <c r="K287" i="5"/>
  <c r="D161" i="3"/>
  <c r="B161" i="3"/>
  <c r="G199" i="1"/>
  <c r="E199" i="1"/>
  <c r="C199" i="1" s="1"/>
  <c r="N283" i="5"/>
  <c r="K283" i="5"/>
  <c r="H283" i="5"/>
  <c r="J283" i="5" s="1"/>
  <c r="C283" i="5"/>
  <c r="F283" i="5" s="1"/>
  <c r="P283" i="5" s="1"/>
  <c r="N282" i="5"/>
  <c r="K282" i="5"/>
  <c r="H282" i="5"/>
  <c r="J282" i="5" s="1"/>
  <c r="C282" i="5"/>
  <c r="F282" i="5" s="1"/>
  <c r="P282" i="5" s="1"/>
  <c r="N281" i="5"/>
  <c r="K281" i="5"/>
  <c r="H281" i="5"/>
  <c r="J281" i="5" s="1"/>
  <c r="C281" i="5"/>
  <c r="F281" i="5" s="1"/>
  <c r="P281" i="5" s="1"/>
  <c r="D160" i="3"/>
  <c r="B160" i="3"/>
  <c r="G198" i="1"/>
  <c r="E198" i="1"/>
  <c r="C198" i="1" s="1"/>
  <c r="O53" i="6" l="1"/>
  <c r="F53" i="6"/>
  <c r="O55" i="6"/>
  <c r="F55" i="6"/>
  <c r="O57" i="6"/>
  <c r="F57" i="6"/>
  <c r="O62" i="6"/>
  <c r="F62" i="6"/>
  <c r="O64" i="6"/>
  <c r="F64" i="6"/>
  <c r="O54" i="6"/>
  <c r="F54" i="6"/>
  <c r="O56" i="6"/>
  <c r="F56" i="6"/>
  <c r="O58" i="6"/>
  <c r="F58" i="6"/>
  <c r="F63" i="6"/>
  <c r="G353" i="5"/>
  <c r="G355" i="5"/>
  <c r="G173" i="3"/>
  <c r="H173" i="3" s="1"/>
  <c r="L353" i="5"/>
  <c r="M353" i="5" s="1"/>
  <c r="O353" i="5" s="1"/>
  <c r="L354" i="5"/>
  <c r="M354" i="5" s="1"/>
  <c r="O354" i="5" s="1"/>
  <c r="G354" i="5"/>
  <c r="V212" i="1"/>
  <c r="W212" i="1" s="1"/>
  <c r="L355" i="5"/>
  <c r="M355" i="5" s="1"/>
  <c r="O355" i="5" s="1"/>
  <c r="K62" i="6"/>
  <c r="L62" i="6" s="1"/>
  <c r="N62" i="6" s="1"/>
  <c r="O63" i="6"/>
  <c r="P352" i="5"/>
  <c r="G352" i="5"/>
  <c r="G348" i="5"/>
  <c r="P348" i="5"/>
  <c r="G331" i="5"/>
  <c r="P331" i="5"/>
  <c r="G172" i="3"/>
  <c r="H172" i="3" s="1"/>
  <c r="C210" i="1"/>
  <c r="L210" i="1" s="1"/>
  <c r="M210" i="1" s="1"/>
  <c r="J213" i="1"/>
  <c r="K213" i="1" s="1"/>
  <c r="E61" i="6"/>
  <c r="L352" i="5"/>
  <c r="M352" i="5" s="1"/>
  <c r="O352" i="5" s="1"/>
  <c r="G350" i="5"/>
  <c r="L350" i="5"/>
  <c r="M350" i="5" s="1"/>
  <c r="O350" i="5" s="1"/>
  <c r="G351" i="5"/>
  <c r="L351" i="5"/>
  <c r="M351" i="5" s="1"/>
  <c r="O351" i="5" s="1"/>
  <c r="G344" i="5"/>
  <c r="G346" i="5"/>
  <c r="L348" i="5"/>
  <c r="M348" i="5" s="1"/>
  <c r="O348" i="5" s="1"/>
  <c r="L349" i="5"/>
  <c r="M349" i="5" s="1"/>
  <c r="O349" i="5" s="1"/>
  <c r="G349" i="5"/>
  <c r="G347" i="5"/>
  <c r="L347" i="5"/>
  <c r="M347" i="5" s="1"/>
  <c r="O347" i="5" s="1"/>
  <c r="G333" i="5"/>
  <c r="G345" i="5"/>
  <c r="G341" i="5"/>
  <c r="G342" i="5"/>
  <c r="G174" i="3"/>
  <c r="H174" i="3" s="1"/>
  <c r="E174" i="3"/>
  <c r="F174" i="3" s="1"/>
  <c r="L212" i="1"/>
  <c r="M212" i="1" s="1"/>
  <c r="T212" i="1"/>
  <c r="U212" i="1" s="1"/>
  <c r="P212" i="1"/>
  <c r="Q212" i="1" s="1"/>
  <c r="V209" i="1"/>
  <c r="W209" i="1" s="1"/>
  <c r="V211" i="1"/>
  <c r="W211" i="1" s="1"/>
  <c r="R212" i="1"/>
  <c r="S212" i="1" s="1"/>
  <c r="B212" i="1"/>
  <c r="H212" i="1" s="1"/>
  <c r="I212" i="1" s="1"/>
  <c r="N212" i="1"/>
  <c r="O212" i="1" s="1"/>
  <c r="E173" i="3"/>
  <c r="F173" i="3" s="1"/>
  <c r="P211" i="1"/>
  <c r="Q211" i="1" s="1"/>
  <c r="G171" i="3"/>
  <c r="H171" i="3" s="1"/>
  <c r="L211" i="1"/>
  <c r="M211" i="1" s="1"/>
  <c r="T211" i="1"/>
  <c r="U211" i="1" s="1"/>
  <c r="R211" i="1"/>
  <c r="S211" i="1" s="1"/>
  <c r="B211" i="1"/>
  <c r="H211" i="1" s="1"/>
  <c r="I211" i="1" s="1"/>
  <c r="N211" i="1"/>
  <c r="O211" i="1" s="1"/>
  <c r="K64" i="6"/>
  <c r="L64" i="6" s="1"/>
  <c r="N64" i="6" s="1"/>
  <c r="E59" i="6"/>
  <c r="K63" i="6"/>
  <c r="L63" i="6" s="1"/>
  <c r="N63" i="6" s="1"/>
  <c r="K57" i="6"/>
  <c r="L57" i="6" s="1"/>
  <c r="N57" i="6" s="1"/>
  <c r="E60" i="6"/>
  <c r="F60" i="6" s="1"/>
  <c r="G343" i="5"/>
  <c r="J343" i="5"/>
  <c r="L343" i="5" s="1"/>
  <c r="M343" i="5" s="1"/>
  <c r="O343" i="5" s="1"/>
  <c r="J341" i="5"/>
  <c r="L341" i="5" s="1"/>
  <c r="M341" i="5" s="1"/>
  <c r="O341" i="5" s="1"/>
  <c r="L342" i="5"/>
  <c r="M342" i="5" s="1"/>
  <c r="O342" i="5" s="1"/>
  <c r="L344" i="5"/>
  <c r="M344" i="5" s="1"/>
  <c r="O344" i="5" s="1"/>
  <c r="L346" i="5"/>
  <c r="M346" i="5" s="1"/>
  <c r="O346" i="5" s="1"/>
  <c r="L345" i="5"/>
  <c r="M345" i="5" s="1"/>
  <c r="O345" i="5" s="1"/>
  <c r="L339" i="5"/>
  <c r="M339" i="5" s="1"/>
  <c r="O339" i="5" s="1"/>
  <c r="G339" i="5"/>
  <c r="L340" i="5"/>
  <c r="M340" i="5" s="1"/>
  <c r="O340" i="5" s="1"/>
  <c r="G340" i="5"/>
  <c r="G338" i="5"/>
  <c r="L338" i="5"/>
  <c r="M338" i="5" s="1"/>
  <c r="O338" i="5" s="1"/>
  <c r="G336" i="5"/>
  <c r="L336" i="5"/>
  <c r="M336" i="5" s="1"/>
  <c r="O336" i="5" s="1"/>
  <c r="G335" i="5"/>
  <c r="L335" i="5"/>
  <c r="M335" i="5" s="1"/>
  <c r="O335" i="5" s="1"/>
  <c r="L337" i="5"/>
  <c r="M337" i="5" s="1"/>
  <c r="O337" i="5" s="1"/>
  <c r="G337" i="5"/>
  <c r="L333" i="5"/>
  <c r="M333" i="5" s="1"/>
  <c r="O333" i="5" s="1"/>
  <c r="E172" i="3"/>
  <c r="F172" i="3" s="1"/>
  <c r="H210" i="1"/>
  <c r="I210" i="1" s="1"/>
  <c r="T210" i="1"/>
  <c r="U210" i="1" s="1"/>
  <c r="V210" i="1"/>
  <c r="W210" i="1" s="1"/>
  <c r="V208" i="1"/>
  <c r="W208" i="1" s="1"/>
  <c r="P210" i="1"/>
  <c r="Q210" i="1" s="1"/>
  <c r="J210" i="1"/>
  <c r="K210" i="1" s="1"/>
  <c r="G332" i="5"/>
  <c r="L332" i="5"/>
  <c r="M332" i="5" s="1"/>
  <c r="O332" i="5" s="1"/>
  <c r="L334" i="5"/>
  <c r="M334" i="5" s="1"/>
  <c r="O334" i="5" s="1"/>
  <c r="G334" i="5"/>
  <c r="E171" i="3"/>
  <c r="F171" i="3" s="1"/>
  <c r="G169" i="3"/>
  <c r="H169" i="3" s="1"/>
  <c r="G170" i="3"/>
  <c r="H170" i="3" s="1"/>
  <c r="L209" i="1"/>
  <c r="M209" i="1" s="1"/>
  <c r="P209" i="1"/>
  <c r="Q209" i="1" s="1"/>
  <c r="R209" i="1"/>
  <c r="S209" i="1" s="1"/>
  <c r="B209" i="1"/>
  <c r="H209" i="1" s="1"/>
  <c r="I209" i="1" s="1"/>
  <c r="T209" i="1"/>
  <c r="U209" i="1" s="1"/>
  <c r="N209" i="1"/>
  <c r="O209" i="1" s="1"/>
  <c r="L331" i="5"/>
  <c r="M331" i="5" s="1"/>
  <c r="O331" i="5" s="1"/>
  <c r="G330" i="5"/>
  <c r="L330" i="5"/>
  <c r="M330" i="5" s="1"/>
  <c r="O330" i="5" s="1"/>
  <c r="G329" i="5"/>
  <c r="L329" i="5"/>
  <c r="M329" i="5" s="1"/>
  <c r="O329" i="5" s="1"/>
  <c r="L328" i="5"/>
  <c r="M328" i="5" s="1"/>
  <c r="O328" i="5" s="1"/>
  <c r="G326" i="5"/>
  <c r="L326" i="5"/>
  <c r="M326" i="5" s="1"/>
  <c r="O326" i="5" s="1"/>
  <c r="G327" i="5"/>
  <c r="L327" i="5"/>
  <c r="M327" i="5" s="1"/>
  <c r="O327" i="5" s="1"/>
  <c r="G328" i="5"/>
  <c r="G321" i="5"/>
  <c r="E170" i="3"/>
  <c r="F170" i="3" s="1"/>
  <c r="G168" i="3"/>
  <c r="H168" i="3" s="1"/>
  <c r="P208" i="1"/>
  <c r="Q208" i="1" s="1"/>
  <c r="N208" i="1"/>
  <c r="O208" i="1" s="1"/>
  <c r="L208" i="1"/>
  <c r="M208" i="1" s="1"/>
  <c r="B205" i="1"/>
  <c r="J205" i="1" s="1"/>
  <c r="K205" i="1" s="1"/>
  <c r="R208" i="1"/>
  <c r="S208" i="1" s="1"/>
  <c r="V205" i="1"/>
  <c r="W205" i="1" s="1"/>
  <c r="B208" i="1"/>
  <c r="H208" i="1" s="1"/>
  <c r="I208" i="1" s="1"/>
  <c r="T208" i="1"/>
  <c r="U208" i="1" s="1"/>
  <c r="B206" i="1"/>
  <c r="H206" i="1" s="1"/>
  <c r="I206" i="1" s="1"/>
  <c r="V207" i="1"/>
  <c r="W207" i="1" s="1"/>
  <c r="G323" i="5"/>
  <c r="L323" i="5"/>
  <c r="M323" i="5" s="1"/>
  <c r="O323" i="5" s="1"/>
  <c r="L325" i="5"/>
  <c r="M325" i="5" s="1"/>
  <c r="O325" i="5" s="1"/>
  <c r="G325" i="5"/>
  <c r="G324" i="5"/>
  <c r="L324" i="5"/>
  <c r="M324" i="5" s="1"/>
  <c r="O324" i="5" s="1"/>
  <c r="E169" i="3"/>
  <c r="F169" i="3" s="1"/>
  <c r="L207" i="1"/>
  <c r="M207" i="1" s="1"/>
  <c r="G161" i="3"/>
  <c r="H161" i="3" s="1"/>
  <c r="G167" i="3"/>
  <c r="H167" i="3" s="1"/>
  <c r="G166" i="3"/>
  <c r="H166" i="3" s="1"/>
  <c r="V206" i="1"/>
  <c r="W206" i="1" s="1"/>
  <c r="P207" i="1"/>
  <c r="Q207" i="1" s="1"/>
  <c r="R207" i="1"/>
  <c r="S207" i="1" s="1"/>
  <c r="B207" i="1"/>
  <c r="H207" i="1" s="1"/>
  <c r="I207" i="1" s="1"/>
  <c r="T207" i="1"/>
  <c r="U207" i="1" s="1"/>
  <c r="N207" i="1"/>
  <c r="O207" i="1" s="1"/>
  <c r="L322" i="5"/>
  <c r="M322" i="5" s="1"/>
  <c r="O322" i="5" s="1"/>
  <c r="G320" i="5"/>
  <c r="L320" i="5"/>
  <c r="M320" i="5" s="1"/>
  <c r="O320" i="5" s="1"/>
  <c r="G322" i="5"/>
  <c r="L321" i="5"/>
  <c r="M321" i="5" s="1"/>
  <c r="O321" i="5" s="1"/>
  <c r="L206" i="1"/>
  <c r="M206" i="1" s="1"/>
  <c r="P206" i="1"/>
  <c r="Q206" i="1" s="1"/>
  <c r="V204" i="1"/>
  <c r="W204" i="1" s="1"/>
  <c r="R206" i="1"/>
  <c r="S206" i="1" s="1"/>
  <c r="T206" i="1"/>
  <c r="U206" i="1" s="1"/>
  <c r="N206" i="1"/>
  <c r="O206" i="1" s="1"/>
  <c r="G165" i="3"/>
  <c r="H165" i="3" s="1"/>
  <c r="E168" i="3"/>
  <c r="F168" i="3" s="1"/>
  <c r="L317" i="5"/>
  <c r="M317" i="5" s="1"/>
  <c r="O317" i="5" s="1"/>
  <c r="G317" i="5"/>
  <c r="L318" i="5"/>
  <c r="M318" i="5" s="1"/>
  <c r="O318" i="5" s="1"/>
  <c r="G318" i="5"/>
  <c r="G319" i="5"/>
  <c r="L319" i="5"/>
  <c r="M319" i="5" s="1"/>
  <c r="O319" i="5" s="1"/>
  <c r="G290" i="5"/>
  <c r="G292" i="5"/>
  <c r="G314" i="5"/>
  <c r="L314" i="5"/>
  <c r="M314" i="5" s="1"/>
  <c r="O314" i="5" s="1"/>
  <c r="L315" i="5"/>
  <c r="M315" i="5" s="1"/>
  <c r="O315" i="5" s="1"/>
  <c r="G315" i="5"/>
  <c r="L316" i="5"/>
  <c r="M316" i="5" s="1"/>
  <c r="O316" i="5" s="1"/>
  <c r="G316" i="5"/>
  <c r="E167" i="3"/>
  <c r="F167" i="3" s="1"/>
  <c r="L205" i="1"/>
  <c r="M205" i="1" s="1"/>
  <c r="P205" i="1"/>
  <c r="Q205" i="1" s="1"/>
  <c r="T205" i="1"/>
  <c r="U205" i="1" s="1"/>
  <c r="V201" i="1"/>
  <c r="W201" i="1" s="1"/>
  <c r="V203" i="1"/>
  <c r="W203" i="1" s="1"/>
  <c r="B204" i="1"/>
  <c r="J204" i="1" s="1"/>
  <c r="K204" i="1" s="1"/>
  <c r="N205" i="1"/>
  <c r="O205" i="1" s="1"/>
  <c r="R205" i="1"/>
  <c r="S205" i="1" s="1"/>
  <c r="C200" i="1"/>
  <c r="L200" i="1" s="1"/>
  <c r="M200" i="1" s="1"/>
  <c r="L204" i="1"/>
  <c r="M204" i="1" s="1"/>
  <c r="E166" i="3"/>
  <c r="F166" i="3" s="1"/>
  <c r="P204" i="1"/>
  <c r="Q204" i="1" s="1"/>
  <c r="T204" i="1"/>
  <c r="U204" i="1" s="1"/>
  <c r="B203" i="1"/>
  <c r="J203" i="1" s="1"/>
  <c r="K203" i="1" s="1"/>
  <c r="N204" i="1"/>
  <c r="O204" i="1" s="1"/>
  <c r="R204" i="1"/>
  <c r="S204" i="1" s="1"/>
  <c r="B198" i="1"/>
  <c r="H198" i="1" s="1"/>
  <c r="I198" i="1" s="1"/>
  <c r="G162" i="3"/>
  <c r="H162" i="3" s="1"/>
  <c r="G163" i="3"/>
  <c r="H163" i="3" s="1"/>
  <c r="L311" i="5"/>
  <c r="M311" i="5" s="1"/>
  <c r="O311" i="5" s="1"/>
  <c r="G311" i="5"/>
  <c r="L312" i="5"/>
  <c r="M312" i="5" s="1"/>
  <c r="O312" i="5" s="1"/>
  <c r="G312" i="5"/>
  <c r="L313" i="5"/>
  <c r="M313" i="5" s="1"/>
  <c r="O313" i="5" s="1"/>
  <c r="G313" i="5"/>
  <c r="F301" i="5"/>
  <c r="F299" i="5"/>
  <c r="L310" i="5"/>
  <c r="M310" i="5" s="1"/>
  <c r="O310" i="5" s="1"/>
  <c r="G310" i="5"/>
  <c r="L308" i="5"/>
  <c r="M308" i="5" s="1"/>
  <c r="O308" i="5" s="1"/>
  <c r="G308" i="5"/>
  <c r="L309" i="5"/>
  <c r="M309" i="5" s="1"/>
  <c r="O309" i="5" s="1"/>
  <c r="G309" i="5"/>
  <c r="L290" i="5"/>
  <c r="M290" i="5" s="1"/>
  <c r="O290" i="5" s="1"/>
  <c r="F300" i="5"/>
  <c r="E165" i="3"/>
  <c r="F165" i="3" s="1"/>
  <c r="L203" i="1"/>
  <c r="M203" i="1" s="1"/>
  <c r="G164" i="3"/>
  <c r="H164" i="3" s="1"/>
  <c r="G160" i="3"/>
  <c r="H160" i="3" s="1"/>
  <c r="P203" i="1"/>
  <c r="Q203" i="1" s="1"/>
  <c r="T203" i="1"/>
  <c r="U203" i="1" s="1"/>
  <c r="V202" i="1"/>
  <c r="W202" i="1" s="1"/>
  <c r="V200" i="1"/>
  <c r="W200" i="1" s="1"/>
  <c r="N203" i="1"/>
  <c r="O203" i="1" s="1"/>
  <c r="R203" i="1"/>
  <c r="S203" i="1" s="1"/>
  <c r="V199" i="1"/>
  <c r="W199" i="1" s="1"/>
  <c r="V198" i="1"/>
  <c r="W198" i="1" s="1"/>
  <c r="B199" i="1"/>
  <c r="H199" i="1" s="1"/>
  <c r="I199" i="1" s="1"/>
  <c r="B202" i="1"/>
  <c r="H202" i="1" s="1"/>
  <c r="I202" i="1" s="1"/>
  <c r="G307" i="5"/>
  <c r="L307" i="5"/>
  <c r="M307" i="5" s="1"/>
  <c r="O307" i="5" s="1"/>
  <c r="L305" i="5"/>
  <c r="M305" i="5" s="1"/>
  <c r="O305" i="5" s="1"/>
  <c r="G305" i="5"/>
  <c r="L306" i="5"/>
  <c r="M306" i="5" s="1"/>
  <c r="O306" i="5" s="1"/>
  <c r="G306" i="5"/>
  <c r="E164" i="3"/>
  <c r="F164" i="3" s="1"/>
  <c r="L202" i="1"/>
  <c r="M202" i="1" s="1"/>
  <c r="P202" i="1"/>
  <c r="Q202" i="1" s="1"/>
  <c r="T202" i="1"/>
  <c r="U202" i="1" s="1"/>
  <c r="N202" i="1"/>
  <c r="O202" i="1" s="1"/>
  <c r="R202" i="1"/>
  <c r="S202" i="1" s="1"/>
  <c r="K59" i="6"/>
  <c r="L59" i="6" s="1"/>
  <c r="N59" i="6" s="1"/>
  <c r="L304" i="5"/>
  <c r="M304" i="5" s="1"/>
  <c r="O304" i="5" s="1"/>
  <c r="G304" i="5"/>
  <c r="L302" i="5"/>
  <c r="M302" i="5" s="1"/>
  <c r="O302" i="5" s="1"/>
  <c r="G302" i="5"/>
  <c r="L303" i="5"/>
  <c r="M303" i="5" s="1"/>
  <c r="O303" i="5" s="1"/>
  <c r="G303" i="5"/>
  <c r="E163" i="3"/>
  <c r="F163" i="3" s="1"/>
  <c r="R201" i="1"/>
  <c r="S201" i="1" s="1"/>
  <c r="P201" i="1"/>
  <c r="Q201" i="1" s="1"/>
  <c r="N201" i="1"/>
  <c r="O201" i="1" s="1"/>
  <c r="L201" i="1"/>
  <c r="M201" i="1" s="1"/>
  <c r="T201" i="1"/>
  <c r="U201" i="1" s="1"/>
  <c r="B201" i="1"/>
  <c r="K56" i="6"/>
  <c r="L56" i="6" s="1"/>
  <c r="N56" i="6" s="1"/>
  <c r="K58" i="6"/>
  <c r="L58" i="6" s="1"/>
  <c r="N58" i="6" s="1"/>
  <c r="L296" i="5"/>
  <c r="M296" i="5" s="1"/>
  <c r="O296" i="5" s="1"/>
  <c r="G296" i="5"/>
  <c r="G298" i="5"/>
  <c r="L298" i="5"/>
  <c r="M298" i="5" s="1"/>
  <c r="O298" i="5" s="1"/>
  <c r="L297" i="5"/>
  <c r="M297" i="5" s="1"/>
  <c r="O297" i="5" s="1"/>
  <c r="G297" i="5"/>
  <c r="G295" i="5"/>
  <c r="L295" i="5"/>
  <c r="M295" i="5" s="1"/>
  <c r="O295" i="5" s="1"/>
  <c r="L293" i="5"/>
  <c r="M293" i="5" s="1"/>
  <c r="O293" i="5" s="1"/>
  <c r="G293" i="5"/>
  <c r="L294" i="5"/>
  <c r="M294" i="5" s="1"/>
  <c r="O294" i="5" s="1"/>
  <c r="G294" i="5"/>
  <c r="E162" i="3"/>
  <c r="F162" i="3" s="1"/>
  <c r="H200" i="1"/>
  <c r="I200" i="1" s="1"/>
  <c r="P200" i="1"/>
  <c r="Q200" i="1" s="1"/>
  <c r="T200" i="1"/>
  <c r="U200" i="1" s="1"/>
  <c r="J200" i="1"/>
  <c r="K200" i="1" s="1"/>
  <c r="R200" i="1"/>
  <c r="S200" i="1" s="1"/>
  <c r="L291" i="5"/>
  <c r="M291" i="5" s="1"/>
  <c r="O291" i="5" s="1"/>
  <c r="L292" i="5"/>
  <c r="M292" i="5" s="1"/>
  <c r="O292" i="5" s="1"/>
  <c r="G291" i="5"/>
  <c r="K53" i="6"/>
  <c r="L53" i="6" s="1"/>
  <c r="N53" i="6" s="1"/>
  <c r="K54" i="6"/>
  <c r="L54" i="6" s="1"/>
  <c r="N54" i="6" s="1"/>
  <c r="K55" i="6"/>
  <c r="L55" i="6" s="1"/>
  <c r="N55" i="6" s="1"/>
  <c r="L286" i="5"/>
  <c r="M286" i="5" s="1"/>
  <c r="O286" i="5" s="1"/>
  <c r="G286" i="5"/>
  <c r="G284" i="5"/>
  <c r="L284" i="5"/>
  <c r="M284" i="5" s="1"/>
  <c r="O284" i="5" s="1"/>
  <c r="L285" i="5"/>
  <c r="M285" i="5" s="1"/>
  <c r="O285" i="5" s="1"/>
  <c r="G285" i="5"/>
  <c r="L287" i="5"/>
  <c r="M287" i="5" s="1"/>
  <c r="O287" i="5" s="1"/>
  <c r="G287" i="5"/>
  <c r="L288" i="5"/>
  <c r="M288" i="5" s="1"/>
  <c r="O288" i="5" s="1"/>
  <c r="G288" i="5"/>
  <c r="G289" i="5"/>
  <c r="L289" i="5"/>
  <c r="M289" i="5" s="1"/>
  <c r="O289" i="5" s="1"/>
  <c r="E161" i="3"/>
  <c r="F161" i="3" s="1"/>
  <c r="L199" i="1"/>
  <c r="M199" i="1" s="1"/>
  <c r="P199" i="1"/>
  <c r="Q199" i="1" s="1"/>
  <c r="T199" i="1"/>
  <c r="U199" i="1" s="1"/>
  <c r="N199" i="1"/>
  <c r="O199" i="1" s="1"/>
  <c r="R199" i="1"/>
  <c r="S199" i="1" s="1"/>
  <c r="G282" i="5"/>
  <c r="L282" i="5"/>
  <c r="M282" i="5" s="1"/>
  <c r="O282" i="5" s="1"/>
  <c r="L283" i="5"/>
  <c r="M283" i="5" s="1"/>
  <c r="O283" i="5" s="1"/>
  <c r="G283" i="5"/>
  <c r="L281" i="5"/>
  <c r="M281" i="5" s="1"/>
  <c r="O281" i="5" s="1"/>
  <c r="G281" i="5"/>
  <c r="E160" i="3"/>
  <c r="F160" i="3" s="1"/>
  <c r="P198" i="1"/>
  <c r="Q198" i="1" s="1"/>
  <c r="R198" i="1"/>
  <c r="S198" i="1" s="1"/>
  <c r="N198" i="1"/>
  <c r="O198" i="1" s="1"/>
  <c r="L198" i="1"/>
  <c r="M198" i="1" s="1"/>
  <c r="T198" i="1"/>
  <c r="U198" i="1" s="1"/>
  <c r="N280" i="5"/>
  <c r="K280" i="5"/>
  <c r="H280" i="5"/>
  <c r="J280" i="5" s="1"/>
  <c r="C280" i="5"/>
  <c r="F280" i="5" s="1"/>
  <c r="P280" i="5" s="1"/>
  <c r="N279" i="5"/>
  <c r="K279" i="5"/>
  <c r="H279" i="5"/>
  <c r="J279" i="5" s="1"/>
  <c r="C279" i="5"/>
  <c r="F279" i="5" s="1"/>
  <c r="P279" i="5" s="1"/>
  <c r="N278" i="5"/>
  <c r="K278" i="5"/>
  <c r="H278" i="5"/>
  <c r="J278" i="5" s="1"/>
  <c r="C278" i="5"/>
  <c r="F278" i="5" s="1"/>
  <c r="P278" i="5" s="1"/>
  <c r="D159" i="3"/>
  <c r="B159" i="3"/>
  <c r="G197" i="1"/>
  <c r="E197" i="1"/>
  <c r="C197" i="1" s="1"/>
  <c r="D158" i="3"/>
  <c r="B158" i="3"/>
  <c r="G196" i="1"/>
  <c r="E196" i="1"/>
  <c r="C196" i="1" s="1"/>
  <c r="H277" i="5"/>
  <c r="J277" i="5" s="1"/>
  <c r="H276" i="5"/>
  <c r="J276" i="5" s="1"/>
  <c r="H275" i="5"/>
  <c r="J275" i="5" s="1"/>
  <c r="C277" i="5"/>
  <c r="F277" i="5" s="1"/>
  <c r="P277" i="5" s="1"/>
  <c r="C276" i="5"/>
  <c r="F276" i="5" s="1"/>
  <c r="P276" i="5" s="1"/>
  <c r="C275" i="5"/>
  <c r="F275" i="5" s="1"/>
  <c r="P275" i="5" s="1"/>
  <c r="N277" i="5"/>
  <c r="K277" i="5"/>
  <c r="N276" i="5"/>
  <c r="K276" i="5"/>
  <c r="N275" i="5"/>
  <c r="K275" i="5"/>
  <c r="N274" i="5"/>
  <c r="K274" i="5"/>
  <c r="H274" i="5"/>
  <c r="J274" i="5" s="1"/>
  <c r="C274" i="5"/>
  <c r="F274" i="5" s="1"/>
  <c r="P274" i="5" s="1"/>
  <c r="N273" i="5"/>
  <c r="K273" i="5"/>
  <c r="H273" i="5"/>
  <c r="J273" i="5" s="1"/>
  <c r="C273" i="5"/>
  <c r="F273" i="5" s="1"/>
  <c r="P273" i="5" s="1"/>
  <c r="N272" i="5"/>
  <c r="K272" i="5"/>
  <c r="H272" i="5"/>
  <c r="J272" i="5" s="1"/>
  <c r="C272" i="5"/>
  <c r="F272" i="5" s="1"/>
  <c r="P272" i="5" s="1"/>
  <c r="O61" i="6" l="1"/>
  <c r="F61" i="6"/>
  <c r="O59" i="6"/>
  <c r="F59" i="6"/>
  <c r="K61" i="6"/>
  <c r="L61" i="6" s="1"/>
  <c r="N61" i="6" s="1"/>
  <c r="N210" i="1"/>
  <c r="O210" i="1" s="1"/>
  <c r="K60" i="6"/>
  <c r="L60" i="6" s="1"/>
  <c r="N60" i="6" s="1"/>
  <c r="O60" i="6"/>
  <c r="L300" i="5"/>
  <c r="M300" i="5" s="1"/>
  <c r="O300" i="5" s="1"/>
  <c r="P300" i="5"/>
  <c r="G301" i="5"/>
  <c r="P301" i="5"/>
  <c r="L299" i="5"/>
  <c r="M299" i="5" s="1"/>
  <c r="O299" i="5" s="1"/>
  <c r="P299" i="5"/>
  <c r="J212" i="1"/>
  <c r="K212" i="1" s="1"/>
  <c r="H204" i="1"/>
  <c r="I204" i="1" s="1"/>
  <c r="N200" i="1"/>
  <c r="O200" i="1" s="1"/>
  <c r="J199" i="1"/>
  <c r="K199" i="1" s="1"/>
  <c r="J211" i="1"/>
  <c r="K211" i="1" s="1"/>
  <c r="H203" i="1"/>
  <c r="I203" i="1" s="1"/>
  <c r="J206" i="1"/>
  <c r="K206" i="1" s="1"/>
  <c r="H205" i="1"/>
  <c r="I205" i="1" s="1"/>
  <c r="B196" i="1"/>
  <c r="H196" i="1" s="1"/>
  <c r="I196" i="1" s="1"/>
  <c r="J208" i="1"/>
  <c r="K208" i="1" s="1"/>
  <c r="J209" i="1"/>
  <c r="K209" i="1" s="1"/>
  <c r="J198" i="1"/>
  <c r="K198" i="1" s="1"/>
  <c r="J207" i="1"/>
  <c r="K207" i="1" s="1"/>
  <c r="L301" i="5"/>
  <c r="M301" i="5" s="1"/>
  <c r="O301" i="5" s="1"/>
  <c r="G299" i="5"/>
  <c r="J202" i="1"/>
  <c r="K202" i="1" s="1"/>
  <c r="V196" i="1"/>
  <c r="W196" i="1" s="1"/>
  <c r="G300" i="5"/>
  <c r="G158" i="3"/>
  <c r="H158" i="3" s="1"/>
  <c r="G159" i="3"/>
  <c r="H159" i="3" s="1"/>
  <c r="V197" i="1"/>
  <c r="W197" i="1" s="1"/>
  <c r="B197" i="1"/>
  <c r="J197" i="1" s="1"/>
  <c r="K197" i="1" s="1"/>
  <c r="J201" i="1"/>
  <c r="K201" i="1" s="1"/>
  <c r="H201" i="1"/>
  <c r="I201" i="1" s="1"/>
  <c r="L280" i="5"/>
  <c r="M280" i="5" s="1"/>
  <c r="O280" i="5" s="1"/>
  <c r="L278" i="5"/>
  <c r="M278" i="5" s="1"/>
  <c r="O278" i="5" s="1"/>
  <c r="G278" i="5"/>
  <c r="L279" i="5"/>
  <c r="M279" i="5" s="1"/>
  <c r="O279" i="5" s="1"/>
  <c r="G279" i="5"/>
  <c r="G280" i="5"/>
  <c r="E159" i="3"/>
  <c r="F159" i="3" s="1"/>
  <c r="L197" i="1"/>
  <c r="M197" i="1" s="1"/>
  <c r="P197" i="1"/>
  <c r="Q197" i="1" s="1"/>
  <c r="T197" i="1"/>
  <c r="U197" i="1" s="1"/>
  <c r="N197" i="1"/>
  <c r="O197" i="1" s="1"/>
  <c r="R197" i="1"/>
  <c r="S197" i="1" s="1"/>
  <c r="E158" i="3"/>
  <c r="F158" i="3" s="1"/>
  <c r="L196" i="1"/>
  <c r="M196" i="1" s="1"/>
  <c r="P196" i="1"/>
  <c r="Q196" i="1" s="1"/>
  <c r="T196" i="1"/>
  <c r="U196" i="1" s="1"/>
  <c r="N196" i="1"/>
  <c r="O196" i="1" s="1"/>
  <c r="R196" i="1"/>
  <c r="S196" i="1" s="1"/>
  <c r="L276" i="5"/>
  <c r="M276" i="5" s="1"/>
  <c r="O276" i="5" s="1"/>
  <c r="G276" i="5"/>
  <c r="L275" i="5"/>
  <c r="M275" i="5" s="1"/>
  <c r="O275" i="5" s="1"/>
  <c r="G275" i="5"/>
  <c r="L277" i="5"/>
  <c r="M277" i="5" s="1"/>
  <c r="O277" i="5" s="1"/>
  <c r="G277" i="5"/>
  <c r="L273" i="5"/>
  <c r="M273" i="5" s="1"/>
  <c r="O273" i="5" s="1"/>
  <c r="G273" i="5"/>
  <c r="L272" i="5"/>
  <c r="M272" i="5" s="1"/>
  <c r="O272" i="5" s="1"/>
  <c r="G272" i="5"/>
  <c r="L274" i="5"/>
  <c r="M274" i="5" s="1"/>
  <c r="O274" i="5" s="1"/>
  <c r="G274" i="5"/>
  <c r="N271" i="5"/>
  <c r="K271" i="5"/>
  <c r="H271" i="5"/>
  <c r="J271" i="5" s="1"/>
  <c r="C271" i="5"/>
  <c r="F271" i="5" s="1"/>
  <c r="P271" i="5" s="1"/>
  <c r="N270" i="5"/>
  <c r="K270" i="5"/>
  <c r="H270" i="5"/>
  <c r="J270" i="5" s="1"/>
  <c r="C270" i="5"/>
  <c r="F270" i="5" s="1"/>
  <c r="P270" i="5" s="1"/>
  <c r="N269" i="5"/>
  <c r="K269" i="5"/>
  <c r="H269" i="5"/>
  <c r="J269" i="5" s="1"/>
  <c r="C269" i="5"/>
  <c r="F269" i="5" s="1"/>
  <c r="P269" i="5" s="1"/>
  <c r="J196" i="1" l="1"/>
  <c r="K196" i="1" s="1"/>
  <c r="H197" i="1"/>
  <c r="I197" i="1" s="1"/>
  <c r="L270" i="5"/>
  <c r="M270" i="5" s="1"/>
  <c r="O270" i="5" s="1"/>
  <c r="G270" i="5"/>
  <c r="L269" i="5"/>
  <c r="M269" i="5" s="1"/>
  <c r="O269" i="5" s="1"/>
  <c r="G269" i="5"/>
  <c r="L271" i="5"/>
  <c r="M271" i="5" s="1"/>
  <c r="O271" i="5" s="1"/>
  <c r="G271" i="5"/>
  <c r="D157" i="3"/>
  <c r="B157" i="3"/>
  <c r="G195" i="1"/>
  <c r="E195" i="1"/>
  <c r="C195" i="1" s="1"/>
  <c r="G157" i="3" l="1"/>
  <c r="H157" i="3" s="1"/>
  <c r="V195" i="1"/>
  <c r="W195" i="1" s="1"/>
  <c r="E157" i="3"/>
  <c r="F157" i="3" s="1"/>
  <c r="L195" i="1"/>
  <c r="M195" i="1" s="1"/>
  <c r="B195" i="1"/>
  <c r="H195" i="1" s="1"/>
  <c r="I195" i="1" s="1"/>
  <c r="P195" i="1"/>
  <c r="Q195" i="1" s="1"/>
  <c r="T195" i="1"/>
  <c r="U195" i="1" s="1"/>
  <c r="N195" i="1"/>
  <c r="O195" i="1" s="1"/>
  <c r="R195" i="1"/>
  <c r="S195" i="1" s="1"/>
  <c r="C268" i="5"/>
  <c r="C267" i="5"/>
  <c r="C266" i="5"/>
  <c r="J195" i="1" l="1"/>
  <c r="K195" i="1" s="1"/>
  <c r="N268" i="5"/>
  <c r="K268" i="5"/>
  <c r="H268" i="5"/>
  <c r="J268" i="5" s="1"/>
  <c r="F268" i="5"/>
  <c r="P268" i="5" s="1"/>
  <c r="N267" i="5"/>
  <c r="K267" i="5"/>
  <c r="H267" i="5"/>
  <c r="J267" i="5" s="1"/>
  <c r="F267" i="5"/>
  <c r="P267" i="5" s="1"/>
  <c r="N266" i="5"/>
  <c r="K266" i="5"/>
  <c r="H266" i="5"/>
  <c r="J266" i="5" s="1"/>
  <c r="F266" i="5"/>
  <c r="P266" i="5" s="1"/>
  <c r="G266" i="5" l="1"/>
  <c r="L266" i="5"/>
  <c r="M266" i="5" s="1"/>
  <c r="O266" i="5" s="1"/>
  <c r="L267" i="5"/>
  <c r="M267" i="5" s="1"/>
  <c r="O267" i="5" s="1"/>
  <c r="G267" i="5"/>
  <c r="L268" i="5"/>
  <c r="M268" i="5" s="1"/>
  <c r="O268" i="5" s="1"/>
  <c r="G268" i="5"/>
  <c r="D156" i="3"/>
  <c r="B156" i="3"/>
  <c r="G194" i="1"/>
  <c r="E194" i="1"/>
  <c r="C194" i="1" s="1"/>
  <c r="V194" i="1" l="1"/>
  <c r="W194" i="1" s="1"/>
  <c r="G156" i="3"/>
  <c r="H156" i="3" s="1"/>
  <c r="E156" i="3"/>
  <c r="F156" i="3" s="1"/>
  <c r="L194" i="1"/>
  <c r="M194" i="1" s="1"/>
  <c r="B194" i="1"/>
  <c r="H194" i="1" s="1"/>
  <c r="I194" i="1" s="1"/>
  <c r="P194" i="1"/>
  <c r="Q194" i="1" s="1"/>
  <c r="T194" i="1"/>
  <c r="U194" i="1" s="1"/>
  <c r="N194" i="1"/>
  <c r="O194" i="1" s="1"/>
  <c r="R194" i="1"/>
  <c r="S194" i="1" s="1"/>
  <c r="N265" i="5"/>
  <c r="K265" i="5"/>
  <c r="H265" i="5"/>
  <c r="J265" i="5" s="1"/>
  <c r="F265" i="5"/>
  <c r="P265" i="5" s="1"/>
  <c r="N264" i="5"/>
  <c r="K264" i="5"/>
  <c r="H264" i="5"/>
  <c r="J264" i="5" s="1"/>
  <c r="F264" i="5"/>
  <c r="P264" i="5" s="1"/>
  <c r="N263" i="5"/>
  <c r="K263" i="5"/>
  <c r="H263" i="5"/>
  <c r="J263" i="5" s="1"/>
  <c r="F263" i="5"/>
  <c r="P263" i="5" s="1"/>
  <c r="G265" i="5" l="1"/>
  <c r="J194" i="1"/>
  <c r="K194" i="1" s="1"/>
  <c r="L265" i="5"/>
  <c r="M265" i="5" s="1"/>
  <c r="O265" i="5" s="1"/>
  <c r="L263" i="5"/>
  <c r="M263" i="5" s="1"/>
  <c r="O263" i="5" s="1"/>
  <c r="L264" i="5"/>
  <c r="M264" i="5" s="1"/>
  <c r="O264" i="5" s="1"/>
  <c r="G263" i="5"/>
  <c r="G264" i="5"/>
  <c r="N262" i="5"/>
  <c r="K262" i="5"/>
  <c r="H262" i="5"/>
  <c r="J262" i="5" s="1"/>
  <c r="C262" i="5"/>
  <c r="F262" i="5" s="1"/>
  <c r="P262" i="5" s="1"/>
  <c r="N261" i="5"/>
  <c r="K261" i="5"/>
  <c r="H261" i="5"/>
  <c r="J261" i="5" s="1"/>
  <c r="C261" i="5"/>
  <c r="F261" i="5" s="1"/>
  <c r="P261" i="5" s="1"/>
  <c r="N260" i="5"/>
  <c r="K260" i="5"/>
  <c r="H260" i="5"/>
  <c r="J260" i="5" s="1"/>
  <c r="C260" i="5"/>
  <c r="F260" i="5" s="1"/>
  <c r="P260" i="5" s="1"/>
  <c r="D155" i="3"/>
  <c r="B155" i="3"/>
  <c r="G155" i="3" l="1"/>
  <c r="H155" i="3" s="1"/>
  <c r="L260" i="5"/>
  <c r="M260" i="5" s="1"/>
  <c r="O260" i="5" s="1"/>
  <c r="G260" i="5"/>
  <c r="L261" i="5"/>
  <c r="M261" i="5" s="1"/>
  <c r="O261" i="5" s="1"/>
  <c r="G261" i="5"/>
  <c r="L262" i="5"/>
  <c r="M262" i="5" s="1"/>
  <c r="O262" i="5" s="1"/>
  <c r="G262" i="5"/>
  <c r="E155" i="3"/>
  <c r="F155" i="3" s="1"/>
  <c r="G193" i="1" l="1"/>
  <c r="E193" i="1"/>
  <c r="C193" i="1" s="1"/>
  <c r="V193" i="1" l="1"/>
  <c r="W193" i="1" s="1"/>
  <c r="L193" i="1"/>
  <c r="M193" i="1" s="1"/>
  <c r="B193" i="1"/>
  <c r="H193" i="1" s="1"/>
  <c r="I193" i="1" s="1"/>
  <c r="P193" i="1"/>
  <c r="Q193" i="1" s="1"/>
  <c r="T193" i="1"/>
  <c r="U193" i="1" s="1"/>
  <c r="N193" i="1"/>
  <c r="O193" i="1" s="1"/>
  <c r="R193" i="1"/>
  <c r="S193" i="1" s="1"/>
  <c r="N259" i="5"/>
  <c r="K259" i="5"/>
  <c r="H259" i="5"/>
  <c r="J259" i="5" s="1"/>
  <c r="C259" i="5"/>
  <c r="F259" i="5" s="1"/>
  <c r="P259" i="5" s="1"/>
  <c r="N258" i="5"/>
  <c r="K258" i="5"/>
  <c r="H258" i="5"/>
  <c r="J258" i="5" s="1"/>
  <c r="C258" i="5"/>
  <c r="F258" i="5" s="1"/>
  <c r="P258" i="5" s="1"/>
  <c r="N257" i="5"/>
  <c r="K257" i="5"/>
  <c r="H257" i="5"/>
  <c r="J257" i="5" s="1"/>
  <c r="C257" i="5"/>
  <c r="F257" i="5" s="1"/>
  <c r="P257" i="5" s="1"/>
  <c r="D154" i="3"/>
  <c r="B154" i="3"/>
  <c r="G192" i="1"/>
  <c r="E192" i="1"/>
  <c r="C192" i="1" s="1"/>
  <c r="G154" i="3" l="1"/>
  <c r="H154" i="3" s="1"/>
  <c r="J193" i="1"/>
  <c r="K193" i="1" s="1"/>
  <c r="V192" i="1"/>
  <c r="W192" i="1" s="1"/>
  <c r="L257" i="5"/>
  <c r="M257" i="5" s="1"/>
  <c r="O257" i="5" s="1"/>
  <c r="G257" i="5"/>
  <c r="G258" i="5"/>
  <c r="L258" i="5"/>
  <c r="M258" i="5" s="1"/>
  <c r="O258" i="5" s="1"/>
  <c r="L259" i="5"/>
  <c r="M259" i="5" s="1"/>
  <c r="O259" i="5" s="1"/>
  <c r="G259" i="5"/>
  <c r="E154" i="3"/>
  <c r="F154" i="3" s="1"/>
  <c r="L192" i="1"/>
  <c r="M192" i="1" s="1"/>
  <c r="B192" i="1"/>
  <c r="H192" i="1" s="1"/>
  <c r="I192" i="1" s="1"/>
  <c r="P192" i="1"/>
  <c r="Q192" i="1" s="1"/>
  <c r="T192" i="1"/>
  <c r="U192" i="1" s="1"/>
  <c r="N192" i="1"/>
  <c r="O192" i="1" s="1"/>
  <c r="R192" i="1"/>
  <c r="S192" i="1" s="1"/>
  <c r="N256" i="5"/>
  <c r="K256" i="5"/>
  <c r="H256" i="5"/>
  <c r="J256" i="5" s="1"/>
  <c r="C256" i="5"/>
  <c r="F256" i="5" s="1"/>
  <c r="P256" i="5" s="1"/>
  <c r="N255" i="5"/>
  <c r="K255" i="5"/>
  <c r="H255" i="5"/>
  <c r="J255" i="5" s="1"/>
  <c r="C255" i="5"/>
  <c r="F255" i="5" s="1"/>
  <c r="P255" i="5" s="1"/>
  <c r="N254" i="5"/>
  <c r="K254" i="5"/>
  <c r="H254" i="5"/>
  <c r="J254" i="5" s="1"/>
  <c r="C254" i="5"/>
  <c r="F254" i="5" s="1"/>
  <c r="P254" i="5" s="1"/>
  <c r="J192" i="1" l="1"/>
  <c r="K192" i="1" s="1"/>
  <c r="G254" i="5"/>
  <c r="L254" i="5"/>
  <c r="M254" i="5" s="1"/>
  <c r="O254" i="5" s="1"/>
  <c r="L255" i="5"/>
  <c r="M255" i="5" s="1"/>
  <c r="O255" i="5" s="1"/>
  <c r="G255" i="5"/>
  <c r="L256" i="5"/>
  <c r="M256" i="5" s="1"/>
  <c r="O256" i="5" s="1"/>
  <c r="G256" i="5"/>
  <c r="D153" i="3"/>
  <c r="B153" i="3"/>
  <c r="G191" i="1"/>
  <c r="E191" i="1"/>
  <c r="C191" i="1" s="1"/>
  <c r="V191" i="1" l="1"/>
  <c r="W191" i="1" s="1"/>
  <c r="G153" i="3"/>
  <c r="H153" i="3" s="1"/>
  <c r="E153" i="3"/>
  <c r="F153" i="3" s="1"/>
  <c r="L191" i="1"/>
  <c r="M191" i="1" s="1"/>
  <c r="N191" i="1"/>
  <c r="O191" i="1" s="1"/>
  <c r="R191" i="1"/>
  <c r="S191" i="1" s="1"/>
  <c r="B191" i="1"/>
  <c r="H191" i="1" s="1"/>
  <c r="I191" i="1" s="1"/>
  <c r="P191" i="1"/>
  <c r="Q191" i="1" s="1"/>
  <c r="T191" i="1"/>
  <c r="U191" i="1" s="1"/>
  <c r="N253" i="5"/>
  <c r="K253" i="5"/>
  <c r="H253" i="5"/>
  <c r="J253" i="5" s="1"/>
  <c r="F253" i="5"/>
  <c r="P253" i="5" s="1"/>
  <c r="N252" i="5"/>
  <c r="K252" i="5"/>
  <c r="H252" i="5"/>
  <c r="J252" i="5" s="1"/>
  <c r="F252" i="5"/>
  <c r="P252" i="5" s="1"/>
  <c r="N251" i="5"/>
  <c r="K251" i="5"/>
  <c r="H251" i="5"/>
  <c r="J251" i="5" s="1"/>
  <c r="F251" i="5"/>
  <c r="P251" i="5" s="1"/>
  <c r="G253" i="5" l="1"/>
  <c r="L253" i="5"/>
  <c r="M253" i="5" s="1"/>
  <c r="O253" i="5" s="1"/>
  <c r="L251" i="5"/>
  <c r="M251" i="5" s="1"/>
  <c r="O251" i="5" s="1"/>
  <c r="L252" i="5"/>
  <c r="M252" i="5" s="1"/>
  <c r="O252" i="5" s="1"/>
  <c r="J191" i="1"/>
  <c r="K191" i="1" s="1"/>
  <c r="G251" i="5"/>
  <c r="G252" i="5"/>
  <c r="M52" i="6"/>
  <c r="J52" i="6"/>
  <c r="G52" i="6"/>
  <c r="I52" i="6" s="1"/>
  <c r="D52" i="6"/>
  <c r="C52" i="6"/>
  <c r="M51" i="6"/>
  <c r="J51" i="6"/>
  <c r="G51" i="6"/>
  <c r="I51" i="6" s="1"/>
  <c r="D51" i="6"/>
  <c r="C51" i="6"/>
  <c r="M50" i="6"/>
  <c r="J50" i="6"/>
  <c r="G50" i="6"/>
  <c r="I50" i="6" s="1"/>
  <c r="D50" i="6"/>
  <c r="C50" i="6"/>
  <c r="N250" i="5"/>
  <c r="K250" i="5"/>
  <c r="H250" i="5"/>
  <c r="J250" i="5" s="1"/>
  <c r="C250" i="5"/>
  <c r="F250" i="5" s="1"/>
  <c r="P250" i="5" s="1"/>
  <c r="N249" i="5"/>
  <c r="K249" i="5"/>
  <c r="H249" i="5"/>
  <c r="J249" i="5" s="1"/>
  <c r="C249" i="5"/>
  <c r="F249" i="5" s="1"/>
  <c r="P249" i="5" s="1"/>
  <c r="N248" i="5"/>
  <c r="K248" i="5"/>
  <c r="H248" i="5"/>
  <c r="J248" i="5" s="1"/>
  <c r="C248" i="5"/>
  <c r="F248" i="5" s="1"/>
  <c r="P248" i="5" s="1"/>
  <c r="D152" i="3"/>
  <c r="B152" i="3"/>
  <c r="G190" i="1"/>
  <c r="E190" i="1"/>
  <c r="B190" i="1" s="1"/>
  <c r="E52" i="6" l="1"/>
  <c r="O52" i="6" s="1"/>
  <c r="C190" i="1"/>
  <c r="N190" i="1" s="1"/>
  <c r="O190" i="1" s="1"/>
  <c r="G152" i="3"/>
  <c r="H152" i="3" s="1"/>
  <c r="E50" i="6"/>
  <c r="E51" i="6"/>
  <c r="V190" i="1"/>
  <c r="W190" i="1" s="1"/>
  <c r="L248" i="5"/>
  <c r="M248" i="5" s="1"/>
  <c r="O248" i="5" s="1"/>
  <c r="G248" i="5"/>
  <c r="L249" i="5"/>
  <c r="M249" i="5" s="1"/>
  <c r="O249" i="5" s="1"/>
  <c r="G249" i="5"/>
  <c r="L250" i="5"/>
  <c r="M250" i="5" s="1"/>
  <c r="O250" i="5" s="1"/>
  <c r="G250" i="5"/>
  <c r="E152" i="3"/>
  <c r="F152" i="3" s="1"/>
  <c r="H190" i="1"/>
  <c r="I190" i="1" s="1"/>
  <c r="P190" i="1"/>
  <c r="Q190" i="1" s="1"/>
  <c r="T190" i="1"/>
  <c r="U190" i="1" s="1"/>
  <c r="J190" i="1"/>
  <c r="K190" i="1" s="1"/>
  <c r="R190" i="1"/>
  <c r="S190" i="1" s="1"/>
  <c r="N247" i="5"/>
  <c r="K247" i="5"/>
  <c r="H247" i="5"/>
  <c r="J247" i="5" s="1"/>
  <c r="D247" i="5"/>
  <c r="C247" i="5"/>
  <c r="N246" i="5"/>
  <c r="K246" i="5"/>
  <c r="H246" i="5"/>
  <c r="J246" i="5" s="1"/>
  <c r="D246" i="5"/>
  <c r="C246" i="5"/>
  <c r="N245" i="5"/>
  <c r="K245" i="5"/>
  <c r="H245" i="5"/>
  <c r="J245" i="5" s="1"/>
  <c r="D245" i="5"/>
  <c r="C245" i="5"/>
  <c r="D151" i="3"/>
  <c r="B151" i="3"/>
  <c r="G189" i="1"/>
  <c r="E189" i="1"/>
  <c r="C189" i="1" s="1"/>
  <c r="K52" i="6" l="1"/>
  <c r="L52" i="6" s="1"/>
  <c r="N52" i="6" s="1"/>
  <c r="F52" i="6"/>
  <c r="L190" i="1"/>
  <c r="M190" i="1" s="1"/>
  <c r="O51" i="6"/>
  <c r="F51" i="6"/>
  <c r="O50" i="6"/>
  <c r="F50" i="6"/>
  <c r="K50" i="6"/>
  <c r="L50" i="6" s="1"/>
  <c r="N50" i="6" s="1"/>
  <c r="K51" i="6"/>
  <c r="L51" i="6" s="1"/>
  <c r="N51" i="6" s="1"/>
  <c r="F246" i="5"/>
  <c r="F247" i="5"/>
  <c r="G151" i="3"/>
  <c r="H151" i="3" s="1"/>
  <c r="V189" i="1"/>
  <c r="W189" i="1" s="1"/>
  <c r="B189" i="1"/>
  <c r="H189" i="1" s="1"/>
  <c r="I189" i="1" s="1"/>
  <c r="F245" i="5"/>
  <c r="E151" i="3"/>
  <c r="F151" i="3" s="1"/>
  <c r="L189" i="1"/>
  <c r="M189" i="1" s="1"/>
  <c r="P189" i="1"/>
  <c r="Q189" i="1" s="1"/>
  <c r="T189" i="1"/>
  <c r="U189" i="1" s="1"/>
  <c r="N189" i="1"/>
  <c r="O189" i="1" s="1"/>
  <c r="R189" i="1"/>
  <c r="S189" i="1" s="1"/>
  <c r="G245" i="5" l="1"/>
  <c r="P245" i="5"/>
  <c r="G247" i="5"/>
  <c r="P247" i="5"/>
  <c r="L246" i="5"/>
  <c r="M246" i="5" s="1"/>
  <c r="O246" i="5" s="1"/>
  <c r="P246" i="5"/>
  <c r="G246" i="5"/>
  <c r="L247" i="5"/>
  <c r="M247" i="5" s="1"/>
  <c r="O247" i="5" s="1"/>
  <c r="L245" i="5"/>
  <c r="M245" i="5" s="1"/>
  <c r="O245" i="5" s="1"/>
  <c r="J189" i="1"/>
  <c r="K189" i="1" s="1"/>
  <c r="M49" i="6"/>
  <c r="J49" i="6"/>
  <c r="G49" i="6"/>
  <c r="I49" i="6" s="1"/>
  <c r="C49" i="6"/>
  <c r="E49" i="6" s="1"/>
  <c r="M48" i="6"/>
  <c r="J48" i="6"/>
  <c r="G48" i="6"/>
  <c r="I48" i="6" s="1"/>
  <c r="C48" i="6"/>
  <c r="E48" i="6" s="1"/>
  <c r="M47" i="6"/>
  <c r="J47" i="6"/>
  <c r="G47" i="6"/>
  <c r="I47" i="6" s="1"/>
  <c r="C47" i="6"/>
  <c r="E47" i="6" s="1"/>
  <c r="N244" i="5"/>
  <c r="K244" i="5"/>
  <c r="H244" i="5"/>
  <c r="J244" i="5" s="1"/>
  <c r="C244" i="5"/>
  <c r="F244" i="5" s="1"/>
  <c r="P244" i="5" s="1"/>
  <c r="N243" i="5"/>
  <c r="K243" i="5"/>
  <c r="H243" i="5"/>
  <c r="J243" i="5" s="1"/>
  <c r="C243" i="5"/>
  <c r="F243" i="5" s="1"/>
  <c r="P243" i="5" s="1"/>
  <c r="N242" i="5"/>
  <c r="K242" i="5"/>
  <c r="H242" i="5"/>
  <c r="J242" i="5" s="1"/>
  <c r="C242" i="5"/>
  <c r="F242" i="5" s="1"/>
  <c r="P242" i="5" s="1"/>
  <c r="O47" i="6" l="1"/>
  <c r="F47" i="6"/>
  <c r="O49" i="6"/>
  <c r="F49" i="6"/>
  <c r="O48" i="6"/>
  <c r="F48" i="6"/>
  <c r="K47" i="6"/>
  <c r="L47" i="6" s="1"/>
  <c r="N47" i="6" s="1"/>
  <c r="K48" i="6"/>
  <c r="L48" i="6" s="1"/>
  <c r="N48" i="6" s="1"/>
  <c r="K49" i="6"/>
  <c r="L49" i="6" s="1"/>
  <c r="N49" i="6" s="1"/>
  <c r="L243" i="5"/>
  <c r="M243" i="5" s="1"/>
  <c r="O243" i="5" s="1"/>
  <c r="G243" i="5"/>
  <c r="G242" i="5"/>
  <c r="L242" i="5"/>
  <c r="M242" i="5" s="1"/>
  <c r="O242" i="5" s="1"/>
  <c r="L244" i="5"/>
  <c r="M244" i="5" s="1"/>
  <c r="O244" i="5" s="1"/>
  <c r="G244" i="5"/>
  <c r="N241" i="5" l="1"/>
  <c r="K241" i="5"/>
  <c r="H241" i="5"/>
  <c r="J241" i="5" s="1"/>
  <c r="C241" i="5"/>
  <c r="F241" i="5" s="1"/>
  <c r="P241" i="5" s="1"/>
  <c r="N240" i="5"/>
  <c r="K240" i="5"/>
  <c r="H240" i="5"/>
  <c r="J240" i="5" s="1"/>
  <c r="C240" i="5"/>
  <c r="F240" i="5" s="1"/>
  <c r="P240" i="5" s="1"/>
  <c r="N239" i="5"/>
  <c r="K239" i="5"/>
  <c r="H239" i="5"/>
  <c r="J239" i="5" s="1"/>
  <c r="C239" i="5"/>
  <c r="F239" i="5" s="1"/>
  <c r="P239" i="5" s="1"/>
  <c r="G241" i="5" l="1"/>
  <c r="L241" i="5"/>
  <c r="M241" i="5" s="1"/>
  <c r="O241" i="5" s="1"/>
  <c r="L239" i="5"/>
  <c r="M239" i="5" s="1"/>
  <c r="O239" i="5" s="1"/>
  <c r="G239" i="5"/>
  <c r="L240" i="5"/>
  <c r="M240" i="5" s="1"/>
  <c r="O240" i="5" s="1"/>
  <c r="G240" i="5"/>
  <c r="D150" i="3"/>
  <c r="B150" i="3"/>
  <c r="G188" i="1"/>
  <c r="E188" i="1"/>
  <c r="C188" i="1" s="1"/>
  <c r="V188" i="1" l="1"/>
  <c r="W188" i="1" s="1"/>
  <c r="G150" i="3"/>
  <c r="H150" i="3" s="1"/>
  <c r="E150" i="3"/>
  <c r="F150" i="3" s="1"/>
  <c r="L188" i="1"/>
  <c r="M188" i="1" s="1"/>
  <c r="B188" i="1"/>
  <c r="H188" i="1" s="1"/>
  <c r="I188" i="1" s="1"/>
  <c r="P188" i="1"/>
  <c r="Q188" i="1" s="1"/>
  <c r="T188" i="1"/>
  <c r="U188" i="1" s="1"/>
  <c r="N188" i="1"/>
  <c r="O188" i="1" s="1"/>
  <c r="R188" i="1"/>
  <c r="S188" i="1" s="1"/>
  <c r="N238" i="5"/>
  <c r="K238" i="5"/>
  <c r="H238" i="5"/>
  <c r="J238" i="5" s="1"/>
  <c r="F238" i="5"/>
  <c r="P238" i="5" s="1"/>
  <c r="N237" i="5"/>
  <c r="K237" i="5"/>
  <c r="H237" i="5"/>
  <c r="J237" i="5" s="1"/>
  <c r="F237" i="5"/>
  <c r="P237" i="5" s="1"/>
  <c r="N236" i="5"/>
  <c r="K236" i="5"/>
  <c r="H236" i="5"/>
  <c r="J236" i="5" s="1"/>
  <c r="F236" i="5"/>
  <c r="P236" i="5" s="1"/>
  <c r="G236" i="5" l="1"/>
  <c r="L238" i="5"/>
  <c r="M238" i="5" s="1"/>
  <c r="O238" i="5" s="1"/>
  <c r="J188" i="1"/>
  <c r="K188" i="1" s="1"/>
  <c r="G238" i="5"/>
  <c r="L237" i="5"/>
  <c r="M237" i="5" s="1"/>
  <c r="O237" i="5" s="1"/>
  <c r="L236" i="5"/>
  <c r="M236" i="5" s="1"/>
  <c r="O236" i="5" s="1"/>
  <c r="G237" i="5"/>
  <c r="G187" i="1"/>
  <c r="R187" i="1" s="1"/>
  <c r="S187" i="1" s="1"/>
  <c r="E187" i="1"/>
  <c r="C187" i="1" s="1"/>
  <c r="D149" i="3"/>
  <c r="B149" i="3"/>
  <c r="M46" i="6"/>
  <c r="J46" i="6"/>
  <c r="G46" i="6"/>
  <c r="I46" i="6" s="1"/>
  <c r="C46" i="6"/>
  <c r="E46" i="6" s="1"/>
  <c r="M45" i="6"/>
  <c r="J45" i="6"/>
  <c r="G45" i="6"/>
  <c r="I45" i="6" s="1"/>
  <c r="C45" i="6"/>
  <c r="E45" i="6" s="1"/>
  <c r="M44" i="6"/>
  <c r="J44" i="6"/>
  <c r="G44" i="6"/>
  <c r="I44" i="6" s="1"/>
  <c r="C44" i="6"/>
  <c r="E44" i="6" s="1"/>
  <c r="N235" i="5"/>
  <c r="K235" i="5"/>
  <c r="H235" i="5"/>
  <c r="J235" i="5" s="1"/>
  <c r="C235" i="5"/>
  <c r="F235" i="5" s="1"/>
  <c r="P235" i="5" s="1"/>
  <c r="N234" i="5"/>
  <c r="K234" i="5"/>
  <c r="H234" i="5"/>
  <c r="J234" i="5" s="1"/>
  <c r="C234" i="5"/>
  <c r="F234" i="5" s="1"/>
  <c r="P234" i="5" s="1"/>
  <c r="N233" i="5"/>
  <c r="K233" i="5"/>
  <c r="H233" i="5"/>
  <c r="J233" i="5" s="1"/>
  <c r="C233" i="5"/>
  <c r="F233" i="5" s="1"/>
  <c r="P233" i="5" s="1"/>
  <c r="O46" i="6" l="1"/>
  <c r="F46" i="6"/>
  <c r="O44" i="6"/>
  <c r="F44" i="6"/>
  <c r="O45" i="6"/>
  <c r="F45" i="6"/>
  <c r="B187" i="1"/>
  <c r="J187" i="1" s="1"/>
  <c r="K187" i="1" s="1"/>
  <c r="G149" i="3"/>
  <c r="H149" i="3" s="1"/>
  <c r="N187" i="1"/>
  <c r="O187" i="1" s="1"/>
  <c r="T187" i="1"/>
  <c r="U187" i="1" s="1"/>
  <c r="L187" i="1"/>
  <c r="M187" i="1" s="1"/>
  <c r="P187" i="1"/>
  <c r="Q187" i="1" s="1"/>
  <c r="V187" i="1"/>
  <c r="W187" i="1" s="1"/>
  <c r="E149" i="3"/>
  <c r="F149" i="3" s="1"/>
  <c r="K45" i="6"/>
  <c r="L45" i="6" s="1"/>
  <c r="N45" i="6" s="1"/>
  <c r="K44" i="6"/>
  <c r="L44" i="6" s="1"/>
  <c r="N44" i="6" s="1"/>
  <c r="K46" i="6"/>
  <c r="L46" i="6" s="1"/>
  <c r="N46" i="6" s="1"/>
  <c r="L233" i="5"/>
  <c r="M233" i="5" s="1"/>
  <c r="O233" i="5" s="1"/>
  <c r="G233" i="5"/>
  <c r="L234" i="5"/>
  <c r="M234" i="5" s="1"/>
  <c r="O234" i="5" s="1"/>
  <c r="G234" i="5"/>
  <c r="L235" i="5"/>
  <c r="M235" i="5" s="1"/>
  <c r="O235" i="5" s="1"/>
  <c r="G235" i="5"/>
  <c r="H232" i="5"/>
  <c r="J232" i="5" s="1"/>
  <c r="H231" i="5"/>
  <c r="J231" i="5" s="1"/>
  <c r="H230" i="5"/>
  <c r="J230" i="5" s="1"/>
  <c r="F232" i="5"/>
  <c r="P232" i="5" s="1"/>
  <c r="F231" i="5"/>
  <c r="P231" i="5" s="1"/>
  <c r="F230" i="5"/>
  <c r="P230" i="5" s="1"/>
  <c r="N232" i="5"/>
  <c r="K232" i="5"/>
  <c r="N231" i="5"/>
  <c r="K231" i="5"/>
  <c r="N230" i="5"/>
  <c r="K230" i="5"/>
  <c r="N229" i="5"/>
  <c r="K229" i="5"/>
  <c r="H229" i="5"/>
  <c r="J229" i="5" s="1"/>
  <c r="C229" i="5"/>
  <c r="F229" i="5" s="1"/>
  <c r="P229" i="5" s="1"/>
  <c r="N228" i="5"/>
  <c r="K228" i="5"/>
  <c r="H228" i="5"/>
  <c r="J228" i="5" s="1"/>
  <c r="C228" i="5"/>
  <c r="F228" i="5" s="1"/>
  <c r="P228" i="5" s="1"/>
  <c r="N227" i="5"/>
  <c r="K227" i="5"/>
  <c r="H227" i="5"/>
  <c r="J227" i="5" s="1"/>
  <c r="C227" i="5"/>
  <c r="F227" i="5" s="1"/>
  <c r="P227" i="5" s="1"/>
  <c r="H187" i="1" l="1"/>
  <c r="I187" i="1" s="1"/>
  <c r="G231" i="5"/>
  <c r="G228" i="5"/>
  <c r="G230" i="5"/>
  <c r="G232" i="5"/>
  <c r="L228" i="5"/>
  <c r="M228" i="5" s="1"/>
  <c r="O228" i="5" s="1"/>
  <c r="L232" i="5"/>
  <c r="M232" i="5" s="1"/>
  <c r="O232" i="5" s="1"/>
  <c r="L230" i="5"/>
  <c r="M230" i="5" s="1"/>
  <c r="O230" i="5" s="1"/>
  <c r="L231" i="5"/>
  <c r="M231" i="5" s="1"/>
  <c r="O231" i="5" s="1"/>
  <c r="L229" i="5"/>
  <c r="M229" i="5" s="1"/>
  <c r="O229" i="5" s="1"/>
  <c r="G229" i="5"/>
  <c r="L227" i="5"/>
  <c r="M227" i="5" s="1"/>
  <c r="O227" i="5" s="1"/>
  <c r="G227" i="5"/>
  <c r="D148" i="3"/>
  <c r="B148" i="3"/>
  <c r="G186" i="1"/>
  <c r="E186" i="1"/>
  <c r="B186" i="1" s="1"/>
  <c r="V186" i="1" l="1"/>
  <c r="W186" i="1" s="1"/>
  <c r="C186" i="1"/>
  <c r="N186" i="1" s="1"/>
  <c r="O186" i="1" s="1"/>
  <c r="G148" i="3"/>
  <c r="H148" i="3" s="1"/>
  <c r="E148" i="3"/>
  <c r="F148" i="3" s="1"/>
  <c r="H186" i="1"/>
  <c r="I186" i="1" s="1"/>
  <c r="P186" i="1"/>
  <c r="Q186" i="1" s="1"/>
  <c r="T186" i="1"/>
  <c r="U186" i="1" s="1"/>
  <c r="J186" i="1"/>
  <c r="K186" i="1" s="1"/>
  <c r="R186" i="1"/>
  <c r="S186" i="1" s="1"/>
  <c r="N226" i="5"/>
  <c r="K226" i="5"/>
  <c r="H226" i="5"/>
  <c r="J226" i="5" s="1"/>
  <c r="C226" i="5"/>
  <c r="F226" i="5" s="1"/>
  <c r="P226" i="5" s="1"/>
  <c r="N225" i="5"/>
  <c r="K225" i="5"/>
  <c r="H225" i="5"/>
  <c r="J225" i="5" s="1"/>
  <c r="C225" i="5"/>
  <c r="F225" i="5" s="1"/>
  <c r="P225" i="5" s="1"/>
  <c r="N224" i="5"/>
  <c r="K224" i="5"/>
  <c r="H224" i="5"/>
  <c r="J224" i="5" s="1"/>
  <c r="C224" i="5"/>
  <c r="F224" i="5" s="1"/>
  <c r="P224" i="5" s="1"/>
  <c r="L186" i="1" l="1"/>
  <c r="M186" i="1" s="1"/>
  <c r="L225" i="5"/>
  <c r="M225" i="5" s="1"/>
  <c r="O225" i="5" s="1"/>
  <c r="G225" i="5"/>
  <c r="L224" i="5"/>
  <c r="M224" i="5" s="1"/>
  <c r="O224" i="5" s="1"/>
  <c r="G224" i="5"/>
  <c r="L226" i="5"/>
  <c r="M226" i="5" s="1"/>
  <c r="O226" i="5" s="1"/>
  <c r="G226" i="5"/>
  <c r="D147" i="3"/>
  <c r="B147" i="3"/>
  <c r="G185" i="1"/>
  <c r="P185" i="1" s="1"/>
  <c r="Q185" i="1" s="1"/>
  <c r="E185" i="1"/>
  <c r="C185" i="1" s="1"/>
  <c r="G147" i="3" l="1"/>
  <c r="H147" i="3" s="1"/>
  <c r="E147" i="3"/>
  <c r="F147" i="3" s="1"/>
  <c r="L185" i="1"/>
  <c r="M185" i="1" s="1"/>
  <c r="N185" i="1"/>
  <c r="O185" i="1" s="1"/>
  <c r="R185" i="1"/>
  <c r="S185" i="1" s="1"/>
  <c r="V185" i="1"/>
  <c r="W185" i="1" s="1"/>
  <c r="B185" i="1"/>
  <c r="H185" i="1" s="1"/>
  <c r="I185" i="1" s="1"/>
  <c r="T185" i="1"/>
  <c r="U185" i="1" s="1"/>
  <c r="N223" i="5"/>
  <c r="K223" i="5"/>
  <c r="H223" i="5"/>
  <c r="J223" i="5" s="1"/>
  <c r="F223" i="5"/>
  <c r="P223" i="5" s="1"/>
  <c r="N222" i="5"/>
  <c r="K222" i="5"/>
  <c r="H222" i="5"/>
  <c r="J222" i="5" s="1"/>
  <c r="F222" i="5"/>
  <c r="P222" i="5" s="1"/>
  <c r="N221" i="5"/>
  <c r="K221" i="5"/>
  <c r="H221" i="5"/>
  <c r="J221" i="5" s="1"/>
  <c r="F221" i="5"/>
  <c r="P221" i="5" s="1"/>
  <c r="G221" i="5" l="1"/>
  <c r="G223" i="5"/>
  <c r="L221" i="5"/>
  <c r="M221" i="5" s="1"/>
  <c r="O221" i="5" s="1"/>
  <c r="L223" i="5"/>
  <c r="M223" i="5" s="1"/>
  <c r="O223" i="5" s="1"/>
  <c r="J185" i="1"/>
  <c r="K185" i="1" s="1"/>
  <c r="L222" i="5"/>
  <c r="M222" i="5" s="1"/>
  <c r="O222" i="5" s="1"/>
  <c r="G222" i="5"/>
  <c r="N220" i="5"/>
  <c r="K220" i="5"/>
  <c r="H220" i="5"/>
  <c r="J220" i="5" s="1"/>
  <c r="C220" i="5"/>
  <c r="F220" i="5" s="1"/>
  <c r="P220" i="5" s="1"/>
  <c r="N219" i="5"/>
  <c r="K219" i="5"/>
  <c r="H219" i="5"/>
  <c r="J219" i="5" s="1"/>
  <c r="C219" i="5"/>
  <c r="F219" i="5" s="1"/>
  <c r="P219" i="5" s="1"/>
  <c r="N218" i="5"/>
  <c r="K218" i="5"/>
  <c r="H218" i="5"/>
  <c r="J218" i="5" s="1"/>
  <c r="C218" i="5"/>
  <c r="F218" i="5" s="1"/>
  <c r="P218" i="5" s="1"/>
  <c r="D146" i="3"/>
  <c r="B146" i="3"/>
  <c r="G184" i="1"/>
  <c r="R184" i="1" s="1"/>
  <c r="S184" i="1" s="1"/>
  <c r="E184" i="1"/>
  <c r="C184" i="1" s="1"/>
  <c r="G146" i="3" l="1"/>
  <c r="H146" i="3" s="1"/>
  <c r="L219" i="5"/>
  <c r="M219" i="5" s="1"/>
  <c r="O219" i="5" s="1"/>
  <c r="G219" i="5"/>
  <c r="L218" i="5"/>
  <c r="M218" i="5" s="1"/>
  <c r="O218" i="5" s="1"/>
  <c r="G218" i="5"/>
  <c r="L220" i="5"/>
  <c r="M220" i="5" s="1"/>
  <c r="O220" i="5" s="1"/>
  <c r="G220" i="5"/>
  <c r="E146" i="3"/>
  <c r="F146" i="3" s="1"/>
  <c r="L184" i="1"/>
  <c r="M184" i="1" s="1"/>
  <c r="N184" i="1"/>
  <c r="O184" i="1" s="1"/>
  <c r="V184" i="1"/>
  <c r="W184" i="1" s="1"/>
  <c r="B184" i="1"/>
  <c r="H184" i="1" s="1"/>
  <c r="I184" i="1" s="1"/>
  <c r="P184" i="1"/>
  <c r="Q184" i="1" s="1"/>
  <c r="T184" i="1"/>
  <c r="U184" i="1" s="1"/>
  <c r="D145" i="3"/>
  <c r="B145" i="3"/>
  <c r="G183" i="1"/>
  <c r="E183" i="1"/>
  <c r="C183" i="1" s="1"/>
  <c r="N217" i="5"/>
  <c r="K217" i="5"/>
  <c r="H217" i="5"/>
  <c r="J217" i="5" s="1"/>
  <c r="C217" i="5"/>
  <c r="F217" i="5" s="1"/>
  <c r="P217" i="5" s="1"/>
  <c r="N216" i="5"/>
  <c r="K216" i="5"/>
  <c r="H216" i="5"/>
  <c r="J216" i="5" s="1"/>
  <c r="C216" i="5"/>
  <c r="F216" i="5" s="1"/>
  <c r="P216" i="5" s="1"/>
  <c r="N215" i="5"/>
  <c r="K215" i="5"/>
  <c r="H215" i="5"/>
  <c r="J215" i="5" s="1"/>
  <c r="C215" i="5"/>
  <c r="F215" i="5" s="1"/>
  <c r="P215" i="5" s="1"/>
  <c r="G145" i="3" l="1"/>
  <c r="H145" i="3" s="1"/>
  <c r="V183" i="1"/>
  <c r="W183" i="1" s="1"/>
  <c r="J184" i="1"/>
  <c r="K184" i="1" s="1"/>
  <c r="E145" i="3"/>
  <c r="F145" i="3" s="1"/>
  <c r="L183" i="1"/>
  <c r="M183" i="1" s="1"/>
  <c r="B183" i="1"/>
  <c r="H183" i="1" s="1"/>
  <c r="I183" i="1" s="1"/>
  <c r="P183" i="1"/>
  <c r="Q183" i="1" s="1"/>
  <c r="T183" i="1"/>
  <c r="U183" i="1" s="1"/>
  <c r="N183" i="1"/>
  <c r="O183" i="1" s="1"/>
  <c r="R183" i="1"/>
  <c r="S183" i="1" s="1"/>
  <c r="L216" i="5"/>
  <c r="M216" i="5" s="1"/>
  <c r="O216" i="5" s="1"/>
  <c r="G216" i="5"/>
  <c r="G215" i="5"/>
  <c r="L215" i="5"/>
  <c r="M215" i="5" s="1"/>
  <c r="O215" i="5" s="1"/>
  <c r="L217" i="5"/>
  <c r="M217" i="5" s="1"/>
  <c r="O217" i="5" s="1"/>
  <c r="G217" i="5"/>
  <c r="N214" i="5"/>
  <c r="K214" i="5"/>
  <c r="H214" i="5"/>
  <c r="J214" i="5" s="1"/>
  <c r="C214" i="5"/>
  <c r="F214" i="5" s="1"/>
  <c r="P214" i="5" s="1"/>
  <c r="N213" i="5"/>
  <c r="K213" i="5"/>
  <c r="H213" i="5"/>
  <c r="J213" i="5" s="1"/>
  <c r="C213" i="5"/>
  <c r="F213" i="5" s="1"/>
  <c r="P213" i="5" s="1"/>
  <c r="N212" i="5"/>
  <c r="K212" i="5"/>
  <c r="H212" i="5"/>
  <c r="J212" i="5" s="1"/>
  <c r="C212" i="5"/>
  <c r="F212" i="5" s="1"/>
  <c r="P212" i="5" s="1"/>
  <c r="J183" i="1" l="1"/>
  <c r="K183" i="1" s="1"/>
  <c r="G214" i="5"/>
  <c r="L214" i="5"/>
  <c r="M214" i="5" s="1"/>
  <c r="O214" i="5" s="1"/>
  <c r="L212" i="5"/>
  <c r="M212" i="5" s="1"/>
  <c r="O212" i="5" s="1"/>
  <c r="G212" i="5"/>
  <c r="L213" i="5"/>
  <c r="M213" i="5" s="1"/>
  <c r="O213" i="5" s="1"/>
  <c r="G213" i="5"/>
  <c r="D144" i="3"/>
  <c r="B144" i="3"/>
  <c r="G182" i="1"/>
  <c r="E182" i="1"/>
  <c r="C182" i="1" s="1"/>
  <c r="B182" i="1" l="1"/>
  <c r="H182" i="1" s="1"/>
  <c r="I182" i="1" s="1"/>
  <c r="V182" i="1"/>
  <c r="W182" i="1" s="1"/>
  <c r="E144" i="3"/>
  <c r="F144" i="3" s="1"/>
  <c r="G144" i="3"/>
  <c r="H144" i="3" s="1"/>
  <c r="L182" i="1"/>
  <c r="M182" i="1" s="1"/>
  <c r="P182" i="1"/>
  <c r="Q182" i="1" s="1"/>
  <c r="T182" i="1"/>
  <c r="U182" i="1" s="1"/>
  <c r="N182" i="1"/>
  <c r="O182" i="1" s="1"/>
  <c r="R182" i="1"/>
  <c r="S182" i="1" s="1"/>
  <c r="N211" i="5"/>
  <c r="K211" i="5"/>
  <c r="H211" i="5"/>
  <c r="J211" i="5" s="1"/>
  <c r="F211" i="5"/>
  <c r="P211" i="5" s="1"/>
  <c r="N210" i="5"/>
  <c r="K210" i="5"/>
  <c r="H210" i="5"/>
  <c r="J210" i="5" s="1"/>
  <c r="F210" i="5"/>
  <c r="P210" i="5" s="1"/>
  <c r="N209" i="5"/>
  <c r="K209" i="5"/>
  <c r="H209" i="5"/>
  <c r="J209" i="5" s="1"/>
  <c r="F209" i="5"/>
  <c r="P209" i="5" s="1"/>
  <c r="J182" i="1" l="1"/>
  <c r="K182" i="1" s="1"/>
  <c r="G209" i="5"/>
  <c r="G211" i="5"/>
  <c r="L211" i="5"/>
  <c r="M211" i="5" s="1"/>
  <c r="O211" i="5" s="1"/>
  <c r="L210" i="5"/>
  <c r="M210" i="5" s="1"/>
  <c r="O210" i="5" s="1"/>
  <c r="L209" i="5"/>
  <c r="M209" i="5" s="1"/>
  <c r="O209" i="5" s="1"/>
  <c r="G210" i="5"/>
  <c r="D143" i="3"/>
  <c r="B143" i="3"/>
  <c r="G181" i="1"/>
  <c r="P181" i="1" s="1"/>
  <c r="Q181" i="1" s="1"/>
  <c r="E181" i="1"/>
  <c r="C181" i="1" s="1"/>
  <c r="G143" i="3" l="1"/>
  <c r="H143" i="3" s="1"/>
  <c r="E143" i="3"/>
  <c r="F143" i="3" s="1"/>
  <c r="T181" i="1"/>
  <c r="U181" i="1" s="1"/>
  <c r="R181" i="1"/>
  <c r="S181" i="1" s="1"/>
  <c r="L181" i="1"/>
  <c r="M181" i="1" s="1"/>
  <c r="N181" i="1"/>
  <c r="O181" i="1" s="1"/>
  <c r="V181" i="1"/>
  <c r="W181" i="1" s="1"/>
  <c r="B181" i="1"/>
  <c r="N208" i="5"/>
  <c r="K208" i="5"/>
  <c r="H208" i="5"/>
  <c r="J208" i="5" s="1"/>
  <c r="C208" i="5"/>
  <c r="F208" i="5" s="1"/>
  <c r="P208" i="5" s="1"/>
  <c r="N207" i="5"/>
  <c r="K207" i="5"/>
  <c r="H207" i="5"/>
  <c r="J207" i="5" s="1"/>
  <c r="C207" i="5"/>
  <c r="F207" i="5" s="1"/>
  <c r="P207" i="5" s="1"/>
  <c r="N206" i="5"/>
  <c r="K206" i="5"/>
  <c r="H206" i="5"/>
  <c r="J206" i="5" s="1"/>
  <c r="C206" i="5"/>
  <c r="F206" i="5" s="1"/>
  <c r="P206" i="5" s="1"/>
  <c r="H181" i="1" l="1"/>
  <c r="I181" i="1" s="1"/>
  <c r="J181" i="1"/>
  <c r="K181" i="1" s="1"/>
  <c r="L206" i="5"/>
  <c r="M206" i="5" s="1"/>
  <c r="O206" i="5" s="1"/>
  <c r="G206" i="5"/>
  <c r="G207" i="5"/>
  <c r="L207" i="5"/>
  <c r="M207" i="5" s="1"/>
  <c r="O207" i="5" s="1"/>
  <c r="L208" i="5"/>
  <c r="M208" i="5" s="1"/>
  <c r="O208" i="5" s="1"/>
  <c r="G208" i="5"/>
  <c r="D142" i="3"/>
  <c r="B142" i="3"/>
  <c r="G180" i="1"/>
  <c r="E180" i="1"/>
  <c r="C180" i="1" s="1"/>
  <c r="V180" i="1" l="1"/>
  <c r="W180" i="1" s="1"/>
  <c r="B180" i="1"/>
  <c r="H180" i="1" s="1"/>
  <c r="I180" i="1" s="1"/>
  <c r="G142" i="3"/>
  <c r="H142" i="3" s="1"/>
  <c r="E142" i="3"/>
  <c r="F142" i="3" s="1"/>
  <c r="L180" i="1"/>
  <c r="M180" i="1" s="1"/>
  <c r="P180" i="1"/>
  <c r="Q180" i="1" s="1"/>
  <c r="T180" i="1"/>
  <c r="U180" i="1" s="1"/>
  <c r="N180" i="1"/>
  <c r="O180" i="1" s="1"/>
  <c r="R180" i="1"/>
  <c r="S180" i="1" s="1"/>
  <c r="N205" i="5"/>
  <c r="K205" i="5"/>
  <c r="H205" i="5"/>
  <c r="J205" i="5" s="1"/>
  <c r="C205" i="5"/>
  <c r="F205" i="5" s="1"/>
  <c r="P205" i="5" s="1"/>
  <c r="N204" i="5"/>
  <c r="K204" i="5"/>
  <c r="H204" i="5"/>
  <c r="J204" i="5" s="1"/>
  <c r="C204" i="5"/>
  <c r="F204" i="5" s="1"/>
  <c r="P204" i="5" s="1"/>
  <c r="N203" i="5"/>
  <c r="K203" i="5"/>
  <c r="H203" i="5"/>
  <c r="J203" i="5" s="1"/>
  <c r="C203" i="5"/>
  <c r="F203" i="5" s="1"/>
  <c r="P203" i="5" s="1"/>
  <c r="J180" i="1" l="1"/>
  <c r="K180" i="1" s="1"/>
  <c r="L205" i="5"/>
  <c r="M205" i="5" s="1"/>
  <c r="O205" i="5" s="1"/>
  <c r="G205" i="5"/>
  <c r="L203" i="5"/>
  <c r="M203" i="5" s="1"/>
  <c r="O203" i="5" s="1"/>
  <c r="G203" i="5"/>
  <c r="L204" i="5"/>
  <c r="M204" i="5" s="1"/>
  <c r="O204" i="5" s="1"/>
  <c r="G204" i="5"/>
  <c r="N202" i="5"/>
  <c r="K202" i="5"/>
  <c r="H202" i="5"/>
  <c r="J202" i="5" s="1"/>
  <c r="C202" i="5"/>
  <c r="F202" i="5" s="1"/>
  <c r="P202" i="5" s="1"/>
  <c r="N201" i="5"/>
  <c r="K201" i="5"/>
  <c r="H201" i="5"/>
  <c r="J201" i="5" s="1"/>
  <c r="C201" i="5"/>
  <c r="F201" i="5" s="1"/>
  <c r="P201" i="5" s="1"/>
  <c r="N200" i="5"/>
  <c r="K200" i="5"/>
  <c r="H200" i="5"/>
  <c r="J200" i="5" s="1"/>
  <c r="C200" i="5"/>
  <c r="F200" i="5" s="1"/>
  <c r="P200" i="5" s="1"/>
  <c r="L200" i="5" l="1"/>
  <c r="M200" i="5" s="1"/>
  <c r="O200" i="5" s="1"/>
  <c r="G200" i="5"/>
  <c r="L201" i="5"/>
  <c r="M201" i="5" s="1"/>
  <c r="O201" i="5" s="1"/>
  <c r="G201" i="5"/>
  <c r="L202" i="5"/>
  <c r="M202" i="5" s="1"/>
  <c r="O202" i="5" s="1"/>
  <c r="G202" i="5"/>
  <c r="D141" i="3"/>
  <c r="B141" i="3"/>
  <c r="G179" i="1"/>
  <c r="E179" i="1"/>
  <c r="C179" i="1" s="1"/>
  <c r="B179" i="1" l="1"/>
  <c r="H179" i="1" s="1"/>
  <c r="I179" i="1" s="1"/>
  <c r="G141" i="3"/>
  <c r="H141" i="3" s="1"/>
  <c r="V179" i="1"/>
  <c r="W179" i="1" s="1"/>
  <c r="E141" i="3"/>
  <c r="F141" i="3" s="1"/>
  <c r="L179" i="1"/>
  <c r="M179" i="1" s="1"/>
  <c r="T179" i="1"/>
  <c r="U179" i="1" s="1"/>
  <c r="P179" i="1"/>
  <c r="Q179" i="1" s="1"/>
  <c r="N179" i="1"/>
  <c r="O179" i="1" s="1"/>
  <c r="R179" i="1"/>
  <c r="S179" i="1" s="1"/>
  <c r="N199" i="5"/>
  <c r="K199" i="5"/>
  <c r="H199" i="5"/>
  <c r="J199" i="5" s="1"/>
  <c r="F199" i="5"/>
  <c r="P199" i="5" s="1"/>
  <c r="N198" i="5"/>
  <c r="K198" i="5"/>
  <c r="H198" i="5"/>
  <c r="J198" i="5" s="1"/>
  <c r="F198" i="5"/>
  <c r="P198" i="5" s="1"/>
  <c r="N197" i="5"/>
  <c r="K197" i="5"/>
  <c r="H197" i="5"/>
  <c r="J197" i="5" s="1"/>
  <c r="F197" i="5"/>
  <c r="P197" i="5" s="1"/>
  <c r="J179" i="1" l="1"/>
  <c r="K179" i="1" s="1"/>
  <c r="G197" i="5"/>
  <c r="G198" i="5"/>
  <c r="L197" i="5"/>
  <c r="M197" i="5" s="1"/>
  <c r="O197" i="5" s="1"/>
  <c r="L199" i="5"/>
  <c r="M199" i="5" s="1"/>
  <c r="O199" i="5" s="1"/>
  <c r="L198" i="5"/>
  <c r="M198" i="5" s="1"/>
  <c r="O198" i="5" s="1"/>
  <c r="G199" i="5"/>
  <c r="D140" i="3"/>
  <c r="B140" i="3"/>
  <c r="G178" i="1"/>
  <c r="R178" i="1" s="1"/>
  <c r="S178" i="1" s="1"/>
  <c r="E178" i="1"/>
  <c r="C178" i="1" s="1"/>
  <c r="E140" i="3" l="1"/>
  <c r="F140" i="3" s="1"/>
  <c r="G140" i="3"/>
  <c r="H140" i="3" s="1"/>
  <c r="L178" i="1"/>
  <c r="M178" i="1" s="1"/>
  <c r="N178" i="1"/>
  <c r="O178" i="1" s="1"/>
  <c r="V178" i="1"/>
  <c r="W178" i="1" s="1"/>
  <c r="B178" i="1"/>
  <c r="H178" i="1" s="1"/>
  <c r="I178" i="1" s="1"/>
  <c r="P178" i="1"/>
  <c r="Q178" i="1" s="1"/>
  <c r="T178" i="1"/>
  <c r="U178" i="1" s="1"/>
  <c r="M43" i="6"/>
  <c r="J43" i="6"/>
  <c r="G43" i="6"/>
  <c r="I43" i="6" s="1"/>
  <c r="D43" i="6"/>
  <c r="C43" i="6"/>
  <c r="M42" i="6"/>
  <c r="J42" i="6"/>
  <c r="G42" i="6"/>
  <c r="I42" i="6" s="1"/>
  <c r="D42" i="6"/>
  <c r="C42" i="6"/>
  <c r="M41" i="6"/>
  <c r="J41" i="6"/>
  <c r="G41" i="6"/>
  <c r="I41" i="6" s="1"/>
  <c r="D41" i="6"/>
  <c r="C41" i="6"/>
  <c r="N196" i="5"/>
  <c r="K196" i="5"/>
  <c r="H196" i="5"/>
  <c r="J196" i="5" s="1"/>
  <c r="C196" i="5"/>
  <c r="F196" i="5" s="1"/>
  <c r="P196" i="5" s="1"/>
  <c r="N195" i="5"/>
  <c r="K195" i="5"/>
  <c r="H195" i="5"/>
  <c r="J195" i="5" s="1"/>
  <c r="C195" i="5"/>
  <c r="F195" i="5" s="1"/>
  <c r="P195" i="5" s="1"/>
  <c r="N194" i="5"/>
  <c r="K194" i="5"/>
  <c r="H194" i="5"/>
  <c r="J194" i="5" s="1"/>
  <c r="C194" i="5"/>
  <c r="F194" i="5" s="1"/>
  <c r="P194" i="5" s="1"/>
  <c r="N193" i="5"/>
  <c r="K193" i="5"/>
  <c r="H193" i="5"/>
  <c r="J193" i="5" s="1"/>
  <c r="C193" i="5"/>
  <c r="F193" i="5" s="1"/>
  <c r="P193" i="5" s="1"/>
  <c r="N192" i="5"/>
  <c r="K192" i="5"/>
  <c r="H192" i="5"/>
  <c r="J192" i="5" s="1"/>
  <c r="C192" i="5"/>
  <c r="F192" i="5" s="1"/>
  <c r="P192" i="5" s="1"/>
  <c r="N191" i="5"/>
  <c r="K191" i="5"/>
  <c r="H191" i="5"/>
  <c r="J191" i="5" s="1"/>
  <c r="C191" i="5"/>
  <c r="F191" i="5" s="1"/>
  <c r="P191" i="5" s="1"/>
  <c r="E43" i="6" l="1"/>
  <c r="K43" i="6" s="1"/>
  <c r="L43" i="6" s="1"/>
  <c r="N43" i="6" s="1"/>
  <c r="E41" i="6"/>
  <c r="K41" i="6" s="1"/>
  <c r="L41" i="6" s="1"/>
  <c r="N41" i="6" s="1"/>
  <c r="E42" i="6"/>
  <c r="J178" i="1"/>
  <c r="K178" i="1" s="1"/>
  <c r="L194" i="5"/>
  <c r="M194" i="5" s="1"/>
  <c r="O194" i="5" s="1"/>
  <c r="G194" i="5"/>
  <c r="G195" i="5"/>
  <c r="L195" i="5"/>
  <c r="M195" i="5" s="1"/>
  <c r="O195" i="5" s="1"/>
  <c r="L196" i="5"/>
  <c r="M196" i="5" s="1"/>
  <c r="O196" i="5" s="1"/>
  <c r="G196" i="5"/>
  <c r="G191" i="5"/>
  <c r="L191" i="5"/>
  <c r="M191" i="5" s="1"/>
  <c r="O191" i="5" s="1"/>
  <c r="L192" i="5"/>
  <c r="M192" i="5" s="1"/>
  <c r="O192" i="5" s="1"/>
  <c r="G192" i="5"/>
  <c r="L193" i="5"/>
  <c r="M193" i="5" s="1"/>
  <c r="O193" i="5" s="1"/>
  <c r="G193" i="5"/>
  <c r="D139" i="3"/>
  <c r="B139" i="3"/>
  <c r="G177" i="1"/>
  <c r="P177" i="1" s="1"/>
  <c r="Q177" i="1" s="1"/>
  <c r="E177" i="1"/>
  <c r="C177" i="1" s="1"/>
  <c r="F43" i="6" l="1"/>
  <c r="O43" i="6"/>
  <c r="O42" i="6"/>
  <c r="F42" i="6"/>
  <c r="O41" i="6"/>
  <c r="F41" i="6"/>
  <c r="K42" i="6"/>
  <c r="L42" i="6" s="1"/>
  <c r="N42" i="6" s="1"/>
  <c r="E139" i="3"/>
  <c r="F139" i="3" s="1"/>
  <c r="G139" i="3"/>
  <c r="H139" i="3" s="1"/>
  <c r="L177" i="1"/>
  <c r="M177" i="1" s="1"/>
  <c r="N177" i="1"/>
  <c r="O177" i="1" s="1"/>
  <c r="R177" i="1"/>
  <c r="S177" i="1" s="1"/>
  <c r="V177" i="1"/>
  <c r="W177" i="1" s="1"/>
  <c r="B177" i="1"/>
  <c r="H177" i="1" s="1"/>
  <c r="I177" i="1" s="1"/>
  <c r="T177" i="1"/>
  <c r="U177" i="1" s="1"/>
  <c r="N190" i="5"/>
  <c r="K190" i="5"/>
  <c r="H190" i="5"/>
  <c r="J190" i="5" s="1"/>
  <c r="C190" i="5"/>
  <c r="F190" i="5" s="1"/>
  <c r="P190" i="5" s="1"/>
  <c r="N189" i="5"/>
  <c r="K189" i="5"/>
  <c r="H189" i="5"/>
  <c r="J189" i="5" s="1"/>
  <c r="C189" i="5"/>
  <c r="F189" i="5" s="1"/>
  <c r="P189" i="5" s="1"/>
  <c r="N188" i="5"/>
  <c r="K188" i="5"/>
  <c r="H188" i="5"/>
  <c r="J188" i="5" s="1"/>
  <c r="C188" i="5"/>
  <c r="F188" i="5" s="1"/>
  <c r="P188" i="5" s="1"/>
  <c r="J177" i="1" l="1"/>
  <c r="K177" i="1" s="1"/>
  <c r="L189" i="5"/>
  <c r="M189" i="5" s="1"/>
  <c r="O189" i="5" s="1"/>
  <c r="G189" i="5"/>
  <c r="L188" i="5"/>
  <c r="M188" i="5" s="1"/>
  <c r="O188" i="5" s="1"/>
  <c r="G188" i="5"/>
  <c r="L190" i="5"/>
  <c r="M190" i="5" s="1"/>
  <c r="O190" i="5" s="1"/>
  <c r="G190" i="5"/>
  <c r="D138" i="3"/>
  <c r="B138" i="3"/>
  <c r="G176" i="1"/>
  <c r="E176" i="1"/>
  <c r="C176" i="1" s="1"/>
  <c r="N187" i="5"/>
  <c r="K187" i="5"/>
  <c r="H187" i="5"/>
  <c r="J187" i="5" s="1"/>
  <c r="D187" i="5"/>
  <c r="C187" i="5"/>
  <c r="N186" i="5"/>
  <c r="K186" i="5"/>
  <c r="H186" i="5"/>
  <c r="J186" i="5" s="1"/>
  <c r="D186" i="5"/>
  <c r="C186" i="5"/>
  <c r="N185" i="5"/>
  <c r="K185" i="5"/>
  <c r="H185" i="5"/>
  <c r="J185" i="5" s="1"/>
  <c r="D185" i="5"/>
  <c r="C185" i="5"/>
  <c r="G138" i="3" l="1"/>
  <c r="H138" i="3" s="1"/>
  <c r="F186" i="5"/>
  <c r="B176" i="1"/>
  <c r="J176" i="1" s="1"/>
  <c r="K176" i="1" s="1"/>
  <c r="V176" i="1"/>
  <c r="W176" i="1" s="1"/>
  <c r="F185" i="5"/>
  <c r="P185" i="5" s="1"/>
  <c r="F187" i="5"/>
  <c r="E138" i="3"/>
  <c r="F138" i="3" s="1"/>
  <c r="P176" i="1"/>
  <c r="Q176" i="1" s="1"/>
  <c r="T176" i="1"/>
  <c r="U176" i="1" s="1"/>
  <c r="L176" i="1"/>
  <c r="M176" i="1" s="1"/>
  <c r="N176" i="1"/>
  <c r="O176" i="1" s="1"/>
  <c r="R176" i="1"/>
  <c r="S176" i="1" s="1"/>
  <c r="D137" i="3"/>
  <c r="B137" i="3"/>
  <c r="G175" i="1"/>
  <c r="E175" i="1"/>
  <c r="C175" i="1" s="1"/>
  <c r="H176" i="1" l="1"/>
  <c r="I176" i="1" s="1"/>
  <c r="L185" i="5"/>
  <c r="M185" i="5" s="1"/>
  <c r="O185" i="5" s="1"/>
  <c r="G185" i="5"/>
  <c r="G187" i="5"/>
  <c r="P187" i="5"/>
  <c r="L187" i="5"/>
  <c r="M187" i="5" s="1"/>
  <c r="O187" i="5" s="1"/>
  <c r="L186" i="5"/>
  <c r="M186" i="5" s="1"/>
  <c r="O186" i="5" s="1"/>
  <c r="P186" i="5"/>
  <c r="G186" i="5"/>
  <c r="V175" i="1"/>
  <c r="W175" i="1" s="1"/>
  <c r="B175" i="1"/>
  <c r="H175" i="1" s="1"/>
  <c r="I175" i="1" s="1"/>
  <c r="G137" i="3"/>
  <c r="H137" i="3" s="1"/>
  <c r="E137" i="3"/>
  <c r="F137" i="3" s="1"/>
  <c r="L175" i="1"/>
  <c r="M175" i="1" s="1"/>
  <c r="P175" i="1"/>
  <c r="Q175" i="1" s="1"/>
  <c r="T175" i="1"/>
  <c r="U175" i="1" s="1"/>
  <c r="N175" i="1"/>
  <c r="O175" i="1" s="1"/>
  <c r="R175" i="1"/>
  <c r="S175" i="1" s="1"/>
  <c r="G40" i="6"/>
  <c r="G39" i="6"/>
  <c r="I39" i="6" s="1"/>
  <c r="G38" i="6"/>
  <c r="I38" i="6" s="1"/>
  <c r="E40" i="6"/>
  <c r="E39" i="6"/>
  <c r="E38" i="6"/>
  <c r="M40" i="6"/>
  <c r="J40" i="6"/>
  <c r="M39" i="6"/>
  <c r="J39" i="6"/>
  <c r="M38" i="6"/>
  <c r="J38" i="6"/>
  <c r="M37" i="6"/>
  <c r="J37" i="6"/>
  <c r="G37" i="6"/>
  <c r="I37" i="6" s="1"/>
  <c r="C37" i="6"/>
  <c r="E37" i="6" s="1"/>
  <c r="M36" i="6"/>
  <c r="J36" i="6"/>
  <c r="G36" i="6"/>
  <c r="I36" i="6" s="1"/>
  <c r="C36" i="6"/>
  <c r="E36" i="6" s="1"/>
  <c r="M35" i="6"/>
  <c r="J35" i="6"/>
  <c r="G35" i="6"/>
  <c r="I35" i="6" s="1"/>
  <c r="C35" i="6"/>
  <c r="E35" i="6" s="1"/>
  <c r="H184" i="5"/>
  <c r="J184" i="5" s="1"/>
  <c r="H183" i="5"/>
  <c r="J183" i="5" s="1"/>
  <c r="H182" i="5"/>
  <c r="J182" i="5" s="1"/>
  <c r="N184" i="5"/>
  <c r="K184" i="5"/>
  <c r="F184" i="5"/>
  <c r="P184" i="5" s="1"/>
  <c r="N183" i="5"/>
  <c r="K183" i="5"/>
  <c r="F183" i="5"/>
  <c r="P183" i="5" s="1"/>
  <c r="N182" i="5"/>
  <c r="K182" i="5"/>
  <c r="F182" i="5"/>
  <c r="P182" i="5" s="1"/>
  <c r="N181" i="5"/>
  <c r="K181" i="5"/>
  <c r="H181" i="5"/>
  <c r="J181" i="5" s="1"/>
  <c r="C181" i="5"/>
  <c r="F181" i="5" s="1"/>
  <c r="P181" i="5" s="1"/>
  <c r="N180" i="5"/>
  <c r="K180" i="5"/>
  <c r="H180" i="5"/>
  <c r="J180" i="5" s="1"/>
  <c r="C180" i="5"/>
  <c r="F180" i="5" s="1"/>
  <c r="P180" i="5" s="1"/>
  <c r="N179" i="5"/>
  <c r="K179" i="5"/>
  <c r="H179" i="5"/>
  <c r="J179" i="5" s="1"/>
  <c r="C179" i="5"/>
  <c r="F179" i="5" s="1"/>
  <c r="P179" i="5" s="1"/>
  <c r="O38" i="6" l="1"/>
  <c r="F38" i="6"/>
  <c r="O39" i="6"/>
  <c r="F39" i="6"/>
  <c r="O36" i="6"/>
  <c r="F36" i="6"/>
  <c r="O40" i="6"/>
  <c r="F40" i="6"/>
  <c r="O35" i="6"/>
  <c r="F35" i="6"/>
  <c r="O37" i="6"/>
  <c r="F37" i="6"/>
  <c r="J175" i="1"/>
  <c r="K175" i="1" s="1"/>
  <c r="G182" i="5"/>
  <c r="I40" i="6"/>
  <c r="K40" i="6" s="1"/>
  <c r="L40" i="6" s="1"/>
  <c r="N40" i="6" s="1"/>
  <c r="K39" i="6"/>
  <c r="L39" i="6" s="1"/>
  <c r="N39" i="6" s="1"/>
  <c r="K38" i="6"/>
  <c r="L38" i="6" s="1"/>
  <c r="N38" i="6" s="1"/>
  <c r="K37" i="6"/>
  <c r="L37" i="6" s="1"/>
  <c r="N37" i="6" s="1"/>
  <c r="K35" i="6"/>
  <c r="L35" i="6" s="1"/>
  <c r="N35" i="6" s="1"/>
  <c r="K36" i="6"/>
  <c r="L36" i="6" s="1"/>
  <c r="N36" i="6" s="1"/>
  <c r="L184" i="5"/>
  <c r="M184" i="5" s="1"/>
  <c r="O184" i="5" s="1"/>
  <c r="G184" i="5"/>
  <c r="L183" i="5"/>
  <c r="M183" i="5" s="1"/>
  <c r="O183" i="5" s="1"/>
  <c r="L182" i="5"/>
  <c r="M182" i="5" s="1"/>
  <c r="O182" i="5" s="1"/>
  <c r="G183" i="5"/>
  <c r="L179" i="5"/>
  <c r="M179" i="5" s="1"/>
  <c r="O179" i="5" s="1"/>
  <c r="G179" i="5"/>
  <c r="L180" i="5"/>
  <c r="M180" i="5" s="1"/>
  <c r="O180" i="5" s="1"/>
  <c r="G180" i="5"/>
  <c r="L181" i="5"/>
  <c r="M181" i="5" s="1"/>
  <c r="O181" i="5" s="1"/>
  <c r="G181" i="5"/>
  <c r="H178" i="5"/>
  <c r="J178" i="5" s="1"/>
  <c r="H177" i="5"/>
  <c r="J177" i="5" s="1"/>
  <c r="H176" i="5"/>
  <c r="J176" i="5" s="1"/>
  <c r="F178" i="5"/>
  <c r="P178" i="5" s="1"/>
  <c r="F177" i="5"/>
  <c r="P177" i="5" s="1"/>
  <c r="F176" i="5"/>
  <c r="P176" i="5" s="1"/>
  <c r="N178" i="5"/>
  <c r="K178" i="5"/>
  <c r="N177" i="5"/>
  <c r="K177" i="5"/>
  <c r="N176" i="5"/>
  <c r="K176" i="5"/>
  <c r="N175" i="5"/>
  <c r="K175" i="5"/>
  <c r="H175" i="5"/>
  <c r="J175" i="5" s="1"/>
  <c r="C175" i="5"/>
  <c r="F175" i="5" s="1"/>
  <c r="P175" i="5" s="1"/>
  <c r="N174" i="5"/>
  <c r="K174" i="5"/>
  <c r="H174" i="5"/>
  <c r="J174" i="5" s="1"/>
  <c r="C174" i="5"/>
  <c r="F174" i="5" s="1"/>
  <c r="P174" i="5" s="1"/>
  <c r="N173" i="5"/>
  <c r="K173" i="5"/>
  <c r="H173" i="5"/>
  <c r="J173" i="5" s="1"/>
  <c r="C173" i="5"/>
  <c r="F173" i="5" s="1"/>
  <c r="P173" i="5" s="1"/>
  <c r="G177" i="5" l="1"/>
  <c r="G178" i="5"/>
  <c r="G176" i="5"/>
  <c r="L176" i="5"/>
  <c r="M176" i="5" s="1"/>
  <c r="O176" i="5" s="1"/>
  <c r="L177" i="5"/>
  <c r="M177" i="5" s="1"/>
  <c r="O177" i="5" s="1"/>
  <c r="L178" i="5"/>
  <c r="M178" i="5" s="1"/>
  <c r="O178" i="5" s="1"/>
  <c r="L173" i="5"/>
  <c r="M173" i="5" s="1"/>
  <c r="O173" i="5" s="1"/>
  <c r="G173" i="5"/>
  <c r="L174" i="5"/>
  <c r="M174" i="5" s="1"/>
  <c r="O174" i="5" s="1"/>
  <c r="G174" i="5"/>
  <c r="L175" i="5"/>
  <c r="M175" i="5" s="1"/>
  <c r="O175" i="5" s="1"/>
  <c r="G175" i="5"/>
  <c r="D136" i="3"/>
  <c r="B136" i="3"/>
  <c r="G174" i="1"/>
  <c r="E174" i="1"/>
  <c r="C174" i="1" s="1"/>
  <c r="V174" i="1" l="1"/>
  <c r="W174" i="1" s="1"/>
  <c r="B174" i="1"/>
  <c r="H174" i="1" s="1"/>
  <c r="I174" i="1" s="1"/>
  <c r="G136" i="3"/>
  <c r="H136" i="3" s="1"/>
  <c r="E136" i="3"/>
  <c r="F136" i="3" s="1"/>
  <c r="L174" i="1"/>
  <c r="M174" i="1" s="1"/>
  <c r="P174" i="1"/>
  <c r="Q174" i="1" s="1"/>
  <c r="T174" i="1"/>
  <c r="U174" i="1" s="1"/>
  <c r="N174" i="1"/>
  <c r="O174" i="1" s="1"/>
  <c r="R174" i="1"/>
  <c r="S174" i="1" s="1"/>
  <c r="N172" i="5"/>
  <c r="K172" i="5"/>
  <c r="H172" i="5"/>
  <c r="J172" i="5" s="1"/>
  <c r="C172" i="5"/>
  <c r="F172" i="5" s="1"/>
  <c r="P172" i="5" s="1"/>
  <c r="N171" i="5"/>
  <c r="K171" i="5"/>
  <c r="H171" i="5"/>
  <c r="J171" i="5" s="1"/>
  <c r="C171" i="5"/>
  <c r="F171" i="5" s="1"/>
  <c r="P171" i="5" s="1"/>
  <c r="N170" i="5"/>
  <c r="K170" i="5"/>
  <c r="H170" i="5"/>
  <c r="J170" i="5" s="1"/>
  <c r="C170" i="5"/>
  <c r="F170" i="5" s="1"/>
  <c r="P170" i="5" s="1"/>
  <c r="J174" i="1" l="1"/>
  <c r="K174" i="1" s="1"/>
  <c r="L171" i="5"/>
  <c r="M171" i="5" s="1"/>
  <c r="O171" i="5" s="1"/>
  <c r="G171" i="5"/>
  <c r="L170" i="5"/>
  <c r="M170" i="5" s="1"/>
  <c r="O170" i="5" s="1"/>
  <c r="G170" i="5"/>
  <c r="L172" i="5"/>
  <c r="M172" i="5" s="1"/>
  <c r="O172" i="5" s="1"/>
  <c r="G172" i="5"/>
  <c r="D135" i="3"/>
  <c r="B135" i="3"/>
  <c r="G173" i="1"/>
  <c r="E173" i="1"/>
  <c r="C173" i="1" s="1"/>
  <c r="V173" i="1" l="1"/>
  <c r="W173" i="1" s="1"/>
  <c r="G135" i="3"/>
  <c r="H135" i="3" s="1"/>
  <c r="E135" i="3"/>
  <c r="F135" i="3" s="1"/>
  <c r="L173" i="1"/>
  <c r="M173" i="1" s="1"/>
  <c r="B173" i="1"/>
  <c r="H173" i="1" s="1"/>
  <c r="I173" i="1" s="1"/>
  <c r="P173" i="1"/>
  <c r="Q173" i="1" s="1"/>
  <c r="T173" i="1"/>
  <c r="U173" i="1" s="1"/>
  <c r="N173" i="1"/>
  <c r="O173" i="1" s="1"/>
  <c r="R173" i="1"/>
  <c r="S173" i="1" s="1"/>
  <c r="J173" i="1" l="1"/>
  <c r="K173" i="1" s="1"/>
  <c r="N169" i="5"/>
  <c r="K169" i="5"/>
  <c r="H169" i="5"/>
  <c r="J169" i="5" s="1"/>
  <c r="C169" i="5"/>
  <c r="F169" i="5" s="1"/>
  <c r="P169" i="5" s="1"/>
  <c r="N168" i="5"/>
  <c r="K168" i="5"/>
  <c r="H168" i="5"/>
  <c r="J168" i="5" s="1"/>
  <c r="F168" i="5"/>
  <c r="P168" i="5" s="1"/>
  <c r="N167" i="5"/>
  <c r="K167" i="5"/>
  <c r="H167" i="5"/>
  <c r="J167" i="5" s="1"/>
  <c r="F167" i="5"/>
  <c r="P167" i="5" s="1"/>
  <c r="L168" i="5" l="1"/>
  <c r="M168" i="5" s="1"/>
  <c r="O168" i="5" s="1"/>
  <c r="L169" i="5"/>
  <c r="M169" i="5" s="1"/>
  <c r="O169" i="5" s="1"/>
  <c r="G169" i="5"/>
  <c r="L167" i="5"/>
  <c r="M167" i="5" s="1"/>
  <c r="O167" i="5" s="1"/>
  <c r="G167" i="5"/>
  <c r="G168" i="5"/>
  <c r="D134" i="3"/>
  <c r="B134" i="3"/>
  <c r="G134" i="3" l="1"/>
  <c r="H134" i="3" s="1"/>
  <c r="E134" i="3"/>
  <c r="F134" i="3" s="1"/>
  <c r="G172" i="1"/>
  <c r="E172" i="1"/>
  <c r="C172" i="1" s="1"/>
  <c r="N166" i="5"/>
  <c r="K166" i="5"/>
  <c r="H166" i="5"/>
  <c r="J166" i="5" s="1"/>
  <c r="C166" i="5"/>
  <c r="F166" i="5" s="1"/>
  <c r="P166" i="5" s="1"/>
  <c r="N165" i="5"/>
  <c r="K165" i="5"/>
  <c r="H165" i="5"/>
  <c r="J165" i="5" s="1"/>
  <c r="C165" i="5"/>
  <c r="F165" i="5" s="1"/>
  <c r="P165" i="5" s="1"/>
  <c r="N164" i="5"/>
  <c r="K164" i="5"/>
  <c r="H164" i="5"/>
  <c r="J164" i="5" s="1"/>
  <c r="C164" i="5"/>
  <c r="F164" i="5" s="1"/>
  <c r="P164" i="5" s="1"/>
  <c r="B172" i="1" l="1"/>
  <c r="H172" i="1" s="1"/>
  <c r="I172" i="1" s="1"/>
  <c r="V172" i="1"/>
  <c r="W172" i="1" s="1"/>
  <c r="L172" i="1"/>
  <c r="M172" i="1" s="1"/>
  <c r="P172" i="1"/>
  <c r="Q172" i="1" s="1"/>
  <c r="T172" i="1"/>
  <c r="U172" i="1" s="1"/>
  <c r="N172" i="1"/>
  <c r="O172" i="1" s="1"/>
  <c r="R172" i="1"/>
  <c r="S172" i="1" s="1"/>
  <c r="L165" i="5"/>
  <c r="M165" i="5" s="1"/>
  <c r="O165" i="5" s="1"/>
  <c r="G165" i="5"/>
  <c r="L166" i="5"/>
  <c r="M166" i="5" s="1"/>
  <c r="O166" i="5" s="1"/>
  <c r="G166" i="5"/>
  <c r="G164" i="5"/>
  <c r="L164" i="5"/>
  <c r="M164" i="5" s="1"/>
  <c r="O164" i="5" s="1"/>
  <c r="N163" i="5"/>
  <c r="K163" i="5"/>
  <c r="H163" i="5"/>
  <c r="J163" i="5" s="1"/>
  <c r="C163" i="5"/>
  <c r="F163" i="5" s="1"/>
  <c r="P163" i="5" s="1"/>
  <c r="N162" i="5"/>
  <c r="K162" i="5"/>
  <c r="H162" i="5"/>
  <c r="J162" i="5" s="1"/>
  <c r="C162" i="5"/>
  <c r="F162" i="5" s="1"/>
  <c r="P162" i="5" s="1"/>
  <c r="N161" i="5"/>
  <c r="K161" i="5"/>
  <c r="H161" i="5"/>
  <c r="J161" i="5" s="1"/>
  <c r="C161" i="5"/>
  <c r="F161" i="5" s="1"/>
  <c r="P161" i="5" s="1"/>
  <c r="J172" i="1" l="1"/>
  <c r="K172" i="1" s="1"/>
  <c r="L162" i="5"/>
  <c r="M162" i="5" s="1"/>
  <c r="O162" i="5" s="1"/>
  <c r="G162" i="5"/>
  <c r="G161" i="5"/>
  <c r="L161" i="5"/>
  <c r="M161" i="5" s="1"/>
  <c r="O161" i="5" s="1"/>
  <c r="L163" i="5"/>
  <c r="M163" i="5" s="1"/>
  <c r="O163" i="5" s="1"/>
  <c r="G163" i="5"/>
  <c r="D133" i="3"/>
  <c r="B133" i="3"/>
  <c r="G171" i="1"/>
  <c r="E171" i="1"/>
  <c r="C171" i="1" s="1"/>
  <c r="V171" i="1" l="1"/>
  <c r="W171" i="1" s="1"/>
  <c r="B171" i="1"/>
  <c r="H171" i="1" s="1"/>
  <c r="I171" i="1" s="1"/>
  <c r="G133" i="3"/>
  <c r="H133" i="3" s="1"/>
  <c r="E133" i="3"/>
  <c r="F133" i="3" s="1"/>
  <c r="L171" i="1"/>
  <c r="M171" i="1" s="1"/>
  <c r="T171" i="1"/>
  <c r="U171" i="1" s="1"/>
  <c r="P171" i="1"/>
  <c r="Q171" i="1" s="1"/>
  <c r="N171" i="1"/>
  <c r="O171" i="1" s="1"/>
  <c r="R171" i="1"/>
  <c r="S171" i="1" s="1"/>
  <c r="N160" i="5"/>
  <c r="K160" i="5"/>
  <c r="H160" i="5"/>
  <c r="J160" i="5" s="1"/>
  <c r="C160" i="5"/>
  <c r="F160" i="5" s="1"/>
  <c r="P160" i="5" s="1"/>
  <c r="N159" i="5"/>
  <c r="K159" i="5"/>
  <c r="H159" i="5"/>
  <c r="J159" i="5" s="1"/>
  <c r="C159" i="5"/>
  <c r="F159" i="5" s="1"/>
  <c r="P159" i="5" s="1"/>
  <c r="N158" i="5"/>
  <c r="K158" i="5"/>
  <c r="H158" i="5"/>
  <c r="J158" i="5" s="1"/>
  <c r="C158" i="5"/>
  <c r="F158" i="5" s="1"/>
  <c r="P158" i="5" s="1"/>
  <c r="J171" i="1" l="1"/>
  <c r="K171" i="1" s="1"/>
  <c r="L158" i="5"/>
  <c r="M158" i="5" s="1"/>
  <c r="O158" i="5" s="1"/>
  <c r="G158" i="5"/>
  <c r="L159" i="5"/>
  <c r="M159" i="5" s="1"/>
  <c r="O159" i="5" s="1"/>
  <c r="G159" i="5"/>
  <c r="L160" i="5"/>
  <c r="M160" i="5" s="1"/>
  <c r="O160" i="5" s="1"/>
  <c r="G160" i="5"/>
  <c r="D132" i="3"/>
  <c r="B132" i="3"/>
  <c r="G170" i="1"/>
  <c r="E170" i="1"/>
  <c r="C170" i="1" s="1"/>
  <c r="B170" i="1" l="1"/>
  <c r="H170" i="1" s="1"/>
  <c r="I170" i="1" s="1"/>
  <c r="G132" i="3"/>
  <c r="H132" i="3" s="1"/>
  <c r="V170" i="1"/>
  <c r="W170" i="1" s="1"/>
  <c r="E132" i="3"/>
  <c r="F132" i="3" s="1"/>
  <c r="L170" i="1"/>
  <c r="M170" i="1" s="1"/>
  <c r="P170" i="1"/>
  <c r="Q170" i="1" s="1"/>
  <c r="T170" i="1"/>
  <c r="U170" i="1" s="1"/>
  <c r="N170" i="1"/>
  <c r="O170" i="1" s="1"/>
  <c r="R170" i="1"/>
  <c r="S170" i="1" s="1"/>
  <c r="N157" i="5"/>
  <c r="K157" i="5"/>
  <c r="H157" i="5"/>
  <c r="J157" i="5" s="1"/>
  <c r="F157" i="5"/>
  <c r="N156" i="5"/>
  <c r="K156" i="5"/>
  <c r="H156" i="5"/>
  <c r="J156" i="5" s="1"/>
  <c r="F156" i="5"/>
  <c r="P156" i="5" s="1"/>
  <c r="N155" i="5"/>
  <c r="K155" i="5"/>
  <c r="H155" i="5"/>
  <c r="J155" i="5" s="1"/>
  <c r="F155" i="5"/>
  <c r="P155" i="5" s="1"/>
  <c r="J170" i="1" l="1"/>
  <c r="K170" i="1" s="1"/>
  <c r="G157" i="5"/>
  <c r="P157" i="5"/>
  <c r="L157" i="5"/>
  <c r="M157" i="5" s="1"/>
  <c r="O157" i="5" s="1"/>
  <c r="L155" i="5"/>
  <c r="M155" i="5" s="1"/>
  <c r="O155" i="5" s="1"/>
  <c r="L156" i="5"/>
  <c r="M156" i="5" s="1"/>
  <c r="O156" i="5" s="1"/>
  <c r="G155" i="5"/>
  <c r="G156" i="5"/>
  <c r="D131" i="3"/>
  <c r="B131" i="3"/>
  <c r="G169" i="1"/>
  <c r="E169" i="1"/>
  <c r="C169" i="1" s="1"/>
  <c r="V169" i="1" l="1"/>
  <c r="W169" i="1" s="1"/>
  <c r="B169" i="1"/>
  <c r="H169" i="1" s="1"/>
  <c r="I169" i="1" s="1"/>
  <c r="G131" i="3"/>
  <c r="H131" i="3" s="1"/>
  <c r="E131" i="3"/>
  <c r="F131" i="3" s="1"/>
  <c r="L169" i="1"/>
  <c r="M169" i="1" s="1"/>
  <c r="P169" i="1"/>
  <c r="Q169" i="1" s="1"/>
  <c r="T169" i="1"/>
  <c r="U169" i="1" s="1"/>
  <c r="N169" i="1"/>
  <c r="O169" i="1" s="1"/>
  <c r="R169" i="1"/>
  <c r="S169" i="1" s="1"/>
  <c r="N154" i="5"/>
  <c r="K154" i="5"/>
  <c r="H154" i="5"/>
  <c r="J154" i="5" s="1"/>
  <c r="C154" i="5"/>
  <c r="F154" i="5" s="1"/>
  <c r="P154" i="5" s="1"/>
  <c r="N153" i="5"/>
  <c r="K153" i="5"/>
  <c r="H153" i="5"/>
  <c r="J153" i="5" s="1"/>
  <c r="C153" i="5"/>
  <c r="F153" i="5" s="1"/>
  <c r="P153" i="5" s="1"/>
  <c r="N152" i="5"/>
  <c r="K152" i="5"/>
  <c r="H152" i="5"/>
  <c r="J152" i="5" s="1"/>
  <c r="C152" i="5"/>
  <c r="F152" i="5" s="1"/>
  <c r="P152" i="5" s="1"/>
  <c r="J169" i="1" l="1"/>
  <c r="K169" i="1" s="1"/>
  <c r="L153" i="5"/>
  <c r="M153" i="5" s="1"/>
  <c r="O153" i="5" s="1"/>
  <c r="G153" i="5"/>
  <c r="L152" i="5"/>
  <c r="M152" i="5" s="1"/>
  <c r="O152" i="5" s="1"/>
  <c r="G152" i="5"/>
  <c r="L154" i="5"/>
  <c r="M154" i="5" s="1"/>
  <c r="O154" i="5" s="1"/>
  <c r="G154" i="5"/>
  <c r="D130" i="3"/>
  <c r="B130" i="3"/>
  <c r="G168" i="1"/>
  <c r="E168" i="1"/>
  <c r="C168" i="1" s="1"/>
  <c r="B168" i="1" l="1"/>
  <c r="H168" i="1" s="1"/>
  <c r="I168" i="1" s="1"/>
  <c r="G130" i="3"/>
  <c r="H130" i="3" s="1"/>
  <c r="V168" i="1"/>
  <c r="W168" i="1" s="1"/>
  <c r="E130" i="3"/>
  <c r="F130" i="3" s="1"/>
  <c r="L168" i="1"/>
  <c r="M168" i="1" s="1"/>
  <c r="P168" i="1"/>
  <c r="Q168" i="1" s="1"/>
  <c r="T168" i="1"/>
  <c r="U168" i="1" s="1"/>
  <c r="N168" i="1"/>
  <c r="O168" i="1" s="1"/>
  <c r="R168" i="1"/>
  <c r="S168" i="1" s="1"/>
  <c r="N151" i="5"/>
  <c r="K151" i="5"/>
  <c r="H151" i="5"/>
  <c r="J151" i="5" s="1"/>
  <c r="C151" i="5"/>
  <c r="F151" i="5" s="1"/>
  <c r="P151" i="5" s="1"/>
  <c r="N150" i="5"/>
  <c r="K150" i="5"/>
  <c r="H150" i="5"/>
  <c r="J150" i="5" s="1"/>
  <c r="C150" i="5"/>
  <c r="F150" i="5" s="1"/>
  <c r="P150" i="5" s="1"/>
  <c r="N149" i="5"/>
  <c r="K149" i="5"/>
  <c r="H149" i="5"/>
  <c r="J149" i="5" s="1"/>
  <c r="C149" i="5"/>
  <c r="F149" i="5" s="1"/>
  <c r="P149" i="5" s="1"/>
  <c r="J168" i="1" l="1"/>
  <c r="K168" i="1" s="1"/>
  <c r="L151" i="5"/>
  <c r="M151" i="5" s="1"/>
  <c r="O151" i="5" s="1"/>
  <c r="G151" i="5"/>
  <c r="G149" i="5"/>
  <c r="L149" i="5"/>
  <c r="M149" i="5" s="1"/>
  <c r="O149" i="5" s="1"/>
  <c r="L150" i="5"/>
  <c r="M150" i="5" s="1"/>
  <c r="O150" i="5" s="1"/>
  <c r="G150" i="5"/>
  <c r="N148" i="5"/>
  <c r="K148" i="5"/>
  <c r="H148" i="5"/>
  <c r="J148" i="5" s="1"/>
  <c r="C148" i="5"/>
  <c r="F148" i="5" s="1"/>
  <c r="P148" i="5" s="1"/>
  <c r="N147" i="5"/>
  <c r="K147" i="5"/>
  <c r="H147" i="5"/>
  <c r="J147" i="5" s="1"/>
  <c r="C147" i="5"/>
  <c r="F147" i="5" s="1"/>
  <c r="P147" i="5" s="1"/>
  <c r="N146" i="5"/>
  <c r="K146" i="5"/>
  <c r="H146" i="5"/>
  <c r="J146" i="5" s="1"/>
  <c r="C146" i="5"/>
  <c r="F146" i="5" s="1"/>
  <c r="P146" i="5" s="1"/>
  <c r="L148" i="5" l="1"/>
  <c r="M148" i="5" s="1"/>
  <c r="O148" i="5" s="1"/>
  <c r="G148" i="5"/>
  <c r="L146" i="5"/>
  <c r="M146" i="5" s="1"/>
  <c r="O146" i="5" s="1"/>
  <c r="G146" i="5"/>
  <c r="L147" i="5"/>
  <c r="M147" i="5" s="1"/>
  <c r="O147" i="5" s="1"/>
  <c r="G147" i="5"/>
  <c r="D129" i="3"/>
  <c r="B129" i="3"/>
  <c r="G167" i="1"/>
  <c r="E167" i="1"/>
  <c r="C167" i="1" s="1"/>
  <c r="V167" i="1" l="1"/>
  <c r="W167" i="1" s="1"/>
  <c r="G129" i="3"/>
  <c r="H129" i="3" s="1"/>
  <c r="E129" i="3"/>
  <c r="F129" i="3" s="1"/>
  <c r="L167" i="1"/>
  <c r="M167" i="1" s="1"/>
  <c r="B167" i="1"/>
  <c r="H167" i="1" s="1"/>
  <c r="I167" i="1" s="1"/>
  <c r="P167" i="1"/>
  <c r="Q167" i="1" s="1"/>
  <c r="T167" i="1"/>
  <c r="U167" i="1" s="1"/>
  <c r="N167" i="1"/>
  <c r="O167" i="1" s="1"/>
  <c r="R167" i="1"/>
  <c r="S167" i="1" s="1"/>
  <c r="N145" i="5"/>
  <c r="K145" i="5"/>
  <c r="H145" i="5"/>
  <c r="J145" i="5" s="1"/>
  <c r="F145" i="5"/>
  <c r="P145" i="5" s="1"/>
  <c r="N144" i="5"/>
  <c r="K144" i="5"/>
  <c r="H144" i="5"/>
  <c r="J144" i="5" s="1"/>
  <c r="F144" i="5"/>
  <c r="P144" i="5" s="1"/>
  <c r="N143" i="5"/>
  <c r="K143" i="5"/>
  <c r="H143" i="5"/>
  <c r="J143" i="5" s="1"/>
  <c r="F143" i="5"/>
  <c r="P143" i="5" s="1"/>
  <c r="J167" i="1" l="1"/>
  <c r="K167" i="1" s="1"/>
  <c r="L143" i="5"/>
  <c r="M143" i="5" s="1"/>
  <c r="O143" i="5" s="1"/>
  <c r="L144" i="5"/>
  <c r="M144" i="5" s="1"/>
  <c r="O144" i="5" s="1"/>
  <c r="L145" i="5"/>
  <c r="M145" i="5" s="1"/>
  <c r="O145" i="5" s="1"/>
  <c r="G145" i="5"/>
  <c r="G143" i="5"/>
  <c r="G144" i="5"/>
  <c r="D128" i="3"/>
  <c r="B128" i="3"/>
  <c r="G166" i="1"/>
  <c r="E166" i="1"/>
  <c r="C166" i="1" s="1"/>
  <c r="M34" i="6"/>
  <c r="J34" i="6"/>
  <c r="G34" i="6"/>
  <c r="I34" i="6" s="1"/>
  <c r="D34" i="6"/>
  <c r="C34" i="6"/>
  <c r="M33" i="6"/>
  <c r="J33" i="6"/>
  <c r="G33" i="6"/>
  <c r="I33" i="6" s="1"/>
  <c r="D33" i="6"/>
  <c r="C33" i="6"/>
  <c r="M32" i="6"/>
  <c r="J32" i="6"/>
  <c r="G32" i="6"/>
  <c r="I32" i="6" s="1"/>
  <c r="D32" i="6"/>
  <c r="C32" i="6"/>
  <c r="N142" i="5"/>
  <c r="K142" i="5"/>
  <c r="H142" i="5"/>
  <c r="J142" i="5" s="1"/>
  <c r="C142" i="5"/>
  <c r="F142" i="5" s="1"/>
  <c r="P142" i="5" s="1"/>
  <c r="N141" i="5"/>
  <c r="K141" i="5"/>
  <c r="H141" i="5"/>
  <c r="J141" i="5" s="1"/>
  <c r="C141" i="5"/>
  <c r="F141" i="5" s="1"/>
  <c r="P141" i="5" s="1"/>
  <c r="N140" i="5"/>
  <c r="K140" i="5"/>
  <c r="H140" i="5"/>
  <c r="J140" i="5" s="1"/>
  <c r="C140" i="5"/>
  <c r="F140" i="5" s="1"/>
  <c r="P140" i="5" s="1"/>
  <c r="G128" i="3" l="1"/>
  <c r="H128" i="3" s="1"/>
  <c r="B166" i="1"/>
  <c r="H166" i="1" s="1"/>
  <c r="I166" i="1" s="1"/>
  <c r="E33" i="6"/>
  <c r="K33" i="6" s="1"/>
  <c r="L33" i="6" s="1"/>
  <c r="N33" i="6" s="1"/>
  <c r="E32" i="6"/>
  <c r="K32" i="6" s="1"/>
  <c r="L32" i="6" s="1"/>
  <c r="N32" i="6" s="1"/>
  <c r="V166" i="1"/>
  <c r="W166" i="1" s="1"/>
  <c r="E34" i="6"/>
  <c r="K34" i="6" s="1"/>
  <c r="L34" i="6" s="1"/>
  <c r="N34" i="6" s="1"/>
  <c r="E128" i="3"/>
  <c r="F128" i="3" s="1"/>
  <c r="L166" i="1"/>
  <c r="M166" i="1" s="1"/>
  <c r="P166" i="1"/>
  <c r="Q166" i="1" s="1"/>
  <c r="T166" i="1"/>
  <c r="U166" i="1" s="1"/>
  <c r="N166" i="1"/>
  <c r="O166" i="1" s="1"/>
  <c r="R166" i="1"/>
  <c r="S166" i="1" s="1"/>
  <c r="L140" i="5"/>
  <c r="M140" i="5" s="1"/>
  <c r="O140" i="5" s="1"/>
  <c r="G140" i="5"/>
  <c r="L141" i="5"/>
  <c r="M141" i="5" s="1"/>
  <c r="O141" i="5" s="1"/>
  <c r="G141" i="5"/>
  <c r="L142" i="5"/>
  <c r="M142" i="5" s="1"/>
  <c r="O142" i="5" s="1"/>
  <c r="G142" i="5"/>
  <c r="N139" i="5"/>
  <c r="K139" i="5"/>
  <c r="H139" i="5"/>
  <c r="J139" i="5" s="1"/>
  <c r="D139" i="5"/>
  <c r="C139" i="5"/>
  <c r="N138" i="5"/>
  <c r="K138" i="5"/>
  <c r="H138" i="5"/>
  <c r="J138" i="5" s="1"/>
  <c r="D138" i="5"/>
  <c r="C138" i="5"/>
  <c r="N137" i="5"/>
  <c r="K137" i="5"/>
  <c r="H137" i="5"/>
  <c r="J137" i="5" s="1"/>
  <c r="D137" i="5"/>
  <c r="C137" i="5"/>
  <c r="J166" i="1" l="1"/>
  <c r="K166" i="1" s="1"/>
  <c r="O34" i="6"/>
  <c r="F34" i="6"/>
  <c r="O32" i="6"/>
  <c r="F32" i="6"/>
  <c r="O33" i="6"/>
  <c r="F33" i="6"/>
  <c r="F138" i="5"/>
  <c r="F137" i="5"/>
  <c r="F139" i="5"/>
  <c r="D127" i="3"/>
  <c r="B127" i="3"/>
  <c r="G165" i="1"/>
  <c r="E165" i="1"/>
  <c r="B165" i="1" s="1"/>
  <c r="G139" i="5" l="1"/>
  <c r="P139" i="5"/>
  <c r="G137" i="5"/>
  <c r="P137" i="5"/>
  <c r="L138" i="5"/>
  <c r="M138" i="5" s="1"/>
  <c r="O138" i="5" s="1"/>
  <c r="P138" i="5"/>
  <c r="G138" i="5"/>
  <c r="V165" i="1"/>
  <c r="W165" i="1" s="1"/>
  <c r="L137" i="5"/>
  <c r="M137" i="5" s="1"/>
  <c r="O137" i="5" s="1"/>
  <c r="G127" i="3"/>
  <c r="H127" i="3" s="1"/>
  <c r="L139" i="5"/>
  <c r="M139" i="5" s="1"/>
  <c r="O139" i="5" s="1"/>
  <c r="C165" i="1"/>
  <c r="L165" i="1" s="1"/>
  <c r="M165" i="1" s="1"/>
  <c r="E127" i="3"/>
  <c r="F127" i="3" s="1"/>
  <c r="H165" i="1"/>
  <c r="I165" i="1" s="1"/>
  <c r="P165" i="1"/>
  <c r="Q165" i="1" s="1"/>
  <c r="T165" i="1"/>
  <c r="U165" i="1" s="1"/>
  <c r="J165" i="1"/>
  <c r="K165" i="1" s="1"/>
  <c r="R165" i="1"/>
  <c r="S165" i="1" s="1"/>
  <c r="M31" i="6"/>
  <c r="J31" i="6"/>
  <c r="G31" i="6"/>
  <c r="I31" i="6" s="1"/>
  <c r="E31" i="6"/>
  <c r="M30" i="6"/>
  <c r="J30" i="6"/>
  <c r="G30" i="6"/>
  <c r="I30" i="6" s="1"/>
  <c r="E30" i="6"/>
  <c r="M29" i="6"/>
  <c r="J29" i="6"/>
  <c r="G29" i="6"/>
  <c r="I29" i="6" s="1"/>
  <c r="E29" i="6"/>
  <c r="N136" i="5"/>
  <c r="K136" i="5"/>
  <c r="H136" i="5"/>
  <c r="J136" i="5" s="1"/>
  <c r="C136" i="5"/>
  <c r="F136" i="5" s="1"/>
  <c r="P136" i="5" s="1"/>
  <c r="N135" i="5"/>
  <c r="K135" i="5"/>
  <c r="H135" i="5"/>
  <c r="J135" i="5" s="1"/>
  <c r="C135" i="5"/>
  <c r="F135" i="5" s="1"/>
  <c r="P135" i="5" s="1"/>
  <c r="N134" i="5"/>
  <c r="K134" i="5"/>
  <c r="H134" i="5"/>
  <c r="J134" i="5" s="1"/>
  <c r="C134" i="5"/>
  <c r="F134" i="5" s="1"/>
  <c r="P134" i="5" s="1"/>
  <c r="O31" i="6" l="1"/>
  <c r="F31" i="6"/>
  <c r="O29" i="6"/>
  <c r="F29" i="6"/>
  <c r="O30" i="6"/>
  <c r="F30" i="6"/>
  <c r="N165" i="1"/>
  <c r="O165" i="1" s="1"/>
  <c r="K29" i="6"/>
  <c r="L29" i="6" s="1"/>
  <c r="N29" i="6" s="1"/>
  <c r="K30" i="6"/>
  <c r="L30" i="6" s="1"/>
  <c r="N30" i="6" s="1"/>
  <c r="K31" i="6"/>
  <c r="L31" i="6" s="1"/>
  <c r="N31" i="6" s="1"/>
  <c r="L134" i="5"/>
  <c r="M134" i="5" s="1"/>
  <c r="O134" i="5" s="1"/>
  <c r="G134" i="5"/>
  <c r="L135" i="5"/>
  <c r="M135" i="5" s="1"/>
  <c r="O135" i="5" s="1"/>
  <c r="G135" i="5"/>
  <c r="L136" i="5"/>
  <c r="M136" i="5" s="1"/>
  <c r="O136" i="5" s="1"/>
  <c r="G136" i="5"/>
  <c r="D126" i="3"/>
  <c r="B126" i="3"/>
  <c r="G164" i="1"/>
  <c r="E164" i="1"/>
  <c r="C164" i="1" s="1"/>
  <c r="N133" i="5"/>
  <c r="K133" i="5"/>
  <c r="H133" i="5"/>
  <c r="J133" i="5" s="1"/>
  <c r="C133" i="5"/>
  <c r="F133" i="5" s="1"/>
  <c r="P133" i="5" s="1"/>
  <c r="N132" i="5"/>
  <c r="K132" i="5"/>
  <c r="H132" i="5"/>
  <c r="J132" i="5" s="1"/>
  <c r="C132" i="5"/>
  <c r="F132" i="5" s="1"/>
  <c r="P132" i="5" s="1"/>
  <c r="N131" i="5"/>
  <c r="K131" i="5"/>
  <c r="H131" i="5"/>
  <c r="J131" i="5" s="1"/>
  <c r="C131" i="5"/>
  <c r="F131" i="5" s="1"/>
  <c r="P131" i="5" s="1"/>
  <c r="E126" i="3" l="1"/>
  <c r="F126" i="3" s="1"/>
  <c r="V164" i="1"/>
  <c r="W164" i="1" s="1"/>
  <c r="L131" i="5"/>
  <c r="M131" i="5" s="1"/>
  <c r="O131" i="5" s="1"/>
  <c r="B164" i="1"/>
  <c r="H164" i="1" s="1"/>
  <c r="I164" i="1" s="1"/>
  <c r="L133" i="5"/>
  <c r="M133" i="5" s="1"/>
  <c r="O133" i="5" s="1"/>
  <c r="G126" i="3"/>
  <c r="H126" i="3" s="1"/>
  <c r="L164" i="1"/>
  <c r="M164" i="1" s="1"/>
  <c r="P164" i="1"/>
  <c r="Q164" i="1" s="1"/>
  <c r="T164" i="1"/>
  <c r="U164" i="1" s="1"/>
  <c r="N164" i="1"/>
  <c r="O164" i="1" s="1"/>
  <c r="R164" i="1"/>
  <c r="S164" i="1" s="1"/>
  <c r="L132" i="5"/>
  <c r="M132" i="5" s="1"/>
  <c r="O132" i="5" s="1"/>
  <c r="G132" i="5"/>
  <c r="G131" i="5"/>
  <c r="G133" i="5"/>
  <c r="D125" i="3"/>
  <c r="B125" i="3"/>
  <c r="G163" i="1"/>
  <c r="E163" i="1"/>
  <c r="B163" i="1" s="1"/>
  <c r="M28" i="6"/>
  <c r="J28" i="6"/>
  <c r="G28" i="6"/>
  <c r="I28" i="6" s="1"/>
  <c r="C28" i="6"/>
  <c r="E28" i="6" s="1"/>
  <c r="M27" i="6"/>
  <c r="J27" i="6"/>
  <c r="G27" i="6"/>
  <c r="I27" i="6" s="1"/>
  <c r="C27" i="6"/>
  <c r="E27" i="6" s="1"/>
  <c r="M26" i="6"/>
  <c r="J26" i="6"/>
  <c r="G26" i="6"/>
  <c r="I26" i="6" s="1"/>
  <c r="C26" i="6"/>
  <c r="E26" i="6" s="1"/>
  <c r="H127" i="5"/>
  <c r="J127" i="5" s="1"/>
  <c r="H126" i="5"/>
  <c r="J126" i="5" s="1"/>
  <c r="H125" i="5"/>
  <c r="J125" i="5" s="1"/>
  <c r="N127" i="5"/>
  <c r="K127" i="5"/>
  <c r="F127" i="5"/>
  <c r="P127" i="5" s="1"/>
  <c r="N126" i="5"/>
  <c r="K126" i="5"/>
  <c r="F126" i="5"/>
  <c r="P126" i="5" s="1"/>
  <c r="N125" i="5"/>
  <c r="K125" i="5"/>
  <c r="F125" i="5"/>
  <c r="P125" i="5" s="1"/>
  <c r="H130" i="5"/>
  <c r="J130" i="5" s="1"/>
  <c r="H129" i="5"/>
  <c r="J129" i="5" s="1"/>
  <c r="H128" i="5"/>
  <c r="J128" i="5" s="1"/>
  <c r="F130" i="5"/>
  <c r="P130" i="5" s="1"/>
  <c r="F129" i="5"/>
  <c r="P129" i="5" s="1"/>
  <c r="F128" i="5"/>
  <c r="P128" i="5" s="1"/>
  <c r="N130" i="5"/>
  <c r="K130" i="5"/>
  <c r="N129" i="5"/>
  <c r="K129" i="5"/>
  <c r="N128" i="5"/>
  <c r="K128" i="5"/>
  <c r="N124" i="5"/>
  <c r="K124" i="5"/>
  <c r="H124" i="5"/>
  <c r="J124" i="5" s="1"/>
  <c r="C124" i="5"/>
  <c r="F124" i="5" s="1"/>
  <c r="P124" i="5" s="1"/>
  <c r="N123" i="5"/>
  <c r="K123" i="5"/>
  <c r="H123" i="5"/>
  <c r="J123" i="5" s="1"/>
  <c r="C123" i="5"/>
  <c r="F123" i="5" s="1"/>
  <c r="P123" i="5" s="1"/>
  <c r="N122" i="5"/>
  <c r="K122" i="5"/>
  <c r="H122" i="5"/>
  <c r="J122" i="5" s="1"/>
  <c r="C122" i="5"/>
  <c r="F122" i="5" s="1"/>
  <c r="P122" i="5" s="1"/>
  <c r="O26" i="6" l="1"/>
  <c r="F26" i="6"/>
  <c r="O28" i="6"/>
  <c r="F28" i="6"/>
  <c r="O27" i="6"/>
  <c r="F27" i="6"/>
  <c r="C163" i="1"/>
  <c r="L163" i="1" s="1"/>
  <c r="M163" i="1" s="1"/>
  <c r="T163" i="1"/>
  <c r="U163" i="1" s="1"/>
  <c r="G125" i="3"/>
  <c r="H125" i="3" s="1"/>
  <c r="J164" i="1"/>
  <c r="K164" i="1" s="1"/>
  <c r="G130" i="5"/>
  <c r="G125" i="5"/>
  <c r="G129" i="5"/>
  <c r="L126" i="5"/>
  <c r="M126" i="5" s="1"/>
  <c r="O126" i="5" s="1"/>
  <c r="E125" i="3"/>
  <c r="F125" i="3" s="1"/>
  <c r="P163" i="1"/>
  <c r="Q163" i="1" s="1"/>
  <c r="J163" i="1"/>
  <c r="K163" i="1" s="1"/>
  <c r="V163" i="1"/>
  <c r="W163" i="1" s="1"/>
  <c r="R163" i="1"/>
  <c r="S163" i="1" s="1"/>
  <c r="H163" i="1"/>
  <c r="I163" i="1" s="1"/>
  <c r="K26" i="6"/>
  <c r="L26" i="6" s="1"/>
  <c r="N26" i="6" s="1"/>
  <c r="K27" i="6"/>
  <c r="L27" i="6" s="1"/>
  <c r="N27" i="6" s="1"/>
  <c r="K28" i="6"/>
  <c r="L28" i="6" s="1"/>
  <c r="N28" i="6" s="1"/>
  <c r="L127" i="5"/>
  <c r="M127" i="5" s="1"/>
  <c r="O127" i="5" s="1"/>
  <c r="G127" i="5"/>
  <c r="L125" i="5"/>
  <c r="M125" i="5" s="1"/>
  <c r="O125" i="5" s="1"/>
  <c r="G126" i="5"/>
  <c r="G128" i="5"/>
  <c r="L128" i="5"/>
  <c r="M128" i="5" s="1"/>
  <c r="O128" i="5" s="1"/>
  <c r="L129" i="5"/>
  <c r="M129" i="5" s="1"/>
  <c r="O129" i="5" s="1"/>
  <c r="L130" i="5"/>
  <c r="M130" i="5" s="1"/>
  <c r="O130" i="5" s="1"/>
  <c r="L123" i="5"/>
  <c r="M123" i="5" s="1"/>
  <c r="O123" i="5" s="1"/>
  <c r="G123" i="5"/>
  <c r="L122" i="5"/>
  <c r="M122" i="5" s="1"/>
  <c r="O122" i="5" s="1"/>
  <c r="G122" i="5"/>
  <c r="L124" i="5"/>
  <c r="M124" i="5" s="1"/>
  <c r="O124" i="5" s="1"/>
  <c r="G124" i="5"/>
  <c r="D124" i="3"/>
  <c r="B124" i="3"/>
  <c r="G162" i="1"/>
  <c r="P162" i="1" s="1"/>
  <c r="Q162" i="1" s="1"/>
  <c r="E162" i="1"/>
  <c r="C162" i="1" s="1"/>
  <c r="N121" i="5"/>
  <c r="K121" i="5"/>
  <c r="H121" i="5"/>
  <c r="J121" i="5" s="1"/>
  <c r="C121" i="5"/>
  <c r="F121" i="5" s="1"/>
  <c r="P121" i="5" s="1"/>
  <c r="N120" i="5"/>
  <c r="K120" i="5"/>
  <c r="H120" i="5"/>
  <c r="J120" i="5" s="1"/>
  <c r="C120" i="5"/>
  <c r="F120" i="5" s="1"/>
  <c r="P120" i="5" s="1"/>
  <c r="N119" i="5"/>
  <c r="K119" i="5"/>
  <c r="H119" i="5"/>
  <c r="J119" i="5" s="1"/>
  <c r="C119" i="5"/>
  <c r="F119" i="5" s="1"/>
  <c r="P119" i="5" s="1"/>
  <c r="N163" i="1" l="1"/>
  <c r="O163" i="1" s="1"/>
  <c r="L119" i="5"/>
  <c r="M119" i="5" s="1"/>
  <c r="O119" i="5" s="1"/>
  <c r="G124" i="3"/>
  <c r="H124" i="3" s="1"/>
  <c r="T162" i="1"/>
  <c r="U162" i="1" s="1"/>
  <c r="E124" i="3"/>
  <c r="F124" i="3" s="1"/>
  <c r="R162" i="1"/>
  <c r="S162" i="1" s="1"/>
  <c r="L162" i="1"/>
  <c r="M162" i="1" s="1"/>
  <c r="N162" i="1"/>
  <c r="O162" i="1" s="1"/>
  <c r="V162" i="1"/>
  <c r="W162" i="1" s="1"/>
  <c r="B162" i="1"/>
  <c r="L121" i="5"/>
  <c r="M121" i="5" s="1"/>
  <c r="O121" i="5" s="1"/>
  <c r="L120" i="5"/>
  <c r="M120" i="5" s="1"/>
  <c r="O120" i="5" s="1"/>
  <c r="G120" i="5"/>
  <c r="G119" i="5"/>
  <c r="G121" i="5"/>
  <c r="N118" i="5"/>
  <c r="K118" i="5"/>
  <c r="H118" i="5"/>
  <c r="J118" i="5" s="1"/>
  <c r="C118" i="5"/>
  <c r="F118" i="5" s="1"/>
  <c r="P118" i="5" s="1"/>
  <c r="N117" i="5"/>
  <c r="K117" i="5"/>
  <c r="H117" i="5"/>
  <c r="J117" i="5" s="1"/>
  <c r="C117" i="5"/>
  <c r="F117" i="5" s="1"/>
  <c r="P117" i="5" s="1"/>
  <c r="N116" i="5"/>
  <c r="K116" i="5"/>
  <c r="H116" i="5"/>
  <c r="J116" i="5" s="1"/>
  <c r="C116" i="5"/>
  <c r="F116" i="5" s="1"/>
  <c r="P116" i="5" s="1"/>
  <c r="H162" i="1" l="1"/>
  <c r="I162" i="1" s="1"/>
  <c r="J162" i="1"/>
  <c r="K162" i="1" s="1"/>
  <c r="L118" i="5"/>
  <c r="M118" i="5" s="1"/>
  <c r="O118" i="5" s="1"/>
  <c r="G118" i="5"/>
  <c r="L116" i="5"/>
  <c r="M116" i="5" s="1"/>
  <c r="O116" i="5" s="1"/>
  <c r="G116" i="5"/>
  <c r="L117" i="5"/>
  <c r="M117" i="5" s="1"/>
  <c r="O117" i="5" s="1"/>
  <c r="G117" i="5"/>
  <c r="D123" i="3"/>
  <c r="B123" i="3"/>
  <c r="G161" i="1"/>
  <c r="E161" i="1"/>
  <c r="C161" i="1" s="1"/>
  <c r="V161" i="1" l="1"/>
  <c r="W161" i="1" s="1"/>
  <c r="B161" i="1"/>
  <c r="H161" i="1" s="1"/>
  <c r="I161" i="1" s="1"/>
  <c r="G123" i="3"/>
  <c r="H123" i="3" s="1"/>
  <c r="E123" i="3"/>
  <c r="F123" i="3" s="1"/>
  <c r="L161" i="1"/>
  <c r="M161" i="1" s="1"/>
  <c r="P161" i="1"/>
  <c r="Q161" i="1" s="1"/>
  <c r="T161" i="1"/>
  <c r="U161" i="1" s="1"/>
  <c r="N161" i="1"/>
  <c r="O161" i="1" s="1"/>
  <c r="R161" i="1"/>
  <c r="S161" i="1" s="1"/>
  <c r="J161" i="1" l="1"/>
  <c r="K161" i="1" s="1"/>
  <c r="N115" i="5"/>
  <c r="K115" i="5"/>
  <c r="H115" i="5"/>
  <c r="J115" i="5" s="1"/>
  <c r="C115" i="5"/>
  <c r="F115" i="5" s="1"/>
  <c r="P115" i="5" s="1"/>
  <c r="N114" i="5"/>
  <c r="K114" i="5"/>
  <c r="H114" i="5"/>
  <c r="J114" i="5" s="1"/>
  <c r="C114" i="5"/>
  <c r="F114" i="5" s="1"/>
  <c r="P114" i="5" s="1"/>
  <c r="N113" i="5"/>
  <c r="K113" i="5"/>
  <c r="H113" i="5"/>
  <c r="J113" i="5" s="1"/>
  <c r="C113" i="5"/>
  <c r="F113" i="5" s="1"/>
  <c r="P113" i="5" s="1"/>
  <c r="L113" i="5" l="1"/>
  <c r="M113" i="5" s="1"/>
  <c r="O113" i="5" s="1"/>
  <c r="G113" i="5"/>
  <c r="L114" i="5"/>
  <c r="M114" i="5" s="1"/>
  <c r="O114" i="5" s="1"/>
  <c r="G114" i="5"/>
  <c r="L115" i="5"/>
  <c r="M115" i="5" s="1"/>
  <c r="O115" i="5" s="1"/>
  <c r="G115" i="5"/>
  <c r="G160" i="1" l="1"/>
  <c r="E160" i="1"/>
  <c r="C160" i="1" s="1"/>
  <c r="D122" i="3"/>
  <c r="B122" i="3"/>
  <c r="G122" i="3" l="1"/>
  <c r="H122" i="3" s="1"/>
  <c r="B160" i="1"/>
  <c r="H160" i="1" s="1"/>
  <c r="I160" i="1" s="1"/>
  <c r="V160" i="1"/>
  <c r="W160" i="1" s="1"/>
  <c r="L160" i="1"/>
  <c r="M160" i="1" s="1"/>
  <c r="P160" i="1"/>
  <c r="Q160" i="1" s="1"/>
  <c r="T160" i="1"/>
  <c r="U160" i="1" s="1"/>
  <c r="E122" i="3"/>
  <c r="F122" i="3" s="1"/>
  <c r="N160" i="1"/>
  <c r="O160" i="1" s="1"/>
  <c r="R160" i="1"/>
  <c r="S160" i="1" s="1"/>
  <c r="H112" i="5"/>
  <c r="J112" i="5" s="1"/>
  <c r="H111" i="5"/>
  <c r="J111" i="5" s="1"/>
  <c r="H110" i="5"/>
  <c r="J110" i="5" s="1"/>
  <c r="N112" i="5"/>
  <c r="K112" i="5"/>
  <c r="F112" i="5"/>
  <c r="P112" i="5" s="1"/>
  <c r="N111" i="5"/>
  <c r="K111" i="5"/>
  <c r="F111" i="5"/>
  <c r="P111" i="5" s="1"/>
  <c r="N110" i="5"/>
  <c r="K110" i="5"/>
  <c r="F110" i="5"/>
  <c r="P110" i="5" s="1"/>
  <c r="N109" i="5"/>
  <c r="K109" i="5"/>
  <c r="H109" i="5"/>
  <c r="J109" i="5" s="1"/>
  <c r="C109" i="5"/>
  <c r="F109" i="5" s="1"/>
  <c r="P109" i="5" s="1"/>
  <c r="N108" i="5"/>
  <c r="K108" i="5"/>
  <c r="H108" i="5"/>
  <c r="J108" i="5" s="1"/>
  <c r="C108" i="5"/>
  <c r="F108" i="5" s="1"/>
  <c r="P108" i="5" s="1"/>
  <c r="N107" i="5"/>
  <c r="K107" i="5"/>
  <c r="H107" i="5"/>
  <c r="J107" i="5" s="1"/>
  <c r="C107" i="5"/>
  <c r="F107" i="5" s="1"/>
  <c r="P107" i="5" s="1"/>
  <c r="J160" i="1" l="1"/>
  <c r="K160" i="1" s="1"/>
  <c r="G112" i="5"/>
  <c r="L112" i="5"/>
  <c r="M112" i="5" s="1"/>
  <c r="O112" i="5" s="1"/>
  <c r="L107" i="5"/>
  <c r="M107" i="5" s="1"/>
  <c r="O107" i="5" s="1"/>
  <c r="L109" i="5"/>
  <c r="M109" i="5" s="1"/>
  <c r="O109" i="5" s="1"/>
  <c r="L110" i="5"/>
  <c r="M110" i="5" s="1"/>
  <c r="O110" i="5" s="1"/>
  <c r="L111" i="5"/>
  <c r="M111" i="5" s="1"/>
  <c r="O111" i="5" s="1"/>
  <c r="G110" i="5"/>
  <c r="G111" i="5"/>
  <c r="L108" i="5"/>
  <c r="M108" i="5" s="1"/>
  <c r="O108" i="5" s="1"/>
  <c r="G108" i="5"/>
  <c r="G107" i="5"/>
  <c r="G109" i="5"/>
  <c r="D121" i="3"/>
  <c r="B121" i="3"/>
  <c r="G159" i="1"/>
  <c r="E159" i="1"/>
  <c r="C159" i="1" s="1"/>
  <c r="V159" i="1" l="1"/>
  <c r="W159" i="1" s="1"/>
  <c r="B159" i="1"/>
  <c r="H159" i="1" s="1"/>
  <c r="I159" i="1" s="1"/>
  <c r="G121" i="3"/>
  <c r="H121" i="3" s="1"/>
  <c r="E121" i="3"/>
  <c r="F121" i="3" s="1"/>
  <c r="L159" i="1"/>
  <c r="M159" i="1" s="1"/>
  <c r="P159" i="1"/>
  <c r="Q159" i="1" s="1"/>
  <c r="T159" i="1"/>
  <c r="U159" i="1" s="1"/>
  <c r="N159" i="1"/>
  <c r="O159" i="1" s="1"/>
  <c r="R159" i="1"/>
  <c r="S159" i="1" s="1"/>
  <c r="N106" i="5"/>
  <c r="K106" i="5"/>
  <c r="H106" i="5"/>
  <c r="J106" i="5" s="1"/>
  <c r="C106" i="5"/>
  <c r="F106" i="5" s="1"/>
  <c r="P106" i="5" s="1"/>
  <c r="N105" i="5"/>
  <c r="K105" i="5"/>
  <c r="H105" i="5"/>
  <c r="J105" i="5" s="1"/>
  <c r="C105" i="5"/>
  <c r="F105" i="5" s="1"/>
  <c r="P105" i="5" s="1"/>
  <c r="N104" i="5"/>
  <c r="K104" i="5"/>
  <c r="H104" i="5"/>
  <c r="J104" i="5" s="1"/>
  <c r="C104" i="5"/>
  <c r="F104" i="5" s="1"/>
  <c r="P104" i="5" s="1"/>
  <c r="J159" i="1" l="1"/>
  <c r="K159" i="1" s="1"/>
  <c r="L105" i="5"/>
  <c r="M105" i="5" s="1"/>
  <c r="O105" i="5" s="1"/>
  <c r="G105" i="5"/>
  <c r="L106" i="5"/>
  <c r="M106" i="5" s="1"/>
  <c r="O106" i="5" s="1"/>
  <c r="G106" i="5"/>
  <c r="L104" i="5"/>
  <c r="M104" i="5" s="1"/>
  <c r="O104" i="5" s="1"/>
  <c r="G104" i="5"/>
  <c r="D120" i="3"/>
  <c r="B120" i="3"/>
  <c r="G158" i="1"/>
  <c r="E158" i="1"/>
  <c r="C158" i="1" s="1"/>
  <c r="V158" i="1" l="1"/>
  <c r="W158" i="1" s="1"/>
  <c r="E120" i="3"/>
  <c r="F120" i="3" s="1"/>
  <c r="G120" i="3"/>
  <c r="H120" i="3" s="1"/>
  <c r="T158" i="1"/>
  <c r="U158" i="1" s="1"/>
  <c r="L158" i="1"/>
  <c r="M158" i="1" s="1"/>
  <c r="B158" i="1"/>
  <c r="H158" i="1" s="1"/>
  <c r="I158" i="1" s="1"/>
  <c r="P158" i="1"/>
  <c r="Q158" i="1" s="1"/>
  <c r="N158" i="1"/>
  <c r="O158" i="1" s="1"/>
  <c r="R158" i="1"/>
  <c r="S158" i="1" s="1"/>
  <c r="F103" i="5"/>
  <c r="P103" i="5" s="1"/>
  <c r="H103" i="5"/>
  <c r="N103" i="5"/>
  <c r="K103" i="5"/>
  <c r="N102" i="5"/>
  <c r="K102" i="5"/>
  <c r="H102" i="5"/>
  <c r="J102" i="5" s="1"/>
  <c r="F102" i="5"/>
  <c r="P102" i="5" s="1"/>
  <c r="N101" i="5"/>
  <c r="K101" i="5"/>
  <c r="H101" i="5"/>
  <c r="J101" i="5" s="1"/>
  <c r="F101" i="5"/>
  <c r="P101" i="5" s="1"/>
  <c r="J158" i="1" l="1"/>
  <c r="K158" i="1" s="1"/>
  <c r="G101" i="5"/>
  <c r="G103" i="5"/>
  <c r="J103" i="5"/>
  <c r="L103" i="5" s="1"/>
  <c r="M103" i="5" s="1"/>
  <c r="O103" i="5" s="1"/>
  <c r="L101" i="5"/>
  <c r="M101" i="5" s="1"/>
  <c r="O101" i="5" s="1"/>
  <c r="L102" i="5"/>
  <c r="M102" i="5" s="1"/>
  <c r="O102" i="5" s="1"/>
  <c r="G102" i="5"/>
  <c r="D119" i="3"/>
  <c r="B119" i="3"/>
  <c r="G157" i="1"/>
  <c r="E157" i="1"/>
  <c r="C157" i="1" s="1"/>
  <c r="N100" i="5"/>
  <c r="K100" i="5"/>
  <c r="H100" i="5"/>
  <c r="J100" i="5" s="1"/>
  <c r="C100" i="5"/>
  <c r="F100" i="5" s="1"/>
  <c r="P100" i="5" s="1"/>
  <c r="N99" i="5"/>
  <c r="K99" i="5"/>
  <c r="H99" i="5"/>
  <c r="J99" i="5" s="1"/>
  <c r="C99" i="5"/>
  <c r="F99" i="5" s="1"/>
  <c r="P99" i="5" s="1"/>
  <c r="N98" i="5"/>
  <c r="K98" i="5"/>
  <c r="H98" i="5"/>
  <c r="J98" i="5" s="1"/>
  <c r="C98" i="5"/>
  <c r="F98" i="5" s="1"/>
  <c r="P98" i="5" s="1"/>
  <c r="B157" i="1" l="1"/>
  <c r="H157" i="1" s="1"/>
  <c r="I157" i="1" s="1"/>
  <c r="T157" i="1"/>
  <c r="U157" i="1" s="1"/>
  <c r="G119" i="3"/>
  <c r="H119" i="3" s="1"/>
  <c r="L99" i="5"/>
  <c r="M99" i="5" s="1"/>
  <c r="O99" i="5" s="1"/>
  <c r="E119" i="3"/>
  <c r="F119" i="3" s="1"/>
  <c r="R157" i="1"/>
  <c r="S157" i="1" s="1"/>
  <c r="V157" i="1"/>
  <c r="W157" i="1" s="1"/>
  <c r="J157" i="1"/>
  <c r="K157" i="1" s="1"/>
  <c r="L157" i="1"/>
  <c r="M157" i="1" s="1"/>
  <c r="N157" i="1"/>
  <c r="O157" i="1" s="1"/>
  <c r="P157" i="1"/>
  <c r="Q157" i="1" s="1"/>
  <c r="L100" i="5"/>
  <c r="M100" i="5" s="1"/>
  <c r="O100" i="5" s="1"/>
  <c r="G100" i="5"/>
  <c r="L98" i="5"/>
  <c r="M98" i="5" s="1"/>
  <c r="O98" i="5" s="1"/>
  <c r="G98" i="5"/>
  <c r="G99" i="5"/>
  <c r="D118" i="3"/>
  <c r="B118" i="3"/>
  <c r="G156" i="1"/>
  <c r="E156" i="1"/>
  <c r="C156" i="1" s="1"/>
  <c r="G118" i="3" l="1"/>
  <c r="H118" i="3" s="1"/>
  <c r="V156" i="1"/>
  <c r="W156" i="1" s="1"/>
  <c r="E118" i="3"/>
  <c r="F118" i="3" s="1"/>
  <c r="L156" i="1"/>
  <c r="M156" i="1" s="1"/>
  <c r="B156" i="1"/>
  <c r="H156" i="1" s="1"/>
  <c r="I156" i="1" s="1"/>
  <c r="P156" i="1"/>
  <c r="Q156" i="1" s="1"/>
  <c r="T156" i="1"/>
  <c r="U156" i="1" s="1"/>
  <c r="N156" i="1"/>
  <c r="O156" i="1" s="1"/>
  <c r="R156" i="1"/>
  <c r="S156" i="1" s="1"/>
  <c r="N97" i="5"/>
  <c r="K97" i="5"/>
  <c r="H97" i="5"/>
  <c r="J97" i="5" s="1"/>
  <c r="C97" i="5"/>
  <c r="F97" i="5" s="1"/>
  <c r="P97" i="5" s="1"/>
  <c r="N96" i="5"/>
  <c r="K96" i="5"/>
  <c r="H96" i="5"/>
  <c r="J96" i="5" s="1"/>
  <c r="C96" i="5"/>
  <c r="F96" i="5" s="1"/>
  <c r="P96" i="5" s="1"/>
  <c r="N95" i="5"/>
  <c r="K95" i="5"/>
  <c r="H95" i="5"/>
  <c r="J95" i="5" s="1"/>
  <c r="C95" i="5"/>
  <c r="F95" i="5" s="1"/>
  <c r="P95" i="5" s="1"/>
  <c r="L96" i="5" l="1"/>
  <c r="M96" i="5" s="1"/>
  <c r="O96" i="5" s="1"/>
  <c r="J156" i="1"/>
  <c r="K156" i="1" s="1"/>
  <c r="L95" i="5"/>
  <c r="M95" i="5" s="1"/>
  <c r="O95" i="5" s="1"/>
  <c r="G95" i="5"/>
  <c r="L97" i="5"/>
  <c r="M97" i="5" s="1"/>
  <c r="O97" i="5" s="1"/>
  <c r="G97" i="5"/>
  <c r="G96" i="5"/>
  <c r="N94" i="5"/>
  <c r="K94" i="5"/>
  <c r="H94" i="5"/>
  <c r="J94" i="5" s="1"/>
  <c r="C94" i="5"/>
  <c r="F94" i="5" s="1"/>
  <c r="P94" i="5" s="1"/>
  <c r="N93" i="5"/>
  <c r="K93" i="5"/>
  <c r="H93" i="5"/>
  <c r="J93" i="5" s="1"/>
  <c r="C93" i="5"/>
  <c r="F93" i="5" s="1"/>
  <c r="P93" i="5" s="1"/>
  <c r="N92" i="5"/>
  <c r="K92" i="5"/>
  <c r="H92" i="5"/>
  <c r="J92" i="5" s="1"/>
  <c r="C92" i="5"/>
  <c r="F92" i="5" s="1"/>
  <c r="P92" i="5" s="1"/>
  <c r="L92" i="5" l="1"/>
  <c r="M92" i="5" s="1"/>
  <c r="O92" i="5" s="1"/>
  <c r="G92" i="5"/>
  <c r="L93" i="5"/>
  <c r="M93" i="5" s="1"/>
  <c r="O93" i="5" s="1"/>
  <c r="G93" i="5"/>
  <c r="L94" i="5"/>
  <c r="M94" i="5" s="1"/>
  <c r="O94" i="5" s="1"/>
  <c r="G94" i="5"/>
  <c r="D117" i="3"/>
  <c r="B117" i="3"/>
  <c r="G155" i="1"/>
  <c r="P155" i="1" s="1"/>
  <c r="Q155" i="1" s="1"/>
  <c r="E155" i="1"/>
  <c r="C155" i="1" s="1"/>
  <c r="G117" i="3" l="1"/>
  <c r="H117" i="3" s="1"/>
  <c r="E117" i="3"/>
  <c r="F117" i="3" s="1"/>
  <c r="L155" i="1"/>
  <c r="M155" i="1" s="1"/>
  <c r="T155" i="1"/>
  <c r="U155" i="1" s="1"/>
  <c r="N155" i="1"/>
  <c r="O155" i="1" s="1"/>
  <c r="R155" i="1"/>
  <c r="S155" i="1" s="1"/>
  <c r="V155" i="1"/>
  <c r="W155" i="1" s="1"/>
  <c r="B155" i="1"/>
  <c r="H155" i="1" s="1"/>
  <c r="I155" i="1" s="1"/>
  <c r="N91" i="5"/>
  <c r="K91" i="5"/>
  <c r="H91" i="5"/>
  <c r="J91" i="5" s="1"/>
  <c r="F91" i="5"/>
  <c r="P91" i="5" s="1"/>
  <c r="N90" i="5"/>
  <c r="K90" i="5"/>
  <c r="H90" i="5"/>
  <c r="J90" i="5" s="1"/>
  <c r="F90" i="5"/>
  <c r="P90" i="5" s="1"/>
  <c r="N89" i="5"/>
  <c r="K89" i="5"/>
  <c r="H89" i="5"/>
  <c r="J89" i="5" s="1"/>
  <c r="F89" i="5"/>
  <c r="G89" i="5" l="1"/>
  <c r="P89" i="5"/>
  <c r="G91" i="5"/>
  <c r="L91" i="5"/>
  <c r="M91" i="5" s="1"/>
  <c r="O91" i="5" s="1"/>
  <c r="J155" i="1"/>
  <c r="K155" i="1" s="1"/>
  <c r="L90" i="5"/>
  <c r="M90" i="5" s="1"/>
  <c r="O90" i="5" s="1"/>
  <c r="L89" i="5"/>
  <c r="M89" i="5" s="1"/>
  <c r="O89" i="5" s="1"/>
  <c r="G90" i="5"/>
  <c r="D116" i="3"/>
  <c r="B116" i="3"/>
  <c r="G154" i="1"/>
  <c r="E154" i="1"/>
  <c r="C154" i="1" s="1"/>
  <c r="V154" i="1" l="1"/>
  <c r="W154" i="1" s="1"/>
  <c r="B154" i="1"/>
  <c r="H154" i="1" s="1"/>
  <c r="I154" i="1" s="1"/>
  <c r="G116" i="3"/>
  <c r="H116" i="3" s="1"/>
  <c r="E116" i="3"/>
  <c r="F116" i="3" s="1"/>
  <c r="L154" i="1"/>
  <c r="M154" i="1" s="1"/>
  <c r="P154" i="1"/>
  <c r="Q154" i="1" s="1"/>
  <c r="T154" i="1"/>
  <c r="U154" i="1" s="1"/>
  <c r="N154" i="1"/>
  <c r="O154" i="1" s="1"/>
  <c r="R154" i="1"/>
  <c r="S154" i="1" s="1"/>
  <c r="M25" i="6"/>
  <c r="J25" i="6"/>
  <c r="G25" i="6"/>
  <c r="I25" i="6" s="1"/>
  <c r="D25" i="6"/>
  <c r="C25" i="6"/>
  <c r="M24" i="6"/>
  <c r="J24" i="6"/>
  <c r="G24" i="6"/>
  <c r="I24" i="6" s="1"/>
  <c r="D24" i="6"/>
  <c r="C24" i="6"/>
  <c r="M23" i="6"/>
  <c r="J23" i="6"/>
  <c r="G23" i="6"/>
  <c r="I23" i="6" s="1"/>
  <c r="D23" i="6"/>
  <c r="C23" i="6"/>
  <c r="N88" i="5"/>
  <c r="K88" i="5"/>
  <c r="H88" i="5"/>
  <c r="J88" i="5" s="1"/>
  <c r="C88" i="5"/>
  <c r="F88" i="5" s="1"/>
  <c r="P88" i="5" s="1"/>
  <c r="N87" i="5"/>
  <c r="K87" i="5"/>
  <c r="H87" i="5"/>
  <c r="J87" i="5" s="1"/>
  <c r="C87" i="5"/>
  <c r="F87" i="5" s="1"/>
  <c r="P87" i="5" s="1"/>
  <c r="N86" i="5"/>
  <c r="K86" i="5"/>
  <c r="H86" i="5"/>
  <c r="J86" i="5" s="1"/>
  <c r="C86" i="5"/>
  <c r="F86" i="5" s="1"/>
  <c r="P86" i="5" s="1"/>
  <c r="J154" i="1" l="1"/>
  <c r="K154" i="1" s="1"/>
  <c r="E25" i="6"/>
  <c r="K25" i="6" s="1"/>
  <c r="L25" i="6" s="1"/>
  <c r="N25" i="6" s="1"/>
  <c r="E23" i="6"/>
  <c r="F23" i="6" s="1"/>
  <c r="E24" i="6"/>
  <c r="F24" i="6" s="1"/>
  <c r="G88" i="5"/>
  <c r="L88" i="5"/>
  <c r="M88" i="5" s="1"/>
  <c r="O88" i="5" s="1"/>
  <c r="L86" i="5"/>
  <c r="M86" i="5" s="1"/>
  <c r="O86" i="5" s="1"/>
  <c r="G86" i="5"/>
  <c r="L87" i="5"/>
  <c r="M87" i="5" s="1"/>
  <c r="O87" i="5" s="1"/>
  <c r="G87" i="5"/>
  <c r="N85" i="5"/>
  <c r="K85" i="5"/>
  <c r="H85" i="5"/>
  <c r="J85" i="5" s="1"/>
  <c r="C85" i="5"/>
  <c r="F85" i="5" s="1"/>
  <c r="P85" i="5" s="1"/>
  <c r="N84" i="5"/>
  <c r="K84" i="5"/>
  <c r="H84" i="5"/>
  <c r="J84" i="5" s="1"/>
  <c r="C84" i="5"/>
  <c r="F84" i="5" s="1"/>
  <c r="P84" i="5" s="1"/>
  <c r="N83" i="5"/>
  <c r="K83" i="5"/>
  <c r="H83" i="5"/>
  <c r="J83" i="5" s="1"/>
  <c r="C83" i="5"/>
  <c r="F83" i="5" s="1"/>
  <c r="P83" i="5" s="1"/>
  <c r="O25" i="6" l="1"/>
  <c r="F25" i="6"/>
  <c r="O24" i="6"/>
  <c r="K23" i="6"/>
  <c r="L23" i="6" s="1"/>
  <c r="N23" i="6" s="1"/>
  <c r="O23" i="6"/>
  <c r="K24" i="6"/>
  <c r="L24" i="6" s="1"/>
  <c r="N24" i="6" s="1"/>
  <c r="L83" i="5"/>
  <c r="M83" i="5" s="1"/>
  <c r="O83" i="5" s="1"/>
  <c r="G83" i="5"/>
  <c r="L84" i="5"/>
  <c r="M84" i="5" s="1"/>
  <c r="O84" i="5" s="1"/>
  <c r="G84" i="5"/>
  <c r="L85" i="5"/>
  <c r="M85" i="5" s="1"/>
  <c r="O85" i="5" s="1"/>
  <c r="G85" i="5"/>
  <c r="D115" i="3"/>
  <c r="B115" i="3"/>
  <c r="G153" i="1"/>
  <c r="E153" i="1"/>
  <c r="B153" i="1" s="1"/>
  <c r="C153" i="1" l="1"/>
  <c r="N153" i="1" s="1"/>
  <c r="O153" i="1" s="1"/>
  <c r="V153" i="1"/>
  <c r="W153" i="1" s="1"/>
  <c r="G115" i="3"/>
  <c r="H115" i="3" s="1"/>
  <c r="E115" i="3"/>
  <c r="F115" i="3" s="1"/>
  <c r="H153" i="1"/>
  <c r="I153" i="1" s="1"/>
  <c r="P153" i="1"/>
  <c r="Q153" i="1" s="1"/>
  <c r="T153" i="1"/>
  <c r="U153" i="1" s="1"/>
  <c r="J153" i="1"/>
  <c r="K153" i="1" s="1"/>
  <c r="R153" i="1"/>
  <c r="S153" i="1" s="1"/>
  <c r="C82" i="5"/>
  <c r="F82" i="5" s="1"/>
  <c r="P82" i="5" s="1"/>
  <c r="C81" i="5"/>
  <c r="F81" i="5" s="1"/>
  <c r="P81" i="5" s="1"/>
  <c r="C80" i="5"/>
  <c r="F80" i="5" s="1"/>
  <c r="P80" i="5" s="1"/>
  <c r="N82" i="5"/>
  <c r="K82" i="5"/>
  <c r="H82" i="5"/>
  <c r="J82" i="5" s="1"/>
  <c r="N81" i="5"/>
  <c r="K81" i="5"/>
  <c r="H81" i="5"/>
  <c r="J81" i="5" s="1"/>
  <c r="N80" i="5"/>
  <c r="K80" i="5"/>
  <c r="H80" i="5"/>
  <c r="J80" i="5" s="1"/>
  <c r="L153" i="1" l="1"/>
  <c r="M153" i="1" s="1"/>
  <c r="L80" i="5"/>
  <c r="M80" i="5" s="1"/>
  <c r="O80" i="5" s="1"/>
  <c r="G80" i="5"/>
  <c r="L81" i="5"/>
  <c r="M81" i="5" s="1"/>
  <c r="O81" i="5" s="1"/>
  <c r="G81" i="5"/>
  <c r="L82" i="5"/>
  <c r="M82" i="5" s="1"/>
  <c r="O82" i="5" s="1"/>
  <c r="G82" i="5"/>
  <c r="D114" i="3"/>
  <c r="B114" i="3"/>
  <c r="G152" i="1"/>
  <c r="E152" i="1"/>
  <c r="C152" i="1" s="1"/>
  <c r="B152" i="1" l="1"/>
  <c r="J152" i="1" s="1"/>
  <c r="K152" i="1" s="1"/>
  <c r="T152" i="1"/>
  <c r="U152" i="1" s="1"/>
  <c r="G114" i="3"/>
  <c r="H114" i="3" s="1"/>
  <c r="E114" i="3"/>
  <c r="F114" i="3" s="1"/>
  <c r="L152" i="1"/>
  <c r="M152" i="1" s="1"/>
  <c r="N152" i="1"/>
  <c r="O152" i="1" s="1"/>
  <c r="P152" i="1"/>
  <c r="Q152" i="1" s="1"/>
  <c r="V152" i="1"/>
  <c r="W152" i="1" s="1"/>
  <c r="R152" i="1"/>
  <c r="S152" i="1" s="1"/>
  <c r="N79" i="5"/>
  <c r="K79" i="5"/>
  <c r="H79" i="5"/>
  <c r="J79" i="5" s="1"/>
  <c r="D79" i="5"/>
  <c r="C79" i="5"/>
  <c r="N78" i="5"/>
  <c r="K78" i="5"/>
  <c r="H78" i="5"/>
  <c r="J78" i="5" s="1"/>
  <c r="D78" i="5"/>
  <c r="C78" i="5"/>
  <c r="N77" i="5"/>
  <c r="K77" i="5"/>
  <c r="H77" i="5"/>
  <c r="J77" i="5" s="1"/>
  <c r="D77" i="5"/>
  <c r="C77" i="5"/>
  <c r="H152" i="1" l="1"/>
  <c r="I152" i="1" s="1"/>
  <c r="F78" i="5"/>
  <c r="G78" i="5" s="1"/>
  <c r="F79" i="5"/>
  <c r="G79" i="5" s="1"/>
  <c r="F77" i="5"/>
  <c r="M22" i="6"/>
  <c r="J22" i="6"/>
  <c r="G22" i="6"/>
  <c r="I22" i="6" s="1"/>
  <c r="C22" i="6"/>
  <c r="E22" i="6" s="1"/>
  <c r="M21" i="6"/>
  <c r="J21" i="6"/>
  <c r="I21" i="6"/>
  <c r="E21" i="6"/>
  <c r="M20" i="6"/>
  <c r="J20" i="6"/>
  <c r="G20" i="6"/>
  <c r="I20" i="6" s="1"/>
  <c r="C20" i="6"/>
  <c r="E20" i="6" s="1"/>
  <c r="N76" i="5"/>
  <c r="K76" i="5"/>
  <c r="H76" i="5"/>
  <c r="J76" i="5" s="1"/>
  <c r="F76" i="5"/>
  <c r="P76" i="5" s="1"/>
  <c r="N75" i="5"/>
  <c r="K75" i="5"/>
  <c r="H75" i="5"/>
  <c r="J75" i="5" s="1"/>
  <c r="F75" i="5"/>
  <c r="P75" i="5" s="1"/>
  <c r="N74" i="5"/>
  <c r="K74" i="5"/>
  <c r="H74" i="5"/>
  <c r="J74" i="5" s="1"/>
  <c r="F74" i="5"/>
  <c r="P74" i="5" s="1"/>
  <c r="O21" i="6" l="1"/>
  <c r="F21" i="6"/>
  <c r="O20" i="6"/>
  <c r="F20" i="6"/>
  <c r="O22" i="6"/>
  <c r="F22" i="6"/>
  <c r="G77" i="5"/>
  <c r="P77" i="5"/>
  <c r="L79" i="5"/>
  <c r="M79" i="5" s="1"/>
  <c r="O79" i="5" s="1"/>
  <c r="P79" i="5"/>
  <c r="L78" i="5"/>
  <c r="M78" i="5" s="1"/>
  <c r="O78" i="5" s="1"/>
  <c r="P78" i="5"/>
  <c r="K21" i="6"/>
  <c r="L77" i="5"/>
  <c r="M77" i="5" s="1"/>
  <c r="O77" i="5" s="1"/>
  <c r="L76" i="5"/>
  <c r="M76" i="5" s="1"/>
  <c r="O76" i="5" s="1"/>
  <c r="L74" i="5"/>
  <c r="M74" i="5" s="1"/>
  <c r="O74" i="5" s="1"/>
  <c r="G76" i="5"/>
  <c r="N21" i="6"/>
  <c r="K20" i="6"/>
  <c r="L20" i="6" s="1"/>
  <c r="N20" i="6" s="1"/>
  <c r="K22" i="6"/>
  <c r="L22" i="6" s="1"/>
  <c r="N22" i="6" s="1"/>
  <c r="L75" i="5"/>
  <c r="M75" i="5" s="1"/>
  <c r="O75" i="5" s="1"/>
  <c r="G74" i="5"/>
  <c r="G75" i="5"/>
  <c r="C19" i="6" l="1"/>
  <c r="E19" i="6" s="1"/>
  <c r="G19" i="6"/>
  <c r="I19" i="6" s="1"/>
  <c r="J19" i="6"/>
  <c r="M19" i="6"/>
  <c r="C18" i="6"/>
  <c r="E18" i="6" s="1"/>
  <c r="G18" i="6"/>
  <c r="I18" i="6" s="1"/>
  <c r="J18" i="6"/>
  <c r="M18" i="6"/>
  <c r="C17" i="6"/>
  <c r="E17" i="6" s="1"/>
  <c r="G17" i="6"/>
  <c r="I17" i="6" s="1"/>
  <c r="J17" i="6"/>
  <c r="M17" i="6"/>
  <c r="C73" i="5"/>
  <c r="F73" i="5" s="1"/>
  <c r="P73" i="5" s="1"/>
  <c r="H73" i="5"/>
  <c r="J73" i="5" s="1"/>
  <c r="K73" i="5"/>
  <c r="N73" i="5"/>
  <c r="C72" i="5"/>
  <c r="F72" i="5" s="1"/>
  <c r="P72" i="5" s="1"/>
  <c r="H72" i="5"/>
  <c r="J72" i="5" s="1"/>
  <c r="K72" i="5"/>
  <c r="N72" i="5"/>
  <c r="C71" i="5"/>
  <c r="F71" i="5" s="1"/>
  <c r="P71" i="5" s="1"/>
  <c r="H71" i="5"/>
  <c r="J71" i="5" s="1"/>
  <c r="K71" i="5"/>
  <c r="N71" i="5"/>
  <c r="D113" i="3"/>
  <c r="B113" i="3"/>
  <c r="G151" i="1"/>
  <c r="E151" i="1"/>
  <c r="B151" i="1" s="1"/>
  <c r="H70" i="5"/>
  <c r="H69" i="5"/>
  <c r="J69" i="5" s="1"/>
  <c r="H68" i="5"/>
  <c r="J68" i="5" s="1"/>
  <c r="N70" i="5"/>
  <c r="K70" i="5"/>
  <c r="F70" i="5"/>
  <c r="P70" i="5" s="1"/>
  <c r="N69" i="5"/>
  <c r="K69" i="5"/>
  <c r="F69" i="5"/>
  <c r="P69" i="5" s="1"/>
  <c r="N68" i="5"/>
  <c r="K68" i="5"/>
  <c r="F68" i="5"/>
  <c r="P68" i="5" s="1"/>
  <c r="N67" i="5"/>
  <c r="K67" i="5"/>
  <c r="H67" i="5"/>
  <c r="J67" i="5" s="1"/>
  <c r="C67" i="5"/>
  <c r="F67" i="5" s="1"/>
  <c r="P67" i="5" s="1"/>
  <c r="N66" i="5"/>
  <c r="K66" i="5"/>
  <c r="H66" i="5"/>
  <c r="C66" i="5"/>
  <c r="F66" i="5" s="1"/>
  <c r="P66" i="5" s="1"/>
  <c r="N65" i="5"/>
  <c r="K65" i="5"/>
  <c r="H65" i="5"/>
  <c r="J65" i="5" s="1"/>
  <c r="C65" i="5"/>
  <c r="F65" i="5" s="1"/>
  <c r="P65" i="5" s="1"/>
  <c r="D112" i="3"/>
  <c r="B112" i="3"/>
  <c r="G150" i="1"/>
  <c r="E150" i="1"/>
  <c r="C150" i="1" s="1"/>
  <c r="N64" i="5"/>
  <c r="K64" i="5"/>
  <c r="H64" i="5"/>
  <c r="J64" i="5" s="1"/>
  <c r="C64" i="5"/>
  <c r="F64" i="5" s="1"/>
  <c r="P64" i="5" s="1"/>
  <c r="N63" i="5"/>
  <c r="K63" i="5"/>
  <c r="H63" i="5"/>
  <c r="J63" i="5" s="1"/>
  <c r="C63" i="5"/>
  <c r="F63" i="5" s="1"/>
  <c r="P63" i="5" s="1"/>
  <c r="N62" i="5"/>
  <c r="K62" i="5"/>
  <c r="H62" i="5"/>
  <c r="J62" i="5" s="1"/>
  <c r="C62" i="5"/>
  <c r="F62" i="5" s="1"/>
  <c r="P62" i="5" s="1"/>
  <c r="D111" i="3"/>
  <c r="B111" i="3"/>
  <c r="G149" i="1"/>
  <c r="E149" i="1"/>
  <c r="B149" i="1" s="1"/>
  <c r="N61" i="5"/>
  <c r="K61" i="5"/>
  <c r="H61" i="5"/>
  <c r="J61" i="5" s="1"/>
  <c r="C61" i="5"/>
  <c r="D61" i="5" s="1"/>
  <c r="F61" i="5" s="1"/>
  <c r="P61" i="5" s="1"/>
  <c r="N60" i="5"/>
  <c r="K60" i="5"/>
  <c r="H60" i="5"/>
  <c r="J60" i="5" s="1"/>
  <c r="C60" i="5"/>
  <c r="N59" i="5"/>
  <c r="K59" i="5"/>
  <c r="H59" i="5"/>
  <c r="J59" i="5" s="1"/>
  <c r="C59" i="5"/>
  <c r="D59" i="5" s="1"/>
  <c r="F59" i="5" s="1"/>
  <c r="P59" i="5" s="1"/>
  <c r="H58" i="5"/>
  <c r="J58" i="5" s="1"/>
  <c r="H57" i="5"/>
  <c r="J57" i="5" s="1"/>
  <c r="H56" i="5"/>
  <c r="J56" i="5" s="1"/>
  <c r="N58" i="5"/>
  <c r="K58" i="5"/>
  <c r="F58" i="5"/>
  <c r="P58" i="5" s="1"/>
  <c r="N57" i="5"/>
  <c r="K57" i="5"/>
  <c r="F57" i="5"/>
  <c r="P57" i="5" s="1"/>
  <c r="N56" i="5"/>
  <c r="K56" i="5"/>
  <c r="F56" i="5"/>
  <c r="P56" i="5" s="1"/>
  <c r="N55" i="5"/>
  <c r="K55" i="5"/>
  <c r="H55" i="5"/>
  <c r="J55" i="5" s="1"/>
  <c r="C55" i="5"/>
  <c r="D55" i="5" s="1"/>
  <c r="N54" i="5"/>
  <c r="K54" i="5"/>
  <c r="H54" i="5"/>
  <c r="J54" i="5" s="1"/>
  <c r="C54" i="5"/>
  <c r="D54" i="5" s="1"/>
  <c r="F54" i="5" s="1"/>
  <c r="P54" i="5" s="1"/>
  <c r="N53" i="5"/>
  <c r="K53" i="5"/>
  <c r="H53" i="5"/>
  <c r="J53" i="5" s="1"/>
  <c r="C53" i="5"/>
  <c r="D53" i="5" s="1"/>
  <c r="D110" i="3"/>
  <c r="B110" i="3"/>
  <c r="G148" i="1"/>
  <c r="R148" i="1" s="1"/>
  <c r="S148" i="1" s="1"/>
  <c r="E148" i="1"/>
  <c r="C148" i="1" s="1"/>
  <c r="D109" i="3"/>
  <c r="B109" i="3"/>
  <c r="G147" i="1"/>
  <c r="E147" i="1"/>
  <c r="C147" i="1" s="1"/>
  <c r="N52" i="5"/>
  <c r="K52" i="5"/>
  <c r="H52" i="5"/>
  <c r="J52" i="5" s="1"/>
  <c r="C52" i="5"/>
  <c r="D52" i="5" s="1"/>
  <c r="N51" i="5"/>
  <c r="K51" i="5"/>
  <c r="H51" i="5"/>
  <c r="J51" i="5" s="1"/>
  <c r="C51" i="5"/>
  <c r="D51" i="5" s="1"/>
  <c r="F51" i="5" s="1"/>
  <c r="P51" i="5" s="1"/>
  <c r="N50" i="5"/>
  <c r="K50" i="5"/>
  <c r="H50" i="5"/>
  <c r="J50" i="5" s="1"/>
  <c r="C50" i="5"/>
  <c r="D50" i="5" s="1"/>
  <c r="F50" i="5" s="1"/>
  <c r="P50" i="5" s="1"/>
  <c r="D108" i="3"/>
  <c r="B108" i="3"/>
  <c r="G146" i="1"/>
  <c r="E146" i="1"/>
  <c r="C146" i="1" s="1"/>
  <c r="N49" i="5"/>
  <c r="K49" i="5"/>
  <c r="H49" i="5"/>
  <c r="J49" i="5" s="1"/>
  <c r="F49" i="5"/>
  <c r="P49" i="5" s="1"/>
  <c r="N48" i="5"/>
  <c r="K48" i="5"/>
  <c r="H48" i="5"/>
  <c r="J48" i="5" s="1"/>
  <c r="F48" i="5"/>
  <c r="P48" i="5" s="1"/>
  <c r="N47" i="5"/>
  <c r="K47" i="5"/>
  <c r="H47" i="5"/>
  <c r="J47" i="5" s="1"/>
  <c r="F47" i="5"/>
  <c r="P47" i="5" s="1"/>
  <c r="D107" i="3"/>
  <c r="B107" i="3"/>
  <c r="G145" i="1"/>
  <c r="P145" i="1" s="1"/>
  <c r="Q145" i="1" s="1"/>
  <c r="E145" i="1"/>
  <c r="B145" i="1" s="1"/>
  <c r="N46" i="5"/>
  <c r="K46" i="5"/>
  <c r="H46" i="5"/>
  <c r="J46" i="5" s="1"/>
  <c r="C46" i="5"/>
  <c r="N45" i="5"/>
  <c r="K45" i="5"/>
  <c r="H45" i="5"/>
  <c r="J45" i="5" s="1"/>
  <c r="C45" i="5"/>
  <c r="D45" i="5" s="1"/>
  <c r="F45" i="5" s="1"/>
  <c r="P45" i="5" s="1"/>
  <c r="N44" i="5"/>
  <c r="K44" i="5"/>
  <c r="H44" i="5"/>
  <c r="J44" i="5" s="1"/>
  <c r="C44" i="5"/>
  <c r="D106" i="3"/>
  <c r="B106" i="3"/>
  <c r="G144" i="1"/>
  <c r="E144" i="1"/>
  <c r="C144" i="1" s="1"/>
  <c r="N43" i="5"/>
  <c r="K43" i="5"/>
  <c r="H43" i="5"/>
  <c r="J43" i="5" s="1"/>
  <c r="C43" i="5"/>
  <c r="D43" i="5" s="1"/>
  <c r="F43" i="5" s="1"/>
  <c r="P43" i="5" s="1"/>
  <c r="N42" i="5"/>
  <c r="K42" i="5"/>
  <c r="H42" i="5"/>
  <c r="J42" i="5" s="1"/>
  <c r="C42" i="5"/>
  <c r="D42" i="5" s="1"/>
  <c r="F42" i="5" s="1"/>
  <c r="P42" i="5" s="1"/>
  <c r="N41" i="5"/>
  <c r="K41" i="5"/>
  <c r="H41" i="5"/>
  <c r="J41" i="5" s="1"/>
  <c r="C41" i="5"/>
  <c r="D41" i="5" s="1"/>
  <c r="F41" i="5" s="1"/>
  <c r="P41" i="5" s="1"/>
  <c r="N40" i="5"/>
  <c r="K40" i="5"/>
  <c r="H40" i="5"/>
  <c r="J40" i="5" s="1"/>
  <c r="C40" i="5"/>
  <c r="D40" i="5" s="1"/>
  <c r="F40" i="5" s="1"/>
  <c r="P40" i="5" s="1"/>
  <c r="N39" i="5"/>
  <c r="K39" i="5"/>
  <c r="H39" i="5"/>
  <c r="J39" i="5" s="1"/>
  <c r="C39" i="5"/>
  <c r="D39" i="5" s="1"/>
  <c r="F39" i="5" s="1"/>
  <c r="P39" i="5" s="1"/>
  <c r="N38" i="5"/>
  <c r="K38" i="5"/>
  <c r="H38" i="5"/>
  <c r="J38" i="5" s="1"/>
  <c r="C38" i="5"/>
  <c r="D38" i="5" s="1"/>
  <c r="D105" i="3"/>
  <c r="B105" i="3"/>
  <c r="G143" i="1"/>
  <c r="E143" i="1"/>
  <c r="B143" i="1" s="1"/>
  <c r="N37" i="5"/>
  <c r="K37" i="5"/>
  <c r="H37" i="5"/>
  <c r="J37" i="5" s="1"/>
  <c r="C37" i="5"/>
  <c r="D37" i="5" s="1"/>
  <c r="F37" i="5" s="1"/>
  <c r="P37" i="5" s="1"/>
  <c r="N36" i="5"/>
  <c r="K36" i="5"/>
  <c r="H36" i="5"/>
  <c r="J36" i="5" s="1"/>
  <c r="C36" i="5"/>
  <c r="D36" i="5" s="1"/>
  <c r="N35" i="5"/>
  <c r="K35" i="5"/>
  <c r="H35" i="5"/>
  <c r="J35" i="5" s="1"/>
  <c r="C35" i="5"/>
  <c r="D35" i="5" s="1"/>
  <c r="F35" i="5" s="1"/>
  <c r="P35" i="5" s="1"/>
  <c r="D104" i="3"/>
  <c r="B104" i="3"/>
  <c r="G142" i="1"/>
  <c r="E142" i="1"/>
  <c r="C142" i="1" s="1"/>
  <c r="M16" i="6"/>
  <c r="J16" i="6"/>
  <c r="G16" i="6"/>
  <c r="I16" i="6" s="1"/>
  <c r="C16" i="6"/>
  <c r="E16" i="6" s="1"/>
  <c r="M15" i="6"/>
  <c r="J15" i="6"/>
  <c r="G15" i="6"/>
  <c r="I15" i="6" s="1"/>
  <c r="C15" i="6"/>
  <c r="E15" i="6" s="1"/>
  <c r="M14" i="6"/>
  <c r="J14" i="6"/>
  <c r="G14" i="6"/>
  <c r="I14" i="6" s="1"/>
  <c r="C14" i="6"/>
  <c r="E14" i="6" s="1"/>
  <c r="N34" i="5"/>
  <c r="K34" i="5"/>
  <c r="H34" i="5"/>
  <c r="J34" i="5" s="1"/>
  <c r="F34" i="5"/>
  <c r="P34" i="5" s="1"/>
  <c r="N33" i="5"/>
  <c r="K33" i="5"/>
  <c r="H33" i="5"/>
  <c r="J33" i="5" s="1"/>
  <c r="F33" i="5"/>
  <c r="P33" i="5" s="1"/>
  <c r="N32" i="5"/>
  <c r="K32" i="5"/>
  <c r="H32" i="5"/>
  <c r="J32" i="5" s="1"/>
  <c r="F32" i="5"/>
  <c r="P32" i="5" s="1"/>
  <c r="N31" i="5"/>
  <c r="K31" i="5"/>
  <c r="H31" i="5"/>
  <c r="J31" i="5" s="1"/>
  <c r="C31" i="5"/>
  <c r="D31" i="5" s="1"/>
  <c r="F31" i="5" s="1"/>
  <c r="P31" i="5" s="1"/>
  <c r="N30" i="5"/>
  <c r="K30" i="5"/>
  <c r="H30" i="5"/>
  <c r="J30" i="5" s="1"/>
  <c r="C30" i="5"/>
  <c r="N29" i="5"/>
  <c r="K29" i="5"/>
  <c r="H29" i="5"/>
  <c r="J29" i="5" s="1"/>
  <c r="C29" i="5"/>
  <c r="I12" i="6"/>
  <c r="D103" i="3"/>
  <c r="B103" i="3"/>
  <c r="G141" i="1"/>
  <c r="E141" i="1"/>
  <c r="C141" i="1" s="1"/>
  <c r="N28" i="5"/>
  <c r="K28" i="5"/>
  <c r="H28" i="5"/>
  <c r="J28" i="5" s="1"/>
  <c r="D28" i="5"/>
  <c r="C28" i="5"/>
  <c r="N27" i="5"/>
  <c r="K27" i="5"/>
  <c r="H27" i="5"/>
  <c r="J27" i="5" s="1"/>
  <c r="D27" i="5"/>
  <c r="C27" i="5"/>
  <c r="N26" i="5"/>
  <c r="K26" i="5"/>
  <c r="H26" i="5"/>
  <c r="J26" i="5" s="1"/>
  <c r="D26" i="5"/>
  <c r="C26" i="5"/>
  <c r="G13" i="6"/>
  <c r="I13" i="6" s="1"/>
  <c r="G11" i="6"/>
  <c r="I11" i="6" s="1"/>
  <c r="C11" i="6"/>
  <c r="C13" i="6"/>
  <c r="E13" i="6" s="1"/>
  <c r="M10" i="6"/>
  <c r="J10" i="6"/>
  <c r="G10" i="6"/>
  <c r="I10" i="6" s="1"/>
  <c r="D10" i="6"/>
  <c r="C10" i="6"/>
  <c r="M9" i="6"/>
  <c r="J9" i="6"/>
  <c r="G9" i="6"/>
  <c r="I9" i="6" s="1"/>
  <c r="D9" i="6"/>
  <c r="C9" i="6"/>
  <c r="M8" i="6"/>
  <c r="J8" i="6"/>
  <c r="G8" i="6"/>
  <c r="I8" i="6" s="1"/>
  <c r="D8" i="6"/>
  <c r="C8" i="6"/>
  <c r="D102" i="3"/>
  <c r="B102" i="3"/>
  <c r="G140" i="1"/>
  <c r="E140" i="1"/>
  <c r="C140" i="1" s="1"/>
  <c r="N25" i="5"/>
  <c r="K25" i="5"/>
  <c r="H25" i="5"/>
  <c r="J25" i="5" s="1"/>
  <c r="C25" i="5"/>
  <c r="D25" i="5" s="1"/>
  <c r="F25" i="5" s="1"/>
  <c r="P25" i="5" s="1"/>
  <c r="N24" i="5"/>
  <c r="K24" i="5"/>
  <c r="H24" i="5"/>
  <c r="J24" i="5" s="1"/>
  <c r="C24" i="5"/>
  <c r="D24" i="5" s="1"/>
  <c r="F24" i="5" s="1"/>
  <c r="P24" i="5" s="1"/>
  <c r="N23" i="5"/>
  <c r="K23" i="5"/>
  <c r="H23" i="5"/>
  <c r="J23" i="5" s="1"/>
  <c r="C23" i="5"/>
  <c r="H22" i="5"/>
  <c r="J22" i="5" s="1"/>
  <c r="H21" i="5"/>
  <c r="J21" i="5" s="1"/>
  <c r="H20" i="5"/>
  <c r="J20" i="5" s="1"/>
  <c r="C21" i="5"/>
  <c r="F21" i="5" s="1"/>
  <c r="P21" i="5" s="1"/>
  <c r="C22" i="5"/>
  <c r="F22" i="5" s="1"/>
  <c r="P22" i="5" s="1"/>
  <c r="C20" i="5"/>
  <c r="F20" i="5" s="1"/>
  <c r="P20" i="5" s="1"/>
  <c r="N22" i="5"/>
  <c r="K22" i="5"/>
  <c r="N21" i="5"/>
  <c r="K21" i="5"/>
  <c r="N20" i="5"/>
  <c r="K20" i="5"/>
  <c r="N19" i="5"/>
  <c r="K19" i="5"/>
  <c r="H19" i="5"/>
  <c r="J19" i="5" s="1"/>
  <c r="C19" i="5"/>
  <c r="D19" i="5" s="1"/>
  <c r="F19" i="5" s="1"/>
  <c r="P19" i="5" s="1"/>
  <c r="N18" i="5"/>
  <c r="K18" i="5"/>
  <c r="H18" i="5"/>
  <c r="J18" i="5" s="1"/>
  <c r="C18" i="5"/>
  <c r="D18" i="5" s="1"/>
  <c r="F18" i="5" s="1"/>
  <c r="P18" i="5" s="1"/>
  <c r="N17" i="5"/>
  <c r="K17" i="5"/>
  <c r="H17" i="5"/>
  <c r="J17" i="5" s="1"/>
  <c r="C17" i="5"/>
  <c r="D17" i="5" s="1"/>
  <c r="D101" i="3"/>
  <c r="B101" i="3"/>
  <c r="G139" i="1"/>
  <c r="E139" i="1"/>
  <c r="C139" i="1" s="1"/>
  <c r="N16" i="5"/>
  <c r="K16" i="5"/>
  <c r="H16" i="5"/>
  <c r="J16" i="5" s="1"/>
  <c r="C16" i="5"/>
  <c r="D16" i="5" s="1"/>
  <c r="F16" i="5" s="1"/>
  <c r="P16" i="5" s="1"/>
  <c r="N15" i="5"/>
  <c r="K15" i="5"/>
  <c r="H15" i="5"/>
  <c r="J15" i="5" s="1"/>
  <c r="C15" i="5"/>
  <c r="D15" i="5" s="1"/>
  <c r="N14" i="5"/>
  <c r="K14" i="5"/>
  <c r="H14" i="5"/>
  <c r="J14" i="5" s="1"/>
  <c r="C14" i="5"/>
  <c r="D14" i="5" s="1"/>
  <c r="F14" i="5" s="1"/>
  <c r="P14" i="5" s="1"/>
  <c r="H13" i="5"/>
  <c r="J13" i="5" s="1"/>
  <c r="H10" i="5"/>
  <c r="J10" i="5" s="1"/>
  <c r="H7" i="5"/>
  <c r="J7" i="5" s="1"/>
  <c r="H4" i="5"/>
  <c r="J4" i="5" s="1"/>
  <c r="H12" i="5"/>
  <c r="J12" i="5" s="1"/>
  <c r="H9" i="5"/>
  <c r="J9" i="5" s="1"/>
  <c r="H6" i="5"/>
  <c r="J6" i="5" s="1"/>
  <c r="H3" i="5"/>
  <c r="J3" i="5" s="1"/>
  <c r="H11" i="5"/>
  <c r="J11" i="5" s="1"/>
  <c r="H8" i="5"/>
  <c r="H5" i="5"/>
  <c r="J5" i="5" s="1"/>
  <c r="H2" i="5"/>
  <c r="J2" i="5" s="1"/>
  <c r="D100" i="3"/>
  <c r="B100" i="3"/>
  <c r="G138" i="1"/>
  <c r="E138" i="1"/>
  <c r="C138" i="1" s="1"/>
  <c r="N13" i="5"/>
  <c r="K13" i="5"/>
  <c r="C13" i="5"/>
  <c r="D13" i="5" s="1"/>
  <c r="N12" i="5"/>
  <c r="K12" i="5"/>
  <c r="C12" i="5"/>
  <c r="D12" i="5" s="1"/>
  <c r="N11" i="5"/>
  <c r="K11" i="5"/>
  <c r="C11" i="5"/>
  <c r="D11" i="5" s="1"/>
  <c r="D99" i="3"/>
  <c r="B99" i="3"/>
  <c r="G137" i="1"/>
  <c r="R137" i="1" s="1"/>
  <c r="S137" i="1" s="1"/>
  <c r="E137" i="1"/>
  <c r="C137" i="1" s="1"/>
  <c r="C2" i="6"/>
  <c r="D2" i="6"/>
  <c r="G2" i="6"/>
  <c r="I2" i="6" s="1"/>
  <c r="J2" i="6"/>
  <c r="M2" i="6"/>
  <c r="C3" i="6"/>
  <c r="D3" i="6"/>
  <c r="G3" i="6"/>
  <c r="I3" i="6" s="1"/>
  <c r="J3" i="6"/>
  <c r="M3" i="6"/>
  <c r="C4" i="6"/>
  <c r="D4" i="6"/>
  <c r="G4" i="6"/>
  <c r="I4" i="6" s="1"/>
  <c r="J4" i="6"/>
  <c r="M4" i="6"/>
  <c r="C5" i="6"/>
  <c r="D5" i="6"/>
  <c r="G5" i="6"/>
  <c r="I5" i="6" s="1"/>
  <c r="J5" i="6"/>
  <c r="M5" i="6"/>
  <c r="C6" i="6"/>
  <c r="D6" i="6"/>
  <c r="G6" i="6"/>
  <c r="I6" i="6" s="1"/>
  <c r="J6" i="6"/>
  <c r="M6" i="6"/>
  <c r="C7" i="6"/>
  <c r="D7" i="6"/>
  <c r="G7" i="6"/>
  <c r="I7" i="6" s="1"/>
  <c r="J7" i="6"/>
  <c r="M7" i="6"/>
  <c r="E11" i="6"/>
  <c r="J11" i="6"/>
  <c r="M11" i="6"/>
  <c r="E12" i="6"/>
  <c r="J12" i="6"/>
  <c r="M12" i="6"/>
  <c r="N12" i="6" s="1"/>
  <c r="J13" i="6"/>
  <c r="M13" i="6"/>
  <c r="F2" i="5"/>
  <c r="P2" i="5" s="1"/>
  <c r="K2" i="5"/>
  <c r="N2" i="5"/>
  <c r="F3" i="5"/>
  <c r="P3" i="5" s="1"/>
  <c r="K3" i="5"/>
  <c r="N3" i="5"/>
  <c r="F4" i="5"/>
  <c r="P4" i="5" s="1"/>
  <c r="K4" i="5"/>
  <c r="N4" i="5"/>
  <c r="C5" i="5"/>
  <c r="D5" i="5" s="1"/>
  <c r="K5" i="5"/>
  <c r="N5" i="5"/>
  <c r="C6" i="5"/>
  <c r="D6" i="5" s="1"/>
  <c r="F6" i="5" s="1"/>
  <c r="P6" i="5" s="1"/>
  <c r="K6" i="5"/>
  <c r="N6" i="5"/>
  <c r="C7" i="5"/>
  <c r="D7" i="5" s="1"/>
  <c r="K7" i="5"/>
  <c r="N7" i="5"/>
  <c r="C8" i="5"/>
  <c r="D8" i="5" s="1"/>
  <c r="K8" i="5"/>
  <c r="N8" i="5"/>
  <c r="C9" i="5"/>
  <c r="D9" i="5" s="1"/>
  <c r="K9" i="5"/>
  <c r="N9" i="5"/>
  <c r="C10" i="5"/>
  <c r="D10" i="5" s="1"/>
  <c r="F10" i="5" s="1"/>
  <c r="P10" i="5" s="1"/>
  <c r="K10" i="5"/>
  <c r="N10" i="5"/>
  <c r="E545" i="5"/>
  <c r="C555" i="5"/>
  <c r="D555" i="5"/>
  <c r="H555" i="5"/>
  <c r="J555" i="5" s="1"/>
  <c r="K555" i="5"/>
  <c r="N555" i="5"/>
  <c r="C556" i="5"/>
  <c r="D556" i="5"/>
  <c r="H556" i="5"/>
  <c r="J556" i="5" s="1"/>
  <c r="K556" i="5"/>
  <c r="N556" i="5"/>
  <c r="C557" i="5"/>
  <c r="D557" i="5"/>
  <c r="H557" i="5"/>
  <c r="J557" i="5" s="1"/>
  <c r="K557" i="5"/>
  <c r="N557" i="5"/>
  <c r="C558" i="5"/>
  <c r="D558" i="5" s="1"/>
  <c r="F558" i="5" s="1"/>
  <c r="H558" i="5"/>
  <c r="J558" i="5" s="1"/>
  <c r="K558" i="5"/>
  <c r="N558" i="5"/>
  <c r="C559" i="5"/>
  <c r="D559" i="5" s="1"/>
  <c r="F559" i="5" s="1"/>
  <c r="H559" i="5"/>
  <c r="J559" i="5" s="1"/>
  <c r="K559" i="5"/>
  <c r="N559" i="5"/>
  <c r="C560" i="5"/>
  <c r="D560" i="5" s="1"/>
  <c r="H560" i="5"/>
  <c r="J560" i="5" s="1"/>
  <c r="K560" i="5"/>
  <c r="N560" i="5"/>
  <c r="C561" i="5"/>
  <c r="D561" i="5" s="1"/>
  <c r="H561" i="5"/>
  <c r="J561" i="5" s="1"/>
  <c r="K561" i="5"/>
  <c r="N561" i="5"/>
  <c r="C562" i="5"/>
  <c r="D562" i="5" s="1"/>
  <c r="H562" i="5"/>
  <c r="J562" i="5" s="1"/>
  <c r="K562" i="5"/>
  <c r="N562" i="5"/>
  <c r="C563" i="5"/>
  <c r="D563" i="5" s="1"/>
  <c r="F563" i="5" s="1"/>
  <c r="H563" i="5"/>
  <c r="J563" i="5" s="1"/>
  <c r="K563" i="5"/>
  <c r="N563" i="5"/>
  <c r="C564" i="5"/>
  <c r="H564" i="5"/>
  <c r="J564" i="5" s="1"/>
  <c r="K564" i="5"/>
  <c r="N564" i="5"/>
  <c r="C565" i="5"/>
  <c r="D565" i="5" s="1"/>
  <c r="F565" i="5" s="1"/>
  <c r="H565" i="5"/>
  <c r="J565" i="5" s="1"/>
  <c r="K565" i="5"/>
  <c r="N565" i="5"/>
  <c r="C566" i="5"/>
  <c r="D566" i="5" s="1"/>
  <c r="F566" i="5" s="1"/>
  <c r="H566" i="5"/>
  <c r="J566" i="5" s="1"/>
  <c r="K566" i="5"/>
  <c r="N566" i="5"/>
  <c r="F572" i="5"/>
  <c r="H572" i="5" s="1"/>
  <c r="G570" i="5" s="1"/>
  <c r="H570" i="5" s="1"/>
  <c r="I570" i="5" s="1"/>
  <c r="D98" i="3"/>
  <c r="G136" i="1"/>
  <c r="C136" i="1"/>
  <c r="B136" i="1"/>
  <c r="D97" i="3"/>
  <c r="G135" i="1"/>
  <c r="C135" i="1"/>
  <c r="B135" i="1"/>
  <c r="D96" i="3"/>
  <c r="G96" i="3" s="1"/>
  <c r="H96" i="3" s="1"/>
  <c r="G134" i="1"/>
  <c r="C134" i="1"/>
  <c r="B134" i="1"/>
  <c r="D95" i="3"/>
  <c r="E95" i="3" s="1"/>
  <c r="F95" i="3" s="1"/>
  <c r="G133" i="1"/>
  <c r="C133" i="1"/>
  <c r="B133" i="1"/>
  <c r="F225" i="3"/>
  <c r="F226" i="3" s="1"/>
  <c r="D94" i="3"/>
  <c r="G94" i="3" s="1"/>
  <c r="H94" i="3" s="1"/>
  <c r="G132" i="1"/>
  <c r="C132" i="1"/>
  <c r="B132" i="1"/>
  <c r="D93" i="3"/>
  <c r="G131" i="1"/>
  <c r="C131" i="1"/>
  <c r="B131" i="1"/>
  <c r="D92" i="3"/>
  <c r="G130" i="1"/>
  <c r="C130" i="1"/>
  <c r="B130" i="1"/>
  <c r="AL6" i="1"/>
  <c r="AL5" i="1"/>
  <c r="AI7" i="1"/>
  <c r="AI6" i="1"/>
  <c r="AI5"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D91" i="3"/>
  <c r="G129" i="1"/>
  <c r="D90" i="3"/>
  <c r="G128" i="1"/>
  <c r="D89" i="3"/>
  <c r="E89" i="3" s="1"/>
  <c r="F89" i="3" s="1"/>
  <c r="G127" i="1"/>
  <c r="D88" i="3"/>
  <c r="E88" i="3" s="1"/>
  <c r="F88" i="3" s="1"/>
  <c r="G126" i="1"/>
  <c r="D87" i="3"/>
  <c r="E87" i="3" s="1"/>
  <c r="F87" i="3" s="1"/>
  <c r="G125" i="1"/>
  <c r="D86" i="3"/>
  <c r="G124" i="1"/>
  <c r="D85" i="3"/>
  <c r="G123" i="1"/>
  <c r="D84" i="3"/>
  <c r="G84" i="3" s="1"/>
  <c r="H84" i="3" s="1"/>
  <c r="G122" i="1"/>
  <c r="D83" i="3"/>
  <c r="G83" i="3" s="1"/>
  <c r="H83" i="3" s="1"/>
  <c r="G121" i="1"/>
  <c r="D82" i="3"/>
  <c r="E82" i="3" s="1"/>
  <c r="F82" i="3" s="1"/>
  <c r="G120" i="1"/>
  <c r="V120" i="1" s="1"/>
  <c r="W120" i="1" s="1"/>
  <c r="D81" i="3"/>
  <c r="E81" i="3" s="1"/>
  <c r="F81" i="3" s="1"/>
  <c r="G119" i="1"/>
  <c r="D80" i="3"/>
  <c r="G80" i="3" s="1"/>
  <c r="H80" i="3" s="1"/>
  <c r="G118" i="1"/>
  <c r="T118" i="1" s="1"/>
  <c r="U118" i="1" s="1"/>
  <c r="D79" i="3"/>
  <c r="G117" i="1"/>
  <c r="D78" i="3"/>
  <c r="G116" i="1"/>
  <c r="D77" i="3"/>
  <c r="G77" i="3" s="1"/>
  <c r="H77" i="3" s="1"/>
  <c r="G115" i="1"/>
  <c r="D76" i="3"/>
  <c r="G76" i="3" s="1"/>
  <c r="H76" i="3" s="1"/>
  <c r="G114" i="1"/>
  <c r="D75" i="3"/>
  <c r="G113" i="1"/>
  <c r="V113" i="1" s="1"/>
  <c r="W113" i="1" s="1"/>
  <c r="D74" i="3"/>
  <c r="G112" i="1"/>
  <c r="D73" i="3"/>
  <c r="G73" i="3" s="1"/>
  <c r="H73" i="3" s="1"/>
  <c r="G111" i="1"/>
  <c r="R111" i="1" s="1"/>
  <c r="S111" i="1" s="1"/>
  <c r="D72" i="3"/>
  <c r="G110" i="1"/>
  <c r="D71" i="3"/>
  <c r="G109" i="1"/>
  <c r="D70" i="3"/>
  <c r="E70" i="3" s="1"/>
  <c r="F70" i="3" s="1"/>
  <c r="G108" i="1"/>
  <c r="T108" i="1" s="1"/>
  <c r="U108" i="1" s="1"/>
  <c r="D69" i="3"/>
  <c r="E69" i="3" s="1"/>
  <c r="F69" i="3" s="1"/>
  <c r="G107" i="1"/>
  <c r="D68" i="3"/>
  <c r="G106" i="1"/>
  <c r="D67" i="3"/>
  <c r="G67" i="3" s="1"/>
  <c r="H67" i="3" s="1"/>
  <c r="G105" i="1"/>
  <c r="D66" i="3"/>
  <c r="G104" i="1"/>
  <c r="D65" i="3"/>
  <c r="G103" i="1"/>
  <c r="T103" i="1" s="1"/>
  <c r="U103" i="1" s="1"/>
  <c r="D64" i="3"/>
  <c r="G102" i="1"/>
  <c r="D63" i="3"/>
  <c r="G101" i="1"/>
  <c r="D62" i="3"/>
  <c r="G100" i="1"/>
  <c r="D61" i="3"/>
  <c r="G61" i="3" s="1"/>
  <c r="H61" i="3" s="1"/>
  <c r="G99" i="1"/>
  <c r="D60" i="3"/>
  <c r="G98" i="1"/>
  <c r="D59" i="3"/>
  <c r="E59" i="3" s="1"/>
  <c r="F59" i="3" s="1"/>
  <c r="G97" i="1"/>
  <c r="D58" i="3"/>
  <c r="G58" i="3" s="1"/>
  <c r="H58" i="3" s="1"/>
  <c r="G96" i="1"/>
  <c r="D57" i="3"/>
  <c r="G57" i="3" s="1"/>
  <c r="H57" i="3" s="1"/>
  <c r="G95" i="1"/>
  <c r="D56" i="3"/>
  <c r="E56" i="3" s="1"/>
  <c r="F56" i="3" s="1"/>
  <c r="G94" i="1"/>
  <c r="D55" i="3"/>
  <c r="E55" i="3" s="1"/>
  <c r="F55" i="3" s="1"/>
  <c r="G93" i="1"/>
  <c r="D54" i="3"/>
  <c r="G54" i="3" s="1"/>
  <c r="H54" i="3" s="1"/>
  <c r="G92" i="1"/>
  <c r="D53" i="3"/>
  <c r="G91" i="1"/>
  <c r="D52" i="3"/>
  <c r="E52" i="3" s="1"/>
  <c r="F52" i="3" s="1"/>
  <c r="G90" i="1"/>
  <c r="D51" i="3"/>
  <c r="E51" i="3" s="1"/>
  <c r="F51" i="3" s="1"/>
  <c r="G89" i="1"/>
  <c r="D50" i="3"/>
  <c r="G50" i="3" s="1"/>
  <c r="H50" i="3" s="1"/>
  <c r="G88" i="1"/>
  <c r="D49" i="3"/>
  <c r="G87" i="1"/>
  <c r="D48" i="3"/>
  <c r="E48" i="3" s="1"/>
  <c r="F48" i="3" s="1"/>
  <c r="G86" i="1"/>
  <c r="D47" i="3"/>
  <c r="E47" i="3" s="1"/>
  <c r="F47" i="3" s="1"/>
  <c r="G85" i="1"/>
  <c r="D46" i="3"/>
  <c r="G46" i="3" s="1"/>
  <c r="H46" i="3" s="1"/>
  <c r="G84" i="1"/>
  <c r="D45" i="3"/>
  <c r="G83" i="1"/>
  <c r="D44" i="3"/>
  <c r="E44" i="3" s="1"/>
  <c r="F44" i="3" s="1"/>
  <c r="G82" i="1"/>
  <c r="D43" i="3"/>
  <c r="E43" i="3" s="1"/>
  <c r="F43" i="3" s="1"/>
  <c r="G81" i="1"/>
  <c r="D42" i="3"/>
  <c r="G42" i="3" s="1"/>
  <c r="H42" i="3" s="1"/>
  <c r="G80" i="1"/>
  <c r="T80" i="1" s="1"/>
  <c r="U80" i="1" s="1"/>
  <c r="D41" i="3"/>
  <c r="E41" i="3" s="1"/>
  <c r="F41" i="3" s="1"/>
  <c r="G79" i="1"/>
  <c r="D40" i="3"/>
  <c r="G78" i="1"/>
  <c r="T78" i="1" s="1"/>
  <c r="U78" i="1" s="1"/>
  <c r="D39" i="3"/>
  <c r="G77" i="1"/>
  <c r="T77" i="1" s="1"/>
  <c r="U77" i="1" s="1"/>
  <c r="D38" i="3"/>
  <c r="G76" i="1"/>
  <c r="T76" i="1" s="1"/>
  <c r="U76" i="1" s="1"/>
  <c r="D37" i="3"/>
  <c r="E37" i="3" s="1"/>
  <c r="F37" i="3" s="1"/>
  <c r="G75" i="1"/>
  <c r="D36" i="3"/>
  <c r="G74" i="1"/>
  <c r="T74" i="1" s="1"/>
  <c r="U74" i="1" s="1"/>
  <c r="D35" i="3"/>
  <c r="G73" i="1"/>
  <c r="D34" i="3"/>
  <c r="G34" i="3" s="1"/>
  <c r="H34" i="3" s="1"/>
  <c r="G72" i="1"/>
  <c r="T72" i="1" s="1"/>
  <c r="U72" i="1" s="1"/>
  <c r="D33" i="3"/>
  <c r="G33" i="3" s="1"/>
  <c r="H33" i="3" s="1"/>
  <c r="G71" i="1"/>
  <c r="D32" i="3"/>
  <c r="G70" i="1"/>
  <c r="D31" i="3"/>
  <c r="G69" i="1"/>
  <c r="D30" i="3"/>
  <c r="G68" i="1"/>
  <c r="D29" i="3"/>
  <c r="G67" i="1"/>
  <c r="R67" i="1" s="1"/>
  <c r="S67" i="1" s="1"/>
  <c r="D28" i="3"/>
  <c r="G66" i="1"/>
  <c r="D27" i="3"/>
  <c r="G65" i="1"/>
  <c r="D26" i="3"/>
  <c r="G64" i="1"/>
  <c r="R64" i="1" s="1"/>
  <c r="S64" i="1" s="1"/>
  <c r="D25" i="3"/>
  <c r="E25" i="3" s="1"/>
  <c r="F25" i="3" s="1"/>
  <c r="G63" i="1"/>
  <c r="R63" i="1" s="1"/>
  <c r="S63" i="1" s="1"/>
  <c r="D24" i="3"/>
  <c r="G62" i="1"/>
  <c r="D23" i="3"/>
  <c r="G61" i="1"/>
  <c r="V61" i="1" s="1"/>
  <c r="W61" i="1" s="1"/>
  <c r="D22" i="3"/>
  <c r="G22" i="3" s="1"/>
  <c r="H22" i="3" s="1"/>
  <c r="G60" i="1"/>
  <c r="T60" i="1" s="1"/>
  <c r="U60" i="1" s="1"/>
  <c r="D21" i="3"/>
  <c r="G21" i="3" s="1"/>
  <c r="H21" i="3" s="1"/>
  <c r="D20" i="3"/>
  <c r="E20" i="3" s="1"/>
  <c r="F20" i="3" s="1"/>
  <c r="D19" i="3"/>
  <c r="E19" i="3" s="1"/>
  <c r="F19" i="3" s="1"/>
  <c r="D18" i="3"/>
  <c r="D17" i="3"/>
  <c r="D16" i="3"/>
  <c r="E16" i="3" s="1"/>
  <c r="F16" i="3" s="1"/>
  <c r="D15" i="3"/>
  <c r="D14" i="3"/>
  <c r="G14" i="3" s="1"/>
  <c r="H14" i="3" s="1"/>
  <c r="D13" i="3"/>
  <c r="E13" i="3" s="1"/>
  <c r="F13" i="3" s="1"/>
  <c r="D12" i="3"/>
  <c r="D11" i="3"/>
  <c r="G11" i="3" s="1"/>
  <c r="H11" i="3" s="1"/>
  <c r="D10" i="3"/>
  <c r="E10" i="3" s="1"/>
  <c r="F10" i="3" s="1"/>
  <c r="D9" i="3"/>
  <c r="D8" i="3"/>
  <c r="D7" i="3"/>
  <c r="D6" i="3"/>
  <c r="E6" i="3" s="1"/>
  <c r="F6" i="3" s="1"/>
  <c r="D5" i="3"/>
  <c r="E5" i="3" s="1"/>
  <c r="F5" i="3" s="1"/>
  <c r="D4" i="3"/>
  <c r="D3" i="3"/>
  <c r="G3" i="3" s="1"/>
  <c r="H3" i="3" s="1"/>
  <c r="D2" i="3"/>
  <c r="E2" i="3" s="1"/>
  <c r="F2" i="3" s="1"/>
  <c r="G59" i="1"/>
  <c r="G58" i="1"/>
  <c r="G57" i="1"/>
  <c r="R57" i="1" s="1"/>
  <c r="S57" i="1" s="1"/>
  <c r="G56" i="1"/>
  <c r="G55" i="1"/>
  <c r="G54" i="1"/>
  <c r="T54" i="1" s="1"/>
  <c r="U54" i="1" s="1"/>
  <c r="G53" i="1"/>
  <c r="G52" i="1"/>
  <c r="V52" i="1" s="1"/>
  <c r="W52" i="1" s="1"/>
  <c r="G51" i="1"/>
  <c r="G50" i="1"/>
  <c r="G49" i="1"/>
  <c r="T49" i="1" s="1"/>
  <c r="U49" i="1" s="1"/>
  <c r="G48" i="1"/>
  <c r="R48" i="1" s="1"/>
  <c r="S48" i="1" s="1"/>
  <c r="G47" i="1"/>
  <c r="V47" i="1" s="1"/>
  <c r="W47" i="1" s="1"/>
  <c r="G46" i="1"/>
  <c r="G45" i="1"/>
  <c r="T45" i="1" s="1"/>
  <c r="U45" i="1" s="1"/>
  <c r="G44" i="1"/>
  <c r="G43" i="1"/>
  <c r="R43" i="1" s="1"/>
  <c r="S43" i="1" s="1"/>
  <c r="G41" i="1"/>
  <c r="G42" i="1"/>
  <c r="D257" i="1"/>
  <c r="G40" i="1"/>
  <c r="G39" i="1"/>
  <c r="T39" i="1" s="1"/>
  <c r="U39" i="1" s="1"/>
  <c r="G37" i="1"/>
  <c r="G33" i="1"/>
  <c r="G3" i="1"/>
  <c r="G5" i="1"/>
  <c r="G4" i="1"/>
  <c r="P4" i="1" s="1"/>
  <c r="Q4" i="1" s="1"/>
  <c r="G12" i="1"/>
  <c r="G11" i="1"/>
  <c r="G10" i="1"/>
  <c r="G9" i="1"/>
  <c r="R9" i="1" s="1"/>
  <c r="S9" i="1" s="1"/>
  <c r="G8" i="1"/>
  <c r="G7" i="1"/>
  <c r="R7" i="1" s="1"/>
  <c r="S7" i="1" s="1"/>
  <c r="G6" i="1"/>
  <c r="G20" i="1"/>
  <c r="R20" i="1" s="1"/>
  <c r="S20" i="1" s="1"/>
  <c r="G19" i="1"/>
  <c r="G18" i="1"/>
  <c r="G17" i="1"/>
  <c r="G16" i="1"/>
  <c r="R16" i="1" s="1"/>
  <c r="S16" i="1" s="1"/>
  <c r="G15" i="1"/>
  <c r="R15" i="1" s="1"/>
  <c r="S15" i="1" s="1"/>
  <c r="G14" i="1"/>
  <c r="G13" i="1"/>
  <c r="R13" i="1" s="1"/>
  <c r="S13" i="1" s="1"/>
  <c r="G38" i="1"/>
  <c r="G36" i="1"/>
  <c r="P36" i="1" s="1"/>
  <c r="G21" i="1"/>
  <c r="G22" i="1"/>
  <c r="G35" i="1"/>
  <c r="G34" i="1"/>
  <c r="G32" i="1"/>
  <c r="G31" i="1"/>
  <c r="G30" i="1"/>
  <c r="P30" i="1" s="1"/>
  <c r="Q30" i="1" s="1"/>
  <c r="G29" i="1"/>
  <c r="G28" i="1"/>
  <c r="G27" i="1"/>
  <c r="G26" i="1"/>
  <c r="G25" i="1"/>
  <c r="R25" i="1" s="1"/>
  <c r="S25" i="1" s="1"/>
  <c r="G24" i="1"/>
  <c r="P24" i="1" s="1"/>
  <c r="Q24" i="1" s="1"/>
  <c r="G23" i="1"/>
  <c r="V23" i="1" s="1"/>
  <c r="W23" i="1" s="1"/>
  <c r="N71" i="1" l="1"/>
  <c r="O71" i="1" s="1"/>
  <c r="N3" i="1"/>
  <c r="O3" i="1" s="1"/>
  <c r="O15" i="6"/>
  <c r="F15" i="6"/>
  <c r="O11" i="6"/>
  <c r="F11" i="6"/>
  <c r="O18" i="6"/>
  <c r="F18" i="6"/>
  <c r="O13" i="6"/>
  <c r="F13" i="6"/>
  <c r="O14" i="6"/>
  <c r="F14" i="6"/>
  <c r="O16" i="6"/>
  <c r="F16" i="6"/>
  <c r="O12" i="6"/>
  <c r="F12" i="6"/>
  <c r="O17" i="6"/>
  <c r="F17" i="6"/>
  <c r="O19" i="6"/>
  <c r="F19" i="6"/>
  <c r="K19" i="6"/>
  <c r="L19" i="6" s="1"/>
  <c r="N19" i="6" s="1"/>
  <c r="G3" i="5"/>
  <c r="L121" i="1"/>
  <c r="M121" i="1" s="1"/>
  <c r="L129" i="1"/>
  <c r="M129" i="1" s="1"/>
  <c r="E6" i="6"/>
  <c r="F6" i="6" s="1"/>
  <c r="G22" i="5"/>
  <c r="C151" i="1"/>
  <c r="L151" i="1" s="1"/>
  <c r="M151" i="1" s="1"/>
  <c r="F556" i="5"/>
  <c r="L556" i="5" s="1"/>
  <c r="M556" i="5" s="1"/>
  <c r="O556" i="5" s="1"/>
  <c r="G39" i="5"/>
  <c r="C149" i="1"/>
  <c r="L149" i="1" s="1"/>
  <c r="M149" i="1" s="1"/>
  <c r="G40" i="5"/>
  <c r="G16" i="5"/>
  <c r="G68" i="5"/>
  <c r="E5" i="6"/>
  <c r="F5" i="6" s="1"/>
  <c r="G66" i="5"/>
  <c r="F560" i="5"/>
  <c r="G560" i="5" s="1"/>
  <c r="G33" i="5"/>
  <c r="E3" i="6"/>
  <c r="F3" i="6" s="1"/>
  <c r="G14" i="5"/>
  <c r="G20" i="5"/>
  <c r="E9" i="6"/>
  <c r="F9" i="6" s="1"/>
  <c r="F28" i="5"/>
  <c r="G31" i="5"/>
  <c r="G34" i="5"/>
  <c r="F8" i="5"/>
  <c r="G2" i="5"/>
  <c r="E10" i="6"/>
  <c r="F10" i="6" s="1"/>
  <c r="G58" i="5"/>
  <c r="G63" i="5"/>
  <c r="G64" i="5"/>
  <c r="J70" i="1"/>
  <c r="K70" i="1" s="1"/>
  <c r="J94" i="1"/>
  <c r="K94" i="1" s="1"/>
  <c r="J96" i="1"/>
  <c r="K96" i="1" s="1"/>
  <c r="J100" i="1"/>
  <c r="K100" i="1" s="1"/>
  <c r="G24" i="5"/>
  <c r="B142" i="1"/>
  <c r="J142" i="1" s="1"/>
  <c r="K142" i="1" s="1"/>
  <c r="G54" i="5"/>
  <c r="E257" i="1"/>
  <c r="F557" i="5"/>
  <c r="L557" i="5" s="1"/>
  <c r="M557" i="5" s="1"/>
  <c r="O557" i="5" s="1"/>
  <c r="E7" i="6"/>
  <c r="F7" i="6" s="1"/>
  <c r="G48" i="5"/>
  <c r="B146" i="1"/>
  <c r="H146" i="1" s="1"/>
  <c r="I146" i="1" s="1"/>
  <c r="G61" i="5"/>
  <c r="N104" i="1"/>
  <c r="O104" i="1" s="1"/>
  <c r="K14" i="6"/>
  <c r="L14" i="6" s="1"/>
  <c r="N14" i="6" s="1"/>
  <c r="F555" i="5"/>
  <c r="L555" i="5" s="1"/>
  <c r="M555" i="5" s="1"/>
  <c r="O555" i="5" s="1"/>
  <c r="J8" i="5"/>
  <c r="D98" i="6"/>
  <c r="K13" i="6"/>
  <c r="L13" i="6" s="1"/>
  <c r="N13" i="6" s="1"/>
  <c r="K15" i="6"/>
  <c r="L15" i="6" s="1"/>
  <c r="N15" i="6" s="1"/>
  <c r="T147" i="1"/>
  <c r="U147" i="1" s="1"/>
  <c r="L98" i="1"/>
  <c r="M98" i="1" s="1"/>
  <c r="N102" i="1"/>
  <c r="O102" i="1" s="1"/>
  <c r="N106" i="1"/>
  <c r="O106" i="1" s="1"/>
  <c r="E4" i="6"/>
  <c r="F4" i="6" s="1"/>
  <c r="J98" i="6"/>
  <c r="E2" i="6"/>
  <c r="O2" i="6" s="1"/>
  <c r="G18" i="5"/>
  <c r="K16" i="6"/>
  <c r="L16" i="6" s="1"/>
  <c r="N16" i="6" s="1"/>
  <c r="B147" i="1"/>
  <c r="H147" i="1" s="1"/>
  <c r="I147" i="1" s="1"/>
  <c r="B150" i="1"/>
  <c r="H150" i="1" s="1"/>
  <c r="I150" i="1" s="1"/>
  <c r="C98" i="6"/>
  <c r="E8" i="6"/>
  <c r="F8" i="6" s="1"/>
  <c r="F26" i="5"/>
  <c r="C143" i="1"/>
  <c r="L143" i="1" s="1"/>
  <c r="M143" i="1" s="1"/>
  <c r="C145" i="1"/>
  <c r="G50" i="5"/>
  <c r="H149" i="1"/>
  <c r="I149" i="1" s="1"/>
  <c r="J66" i="5"/>
  <c r="L66" i="5" s="1"/>
  <c r="M66" i="5" s="1"/>
  <c r="O66" i="5" s="1"/>
  <c r="G67" i="5"/>
  <c r="G69" i="5"/>
  <c r="L3" i="5"/>
  <c r="M3" i="5" s="1"/>
  <c r="O3" i="5" s="1"/>
  <c r="L24" i="5"/>
  <c r="M24" i="5" s="1"/>
  <c r="O24" i="5" s="1"/>
  <c r="L2" i="5"/>
  <c r="M2" i="5" s="1"/>
  <c r="O2" i="5" s="1"/>
  <c r="L31" i="5"/>
  <c r="M31" i="5" s="1"/>
  <c r="O31" i="5" s="1"/>
  <c r="L62" i="5"/>
  <c r="M62" i="5" s="1"/>
  <c r="O62" i="5" s="1"/>
  <c r="F7" i="5"/>
  <c r="L37" i="5"/>
  <c r="M37" i="5" s="1"/>
  <c r="O37" i="5" s="1"/>
  <c r="L48" i="5"/>
  <c r="M48" i="5" s="1"/>
  <c r="O48" i="5" s="1"/>
  <c r="L59" i="5"/>
  <c r="M59" i="5" s="1"/>
  <c r="O59" i="5" s="1"/>
  <c r="L72" i="5"/>
  <c r="M72" i="5" s="1"/>
  <c r="O72" i="5" s="1"/>
  <c r="L73" i="5"/>
  <c r="M73" i="5" s="1"/>
  <c r="O73" i="5" s="1"/>
  <c r="G558" i="5"/>
  <c r="L558" i="5"/>
  <c r="M558" i="5" s="1"/>
  <c r="O558" i="5" s="1"/>
  <c r="L50" i="5"/>
  <c r="M50" i="5" s="1"/>
  <c r="O50" i="5" s="1"/>
  <c r="AL7" i="1"/>
  <c r="AL8" i="1" s="1"/>
  <c r="T138" i="1"/>
  <c r="U138" i="1" s="1"/>
  <c r="T139" i="1"/>
  <c r="U139" i="1" s="1"/>
  <c r="F27" i="5"/>
  <c r="N141" i="1"/>
  <c r="O141" i="1" s="1"/>
  <c r="K11" i="6"/>
  <c r="L11" i="6" s="1"/>
  <c r="N11" i="6" s="1"/>
  <c r="D29" i="5"/>
  <c r="F29" i="5" s="1"/>
  <c r="P29" i="5" s="1"/>
  <c r="L58" i="5"/>
  <c r="M58" i="5" s="1"/>
  <c r="O58" i="5" s="1"/>
  <c r="G73" i="5"/>
  <c r="K18" i="6"/>
  <c r="L18" i="6" s="1"/>
  <c r="N18" i="6" s="1"/>
  <c r="C545" i="5"/>
  <c r="B137" i="1"/>
  <c r="H137" i="1" s="1"/>
  <c r="I137" i="1" s="1"/>
  <c r="B219" i="3"/>
  <c r="B138" i="1"/>
  <c r="J138" i="1" s="1"/>
  <c r="K138" i="1" s="1"/>
  <c r="B139" i="1"/>
  <c r="J139" i="1" s="1"/>
  <c r="K139" i="1" s="1"/>
  <c r="B140" i="1"/>
  <c r="J140" i="1" s="1"/>
  <c r="K140" i="1" s="1"/>
  <c r="B141" i="1"/>
  <c r="H141" i="1" s="1"/>
  <c r="I141" i="1" s="1"/>
  <c r="K12" i="6"/>
  <c r="G37" i="5"/>
  <c r="B144" i="1"/>
  <c r="H144" i="1" s="1"/>
  <c r="I144" i="1" s="1"/>
  <c r="G47" i="5"/>
  <c r="B148" i="1"/>
  <c r="J148" i="1" s="1"/>
  <c r="K148" i="1" s="1"/>
  <c r="K17" i="6"/>
  <c r="L17" i="6" s="1"/>
  <c r="N17" i="6" s="1"/>
  <c r="L20" i="5"/>
  <c r="M20" i="5" s="1"/>
  <c r="O20" i="5" s="1"/>
  <c r="H95" i="1"/>
  <c r="I95" i="1" s="1"/>
  <c r="H99" i="1"/>
  <c r="I99" i="1" s="1"/>
  <c r="H101" i="1"/>
  <c r="I101" i="1" s="1"/>
  <c r="H107" i="1"/>
  <c r="I107" i="1" s="1"/>
  <c r="J109" i="1"/>
  <c r="K109" i="1" s="1"/>
  <c r="J115" i="1"/>
  <c r="K115" i="1" s="1"/>
  <c r="G21" i="5"/>
  <c r="L34" i="5"/>
  <c r="M34" i="5" s="1"/>
  <c r="O34" i="5" s="1"/>
  <c r="L142" i="1"/>
  <c r="M142" i="1" s="1"/>
  <c r="L47" i="5"/>
  <c r="M47" i="5" s="1"/>
  <c r="O47" i="5" s="1"/>
  <c r="G49" i="5"/>
  <c r="L146" i="1"/>
  <c r="M146" i="1" s="1"/>
  <c r="G62" i="5"/>
  <c r="H21" i="1"/>
  <c r="I21" i="1" s="1"/>
  <c r="G108" i="3"/>
  <c r="H108" i="3" s="1"/>
  <c r="E109" i="3"/>
  <c r="F109" i="3" s="1"/>
  <c r="E102" i="3"/>
  <c r="F102" i="3" s="1"/>
  <c r="G101" i="3"/>
  <c r="H101" i="3" s="1"/>
  <c r="G107" i="3"/>
  <c r="H107" i="3" s="1"/>
  <c r="J53" i="1"/>
  <c r="K53" i="1" s="1"/>
  <c r="N31" i="1"/>
  <c r="O31" i="1" s="1"/>
  <c r="L17" i="1"/>
  <c r="M17" i="1" s="1"/>
  <c r="H33" i="1"/>
  <c r="I33" i="1" s="1"/>
  <c r="AF5" i="1"/>
  <c r="AI8" i="1"/>
  <c r="H28" i="1"/>
  <c r="I28" i="1" s="1"/>
  <c r="N40" i="1"/>
  <c r="O40" i="1" s="1"/>
  <c r="N41" i="1"/>
  <c r="O41" i="1" s="1"/>
  <c r="L59" i="1"/>
  <c r="M59" i="1" s="1"/>
  <c r="N65" i="1"/>
  <c r="O65" i="1" s="1"/>
  <c r="AF6" i="1"/>
  <c r="N37" i="1"/>
  <c r="O37" i="1" s="1"/>
  <c r="AC5" i="1"/>
  <c r="AC6" i="1"/>
  <c r="H34" i="1"/>
  <c r="I34" i="1" s="1"/>
  <c r="J22" i="1"/>
  <c r="K22" i="1" s="1"/>
  <c r="J62" i="1"/>
  <c r="K62" i="1" s="1"/>
  <c r="L33" i="5"/>
  <c r="M33" i="5" s="1"/>
  <c r="O33" i="5" s="1"/>
  <c r="J41" i="1"/>
  <c r="K41" i="1" s="1"/>
  <c r="G6" i="3"/>
  <c r="H6" i="3" s="1"/>
  <c r="V45" i="1"/>
  <c r="W45" i="1" s="1"/>
  <c r="L50" i="1"/>
  <c r="M50" i="1" s="1"/>
  <c r="J51" i="1"/>
  <c r="K51" i="1" s="1"/>
  <c r="J55" i="1"/>
  <c r="K55" i="1" s="1"/>
  <c r="L8" i="1"/>
  <c r="M8" i="1" s="1"/>
  <c r="L12" i="1"/>
  <c r="M12" i="1" s="1"/>
  <c r="N46" i="1"/>
  <c r="O46" i="1" s="1"/>
  <c r="L10" i="1"/>
  <c r="M10" i="1" s="1"/>
  <c r="J5" i="1"/>
  <c r="K5" i="1" s="1"/>
  <c r="L56" i="1"/>
  <c r="M56" i="1" s="1"/>
  <c r="L68" i="5"/>
  <c r="M68" i="5" s="1"/>
  <c r="O68" i="5" s="1"/>
  <c r="L69" i="5"/>
  <c r="M69" i="5" s="1"/>
  <c r="O69" i="5" s="1"/>
  <c r="L56" i="5"/>
  <c r="M56" i="5" s="1"/>
  <c r="O56" i="5" s="1"/>
  <c r="L14" i="5"/>
  <c r="M14" i="5" s="1"/>
  <c r="O14" i="5" s="1"/>
  <c r="L57" i="5"/>
  <c r="M57" i="5" s="1"/>
  <c r="O57" i="5" s="1"/>
  <c r="L4" i="5"/>
  <c r="M4" i="5" s="1"/>
  <c r="O4" i="5" s="1"/>
  <c r="L559" i="5"/>
  <c r="M559" i="5" s="1"/>
  <c r="O559" i="5" s="1"/>
  <c r="G559" i="5"/>
  <c r="L35" i="5"/>
  <c r="M35" i="5" s="1"/>
  <c r="O35" i="5" s="1"/>
  <c r="G35" i="5"/>
  <c r="L563" i="5"/>
  <c r="M563" i="5" s="1"/>
  <c r="O563" i="5" s="1"/>
  <c r="G563" i="5"/>
  <c r="L10" i="5"/>
  <c r="M10" i="5" s="1"/>
  <c r="O10" i="5" s="1"/>
  <c r="G10" i="5"/>
  <c r="L6" i="5"/>
  <c r="M6" i="5" s="1"/>
  <c r="O6" i="5" s="1"/>
  <c r="G6" i="5"/>
  <c r="G566" i="5"/>
  <c r="L566" i="5"/>
  <c r="M566" i="5" s="1"/>
  <c r="O566" i="5" s="1"/>
  <c r="G565" i="5"/>
  <c r="L565" i="5"/>
  <c r="M565" i="5" s="1"/>
  <c r="O565" i="5" s="1"/>
  <c r="L42" i="5"/>
  <c r="M42" i="5" s="1"/>
  <c r="O42" i="5" s="1"/>
  <c r="G42" i="5"/>
  <c r="L19" i="5"/>
  <c r="M19" i="5" s="1"/>
  <c r="O19" i="5" s="1"/>
  <c r="G19" i="5"/>
  <c r="L41" i="5"/>
  <c r="M41" i="5" s="1"/>
  <c r="O41" i="5" s="1"/>
  <c r="G41" i="5"/>
  <c r="L51" i="5"/>
  <c r="M51" i="5" s="1"/>
  <c r="O51" i="5" s="1"/>
  <c r="G51" i="5"/>
  <c r="G4" i="5"/>
  <c r="K545" i="5"/>
  <c r="G571" i="5"/>
  <c r="H571" i="5" s="1"/>
  <c r="I571" i="5" s="1"/>
  <c r="F562" i="5"/>
  <c r="F17" i="5"/>
  <c r="P17" i="5" s="1"/>
  <c r="L18" i="5"/>
  <c r="M18" i="5" s="1"/>
  <c r="O18" i="5" s="1"/>
  <c r="D30" i="5"/>
  <c r="L40" i="5"/>
  <c r="M40" i="5" s="1"/>
  <c r="O40" i="5" s="1"/>
  <c r="F52" i="5"/>
  <c r="F561" i="5"/>
  <c r="D564" i="5"/>
  <c r="F564" i="5" s="1"/>
  <c r="F5" i="5"/>
  <c r="P5" i="5" s="1"/>
  <c r="L16" i="5"/>
  <c r="M16" i="5" s="1"/>
  <c r="O16" i="5" s="1"/>
  <c r="L25" i="5"/>
  <c r="M25" i="5" s="1"/>
  <c r="O25" i="5" s="1"/>
  <c r="G25" i="5"/>
  <c r="D46" i="5"/>
  <c r="F46" i="5" s="1"/>
  <c r="P46" i="5" s="1"/>
  <c r="F55" i="5"/>
  <c r="P55" i="5" s="1"/>
  <c r="D60" i="5"/>
  <c r="F60" i="5" s="1"/>
  <c r="P60" i="5" s="1"/>
  <c r="L64" i="5"/>
  <c r="M64" i="5" s="1"/>
  <c r="O64" i="5" s="1"/>
  <c r="L63" i="5"/>
  <c r="M63" i="5" s="1"/>
  <c r="O63" i="5" s="1"/>
  <c r="G32" i="5"/>
  <c r="L32" i="5"/>
  <c r="M32" i="5" s="1"/>
  <c r="O32" i="5" s="1"/>
  <c r="G65" i="5"/>
  <c r="L65" i="5"/>
  <c r="M65" i="5" s="1"/>
  <c r="O65" i="5" s="1"/>
  <c r="G71" i="5"/>
  <c r="L71" i="5"/>
  <c r="M71" i="5" s="1"/>
  <c r="O71" i="5" s="1"/>
  <c r="F9" i="5"/>
  <c r="F11" i="5"/>
  <c r="P11" i="5" s="1"/>
  <c r="F12" i="5"/>
  <c r="F13" i="5"/>
  <c r="P13" i="5" s="1"/>
  <c r="F15" i="5"/>
  <c r="L22" i="5"/>
  <c r="M22" i="5" s="1"/>
  <c r="O22" i="5" s="1"/>
  <c r="L21" i="5"/>
  <c r="M21" i="5" s="1"/>
  <c r="O21" i="5" s="1"/>
  <c r="D23" i="5"/>
  <c r="F23" i="5" s="1"/>
  <c r="P23" i="5" s="1"/>
  <c r="F36" i="5"/>
  <c r="L39" i="5"/>
  <c r="M39" i="5" s="1"/>
  <c r="O39" i="5" s="1"/>
  <c r="F38" i="5"/>
  <c r="L43" i="5"/>
  <c r="M43" i="5" s="1"/>
  <c r="O43" i="5" s="1"/>
  <c r="G43" i="5"/>
  <c r="D44" i="5"/>
  <c r="F44" i="5" s="1"/>
  <c r="P44" i="5" s="1"/>
  <c r="L45" i="5"/>
  <c r="M45" i="5" s="1"/>
  <c r="O45" i="5" s="1"/>
  <c r="G45" i="5"/>
  <c r="F53" i="5"/>
  <c r="G59" i="5"/>
  <c r="J70" i="5"/>
  <c r="L70" i="5" s="1"/>
  <c r="M70" i="5" s="1"/>
  <c r="O70" i="5" s="1"/>
  <c r="G70" i="5"/>
  <c r="G72" i="5"/>
  <c r="L49" i="5"/>
  <c r="M49" i="5" s="1"/>
  <c r="O49" i="5" s="1"/>
  <c r="L54" i="5"/>
  <c r="M54" i="5" s="1"/>
  <c r="O54" i="5" s="1"/>
  <c r="G57" i="5"/>
  <c r="G56" i="5"/>
  <c r="L61" i="5"/>
  <c r="M61" i="5" s="1"/>
  <c r="O61" i="5" s="1"/>
  <c r="L67" i="5"/>
  <c r="M67" i="5" s="1"/>
  <c r="O67" i="5" s="1"/>
  <c r="T149" i="1"/>
  <c r="U149" i="1" s="1"/>
  <c r="I98" i="6"/>
  <c r="O98" i="6" s="1"/>
  <c r="P140" i="1"/>
  <c r="Q140" i="1" s="1"/>
  <c r="L147" i="1"/>
  <c r="M147" i="1" s="1"/>
  <c r="N15" i="1"/>
  <c r="O15" i="1" s="1"/>
  <c r="H121" i="1"/>
  <c r="I121" i="1" s="1"/>
  <c r="L103" i="1"/>
  <c r="M103" i="1" s="1"/>
  <c r="E107" i="3"/>
  <c r="F107" i="3" s="1"/>
  <c r="T8" i="1"/>
  <c r="U8" i="1" s="1"/>
  <c r="L148" i="1"/>
  <c r="M148" i="1" s="1"/>
  <c r="V57" i="1"/>
  <c r="W57" i="1" s="1"/>
  <c r="J8" i="1"/>
  <c r="K8" i="1" s="1"/>
  <c r="T33" i="1"/>
  <c r="U33" i="1" s="1"/>
  <c r="G10" i="3"/>
  <c r="H10" i="3" s="1"/>
  <c r="T96" i="1"/>
  <c r="U96" i="1" s="1"/>
  <c r="T148" i="1"/>
  <c r="U148" i="1" s="1"/>
  <c r="H96" i="1"/>
  <c r="I96" i="1" s="1"/>
  <c r="V10" i="1"/>
  <c r="W10" i="1" s="1"/>
  <c r="V40" i="1"/>
  <c r="W40" i="1" s="1"/>
  <c r="H51" i="1"/>
  <c r="I51" i="1" s="1"/>
  <c r="G2" i="3"/>
  <c r="H2" i="3" s="1"/>
  <c r="E33" i="3"/>
  <c r="F33" i="3" s="1"/>
  <c r="P96" i="1"/>
  <c r="Q96" i="1" s="1"/>
  <c r="N148" i="1"/>
  <c r="O148" i="1" s="1"/>
  <c r="P148" i="1"/>
  <c r="Q148" i="1" s="1"/>
  <c r="T59" i="1"/>
  <c r="U59" i="1" s="1"/>
  <c r="J47" i="1"/>
  <c r="K47" i="1" s="1"/>
  <c r="L47" i="1"/>
  <c r="M47" i="1" s="1"/>
  <c r="V36" i="1"/>
  <c r="W36" i="1" s="1"/>
  <c r="R21" i="1"/>
  <c r="S21" i="1" s="1"/>
  <c r="G13" i="3"/>
  <c r="H13" i="3" s="1"/>
  <c r="J71" i="1"/>
  <c r="K71" i="1" s="1"/>
  <c r="L96" i="1"/>
  <c r="M96" i="1" s="1"/>
  <c r="E67" i="3"/>
  <c r="F67" i="3" s="1"/>
  <c r="P33" i="1"/>
  <c r="G20" i="3"/>
  <c r="H20" i="3" s="1"/>
  <c r="T56" i="1"/>
  <c r="U56" i="1" s="1"/>
  <c r="T37" i="1"/>
  <c r="U37" i="1" s="1"/>
  <c r="J59" i="1"/>
  <c r="K59" i="1" s="1"/>
  <c r="H53" i="1"/>
  <c r="I53" i="1" s="1"/>
  <c r="P59" i="1"/>
  <c r="Q59" i="1" s="1"/>
  <c r="E34" i="3"/>
  <c r="F34" i="3" s="1"/>
  <c r="H94" i="1"/>
  <c r="I94" i="1" s="1"/>
  <c r="N96" i="1"/>
  <c r="O96" i="1" s="1"/>
  <c r="V99" i="1"/>
  <c r="W99" i="1" s="1"/>
  <c r="L104" i="1"/>
  <c r="M104" i="1" s="1"/>
  <c r="N107" i="1"/>
  <c r="O107" i="1" s="1"/>
  <c r="T129" i="1"/>
  <c r="U129" i="1" s="1"/>
  <c r="R140" i="1"/>
  <c r="S140" i="1" s="1"/>
  <c r="J63" i="1"/>
  <c r="K63" i="1" s="1"/>
  <c r="G25" i="3"/>
  <c r="H25" i="3" s="1"/>
  <c r="E42" i="3"/>
  <c r="F42" i="3" s="1"/>
  <c r="G44" i="3"/>
  <c r="H44" i="3" s="1"/>
  <c r="E46" i="3"/>
  <c r="F46" i="3" s="1"/>
  <c r="G48" i="3"/>
  <c r="H48" i="3" s="1"/>
  <c r="E50" i="3"/>
  <c r="F50" i="3" s="1"/>
  <c r="G52" i="3"/>
  <c r="H52" i="3" s="1"/>
  <c r="E54" i="3"/>
  <c r="F54" i="3" s="1"/>
  <c r="L94" i="1"/>
  <c r="M94" i="1" s="1"/>
  <c r="G56" i="3"/>
  <c r="H56" i="3" s="1"/>
  <c r="J99" i="1"/>
  <c r="K99" i="1" s="1"/>
  <c r="R104" i="1"/>
  <c r="S104" i="1" s="1"/>
  <c r="R121" i="1"/>
  <c r="S121" i="1" s="1"/>
  <c r="E84" i="3"/>
  <c r="F84" i="3" s="1"/>
  <c r="G87" i="3"/>
  <c r="H87" i="3" s="1"/>
  <c r="G89" i="3"/>
  <c r="H89" i="3" s="1"/>
  <c r="E101" i="3"/>
  <c r="F101" i="3" s="1"/>
  <c r="G109" i="3"/>
  <c r="H109" i="3" s="1"/>
  <c r="N54" i="1"/>
  <c r="O54" i="1" s="1"/>
  <c r="N94" i="1"/>
  <c r="O94" i="1" s="1"/>
  <c r="N99" i="1"/>
  <c r="O99" i="1" s="1"/>
  <c r="T100" i="1"/>
  <c r="U100" i="1" s="1"/>
  <c r="T101" i="1"/>
  <c r="U101" i="1" s="1"/>
  <c r="T142" i="1"/>
  <c r="U142" i="1" s="1"/>
  <c r="E11" i="3"/>
  <c r="F11" i="3" s="1"/>
  <c r="H37" i="1"/>
  <c r="I37" i="1" s="1"/>
  <c r="P3" i="1"/>
  <c r="Q3" i="1" s="1"/>
  <c r="E3" i="3"/>
  <c r="F3" i="3" s="1"/>
  <c r="G5" i="3"/>
  <c r="H5" i="3" s="1"/>
  <c r="T55" i="1"/>
  <c r="U55" i="1" s="1"/>
  <c r="T50" i="1"/>
  <c r="U50" i="1" s="1"/>
  <c r="H59" i="1"/>
  <c r="I59" i="1" s="1"/>
  <c r="J54" i="1"/>
  <c r="K54" i="1" s="1"/>
  <c r="L55" i="1"/>
  <c r="M55" i="1" s="1"/>
  <c r="T63" i="1"/>
  <c r="U63" i="1" s="1"/>
  <c r="P94" i="1"/>
  <c r="Q94" i="1" s="1"/>
  <c r="E57" i="3"/>
  <c r="F57" i="3" s="1"/>
  <c r="V96" i="1"/>
  <c r="W96" i="1" s="1"/>
  <c r="R96" i="1"/>
  <c r="S96" i="1" s="1"/>
  <c r="E61" i="3"/>
  <c r="F61" i="3" s="1"/>
  <c r="R99" i="1"/>
  <c r="S99" i="1" s="1"/>
  <c r="N100" i="1"/>
  <c r="O100" i="1" s="1"/>
  <c r="J101" i="1"/>
  <c r="K101" i="1" s="1"/>
  <c r="V104" i="1"/>
  <c r="W104" i="1" s="1"/>
  <c r="V106" i="1"/>
  <c r="W106" i="1" s="1"/>
  <c r="E76" i="3"/>
  <c r="F76" i="3" s="1"/>
  <c r="T121" i="1"/>
  <c r="U121" i="1" s="1"/>
  <c r="E83" i="3"/>
  <c r="F83" i="3" s="1"/>
  <c r="N29" i="1"/>
  <c r="O29" i="1" s="1"/>
  <c r="J29" i="1"/>
  <c r="K29" i="1" s="1"/>
  <c r="V29" i="1"/>
  <c r="W29" i="1" s="1"/>
  <c r="R29" i="1"/>
  <c r="S29" i="1" s="1"/>
  <c r="P15" i="1"/>
  <c r="Q15" i="1" s="1"/>
  <c r="L15" i="1"/>
  <c r="M15" i="1" s="1"/>
  <c r="V15" i="1"/>
  <c r="W15" i="1" s="1"/>
  <c r="J15" i="1"/>
  <c r="K15" i="1" s="1"/>
  <c r="V12" i="1"/>
  <c r="W12" i="1" s="1"/>
  <c r="R12" i="1"/>
  <c r="S12" i="1" s="1"/>
  <c r="N12" i="1"/>
  <c r="O12" i="1" s="1"/>
  <c r="G38" i="3"/>
  <c r="H38" i="3" s="1"/>
  <c r="E38" i="3"/>
  <c r="F38" i="3" s="1"/>
  <c r="P97" i="1"/>
  <c r="Q97" i="1" s="1"/>
  <c r="J97" i="1"/>
  <c r="K97" i="1" s="1"/>
  <c r="H97" i="1"/>
  <c r="I97" i="1" s="1"/>
  <c r="G66" i="3"/>
  <c r="H66" i="3" s="1"/>
  <c r="E66" i="3"/>
  <c r="F66" i="3" s="1"/>
  <c r="T15" i="1"/>
  <c r="U15" i="1" s="1"/>
  <c r="T12" i="1"/>
  <c r="U12" i="1" s="1"/>
  <c r="T29" i="1"/>
  <c r="U29" i="1" s="1"/>
  <c r="H29" i="1"/>
  <c r="I29" i="1" s="1"/>
  <c r="L36" i="1"/>
  <c r="M36" i="1" s="1"/>
  <c r="R10" i="1"/>
  <c r="S10" i="1" s="1"/>
  <c r="P12" i="1"/>
  <c r="Q12" i="1" s="1"/>
  <c r="E9" i="3"/>
  <c r="F9" i="3" s="1"/>
  <c r="G9" i="3"/>
  <c r="H9" i="3" s="1"/>
  <c r="E17" i="3"/>
  <c r="F17" i="3" s="1"/>
  <c r="G17" i="3"/>
  <c r="H17" i="3" s="1"/>
  <c r="G74" i="3"/>
  <c r="H74" i="3" s="1"/>
  <c r="E74" i="3"/>
  <c r="F74" i="3" s="1"/>
  <c r="L114" i="1"/>
  <c r="M114" i="1" s="1"/>
  <c r="R114" i="1"/>
  <c r="S114" i="1" s="1"/>
  <c r="H114" i="1"/>
  <c r="I114" i="1" s="1"/>
  <c r="T114" i="1"/>
  <c r="U114" i="1" s="1"/>
  <c r="P25" i="1"/>
  <c r="Q25" i="1" s="1"/>
  <c r="V25" i="1"/>
  <c r="W25" i="1" s="1"/>
  <c r="N25" i="1"/>
  <c r="O25" i="1" s="1"/>
  <c r="J25" i="1"/>
  <c r="K25" i="1" s="1"/>
  <c r="P34" i="1"/>
  <c r="N34" i="1"/>
  <c r="O34" i="1" s="1"/>
  <c r="J34" i="1"/>
  <c r="K34" i="1" s="1"/>
  <c r="V34" i="1"/>
  <c r="W34" i="1" s="1"/>
  <c r="N36" i="1"/>
  <c r="O36" i="1" s="1"/>
  <c r="J36" i="1"/>
  <c r="K36" i="1" s="1"/>
  <c r="T36" i="1"/>
  <c r="U36" i="1" s="1"/>
  <c r="R36" i="1"/>
  <c r="J19" i="1"/>
  <c r="K19" i="1" s="1"/>
  <c r="R19" i="1"/>
  <c r="S19" i="1" s="1"/>
  <c r="L19" i="1"/>
  <c r="M19" i="1" s="1"/>
  <c r="H19" i="1"/>
  <c r="I19" i="1" s="1"/>
  <c r="T19" i="1"/>
  <c r="U19" i="1" s="1"/>
  <c r="R8" i="1"/>
  <c r="S8" i="1" s="1"/>
  <c r="N8" i="1"/>
  <c r="O8" i="1" s="1"/>
  <c r="H8" i="1"/>
  <c r="I8" i="1" s="1"/>
  <c r="V8" i="1"/>
  <c r="W8" i="1" s="1"/>
  <c r="R33" i="1"/>
  <c r="N33" i="1"/>
  <c r="O33" i="1" s="1"/>
  <c r="J33" i="1"/>
  <c r="K33" i="1" s="1"/>
  <c r="V33" i="1"/>
  <c r="W33" i="1" s="1"/>
  <c r="T34" i="1"/>
  <c r="U34" i="1" s="1"/>
  <c r="H12" i="1"/>
  <c r="I12" i="1" s="1"/>
  <c r="H15" i="1"/>
  <c r="I15" i="1" s="1"/>
  <c r="H25" i="1"/>
  <c r="I25" i="1" s="1"/>
  <c r="L25" i="1"/>
  <c r="M25" i="1" s="1"/>
  <c r="L34" i="1"/>
  <c r="M34" i="1" s="1"/>
  <c r="P8" i="1"/>
  <c r="Q8" i="1" s="1"/>
  <c r="R34" i="1"/>
  <c r="P27" i="1"/>
  <c r="Q27" i="1" s="1"/>
  <c r="J27" i="1"/>
  <c r="K27" i="1" s="1"/>
  <c r="L22" i="1"/>
  <c r="M22" i="1" s="1"/>
  <c r="R22" i="1"/>
  <c r="S22" i="1" s="1"/>
  <c r="R6" i="1"/>
  <c r="S6" i="1" s="1"/>
  <c r="N6" i="1"/>
  <c r="O6" i="1" s="1"/>
  <c r="V6" i="1"/>
  <c r="W6" i="1" s="1"/>
  <c r="N5" i="1"/>
  <c r="O5" i="1" s="1"/>
  <c r="V5" i="1"/>
  <c r="W5" i="1" s="1"/>
  <c r="R5" i="1"/>
  <c r="S5" i="1" s="1"/>
  <c r="G23" i="3"/>
  <c r="H23" i="3" s="1"/>
  <c r="E23" i="3"/>
  <c r="F23" i="3" s="1"/>
  <c r="V70" i="1"/>
  <c r="W70" i="1" s="1"/>
  <c r="R71" i="1"/>
  <c r="S71" i="1" s="1"/>
  <c r="T71" i="1"/>
  <c r="U71" i="1" s="1"/>
  <c r="G63" i="3"/>
  <c r="H63" i="3" s="1"/>
  <c r="E63" i="3"/>
  <c r="F63" i="3" s="1"/>
  <c r="V22" i="1"/>
  <c r="W22" i="1" s="1"/>
  <c r="T25" i="1"/>
  <c r="U25" i="1" s="1"/>
  <c r="V19" i="1"/>
  <c r="W19" i="1" s="1"/>
  <c r="J17" i="1"/>
  <c r="K17" i="1" s="1"/>
  <c r="J12" i="1"/>
  <c r="K12" i="1" s="1"/>
  <c r="H36" i="1"/>
  <c r="I36" i="1" s="1"/>
  <c r="L33" i="1"/>
  <c r="M33" i="1" s="1"/>
  <c r="N19" i="1"/>
  <c r="O19" i="1" s="1"/>
  <c r="L29" i="1"/>
  <c r="M29" i="1" s="1"/>
  <c r="R27" i="1"/>
  <c r="S27" i="1" s="1"/>
  <c r="P19" i="1"/>
  <c r="Q19" i="1" s="1"/>
  <c r="P29" i="1"/>
  <c r="Q29" i="1" s="1"/>
  <c r="H48" i="1"/>
  <c r="I48" i="1" s="1"/>
  <c r="H46" i="1"/>
  <c r="I46" i="1" s="1"/>
  <c r="T46" i="1"/>
  <c r="U46" i="1" s="1"/>
  <c r="L58" i="1"/>
  <c r="M58" i="1" s="1"/>
  <c r="H58" i="1"/>
  <c r="I58" i="1" s="1"/>
  <c r="N70" i="1"/>
  <c r="O70" i="1" s="1"/>
  <c r="N108" i="1"/>
  <c r="O108" i="1" s="1"/>
  <c r="J108" i="1"/>
  <c r="K108" i="1" s="1"/>
  <c r="H110" i="1"/>
  <c r="I110" i="1" s="1"/>
  <c r="J110" i="1"/>
  <c r="K110" i="1" s="1"/>
  <c r="V110" i="1"/>
  <c r="W110" i="1" s="1"/>
  <c r="G97" i="3"/>
  <c r="H97" i="3" s="1"/>
  <c r="E97" i="3"/>
  <c r="F97" i="3" s="1"/>
  <c r="T99" i="1"/>
  <c r="U99" i="1" s="1"/>
  <c r="L99" i="1"/>
  <c r="M99" i="1" s="1"/>
  <c r="P99" i="1"/>
  <c r="Q99" i="1" s="1"/>
  <c r="P101" i="1"/>
  <c r="Q101" i="1" s="1"/>
  <c r="T102" i="1"/>
  <c r="U102" i="1" s="1"/>
  <c r="H104" i="1"/>
  <c r="I104" i="1" s="1"/>
  <c r="P104" i="1"/>
  <c r="Q104" i="1" s="1"/>
  <c r="G70" i="3"/>
  <c r="H70" i="3" s="1"/>
  <c r="G95" i="3"/>
  <c r="H95" i="3" s="1"/>
  <c r="T140" i="1"/>
  <c r="U140" i="1" s="1"/>
  <c r="L140" i="1"/>
  <c r="M140" i="1" s="1"/>
  <c r="V140" i="1"/>
  <c r="W140" i="1" s="1"/>
  <c r="E108" i="3"/>
  <c r="F108" i="3" s="1"/>
  <c r="V148" i="1"/>
  <c r="W148" i="1" s="1"/>
  <c r="R142" i="1"/>
  <c r="S142" i="1" s="1"/>
  <c r="T51" i="1"/>
  <c r="U51" i="1" s="1"/>
  <c r="J43" i="1"/>
  <c r="K43" i="1" s="1"/>
  <c r="L37" i="1"/>
  <c r="M37" i="1" s="1"/>
  <c r="P51" i="1"/>
  <c r="Q51" i="1" s="1"/>
  <c r="T94" i="1"/>
  <c r="U94" i="1" s="1"/>
  <c r="R94" i="1"/>
  <c r="S94" i="1" s="1"/>
  <c r="G69" i="3"/>
  <c r="H69" i="3" s="1"/>
  <c r="G82" i="3"/>
  <c r="H82" i="3" s="1"/>
  <c r="N140" i="1"/>
  <c r="O140" i="1" s="1"/>
  <c r="P14" i="1"/>
  <c r="Q14" i="1" s="1"/>
  <c r="R14" i="1"/>
  <c r="S14" i="1" s="1"/>
  <c r="J11" i="1"/>
  <c r="K11" i="1" s="1"/>
  <c r="H11" i="1"/>
  <c r="I11" i="1" s="1"/>
  <c r="E18" i="3"/>
  <c r="F18" i="3" s="1"/>
  <c r="G18" i="3"/>
  <c r="H18" i="3" s="1"/>
  <c r="G29" i="3"/>
  <c r="H29" i="3" s="1"/>
  <c r="E29" i="3"/>
  <c r="F29" i="3" s="1"/>
  <c r="G31" i="3"/>
  <c r="H31" i="3" s="1"/>
  <c r="E31" i="3"/>
  <c r="F31" i="3" s="1"/>
  <c r="G36" i="3"/>
  <c r="H36" i="3" s="1"/>
  <c r="E36" i="3"/>
  <c r="F36" i="3" s="1"/>
  <c r="R109" i="1"/>
  <c r="S109" i="1" s="1"/>
  <c r="P109" i="1"/>
  <c r="Q109" i="1" s="1"/>
  <c r="H109" i="1"/>
  <c r="I109" i="1" s="1"/>
  <c r="L109" i="1"/>
  <c r="M109" i="1" s="1"/>
  <c r="L111" i="1"/>
  <c r="M111" i="1" s="1"/>
  <c r="V117" i="1"/>
  <c r="W117" i="1" s="1"/>
  <c r="N117" i="1"/>
  <c r="O117" i="1" s="1"/>
  <c r="T141" i="1"/>
  <c r="U141" i="1" s="1"/>
  <c r="P141" i="1"/>
  <c r="Q141" i="1" s="1"/>
  <c r="T145" i="1"/>
  <c r="U145" i="1" s="1"/>
  <c r="V145" i="1"/>
  <c r="W145" i="1" s="1"/>
  <c r="R145" i="1"/>
  <c r="S145" i="1" s="1"/>
  <c r="H145" i="1"/>
  <c r="I145" i="1" s="1"/>
  <c r="V11" i="1"/>
  <c r="W11" i="1" s="1"/>
  <c r="J14" i="1"/>
  <c r="K14" i="1" s="1"/>
  <c r="G16" i="3"/>
  <c r="H16" i="3" s="1"/>
  <c r="E22" i="3"/>
  <c r="F22" i="3" s="1"/>
  <c r="P41" i="1"/>
  <c r="Q41" i="1" s="1"/>
  <c r="H41" i="1"/>
  <c r="I41" i="1" s="1"/>
  <c r="V41" i="1"/>
  <c r="W41" i="1" s="1"/>
  <c r="R41" i="1"/>
  <c r="S41" i="1" s="1"/>
  <c r="L41" i="1"/>
  <c r="M41" i="1" s="1"/>
  <c r="R46" i="1"/>
  <c r="S46" i="1" s="1"/>
  <c r="P46" i="1"/>
  <c r="Q46" i="1" s="1"/>
  <c r="L46" i="1"/>
  <c r="M46" i="1" s="1"/>
  <c r="V46" i="1"/>
  <c r="W46" i="1" s="1"/>
  <c r="R50" i="1"/>
  <c r="S50" i="1" s="1"/>
  <c r="V50" i="1"/>
  <c r="W50" i="1" s="1"/>
  <c r="P50" i="1"/>
  <c r="Q50" i="1" s="1"/>
  <c r="J50" i="1"/>
  <c r="K50" i="1" s="1"/>
  <c r="R54" i="1"/>
  <c r="S54" i="1" s="1"/>
  <c r="P54" i="1"/>
  <c r="Q54" i="1" s="1"/>
  <c r="H54" i="1"/>
  <c r="I54" i="1" s="1"/>
  <c r="V54" i="1"/>
  <c r="W54" i="1" s="1"/>
  <c r="R58" i="1"/>
  <c r="S58" i="1" s="1"/>
  <c r="N58" i="1"/>
  <c r="O58" i="1" s="1"/>
  <c r="T58" i="1"/>
  <c r="U58" i="1" s="1"/>
  <c r="P58" i="1"/>
  <c r="Q58" i="1" s="1"/>
  <c r="G7" i="3"/>
  <c r="H7" i="3" s="1"/>
  <c r="E7" i="3"/>
  <c r="F7" i="3" s="1"/>
  <c r="V66" i="1"/>
  <c r="W66" i="1" s="1"/>
  <c r="N66" i="1"/>
  <c r="O66" i="1" s="1"/>
  <c r="G40" i="3"/>
  <c r="H40" i="3" s="1"/>
  <c r="E40" i="3"/>
  <c r="F40" i="3" s="1"/>
  <c r="P95" i="1"/>
  <c r="Q95" i="1" s="1"/>
  <c r="V95" i="1"/>
  <c r="W95" i="1" s="1"/>
  <c r="L95" i="1"/>
  <c r="M95" i="1" s="1"/>
  <c r="G64" i="3"/>
  <c r="H64" i="3" s="1"/>
  <c r="E64" i="3"/>
  <c r="F64" i="3" s="1"/>
  <c r="T109" i="1"/>
  <c r="U109" i="1" s="1"/>
  <c r="N112" i="1"/>
  <c r="O112" i="1" s="1"/>
  <c r="J112" i="1"/>
  <c r="K112" i="1" s="1"/>
  <c r="G81" i="3"/>
  <c r="H81" i="3" s="1"/>
  <c r="E93" i="3"/>
  <c r="F93" i="3" s="1"/>
  <c r="G93" i="3"/>
  <c r="H93" i="3" s="1"/>
  <c r="E104" i="3"/>
  <c r="F104" i="3" s="1"/>
  <c r="G104" i="3"/>
  <c r="H104" i="3" s="1"/>
  <c r="T146" i="1"/>
  <c r="U146" i="1" s="1"/>
  <c r="P146" i="1"/>
  <c r="Q146" i="1" s="1"/>
  <c r="N147" i="1"/>
  <c r="O147" i="1" s="1"/>
  <c r="V147" i="1"/>
  <c r="W147" i="1" s="1"/>
  <c r="H62" i="1"/>
  <c r="I62" i="1" s="1"/>
  <c r="V62" i="1"/>
  <c r="W62" i="1" s="1"/>
  <c r="E60" i="3"/>
  <c r="F60" i="3" s="1"/>
  <c r="G60" i="3"/>
  <c r="H60" i="3" s="1"/>
  <c r="R106" i="1"/>
  <c r="S106" i="1" s="1"/>
  <c r="H106" i="1"/>
  <c r="I106" i="1" s="1"/>
  <c r="P106" i="1"/>
  <c r="Q106" i="1" s="1"/>
  <c r="L106" i="1"/>
  <c r="M106" i="1" s="1"/>
  <c r="T106" i="1"/>
  <c r="U106" i="1" s="1"/>
  <c r="P111" i="1"/>
  <c r="Q111" i="1" s="1"/>
  <c r="J111" i="1"/>
  <c r="K111" i="1" s="1"/>
  <c r="T111" i="1"/>
  <c r="U111" i="1" s="1"/>
  <c r="N111" i="1"/>
  <c r="O111" i="1" s="1"/>
  <c r="V111" i="1"/>
  <c r="W111" i="1" s="1"/>
  <c r="V119" i="1"/>
  <c r="W119" i="1" s="1"/>
  <c r="J119" i="1"/>
  <c r="K119" i="1" s="1"/>
  <c r="G99" i="3"/>
  <c r="H99" i="3" s="1"/>
  <c r="E99" i="3"/>
  <c r="F99" i="3" s="1"/>
  <c r="G103" i="3"/>
  <c r="H103" i="3" s="1"/>
  <c r="E103" i="3"/>
  <c r="F103" i="3" s="1"/>
  <c r="L39" i="1"/>
  <c r="M39" i="1" s="1"/>
  <c r="H39" i="1"/>
  <c r="I39" i="1" s="1"/>
  <c r="H56" i="1"/>
  <c r="I56" i="1" s="1"/>
  <c r="R56" i="1"/>
  <c r="S56" i="1" s="1"/>
  <c r="J56" i="1"/>
  <c r="K56" i="1" s="1"/>
  <c r="E24" i="3"/>
  <c r="F24" i="3" s="1"/>
  <c r="G24" i="3"/>
  <c r="H24" i="3" s="1"/>
  <c r="J65" i="1"/>
  <c r="K65" i="1" s="1"/>
  <c r="R65" i="1"/>
  <c r="S65" i="1" s="1"/>
  <c r="N67" i="1"/>
  <c r="O67" i="1" s="1"/>
  <c r="J67" i="1"/>
  <c r="K67" i="1" s="1"/>
  <c r="T67" i="1"/>
  <c r="U67" i="1" s="1"/>
  <c r="R100" i="1"/>
  <c r="S100" i="1" s="1"/>
  <c r="P100" i="1"/>
  <c r="Q100" i="1" s="1"/>
  <c r="V100" i="1"/>
  <c r="W100" i="1" s="1"/>
  <c r="L100" i="1"/>
  <c r="M100" i="1" s="1"/>
  <c r="J102" i="1"/>
  <c r="K102" i="1" s="1"/>
  <c r="J106" i="1"/>
  <c r="K106" i="1" s="1"/>
  <c r="L107" i="1"/>
  <c r="M107" i="1" s="1"/>
  <c r="P107" i="1"/>
  <c r="Q107" i="1" s="1"/>
  <c r="V107" i="1"/>
  <c r="W107" i="1" s="1"/>
  <c r="N109" i="1"/>
  <c r="O109" i="1" s="1"/>
  <c r="H111" i="1"/>
  <c r="I111" i="1" s="1"/>
  <c r="E78" i="3"/>
  <c r="F78" i="3" s="1"/>
  <c r="G78" i="3"/>
  <c r="H78" i="3" s="1"/>
  <c r="H118" i="1"/>
  <c r="I118" i="1" s="1"/>
  <c r="L118" i="1"/>
  <c r="M118" i="1" s="1"/>
  <c r="P129" i="1"/>
  <c r="Q129" i="1" s="1"/>
  <c r="H129" i="1"/>
  <c r="I129" i="1" s="1"/>
  <c r="R129" i="1"/>
  <c r="S129" i="1" s="1"/>
  <c r="R141" i="1"/>
  <c r="S141" i="1" s="1"/>
  <c r="P142" i="1"/>
  <c r="Q142" i="1" s="1"/>
  <c r="N142" i="1"/>
  <c r="O142" i="1" s="1"/>
  <c r="V142" i="1"/>
  <c r="W142" i="1" s="1"/>
  <c r="N63" i="1"/>
  <c r="O63" i="1" s="1"/>
  <c r="P40" i="1"/>
  <c r="Q40" i="1" s="1"/>
  <c r="L23" i="1"/>
  <c r="M23" i="1" s="1"/>
  <c r="P23" i="1"/>
  <c r="Q23" i="1" s="1"/>
  <c r="J23" i="1"/>
  <c r="K23" i="1" s="1"/>
  <c r="L27" i="1"/>
  <c r="M27" i="1" s="1"/>
  <c r="N27" i="1"/>
  <c r="O27" i="1" s="1"/>
  <c r="V27" i="1"/>
  <c r="W27" i="1" s="1"/>
  <c r="L31" i="1"/>
  <c r="M31" i="1" s="1"/>
  <c r="R31" i="1"/>
  <c r="S31" i="1" s="1"/>
  <c r="J31" i="1"/>
  <c r="K31" i="1" s="1"/>
  <c r="L13" i="1"/>
  <c r="M13" i="1" s="1"/>
  <c r="P13" i="1"/>
  <c r="Q13" i="1" s="1"/>
  <c r="N13" i="1"/>
  <c r="O13" i="1" s="1"/>
  <c r="H13" i="1"/>
  <c r="I13" i="1" s="1"/>
  <c r="V13" i="1"/>
  <c r="W13" i="1" s="1"/>
  <c r="L6" i="1"/>
  <c r="M6" i="1" s="1"/>
  <c r="P6" i="1"/>
  <c r="Q6" i="1" s="1"/>
  <c r="H6" i="1"/>
  <c r="I6" i="1" s="1"/>
  <c r="L5" i="1"/>
  <c r="M5" i="1" s="1"/>
  <c r="P5" i="1"/>
  <c r="Q5" i="1" s="1"/>
  <c r="H5" i="1"/>
  <c r="I5" i="1" s="1"/>
  <c r="V53" i="1"/>
  <c r="W53" i="1" s="1"/>
  <c r="J45" i="1"/>
  <c r="K45" i="1" s="1"/>
  <c r="L57" i="1"/>
  <c r="M57" i="1" s="1"/>
  <c r="E15" i="3"/>
  <c r="F15" i="3" s="1"/>
  <c r="G15" i="3"/>
  <c r="H15" i="3" s="1"/>
  <c r="R60" i="1"/>
  <c r="S60" i="1" s="1"/>
  <c r="H60" i="1"/>
  <c r="I60" i="1" s="1"/>
  <c r="G53" i="3"/>
  <c r="H53" i="3" s="1"/>
  <c r="E53" i="3"/>
  <c r="F53" i="3" s="1"/>
  <c r="G98" i="3"/>
  <c r="H98" i="3" s="1"/>
  <c r="E98" i="3"/>
  <c r="F98" i="3" s="1"/>
  <c r="P42" i="1"/>
  <c r="Q42" i="1" s="1"/>
  <c r="J42" i="1"/>
  <c r="K42" i="1" s="1"/>
  <c r="T42" i="1"/>
  <c r="U42" i="1" s="1"/>
  <c r="T53" i="1"/>
  <c r="U53" i="1" s="1"/>
  <c r="R53" i="1"/>
  <c r="S53" i="1" s="1"/>
  <c r="N53" i="1"/>
  <c r="O53" i="1" s="1"/>
  <c r="J61" i="1"/>
  <c r="K61" i="1" s="1"/>
  <c r="P61" i="1"/>
  <c r="Q61" i="1" s="1"/>
  <c r="G35" i="3"/>
  <c r="H35" i="3" s="1"/>
  <c r="E35" i="3"/>
  <c r="F35" i="3" s="1"/>
  <c r="R17" i="1"/>
  <c r="S17" i="1" s="1"/>
  <c r="P22" i="1"/>
  <c r="Q22" i="1" s="1"/>
  <c r="R23" i="1"/>
  <c r="S23" i="1" s="1"/>
  <c r="P20" i="1"/>
  <c r="Q20" i="1" s="1"/>
  <c r="J28" i="1"/>
  <c r="K28" i="1" s="1"/>
  <c r="P28" i="1"/>
  <c r="Q28" i="1" s="1"/>
  <c r="H49" i="1"/>
  <c r="I49" i="1" s="1"/>
  <c r="H42" i="1"/>
  <c r="I42" i="1" s="1"/>
  <c r="L49" i="1"/>
  <c r="M49" i="1" s="1"/>
  <c r="N42" i="1"/>
  <c r="O42" i="1" s="1"/>
  <c r="G27" i="3"/>
  <c r="H27" i="3" s="1"/>
  <c r="E27" i="3"/>
  <c r="F27" i="3" s="1"/>
  <c r="N69" i="1"/>
  <c r="O69" i="1" s="1"/>
  <c r="T69" i="1"/>
  <c r="U69" i="1" s="1"/>
  <c r="G39" i="3"/>
  <c r="H39" i="3" s="1"/>
  <c r="E39" i="3"/>
  <c r="F39" i="3" s="1"/>
  <c r="J98" i="1"/>
  <c r="K98" i="1" s="1"/>
  <c r="T98" i="1"/>
  <c r="U98" i="1" s="1"/>
  <c r="P98" i="1"/>
  <c r="Q98" i="1" s="1"/>
  <c r="R98" i="1"/>
  <c r="S98" i="1" s="1"/>
  <c r="H98" i="1"/>
  <c r="I98" i="1" s="1"/>
  <c r="N98" i="1"/>
  <c r="O98" i="1" s="1"/>
  <c r="V98" i="1"/>
  <c r="W98" i="1" s="1"/>
  <c r="R105" i="1"/>
  <c r="S105" i="1" s="1"/>
  <c r="P105" i="1"/>
  <c r="Q105" i="1" s="1"/>
  <c r="H105" i="1"/>
  <c r="I105" i="1" s="1"/>
  <c r="N105" i="1"/>
  <c r="O105" i="1" s="1"/>
  <c r="T105" i="1"/>
  <c r="U105" i="1" s="1"/>
  <c r="L105" i="1"/>
  <c r="M105" i="1" s="1"/>
  <c r="J105" i="1"/>
  <c r="K105" i="1" s="1"/>
  <c r="G68" i="3"/>
  <c r="H68" i="3" s="1"/>
  <c r="E68" i="3"/>
  <c r="F68" i="3" s="1"/>
  <c r="H45" i="1"/>
  <c r="I45" i="1" s="1"/>
  <c r="R45" i="1"/>
  <c r="S45" i="1" s="1"/>
  <c r="G49" i="3"/>
  <c r="H49" i="3" s="1"/>
  <c r="E49" i="3"/>
  <c r="F49" i="3" s="1"/>
  <c r="E80" i="3"/>
  <c r="F80" i="3" s="1"/>
  <c r="V151" i="1"/>
  <c r="W151" i="1" s="1"/>
  <c r="R151" i="1"/>
  <c r="S151" i="1" s="1"/>
  <c r="J151" i="1"/>
  <c r="K151" i="1" s="1"/>
  <c r="T151" i="1"/>
  <c r="U151" i="1" s="1"/>
  <c r="P151" i="1"/>
  <c r="Q151" i="1" s="1"/>
  <c r="H151" i="1"/>
  <c r="I151" i="1" s="1"/>
  <c r="J4" i="1"/>
  <c r="K4" i="1" s="1"/>
  <c r="N23" i="1"/>
  <c r="O23" i="1" s="1"/>
  <c r="R32" i="1"/>
  <c r="S32" i="1" s="1"/>
  <c r="H32" i="1"/>
  <c r="I32" i="1" s="1"/>
  <c r="J21" i="1"/>
  <c r="K21" i="1" s="1"/>
  <c r="V21" i="1"/>
  <c r="W21" i="1" s="1"/>
  <c r="J18" i="1"/>
  <c r="K18" i="1" s="1"/>
  <c r="R18" i="1"/>
  <c r="S18" i="1" s="1"/>
  <c r="P7" i="1"/>
  <c r="Q7" i="1" s="1"/>
  <c r="H7" i="1"/>
  <c r="I7" i="1" s="1"/>
  <c r="V49" i="1"/>
  <c r="W49" i="1" s="1"/>
  <c r="T57" i="1"/>
  <c r="U57" i="1" s="1"/>
  <c r="H57" i="1"/>
  <c r="I57" i="1" s="1"/>
  <c r="L45" i="1"/>
  <c r="M45" i="1" s="1"/>
  <c r="V17" i="1"/>
  <c r="W17" i="1" s="1"/>
  <c r="V31" i="1"/>
  <c r="W31" i="1" s="1"/>
  <c r="H10" i="1"/>
  <c r="I10" i="1" s="1"/>
  <c r="H18" i="1"/>
  <c r="I18" i="1" s="1"/>
  <c r="H24" i="1"/>
  <c r="I24" i="1" s="1"/>
  <c r="N10" i="1"/>
  <c r="O10" i="1" s="1"/>
  <c r="N17" i="1"/>
  <c r="O17" i="1" s="1"/>
  <c r="N22" i="1"/>
  <c r="O22" i="1" s="1"/>
  <c r="P10" i="1"/>
  <c r="Q10" i="1" s="1"/>
  <c r="P17" i="1"/>
  <c r="Q17" i="1" s="1"/>
  <c r="P31" i="1"/>
  <c r="Q31" i="1" s="1"/>
  <c r="P11" i="1"/>
  <c r="Q11" i="1" s="1"/>
  <c r="P32" i="1"/>
  <c r="Q32" i="1" s="1"/>
  <c r="T40" i="1"/>
  <c r="U40" i="1" s="1"/>
  <c r="V42" i="1"/>
  <c r="W42" i="1" s="1"/>
  <c r="J57" i="1"/>
  <c r="K57" i="1" s="1"/>
  <c r="J49" i="1"/>
  <c r="K49" i="1" s="1"/>
  <c r="H40" i="1"/>
  <c r="I40" i="1" s="1"/>
  <c r="L61" i="1"/>
  <c r="M61" i="1" s="1"/>
  <c r="L40" i="1"/>
  <c r="M40" i="1" s="1"/>
  <c r="R49" i="1"/>
  <c r="S49" i="1" s="1"/>
  <c r="G45" i="3"/>
  <c r="H45" i="3" s="1"/>
  <c r="E45" i="3"/>
  <c r="F45" i="3" s="1"/>
  <c r="H103" i="1"/>
  <c r="I103" i="1" s="1"/>
  <c r="P103" i="1"/>
  <c r="Q103" i="1" s="1"/>
  <c r="J103" i="1"/>
  <c r="K103" i="1" s="1"/>
  <c r="R103" i="1"/>
  <c r="S103" i="1" s="1"/>
  <c r="N103" i="1"/>
  <c r="O103" i="1" s="1"/>
  <c r="V103" i="1"/>
  <c r="W103" i="1" s="1"/>
  <c r="E14" i="3"/>
  <c r="F14" i="3" s="1"/>
  <c r="E21" i="3"/>
  <c r="F21" i="3" s="1"/>
  <c r="G37" i="3"/>
  <c r="H37" i="3" s="1"/>
  <c r="G41" i="3"/>
  <c r="H41" i="3" s="1"/>
  <c r="G43" i="3"/>
  <c r="H43" i="3" s="1"/>
  <c r="G47" i="3"/>
  <c r="H47" i="3" s="1"/>
  <c r="G51" i="3"/>
  <c r="H51" i="3" s="1"/>
  <c r="G55" i="3"/>
  <c r="H55" i="3" s="1"/>
  <c r="T95" i="1"/>
  <c r="U95" i="1" s="1"/>
  <c r="J95" i="1"/>
  <c r="K95" i="1" s="1"/>
  <c r="R95" i="1"/>
  <c r="S95" i="1" s="1"/>
  <c r="E58" i="3"/>
  <c r="F58" i="3" s="1"/>
  <c r="R97" i="1"/>
  <c r="S97" i="1" s="1"/>
  <c r="L97" i="1"/>
  <c r="M97" i="1" s="1"/>
  <c r="T97" i="1"/>
  <c r="U97" i="1" s="1"/>
  <c r="R101" i="1"/>
  <c r="S101" i="1" s="1"/>
  <c r="N101" i="1"/>
  <c r="O101" i="1" s="1"/>
  <c r="P102" i="1"/>
  <c r="Q102" i="1" s="1"/>
  <c r="L102" i="1"/>
  <c r="M102" i="1" s="1"/>
  <c r="V102" i="1"/>
  <c r="W102" i="1" s="1"/>
  <c r="G65" i="3"/>
  <c r="H65" i="3" s="1"/>
  <c r="E65" i="3"/>
  <c r="F65" i="3" s="1"/>
  <c r="R107" i="1"/>
  <c r="S107" i="1" s="1"/>
  <c r="J107" i="1"/>
  <c r="K107" i="1" s="1"/>
  <c r="T107" i="1"/>
  <c r="U107" i="1" s="1"/>
  <c r="P108" i="1"/>
  <c r="Q108" i="1" s="1"/>
  <c r="L108" i="1"/>
  <c r="M108" i="1" s="1"/>
  <c r="V108" i="1"/>
  <c r="W108" i="1" s="1"/>
  <c r="E71" i="3"/>
  <c r="F71" i="3" s="1"/>
  <c r="G71" i="3"/>
  <c r="H71" i="3" s="1"/>
  <c r="R110" i="1"/>
  <c r="S110" i="1" s="1"/>
  <c r="P110" i="1"/>
  <c r="Q110" i="1" s="1"/>
  <c r="L110" i="1"/>
  <c r="M110" i="1" s="1"/>
  <c r="G86" i="3"/>
  <c r="H86" i="3" s="1"/>
  <c r="E86" i="3"/>
  <c r="F86" i="3" s="1"/>
  <c r="E62" i="3"/>
  <c r="F62" i="3" s="1"/>
  <c r="G62" i="3"/>
  <c r="H62" i="3" s="1"/>
  <c r="G72" i="3"/>
  <c r="H72" i="3" s="1"/>
  <c r="E72" i="3"/>
  <c r="F72" i="3" s="1"/>
  <c r="P112" i="1"/>
  <c r="Q112" i="1" s="1"/>
  <c r="V112" i="1"/>
  <c r="W112" i="1" s="1"/>
  <c r="G90" i="3"/>
  <c r="H90" i="3" s="1"/>
  <c r="E90" i="3"/>
  <c r="F90" i="3" s="1"/>
  <c r="G100" i="3"/>
  <c r="H100" i="3" s="1"/>
  <c r="E100" i="3"/>
  <c r="F100" i="3" s="1"/>
  <c r="G113" i="3"/>
  <c r="H113" i="3" s="1"/>
  <c r="E113" i="3"/>
  <c r="F113" i="3" s="1"/>
  <c r="R37" i="1"/>
  <c r="V43" i="1"/>
  <c r="W43" i="1" s="1"/>
  <c r="V59" i="1"/>
  <c r="W59" i="1" s="1"/>
  <c r="V51" i="1"/>
  <c r="W51" i="1" s="1"/>
  <c r="V37" i="1"/>
  <c r="W37" i="1" s="1"/>
  <c r="V58" i="1"/>
  <c r="W58" i="1" s="1"/>
  <c r="T41" i="1"/>
  <c r="U41" i="1" s="1"/>
  <c r="H43" i="1"/>
  <c r="I43" i="1" s="1"/>
  <c r="J58" i="1"/>
  <c r="K58" i="1" s="1"/>
  <c r="H50" i="1"/>
  <c r="I50" i="1" s="1"/>
  <c r="J46" i="1"/>
  <c r="K46" i="1" s="1"/>
  <c r="L43" i="1"/>
  <c r="M43" i="1" s="1"/>
  <c r="L54" i="1"/>
  <c r="M54" i="1" s="1"/>
  <c r="N50" i="1"/>
  <c r="O50" i="1" s="1"/>
  <c r="V94" i="1"/>
  <c r="W94" i="1" s="1"/>
  <c r="N95" i="1"/>
  <c r="O95" i="1" s="1"/>
  <c r="G59" i="3"/>
  <c r="H59" i="3" s="1"/>
  <c r="N97" i="1"/>
  <c r="O97" i="1" s="1"/>
  <c r="H100" i="1"/>
  <c r="I100" i="1" s="1"/>
  <c r="L101" i="1"/>
  <c r="M101" i="1" s="1"/>
  <c r="H102" i="1"/>
  <c r="I102" i="1" s="1"/>
  <c r="R102" i="1"/>
  <c r="S102" i="1" s="1"/>
  <c r="J104" i="1"/>
  <c r="K104" i="1" s="1"/>
  <c r="T104" i="1"/>
  <c r="U104" i="1" s="1"/>
  <c r="H108" i="1"/>
  <c r="I108" i="1" s="1"/>
  <c r="R108" i="1"/>
  <c r="S108" i="1" s="1"/>
  <c r="T110" i="1"/>
  <c r="U110" i="1" s="1"/>
  <c r="N110" i="1"/>
  <c r="O110" i="1" s="1"/>
  <c r="P115" i="1"/>
  <c r="Q115" i="1" s="1"/>
  <c r="N115" i="1"/>
  <c r="O115" i="1" s="1"/>
  <c r="G85" i="3"/>
  <c r="H85" i="3" s="1"/>
  <c r="E85" i="3"/>
  <c r="F85" i="3" s="1"/>
  <c r="E92" i="3"/>
  <c r="F92" i="3" s="1"/>
  <c r="G92" i="3"/>
  <c r="H92" i="3" s="1"/>
  <c r="E77" i="3"/>
  <c r="F77" i="3" s="1"/>
  <c r="R119" i="1"/>
  <c r="S119" i="1" s="1"/>
  <c r="G88" i="3"/>
  <c r="H88" i="3" s="1"/>
  <c r="E94" i="3"/>
  <c r="F94" i="3" s="1"/>
  <c r="E96" i="3"/>
  <c r="F96" i="3" s="1"/>
  <c r="G102" i="3"/>
  <c r="H102" i="3" s="1"/>
  <c r="J149" i="1"/>
  <c r="K149" i="1" s="1"/>
  <c r="L141" i="1"/>
  <c r="M141" i="1" s="1"/>
  <c r="R38" i="1"/>
  <c r="L38" i="1"/>
  <c r="M38" i="1" s="1"/>
  <c r="J38" i="1"/>
  <c r="K38" i="1" s="1"/>
  <c r="T38" i="1"/>
  <c r="U38" i="1" s="1"/>
  <c r="N38" i="1"/>
  <c r="O38" i="1" s="1"/>
  <c r="H38" i="1"/>
  <c r="I38" i="1" s="1"/>
  <c r="V38" i="1"/>
  <c r="W38" i="1" s="1"/>
  <c r="P64" i="1"/>
  <c r="Q64" i="1" s="1"/>
  <c r="L64" i="1"/>
  <c r="M64" i="1" s="1"/>
  <c r="H64" i="1"/>
  <c r="I64" i="1" s="1"/>
  <c r="T64" i="1"/>
  <c r="U64" i="1" s="1"/>
  <c r="N64" i="1"/>
  <c r="O64" i="1" s="1"/>
  <c r="V64" i="1"/>
  <c r="W64" i="1" s="1"/>
  <c r="J64" i="1"/>
  <c r="K64" i="1" s="1"/>
  <c r="G32" i="3"/>
  <c r="H32" i="3" s="1"/>
  <c r="E32" i="3"/>
  <c r="F32" i="3" s="1"/>
  <c r="R87" i="1"/>
  <c r="S87" i="1" s="1"/>
  <c r="L87" i="1"/>
  <c r="M87" i="1" s="1"/>
  <c r="H87" i="1"/>
  <c r="I87" i="1" s="1"/>
  <c r="T87" i="1"/>
  <c r="U87" i="1" s="1"/>
  <c r="P87" i="1"/>
  <c r="Q87" i="1" s="1"/>
  <c r="N87" i="1"/>
  <c r="O87" i="1" s="1"/>
  <c r="J87" i="1"/>
  <c r="K87" i="1" s="1"/>
  <c r="V87" i="1"/>
  <c r="W87" i="1" s="1"/>
  <c r="R91" i="1"/>
  <c r="S91" i="1" s="1"/>
  <c r="L91" i="1"/>
  <c r="M91" i="1" s="1"/>
  <c r="H91" i="1"/>
  <c r="I91" i="1" s="1"/>
  <c r="T91" i="1"/>
  <c r="U91" i="1" s="1"/>
  <c r="P91" i="1"/>
  <c r="Q91" i="1" s="1"/>
  <c r="N91" i="1"/>
  <c r="O91" i="1" s="1"/>
  <c r="J91" i="1"/>
  <c r="K91" i="1" s="1"/>
  <c r="V91" i="1"/>
  <c r="W91" i="1" s="1"/>
  <c r="P116" i="1"/>
  <c r="Q116" i="1" s="1"/>
  <c r="N116" i="1"/>
  <c r="O116" i="1" s="1"/>
  <c r="J116" i="1"/>
  <c r="K116" i="1" s="1"/>
  <c r="V116" i="1"/>
  <c r="W116" i="1" s="1"/>
  <c r="T116" i="1"/>
  <c r="U116" i="1" s="1"/>
  <c r="L116" i="1"/>
  <c r="M116" i="1" s="1"/>
  <c r="R116" i="1"/>
  <c r="S116" i="1" s="1"/>
  <c r="T133" i="1"/>
  <c r="U133" i="1" s="1"/>
  <c r="J133" i="1"/>
  <c r="K133" i="1" s="1"/>
  <c r="R133" i="1"/>
  <c r="S133" i="1" s="1"/>
  <c r="H133" i="1"/>
  <c r="I133" i="1" s="1"/>
  <c r="L133" i="1"/>
  <c r="M133" i="1" s="1"/>
  <c r="N133" i="1"/>
  <c r="O133" i="1" s="1"/>
  <c r="V133" i="1"/>
  <c r="W133" i="1" s="1"/>
  <c r="P133" i="1"/>
  <c r="Q133" i="1" s="1"/>
  <c r="V18" i="1"/>
  <c r="W18" i="1" s="1"/>
  <c r="P38" i="1"/>
  <c r="T48" i="1"/>
  <c r="U48" i="1" s="1"/>
  <c r="L48" i="1"/>
  <c r="M48" i="1" s="1"/>
  <c r="E26" i="3"/>
  <c r="F26" i="3" s="1"/>
  <c r="G26" i="3"/>
  <c r="H26" i="3" s="1"/>
  <c r="P66" i="1"/>
  <c r="Q66" i="1" s="1"/>
  <c r="L66" i="1"/>
  <c r="M66" i="1" s="1"/>
  <c r="H66" i="1"/>
  <c r="I66" i="1" s="1"/>
  <c r="T66" i="1"/>
  <c r="U66" i="1" s="1"/>
  <c r="R73" i="1"/>
  <c r="S73" i="1" s="1"/>
  <c r="N73" i="1"/>
  <c r="O73" i="1" s="1"/>
  <c r="J73" i="1"/>
  <c r="K73" i="1" s="1"/>
  <c r="T73" i="1"/>
  <c r="U73" i="1" s="1"/>
  <c r="P73" i="1"/>
  <c r="Q73" i="1" s="1"/>
  <c r="L73" i="1"/>
  <c r="M73" i="1" s="1"/>
  <c r="H73" i="1"/>
  <c r="I73" i="1" s="1"/>
  <c r="R77" i="1"/>
  <c r="S77" i="1" s="1"/>
  <c r="N77" i="1"/>
  <c r="O77" i="1" s="1"/>
  <c r="J77" i="1"/>
  <c r="K77" i="1" s="1"/>
  <c r="V77" i="1"/>
  <c r="W77" i="1" s="1"/>
  <c r="P77" i="1"/>
  <c r="Q77" i="1" s="1"/>
  <c r="L77" i="1"/>
  <c r="M77" i="1" s="1"/>
  <c r="H77" i="1"/>
  <c r="I77" i="1" s="1"/>
  <c r="R83" i="1"/>
  <c r="S83" i="1" s="1"/>
  <c r="L83" i="1"/>
  <c r="M83" i="1" s="1"/>
  <c r="H83" i="1"/>
  <c r="I83" i="1" s="1"/>
  <c r="T83" i="1"/>
  <c r="U83" i="1" s="1"/>
  <c r="P83" i="1"/>
  <c r="Q83" i="1" s="1"/>
  <c r="N83" i="1"/>
  <c r="O83" i="1" s="1"/>
  <c r="J83" i="1"/>
  <c r="K83" i="1" s="1"/>
  <c r="V83" i="1"/>
  <c r="W83" i="1" s="1"/>
  <c r="E112" i="3"/>
  <c r="F112" i="3" s="1"/>
  <c r="G112" i="3"/>
  <c r="H112" i="3" s="1"/>
  <c r="L26" i="1"/>
  <c r="M26" i="1" s="1"/>
  <c r="J26" i="1"/>
  <c r="K26" i="1" s="1"/>
  <c r="T26" i="1"/>
  <c r="U26" i="1" s="1"/>
  <c r="N26" i="1"/>
  <c r="O26" i="1" s="1"/>
  <c r="H26" i="1"/>
  <c r="I26" i="1" s="1"/>
  <c r="V26" i="1"/>
  <c r="W26" i="1" s="1"/>
  <c r="L30" i="1"/>
  <c r="M30" i="1" s="1"/>
  <c r="J30" i="1"/>
  <c r="K30" i="1" s="1"/>
  <c r="T30" i="1"/>
  <c r="U30" i="1" s="1"/>
  <c r="N30" i="1"/>
  <c r="O30" i="1" s="1"/>
  <c r="H30" i="1"/>
  <c r="I30" i="1" s="1"/>
  <c r="V30" i="1"/>
  <c r="W30" i="1" s="1"/>
  <c r="R35" i="1"/>
  <c r="L35" i="1"/>
  <c r="M35" i="1" s="1"/>
  <c r="J35" i="1"/>
  <c r="T35" i="1"/>
  <c r="U35" i="1" s="1"/>
  <c r="N35" i="1"/>
  <c r="H35" i="1"/>
  <c r="V35" i="1"/>
  <c r="L16" i="1"/>
  <c r="M16" i="1" s="1"/>
  <c r="J16" i="1"/>
  <c r="K16" i="1" s="1"/>
  <c r="T16" i="1"/>
  <c r="U16" i="1" s="1"/>
  <c r="N16" i="1"/>
  <c r="O16" i="1" s="1"/>
  <c r="H16" i="1"/>
  <c r="I16" i="1" s="1"/>
  <c r="V16" i="1"/>
  <c r="W16" i="1" s="1"/>
  <c r="L20" i="1"/>
  <c r="M20" i="1" s="1"/>
  <c r="J20" i="1"/>
  <c r="K20" i="1" s="1"/>
  <c r="T20" i="1"/>
  <c r="U20" i="1" s="1"/>
  <c r="N20" i="1"/>
  <c r="O20" i="1" s="1"/>
  <c r="H20" i="1"/>
  <c r="I20" i="1" s="1"/>
  <c r="V20" i="1"/>
  <c r="W20" i="1" s="1"/>
  <c r="L9" i="1"/>
  <c r="M9" i="1" s="1"/>
  <c r="H9" i="1"/>
  <c r="I9" i="1" s="1"/>
  <c r="T9" i="1"/>
  <c r="U9" i="1" s="1"/>
  <c r="N9" i="1"/>
  <c r="O9" i="1" s="1"/>
  <c r="J9" i="1"/>
  <c r="K9" i="1" s="1"/>
  <c r="V9" i="1"/>
  <c r="W9" i="1" s="1"/>
  <c r="L4" i="1"/>
  <c r="M4" i="1" s="1"/>
  <c r="H4" i="1"/>
  <c r="I4" i="1" s="1"/>
  <c r="T4" i="1"/>
  <c r="U4" i="1" s="1"/>
  <c r="N4" i="1"/>
  <c r="O4" i="1" s="1"/>
  <c r="V4" i="1"/>
  <c r="W4" i="1" s="1"/>
  <c r="R4" i="1"/>
  <c r="S4" i="1" s="1"/>
  <c r="R26" i="1"/>
  <c r="S26" i="1" s="1"/>
  <c r="P35" i="1"/>
  <c r="P16" i="1"/>
  <c r="Q16" i="1" s="1"/>
  <c r="N24" i="1"/>
  <c r="O24" i="1" s="1"/>
  <c r="V24" i="1"/>
  <c r="W24" i="1" s="1"/>
  <c r="L24" i="1"/>
  <c r="M24" i="1" s="1"/>
  <c r="T24" i="1"/>
  <c r="U24" i="1" s="1"/>
  <c r="L28" i="1"/>
  <c r="M28" i="1" s="1"/>
  <c r="T28" i="1"/>
  <c r="U28" i="1" s="1"/>
  <c r="N28" i="1"/>
  <c r="O28" i="1" s="1"/>
  <c r="L32" i="1"/>
  <c r="M32" i="1" s="1"/>
  <c r="V32" i="1"/>
  <c r="W32" i="1" s="1"/>
  <c r="N32" i="1"/>
  <c r="O32" i="1" s="1"/>
  <c r="T32" i="1"/>
  <c r="U32" i="1" s="1"/>
  <c r="L21" i="1"/>
  <c r="M21" i="1" s="1"/>
  <c r="T21" i="1"/>
  <c r="U21" i="1" s="1"/>
  <c r="N21" i="1"/>
  <c r="O21" i="1" s="1"/>
  <c r="N14" i="1"/>
  <c r="O14" i="1" s="1"/>
  <c r="V14" i="1"/>
  <c r="W14" i="1" s="1"/>
  <c r="L14" i="1"/>
  <c r="M14" i="1" s="1"/>
  <c r="T14" i="1"/>
  <c r="U14" i="1" s="1"/>
  <c r="L18" i="1"/>
  <c r="M18" i="1" s="1"/>
  <c r="T18" i="1"/>
  <c r="U18" i="1" s="1"/>
  <c r="N18" i="1"/>
  <c r="O18" i="1" s="1"/>
  <c r="L7" i="1"/>
  <c r="M7" i="1" s="1"/>
  <c r="V7" i="1"/>
  <c r="W7" i="1" s="1"/>
  <c r="N7" i="1"/>
  <c r="O7" i="1" s="1"/>
  <c r="T7" i="1"/>
  <c r="U7" i="1" s="1"/>
  <c r="L11" i="1"/>
  <c r="M11" i="1" s="1"/>
  <c r="T11" i="1"/>
  <c r="U11" i="1" s="1"/>
  <c r="N11" i="1"/>
  <c r="O11" i="1" s="1"/>
  <c r="J3" i="1"/>
  <c r="T3" i="1"/>
  <c r="R3" i="1"/>
  <c r="L3" i="1"/>
  <c r="P39" i="1"/>
  <c r="N39" i="1"/>
  <c r="O39" i="1" s="1"/>
  <c r="V39" i="1"/>
  <c r="W39" i="1" s="1"/>
  <c r="R44" i="1"/>
  <c r="S44" i="1" s="1"/>
  <c r="N44" i="1"/>
  <c r="O44" i="1" s="1"/>
  <c r="J44" i="1"/>
  <c r="K44" i="1" s="1"/>
  <c r="P44" i="1"/>
  <c r="Q44" i="1" s="1"/>
  <c r="L44" i="1"/>
  <c r="M44" i="1" s="1"/>
  <c r="H44" i="1"/>
  <c r="I44" i="1" s="1"/>
  <c r="T44" i="1"/>
  <c r="U44" i="1" s="1"/>
  <c r="P48" i="1"/>
  <c r="Q48" i="1" s="1"/>
  <c r="N48" i="1"/>
  <c r="O48" i="1" s="1"/>
  <c r="V48" i="1"/>
  <c r="W48" i="1" s="1"/>
  <c r="P52" i="1"/>
  <c r="Q52" i="1" s="1"/>
  <c r="N52" i="1"/>
  <c r="O52" i="1" s="1"/>
  <c r="R52" i="1"/>
  <c r="S52" i="1" s="1"/>
  <c r="L52" i="1"/>
  <c r="M52" i="1" s="1"/>
  <c r="J52" i="1"/>
  <c r="K52" i="1" s="1"/>
  <c r="T52" i="1"/>
  <c r="U52" i="1" s="1"/>
  <c r="H52" i="1"/>
  <c r="I52" i="1" s="1"/>
  <c r="P56" i="1"/>
  <c r="Q56" i="1" s="1"/>
  <c r="N56" i="1"/>
  <c r="O56" i="1" s="1"/>
  <c r="V56" i="1"/>
  <c r="W56" i="1" s="1"/>
  <c r="E4" i="3"/>
  <c r="G4" i="3"/>
  <c r="H4" i="3" s="1"/>
  <c r="E8" i="3"/>
  <c r="F8" i="3" s="1"/>
  <c r="G8" i="3"/>
  <c r="H8" i="3" s="1"/>
  <c r="E12" i="3"/>
  <c r="F12" i="3" s="1"/>
  <c r="G12" i="3"/>
  <c r="H12" i="3" s="1"/>
  <c r="E28" i="3"/>
  <c r="F28" i="3" s="1"/>
  <c r="G28" i="3"/>
  <c r="H28" i="3" s="1"/>
  <c r="P68" i="1"/>
  <c r="Q68" i="1" s="1"/>
  <c r="L68" i="1"/>
  <c r="M68" i="1" s="1"/>
  <c r="H68" i="1"/>
  <c r="I68" i="1" s="1"/>
  <c r="T68" i="1"/>
  <c r="U68" i="1" s="1"/>
  <c r="J68" i="1"/>
  <c r="K68" i="1" s="1"/>
  <c r="R68" i="1"/>
  <c r="S68" i="1" s="1"/>
  <c r="N68" i="1"/>
  <c r="O68" i="1" s="1"/>
  <c r="V68" i="1"/>
  <c r="W68" i="1" s="1"/>
  <c r="V3" i="1"/>
  <c r="H3" i="1"/>
  <c r="V28" i="1"/>
  <c r="W28" i="1" s="1"/>
  <c r="J7" i="1"/>
  <c r="K7" i="1" s="1"/>
  <c r="H14" i="1"/>
  <c r="I14" i="1" s="1"/>
  <c r="J32" i="1"/>
  <c r="K32" i="1" s="1"/>
  <c r="J24" i="1"/>
  <c r="K24" i="1" s="1"/>
  <c r="P9" i="1"/>
  <c r="Q9" i="1" s="1"/>
  <c r="P26" i="1"/>
  <c r="Q26" i="1" s="1"/>
  <c r="R28" i="1"/>
  <c r="S28" i="1" s="1"/>
  <c r="R11" i="1"/>
  <c r="S11" i="1" s="1"/>
  <c r="P18" i="1"/>
  <c r="Q18" i="1" s="1"/>
  <c r="P21" i="1"/>
  <c r="Q21" i="1" s="1"/>
  <c r="R24" i="1"/>
  <c r="S24" i="1" s="1"/>
  <c r="R30" i="1"/>
  <c r="S30" i="1" s="1"/>
  <c r="V44" i="1"/>
  <c r="W44" i="1" s="1"/>
  <c r="J48" i="1"/>
  <c r="K48" i="1" s="1"/>
  <c r="J39" i="1"/>
  <c r="K39" i="1" s="1"/>
  <c r="R39" i="1"/>
  <c r="J66" i="1"/>
  <c r="K66" i="1" s="1"/>
  <c r="R66" i="1"/>
  <c r="S66" i="1" s="1"/>
  <c r="E30" i="3"/>
  <c r="F30" i="3" s="1"/>
  <c r="G30" i="3"/>
  <c r="H30" i="3" s="1"/>
  <c r="P70" i="1"/>
  <c r="Q70" i="1" s="1"/>
  <c r="L70" i="1"/>
  <c r="M70" i="1" s="1"/>
  <c r="H70" i="1"/>
  <c r="I70" i="1" s="1"/>
  <c r="T70" i="1"/>
  <c r="U70" i="1" s="1"/>
  <c r="R70" i="1"/>
  <c r="S70" i="1" s="1"/>
  <c r="V73" i="1"/>
  <c r="W73" i="1" s="1"/>
  <c r="R75" i="1"/>
  <c r="S75" i="1" s="1"/>
  <c r="N75" i="1"/>
  <c r="O75" i="1" s="1"/>
  <c r="J75" i="1"/>
  <c r="K75" i="1" s="1"/>
  <c r="T75" i="1"/>
  <c r="U75" i="1" s="1"/>
  <c r="P75" i="1"/>
  <c r="Q75" i="1" s="1"/>
  <c r="L75" i="1"/>
  <c r="M75" i="1" s="1"/>
  <c r="H75" i="1"/>
  <c r="I75" i="1" s="1"/>
  <c r="V75" i="1"/>
  <c r="W75" i="1" s="1"/>
  <c r="R79" i="1"/>
  <c r="S79" i="1" s="1"/>
  <c r="N79" i="1"/>
  <c r="O79" i="1" s="1"/>
  <c r="J79" i="1"/>
  <c r="K79" i="1" s="1"/>
  <c r="V79" i="1"/>
  <c r="W79" i="1" s="1"/>
  <c r="P79" i="1"/>
  <c r="Q79" i="1" s="1"/>
  <c r="L79" i="1"/>
  <c r="M79" i="1" s="1"/>
  <c r="H79" i="1"/>
  <c r="I79" i="1" s="1"/>
  <c r="T79" i="1"/>
  <c r="U79" i="1" s="1"/>
  <c r="P81" i="1"/>
  <c r="Q81" i="1" s="1"/>
  <c r="L81" i="1"/>
  <c r="M81" i="1" s="1"/>
  <c r="H81" i="1"/>
  <c r="I81" i="1" s="1"/>
  <c r="T81" i="1"/>
  <c r="U81" i="1" s="1"/>
  <c r="R81" i="1"/>
  <c r="S81" i="1" s="1"/>
  <c r="N81" i="1"/>
  <c r="O81" i="1" s="1"/>
  <c r="J81" i="1"/>
  <c r="K81" i="1" s="1"/>
  <c r="V81" i="1"/>
  <c r="W81" i="1" s="1"/>
  <c r="H116" i="1"/>
  <c r="I116" i="1" s="1"/>
  <c r="T131" i="1"/>
  <c r="U131" i="1" s="1"/>
  <c r="L131" i="1"/>
  <c r="M131" i="1" s="1"/>
  <c r="J131" i="1"/>
  <c r="K131" i="1" s="1"/>
  <c r="R131" i="1"/>
  <c r="S131" i="1" s="1"/>
  <c r="V131" i="1"/>
  <c r="W131" i="1" s="1"/>
  <c r="H131" i="1"/>
  <c r="I131" i="1" s="1"/>
  <c r="P131" i="1"/>
  <c r="Q131" i="1" s="1"/>
  <c r="N131" i="1"/>
  <c r="O131" i="1" s="1"/>
  <c r="P43" i="1"/>
  <c r="Q43" i="1" s="1"/>
  <c r="N43" i="1"/>
  <c r="O43" i="1" s="1"/>
  <c r="R47" i="1"/>
  <c r="S47" i="1" s="1"/>
  <c r="N47" i="1"/>
  <c r="O47" i="1" s="1"/>
  <c r="R51" i="1"/>
  <c r="S51" i="1" s="1"/>
  <c r="N51" i="1"/>
  <c r="O51" i="1" s="1"/>
  <c r="R55" i="1"/>
  <c r="S55" i="1" s="1"/>
  <c r="N55" i="1"/>
  <c r="O55" i="1" s="1"/>
  <c r="R59" i="1"/>
  <c r="S59" i="1" s="1"/>
  <c r="N59" i="1"/>
  <c r="O59" i="1" s="1"/>
  <c r="P60" i="1"/>
  <c r="Q60" i="1" s="1"/>
  <c r="N60" i="1"/>
  <c r="O60" i="1" s="1"/>
  <c r="R61" i="1"/>
  <c r="S61" i="1" s="1"/>
  <c r="N61" i="1"/>
  <c r="O61" i="1" s="1"/>
  <c r="P62" i="1"/>
  <c r="Q62" i="1" s="1"/>
  <c r="L62" i="1"/>
  <c r="M62" i="1" s="1"/>
  <c r="P65" i="1"/>
  <c r="Q65" i="1" s="1"/>
  <c r="L65" i="1"/>
  <c r="M65" i="1" s="1"/>
  <c r="H65" i="1"/>
  <c r="I65" i="1" s="1"/>
  <c r="V65" i="1"/>
  <c r="W65" i="1" s="1"/>
  <c r="P69" i="1"/>
  <c r="Q69" i="1" s="1"/>
  <c r="L69" i="1"/>
  <c r="M69" i="1" s="1"/>
  <c r="H69" i="1"/>
  <c r="I69" i="1" s="1"/>
  <c r="V69" i="1"/>
  <c r="W69" i="1" s="1"/>
  <c r="R72" i="1"/>
  <c r="S72" i="1" s="1"/>
  <c r="N72" i="1"/>
  <c r="O72" i="1" s="1"/>
  <c r="J72" i="1"/>
  <c r="K72" i="1" s="1"/>
  <c r="V72" i="1"/>
  <c r="W72" i="1" s="1"/>
  <c r="P72" i="1"/>
  <c r="Q72" i="1" s="1"/>
  <c r="L72" i="1"/>
  <c r="M72" i="1" s="1"/>
  <c r="H72" i="1"/>
  <c r="I72" i="1" s="1"/>
  <c r="R76" i="1"/>
  <c r="S76" i="1" s="1"/>
  <c r="N76" i="1"/>
  <c r="O76" i="1" s="1"/>
  <c r="J76" i="1"/>
  <c r="K76" i="1" s="1"/>
  <c r="V76" i="1"/>
  <c r="W76" i="1" s="1"/>
  <c r="P76" i="1"/>
  <c r="Q76" i="1" s="1"/>
  <c r="L76" i="1"/>
  <c r="M76" i="1" s="1"/>
  <c r="H76" i="1"/>
  <c r="I76" i="1" s="1"/>
  <c r="R80" i="1"/>
  <c r="S80" i="1" s="1"/>
  <c r="N80" i="1"/>
  <c r="O80" i="1" s="1"/>
  <c r="J80" i="1"/>
  <c r="K80" i="1" s="1"/>
  <c r="V80" i="1"/>
  <c r="W80" i="1" s="1"/>
  <c r="P80" i="1"/>
  <c r="Q80" i="1" s="1"/>
  <c r="L80" i="1"/>
  <c r="M80" i="1" s="1"/>
  <c r="H80" i="1"/>
  <c r="I80" i="1" s="1"/>
  <c r="P84" i="1"/>
  <c r="Q84" i="1" s="1"/>
  <c r="N84" i="1"/>
  <c r="O84" i="1" s="1"/>
  <c r="J84" i="1"/>
  <c r="K84" i="1" s="1"/>
  <c r="V84" i="1"/>
  <c r="W84" i="1" s="1"/>
  <c r="R84" i="1"/>
  <c r="S84" i="1" s="1"/>
  <c r="L84" i="1"/>
  <c r="M84" i="1" s="1"/>
  <c r="H84" i="1"/>
  <c r="I84" i="1" s="1"/>
  <c r="T84" i="1"/>
  <c r="U84" i="1" s="1"/>
  <c r="P88" i="1"/>
  <c r="Q88" i="1" s="1"/>
  <c r="N88" i="1"/>
  <c r="O88" i="1" s="1"/>
  <c r="J88" i="1"/>
  <c r="K88" i="1" s="1"/>
  <c r="V88" i="1"/>
  <c r="W88" i="1" s="1"/>
  <c r="R88" i="1"/>
  <c r="S88" i="1" s="1"/>
  <c r="L88" i="1"/>
  <c r="M88" i="1" s="1"/>
  <c r="H88" i="1"/>
  <c r="I88" i="1" s="1"/>
  <c r="T88" i="1"/>
  <c r="U88" i="1" s="1"/>
  <c r="P92" i="1"/>
  <c r="Q92" i="1" s="1"/>
  <c r="N92" i="1"/>
  <c r="O92" i="1" s="1"/>
  <c r="J92" i="1"/>
  <c r="K92" i="1" s="1"/>
  <c r="V92" i="1"/>
  <c r="W92" i="1" s="1"/>
  <c r="R92" i="1"/>
  <c r="S92" i="1" s="1"/>
  <c r="L92" i="1"/>
  <c r="M92" i="1" s="1"/>
  <c r="H92" i="1"/>
  <c r="I92" i="1" s="1"/>
  <c r="T92" i="1"/>
  <c r="U92" i="1" s="1"/>
  <c r="R113" i="1"/>
  <c r="S113" i="1" s="1"/>
  <c r="L113" i="1"/>
  <c r="M113" i="1" s="1"/>
  <c r="H113" i="1"/>
  <c r="I113" i="1" s="1"/>
  <c r="T113" i="1"/>
  <c r="U113" i="1" s="1"/>
  <c r="J113" i="1"/>
  <c r="K113" i="1" s="1"/>
  <c r="P113" i="1"/>
  <c r="Q113" i="1" s="1"/>
  <c r="R120" i="1"/>
  <c r="S120" i="1" s="1"/>
  <c r="L120" i="1"/>
  <c r="M120" i="1" s="1"/>
  <c r="H120" i="1"/>
  <c r="I120" i="1" s="1"/>
  <c r="T120" i="1"/>
  <c r="U120" i="1" s="1"/>
  <c r="J120" i="1"/>
  <c r="K120" i="1" s="1"/>
  <c r="P120" i="1"/>
  <c r="Q120" i="1" s="1"/>
  <c r="N120" i="1"/>
  <c r="O120" i="1" s="1"/>
  <c r="P124" i="1"/>
  <c r="Q124" i="1" s="1"/>
  <c r="N124" i="1"/>
  <c r="O124" i="1" s="1"/>
  <c r="J124" i="1"/>
  <c r="K124" i="1" s="1"/>
  <c r="V124" i="1"/>
  <c r="W124" i="1" s="1"/>
  <c r="R124" i="1"/>
  <c r="S124" i="1" s="1"/>
  <c r="L124" i="1"/>
  <c r="M124" i="1" s="1"/>
  <c r="H124" i="1"/>
  <c r="I124" i="1" s="1"/>
  <c r="T124" i="1"/>
  <c r="U124" i="1" s="1"/>
  <c r="R126" i="1"/>
  <c r="S126" i="1" s="1"/>
  <c r="L126" i="1"/>
  <c r="M126" i="1" s="1"/>
  <c r="H126" i="1"/>
  <c r="I126" i="1" s="1"/>
  <c r="T126" i="1"/>
  <c r="U126" i="1" s="1"/>
  <c r="P126" i="1"/>
  <c r="Q126" i="1" s="1"/>
  <c r="N126" i="1"/>
  <c r="O126" i="1" s="1"/>
  <c r="J126" i="1"/>
  <c r="K126" i="1" s="1"/>
  <c r="V126" i="1"/>
  <c r="W126" i="1" s="1"/>
  <c r="R85" i="1"/>
  <c r="S85" i="1" s="1"/>
  <c r="L85" i="1"/>
  <c r="M85" i="1" s="1"/>
  <c r="H85" i="1"/>
  <c r="I85" i="1" s="1"/>
  <c r="T85" i="1"/>
  <c r="U85" i="1" s="1"/>
  <c r="P85" i="1"/>
  <c r="Q85" i="1" s="1"/>
  <c r="N85" i="1"/>
  <c r="O85" i="1" s="1"/>
  <c r="J85" i="1"/>
  <c r="K85" i="1" s="1"/>
  <c r="V85" i="1"/>
  <c r="W85" i="1" s="1"/>
  <c r="R89" i="1"/>
  <c r="S89" i="1" s="1"/>
  <c r="L89" i="1"/>
  <c r="M89" i="1" s="1"/>
  <c r="H89" i="1"/>
  <c r="I89" i="1" s="1"/>
  <c r="T89" i="1"/>
  <c r="U89" i="1" s="1"/>
  <c r="P89" i="1"/>
  <c r="Q89" i="1" s="1"/>
  <c r="N89" i="1"/>
  <c r="O89" i="1" s="1"/>
  <c r="J89" i="1"/>
  <c r="K89" i="1" s="1"/>
  <c r="V89" i="1"/>
  <c r="W89" i="1" s="1"/>
  <c r="R93" i="1"/>
  <c r="S93" i="1" s="1"/>
  <c r="L93" i="1"/>
  <c r="M93" i="1" s="1"/>
  <c r="H93" i="1"/>
  <c r="I93" i="1" s="1"/>
  <c r="T93" i="1"/>
  <c r="U93" i="1" s="1"/>
  <c r="P93" i="1"/>
  <c r="Q93" i="1" s="1"/>
  <c r="N93" i="1"/>
  <c r="O93" i="1" s="1"/>
  <c r="J93" i="1"/>
  <c r="K93" i="1" s="1"/>
  <c r="V93" i="1"/>
  <c r="W93" i="1" s="1"/>
  <c r="G75" i="3"/>
  <c r="H75" i="3" s="1"/>
  <c r="E75" i="3"/>
  <c r="F75" i="3" s="1"/>
  <c r="R117" i="1"/>
  <c r="S117" i="1" s="1"/>
  <c r="L117" i="1"/>
  <c r="M117" i="1" s="1"/>
  <c r="H117" i="1"/>
  <c r="I117" i="1" s="1"/>
  <c r="T117" i="1"/>
  <c r="U117" i="1" s="1"/>
  <c r="P117" i="1"/>
  <c r="Q117" i="1" s="1"/>
  <c r="J117" i="1"/>
  <c r="K117" i="1" s="1"/>
  <c r="V135" i="1"/>
  <c r="W135" i="1" s="1"/>
  <c r="L135" i="1"/>
  <c r="M135" i="1" s="1"/>
  <c r="T135" i="1"/>
  <c r="U135" i="1" s="1"/>
  <c r="N135" i="1"/>
  <c r="O135" i="1" s="1"/>
  <c r="H135" i="1"/>
  <c r="I135" i="1" s="1"/>
  <c r="P135" i="1"/>
  <c r="Q135" i="1" s="1"/>
  <c r="J135" i="1"/>
  <c r="K135" i="1" s="1"/>
  <c r="R135" i="1"/>
  <c r="S135" i="1" s="1"/>
  <c r="P143" i="1"/>
  <c r="Q143" i="1" s="1"/>
  <c r="V143" i="1"/>
  <c r="W143" i="1" s="1"/>
  <c r="R143" i="1"/>
  <c r="S143" i="1" s="1"/>
  <c r="T143" i="1"/>
  <c r="U143" i="1" s="1"/>
  <c r="J143" i="1"/>
  <c r="K143" i="1" s="1"/>
  <c r="H143" i="1"/>
  <c r="I143" i="1" s="1"/>
  <c r="V150" i="1"/>
  <c r="W150" i="1" s="1"/>
  <c r="P150" i="1"/>
  <c r="Q150" i="1" s="1"/>
  <c r="R150" i="1"/>
  <c r="S150" i="1" s="1"/>
  <c r="L150" i="1"/>
  <c r="M150" i="1" s="1"/>
  <c r="N150" i="1"/>
  <c r="O150" i="1" s="1"/>
  <c r="T150" i="1"/>
  <c r="U150" i="1" s="1"/>
  <c r="T5" i="1"/>
  <c r="U5" i="1" s="1"/>
  <c r="T10" i="1"/>
  <c r="U10" i="1" s="1"/>
  <c r="T6" i="1"/>
  <c r="U6" i="1" s="1"/>
  <c r="T17" i="1"/>
  <c r="U17" i="1" s="1"/>
  <c r="T13" i="1"/>
  <c r="U13" i="1" s="1"/>
  <c r="T22" i="1"/>
  <c r="U22" i="1" s="1"/>
  <c r="T31" i="1"/>
  <c r="U31" i="1" s="1"/>
  <c r="T27" i="1"/>
  <c r="U27" i="1" s="1"/>
  <c r="T23" i="1"/>
  <c r="U23" i="1" s="1"/>
  <c r="J10" i="1"/>
  <c r="K10" i="1" s="1"/>
  <c r="J6" i="1"/>
  <c r="K6" i="1" s="1"/>
  <c r="H17" i="1"/>
  <c r="I17" i="1" s="1"/>
  <c r="J13" i="1"/>
  <c r="K13" i="1" s="1"/>
  <c r="H22" i="1"/>
  <c r="I22" i="1" s="1"/>
  <c r="H31" i="1"/>
  <c r="I31" i="1" s="1"/>
  <c r="H27" i="1"/>
  <c r="I27" i="1" s="1"/>
  <c r="H23" i="1"/>
  <c r="I23" i="1" s="1"/>
  <c r="G19" i="3"/>
  <c r="H19" i="3" s="1"/>
  <c r="T43" i="1"/>
  <c r="U43" i="1" s="1"/>
  <c r="V60" i="1"/>
  <c r="W60" i="1" s="1"/>
  <c r="T61" i="1"/>
  <c r="U61" i="1" s="1"/>
  <c r="V55" i="1"/>
  <c r="W55" i="1" s="1"/>
  <c r="T47" i="1"/>
  <c r="U47" i="1" s="1"/>
  <c r="T62" i="1"/>
  <c r="U62" i="1" s="1"/>
  <c r="H61" i="1"/>
  <c r="I61" i="1" s="1"/>
  <c r="H55" i="1"/>
  <c r="I55" i="1" s="1"/>
  <c r="H47" i="1"/>
  <c r="I47" i="1" s="1"/>
  <c r="J37" i="1"/>
  <c r="K37" i="1" s="1"/>
  <c r="J60" i="1"/>
  <c r="K60" i="1" s="1"/>
  <c r="L51" i="1"/>
  <c r="M51" i="1" s="1"/>
  <c r="L60" i="1"/>
  <c r="M60" i="1" s="1"/>
  <c r="N62" i="1"/>
  <c r="O62" i="1" s="1"/>
  <c r="P55" i="1"/>
  <c r="Q55" i="1" s="1"/>
  <c r="P37" i="1"/>
  <c r="R62" i="1"/>
  <c r="S62" i="1" s="1"/>
  <c r="P47" i="1"/>
  <c r="Q47" i="1" s="1"/>
  <c r="R40" i="1"/>
  <c r="J40" i="1"/>
  <c r="R42" i="1"/>
  <c r="S42" i="1" s="1"/>
  <c r="L42" i="1"/>
  <c r="P45" i="1"/>
  <c r="Q45" i="1" s="1"/>
  <c r="N45" i="1"/>
  <c r="O45" i="1" s="1"/>
  <c r="P49" i="1"/>
  <c r="Q49" i="1" s="1"/>
  <c r="N49" i="1"/>
  <c r="O49" i="1" s="1"/>
  <c r="P53" i="1"/>
  <c r="Q53" i="1" s="1"/>
  <c r="L53" i="1"/>
  <c r="M53" i="1" s="1"/>
  <c r="P57" i="1"/>
  <c r="Q57" i="1" s="1"/>
  <c r="N57" i="1"/>
  <c r="O57" i="1" s="1"/>
  <c r="T65" i="1"/>
  <c r="U65" i="1" s="1"/>
  <c r="J69" i="1"/>
  <c r="K69" i="1" s="1"/>
  <c r="R69" i="1"/>
  <c r="S69" i="1" s="1"/>
  <c r="P63" i="1"/>
  <c r="Q63" i="1" s="1"/>
  <c r="L63" i="1"/>
  <c r="M63" i="1" s="1"/>
  <c r="H63" i="1"/>
  <c r="I63" i="1" s="1"/>
  <c r="V63" i="1"/>
  <c r="W63" i="1" s="1"/>
  <c r="P67" i="1"/>
  <c r="Q67" i="1" s="1"/>
  <c r="L67" i="1"/>
  <c r="M67" i="1" s="1"/>
  <c r="H67" i="1"/>
  <c r="I67" i="1" s="1"/>
  <c r="V67" i="1"/>
  <c r="W67" i="1" s="1"/>
  <c r="P71" i="1"/>
  <c r="Q71" i="1" s="1"/>
  <c r="L71" i="1"/>
  <c r="M71" i="1" s="1"/>
  <c r="H71" i="1"/>
  <c r="I71" i="1" s="1"/>
  <c r="V71" i="1"/>
  <c r="W71" i="1" s="1"/>
  <c r="R74" i="1"/>
  <c r="S74" i="1" s="1"/>
  <c r="N74" i="1"/>
  <c r="O74" i="1" s="1"/>
  <c r="J74" i="1"/>
  <c r="K74" i="1" s="1"/>
  <c r="V74" i="1"/>
  <c r="W74" i="1" s="1"/>
  <c r="P74" i="1"/>
  <c r="Q74" i="1" s="1"/>
  <c r="L74" i="1"/>
  <c r="M74" i="1" s="1"/>
  <c r="H74" i="1"/>
  <c r="I74" i="1" s="1"/>
  <c r="R78" i="1"/>
  <c r="S78" i="1" s="1"/>
  <c r="N78" i="1"/>
  <c r="O78" i="1" s="1"/>
  <c r="J78" i="1"/>
  <c r="K78" i="1" s="1"/>
  <c r="V78" i="1"/>
  <c r="W78" i="1" s="1"/>
  <c r="P78" i="1"/>
  <c r="Q78" i="1" s="1"/>
  <c r="L78" i="1"/>
  <c r="M78" i="1" s="1"/>
  <c r="H78" i="1"/>
  <c r="I78" i="1" s="1"/>
  <c r="R82" i="1"/>
  <c r="S82" i="1" s="1"/>
  <c r="N82" i="1"/>
  <c r="O82" i="1" s="1"/>
  <c r="J82" i="1"/>
  <c r="K82" i="1" s="1"/>
  <c r="V82" i="1"/>
  <c r="W82" i="1" s="1"/>
  <c r="P82" i="1"/>
  <c r="Q82" i="1" s="1"/>
  <c r="L82" i="1"/>
  <c r="M82" i="1" s="1"/>
  <c r="H82" i="1"/>
  <c r="I82" i="1" s="1"/>
  <c r="T82" i="1"/>
  <c r="U82" i="1" s="1"/>
  <c r="P86" i="1"/>
  <c r="Q86" i="1" s="1"/>
  <c r="N86" i="1"/>
  <c r="O86" i="1" s="1"/>
  <c r="J86" i="1"/>
  <c r="K86" i="1" s="1"/>
  <c r="V86" i="1"/>
  <c r="W86" i="1" s="1"/>
  <c r="R86" i="1"/>
  <c r="S86" i="1" s="1"/>
  <c r="L86" i="1"/>
  <c r="M86" i="1" s="1"/>
  <c r="H86" i="1"/>
  <c r="I86" i="1" s="1"/>
  <c r="T86" i="1"/>
  <c r="U86" i="1" s="1"/>
  <c r="P90" i="1"/>
  <c r="Q90" i="1" s="1"/>
  <c r="N90" i="1"/>
  <c r="O90" i="1" s="1"/>
  <c r="J90" i="1"/>
  <c r="K90" i="1" s="1"/>
  <c r="V90" i="1"/>
  <c r="W90" i="1" s="1"/>
  <c r="R90" i="1"/>
  <c r="S90" i="1" s="1"/>
  <c r="L90" i="1"/>
  <c r="M90" i="1" s="1"/>
  <c r="H90" i="1"/>
  <c r="I90" i="1" s="1"/>
  <c r="T90" i="1"/>
  <c r="U90" i="1" s="1"/>
  <c r="E73" i="3"/>
  <c r="F73" i="3" s="1"/>
  <c r="N113" i="1"/>
  <c r="O113" i="1" s="1"/>
  <c r="E79" i="3"/>
  <c r="F79" i="3" s="1"/>
  <c r="G79" i="3"/>
  <c r="H79" i="3" s="1"/>
  <c r="R122" i="1"/>
  <c r="S122" i="1" s="1"/>
  <c r="L122" i="1"/>
  <c r="M122" i="1" s="1"/>
  <c r="H122" i="1"/>
  <c r="I122" i="1" s="1"/>
  <c r="T122" i="1"/>
  <c r="U122" i="1" s="1"/>
  <c r="V122" i="1"/>
  <c r="W122" i="1" s="1"/>
  <c r="P122" i="1"/>
  <c r="Q122" i="1" s="1"/>
  <c r="J122" i="1"/>
  <c r="K122" i="1" s="1"/>
  <c r="N122" i="1"/>
  <c r="O122" i="1" s="1"/>
  <c r="R128" i="1"/>
  <c r="S128" i="1" s="1"/>
  <c r="L128" i="1"/>
  <c r="M128" i="1" s="1"/>
  <c r="H128" i="1"/>
  <c r="I128" i="1" s="1"/>
  <c r="T128" i="1"/>
  <c r="U128" i="1" s="1"/>
  <c r="P128" i="1"/>
  <c r="Q128" i="1" s="1"/>
  <c r="N128" i="1"/>
  <c r="O128" i="1" s="1"/>
  <c r="J128" i="1"/>
  <c r="K128" i="1" s="1"/>
  <c r="V128" i="1"/>
  <c r="W128" i="1" s="1"/>
  <c r="V138" i="1"/>
  <c r="W138" i="1" s="1"/>
  <c r="L138" i="1"/>
  <c r="M138" i="1" s="1"/>
  <c r="N138" i="1"/>
  <c r="O138" i="1" s="1"/>
  <c r="P138" i="1"/>
  <c r="Q138" i="1" s="1"/>
  <c r="R138" i="1"/>
  <c r="S138" i="1" s="1"/>
  <c r="G111" i="3"/>
  <c r="H111" i="3" s="1"/>
  <c r="E111" i="3"/>
  <c r="F111" i="3" s="1"/>
  <c r="R115" i="1"/>
  <c r="S115" i="1" s="1"/>
  <c r="L115" i="1"/>
  <c r="M115" i="1" s="1"/>
  <c r="H115" i="1"/>
  <c r="I115" i="1" s="1"/>
  <c r="T115" i="1"/>
  <c r="U115" i="1" s="1"/>
  <c r="P118" i="1"/>
  <c r="Q118" i="1" s="1"/>
  <c r="N118" i="1"/>
  <c r="O118" i="1" s="1"/>
  <c r="J118" i="1"/>
  <c r="K118" i="1" s="1"/>
  <c r="V118" i="1"/>
  <c r="W118" i="1" s="1"/>
  <c r="P119" i="1"/>
  <c r="Q119" i="1" s="1"/>
  <c r="N119" i="1"/>
  <c r="O119" i="1" s="1"/>
  <c r="L119" i="1"/>
  <c r="M119" i="1" s="1"/>
  <c r="H119" i="1"/>
  <c r="I119" i="1" s="1"/>
  <c r="T119" i="1"/>
  <c r="U119" i="1" s="1"/>
  <c r="V137" i="1"/>
  <c r="W137" i="1" s="1"/>
  <c r="L137" i="1"/>
  <c r="M137" i="1" s="1"/>
  <c r="N137" i="1"/>
  <c r="O137" i="1" s="1"/>
  <c r="P137" i="1"/>
  <c r="Q137" i="1" s="1"/>
  <c r="V97" i="1"/>
  <c r="W97" i="1" s="1"/>
  <c r="V101" i="1"/>
  <c r="W101" i="1" s="1"/>
  <c r="V105" i="1"/>
  <c r="W105" i="1" s="1"/>
  <c r="V109" i="1"/>
  <c r="W109" i="1" s="1"/>
  <c r="R112" i="1"/>
  <c r="S112" i="1" s="1"/>
  <c r="L112" i="1"/>
  <c r="M112" i="1" s="1"/>
  <c r="H112" i="1"/>
  <c r="I112" i="1" s="1"/>
  <c r="T112" i="1"/>
  <c r="U112" i="1" s="1"/>
  <c r="P114" i="1"/>
  <c r="Q114" i="1" s="1"/>
  <c r="N114" i="1"/>
  <c r="O114" i="1" s="1"/>
  <c r="J114" i="1"/>
  <c r="K114" i="1" s="1"/>
  <c r="V114" i="1"/>
  <c r="W114" i="1" s="1"/>
  <c r="V115" i="1"/>
  <c r="W115" i="1" s="1"/>
  <c r="R118" i="1"/>
  <c r="S118" i="1" s="1"/>
  <c r="P123" i="1"/>
  <c r="Q123" i="1" s="1"/>
  <c r="N123" i="1"/>
  <c r="O123" i="1" s="1"/>
  <c r="J123" i="1"/>
  <c r="K123" i="1" s="1"/>
  <c r="V123" i="1"/>
  <c r="W123" i="1" s="1"/>
  <c r="R123" i="1"/>
  <c r="S123" i="1" s="1"/>
  <c r="L123" i="1"/>
  <c r="M123" i="1" s="1"/>
  <c r="H123" i="1"/>
  <c r="I123" i="1" s="1"/>
  <c r="T123" i="1"/>
  <c r="U123" i="1" s="1"/>
  <c r="T137" i="1"/>
  <c r="U137" i="1" s="1"/>
  <c r="T144" i="1"/>
  <c r="U144" i="1" s="1"/>
  <c r="R144" i="1"/>
  <c r="S144" i="1" s="1"/>
  <c r="V144" i="1"/>
  <c r="W144" i="1" s="1"/>
  <c r="L144" i="1"/>
  <c r="M144" i="1" s="1"/>
  <c r="P144" i="1"/>
  <c r="Q144" i="1" s="1"/>
  <c r="N144" i="1"/>
  <c r="O144" i="1" s="1"/>
  <c r="P127" i="1"/>
  <c r="Q127" i="1" s="1"/>
  <c r="N127" i="1"/>
  <c r="O127" i="1" s="1"/>
  <c r="J127" i="1"/>
  <c r="K127" i="1" s="1"/>
  <c r="V127" i="1"/>
  <c r="W127" i="1" s="1"/>
  <c r="R127" i="1"/>
  <c r="S127" i="1" s="1"/>
  <c r="L127" i="1"/>
  <c r="M127" i="1" s="1"/>
  <c r="H127" i="1"/>
  <c r="I127" i="1" s="1"/>
  <c r="T127" i="1"/>
  <c r="U127" i="1" s="1"/>
  <c r="G91" i="3"/>
  <c r="H91" i="3" s="1"/>
  <c r="E91" i="3"/>
  <c r="F91" i="3" s="1"/>
  <c r="H132" i="1"/>
  <c r="I132" i="1" s="1"/>
  <c r="P132" i="1"/>
  <c r="Q132" i="1" s="1"/>
  <c r="J132" i="1"/>
  <c r="K132" i="1" s="1"/>
  <c r="R132" i="1"/>
  <c r="S132" i="1" s="1"/>
  <c r="V132" i="1"/>
  <c r="W132" i="1" s="1"/>
  <c r="L132" i="1"/>
  <c r="M132" i="1" s="1"/>
  <c r="T132" i="1"/>
  <c r="U132" i="1" s="1"/>
  <c r="N132" i="1"/>
  <c r="O132" i="1" s="1"/>
  <c r="V134" i="1"/>
  <c r="W134" i="1" s="1"/>
  <c r="H134" i="1"/>
  <c r="I134" i="1" s="1"/>
  <c r="L134" i="1"/>
  <c r="M134" i="1" s="1"/>
  <c r="T134" i="1"/>
  <c r="U134" i="1" s="1"/>
  <c r="N134" i="1"/>
  <c r="O134" i="1" s="1"/>
  <c r="P134" i="1"/>
  <c r="Q134" i="1" s="1"/>
  <c r="J134" i="1"/>
  <c r="K134" i="1" s="1"/>
  <c r="R134" i="1"/>
  <c r="S134" i="1" s="1"/>
  <c r="P121" i="1"/>
  <c r="Q121" i="1" s="1"/>
  <c r="N121" i="1"/>
  <c r="O121" i="1" s="1"/>
  <c r="J121" i="1"/>
  <c r="K121" i="1" s="1"/>
  <c r="V121" i="1"/>
  <c r="W121" i="1" s="1"/>
  <c r="P125" i="1"/>
  <c r="Q125" i="1" s="1"/>
  <c r="N125" i="1"/>
  <c r="O125" i="1" s="1"/>
  <c r="J125" i="1"/>
  <c r="K125" i="1" s="1"/>
  <c r="V125" i="1"/>
  <c r="W125" i="1" s="1"/>
  <c r="R125" i="1"/>
  <c r="S125" i="1" s="1"/>
  <c r="L125" i="1"/>
  <c r="M125" i="1" s="1"/>
  <c r="H125" i="1"/>
  <c r="I125" i="1" s="1"/>
  <c r="T125" i="1"/>
  <c r="U125" i="1" s="1"/>
  <c r="J130" i="1"/>
  <c r="K130" i="1" s="1"/>
  <c r="L130" i="1"/>
  <c r="M130" i="1" s="1"/>
  <c r="N130" i="1"/>
  <c r="O130" i="1" s="1"/>
  <c r="P130" i="1"/>
  <c r="Q130" i="1" s="1"/>
  <c r="T130" i="1"/>
  <c r="U130" i="1" s="1"/>
  <c r="R130" i="1"/>
  <c r="S130" i="1" s="1"/>
  <c r="V130" i="1"/>
  <c r="W130" i="1" s="1"/>
  <c r="H130" i="1"/>
  <c r="I130" i="1" s="1"/>
  <c r="V136" i="1"/>
  <c r="W136" i="1" s="1"/>
  <c r="L136" i="1"/>
  <c r="M136" i="1" s="1"/>
  <c r="T136" i="1"/>
  <c r="U136" i="1" s="1"/>
  <c r="N136" i="1"/>
  <c r="O136" i="1" s="1"/>
  <c r="H136" i="1"/>
  <c r="I136" i="1" s="1"/>
  <c r="P136" i="1"/>
  <c r="Q136" i="1" s="1"/>
  <c r="J136" i="1"/>
  <c r="K136" i="1" s="1"/>
  <c r="R136" i="1"/>
  <c r="S136" i="1" s="1"/>
  <c r="P139" i="1"/>
  <c r="Q139" i="1" s="1"/>
  <c r="N139" i="1"/>
  <c r="O139" i="1" s="1"/>
  <c r="R139" i="1"/>
  <c r="S139" i="1" s="1"/>
  <c r="V139" i="1"/>
  <c r="W139" i="1" s="1"/>
  <c r="L139" i="1"/>
  <c r="M139" i="1" s="1"/>
  <c r="R146" i="1"/>
  <c r="S146" i="1" s="1"/>
  <c r="V146" i="1"/>
  <c r="W146" i="1" s="1"/>
  <c r="N146" i="1"/>
  <c r="O146" i="1" s="1"/>
  <c r="G106" i="3"/>
  <c r="H106" i="3" s="1"/>
  <c r="E106" i="3"/>
  <c r="F106" i="3" s="1"/>
  <c r="E110" i="3"/>
  <c r="F110" i="3" s="1"/>
  <c r="G110" i="3"/>
  <c r="H110" i="3" s="1"/>
  <c r="R149" i="1"/>
  <c r="S149" i="1" s="1"/>
  <c r="P149" i="1"/>
  <c r="Q149" i="1" s="1"/>
  <c r="V149" i="1"/>
  <c r="W149" i="1" s="1"/>
  <c r="V129" i="1"/>
  <c r="W129" i="1" s="1"/>
  <c r="J129" i="1"/>
  <c r="K129" i="1" s="1"/>
  <c r="N129" i="1"/>
  <c r="O129" i="1" s="1"/>
  <c r="V141" i="1"/>
  <c r="W141" i="1" s="1"/>
  <c r="G105" i="3"/>
  <c r="H105" i="3" s="1"/>
  <c r="E105" i="3"/>
  <c r="F105" i="3" s="1"/>
  <c r="J145" i="1"/>
  <c r="K145" i="1" s="1"/>
  <c r="R147" i="1"/>
  <c r="S147" i="1" s="1"/>
  <c r="P147" i="1"/>
  <c r="Q147" i="1" s="1"/>
  <c r="N151" i="1" l="1"/>
  <c r="O151" i="1" s="1"/>
  <c r="N149" i="1"/>
  <c r="O149" i="1" s="1"/>
  <c r="J144" i="1"/>
  <c r="K144" i="1" s="1"/>
  <c r="J146" i="1"/>
  <c r="K146" i="1" s="1"/>
  <c r="J147" i="1"/>
  <c r="K147" i="1" s="1"/>
  <c r="N143" i="1"/>
  <c r="O143" i="1" s="1"/>
  <c r="K3" i="6"/>
  <c r="L3" i="6" s="1"/>
  <c r="N3" i="6" s="1"/>
  <c r="L560" i="5"/>
  <c r="M560" i="5" s="1"/>
  <c r="O560" i="5" s="1"/>
  <c r="J137" i="1"/>
  <c r="K137" i="1" s="1"/>
  <c r="K5" i="6"/>
  <c r="L5" i="6" s="1"/>
  <c r="N5" i="6" s="1"/>
  <c r="C257" i="1"/>
  <c r="K6" i="6"/>
  <c r="L6" i="6" s="1"/>
  <c r="N6" i="6" s="1"/>
  <c r="O8" i="6"/>
  <c r="O4" i="6"/>
  <c r="O7" i="6"/>
  <c r="O5" i="6"/>
  <c r="O3" i="6"/>
  <c r="O6" i="6"/>
  <c r="K8" i="6"/>
  <c r="L8" i="6" s="1"/>
  <c r="N8" i="6" s="1"/>
  <c r="O10" i="6"/>
  <c r="K9" i="6"/>
  <c r="L9" i="6" s="1"/>
  <c r="N9" i="6" s="1"/>
  <c r="O9" i="6"/>
  <c r="G8" i="5"/>
  <c r="P8" i="5"/>
  <c r="G38" i="5"/>
  <c r="P38" i="5"/>
  <c r="G12" i="5"/>
  <c r="P12" i="5"/>
  <c r="G7" i="5"/>
  <c r="P7" i="5"/>
  <c r="G53" i="5"/>
  <c r="P53" i="5"/>
  <c r="G36" i="5"/>
  <c r="P36" i="5"/>
  <c r="G9" i="5"/>
  <c r="P9" i="5"/>
  <c r="G27" i="5"/>
  <c r="P27" i="5"/>
  <c r="G15" i="5"/>
  <c r="P15" i="5"/>
  <c r="G52" i="5"/>
  <c r="P52" i="5"/>
  <c r="G28" i="5"/>
  <c r="P28" i="5"/>
  <c r="L26" i="5"/>
  <c r="M26" i="5" s="1"/>
  <c r="O26" i="5" s="1"/>
  <c r="P26" i="5"/>
  <c r="G556" i="5"/>
  <c r="J141" i="1"/>
  <c r="K141" i="1" s="1"/>
  <c r="H142" i="1"/>
  <c r="I142" i="1" s="1"/>
  <c r="K4" i="6"/>
  <c r="L4" i="6" s="1"/>
  <c r="N4" i="6" s="1"/>
  <c r="H138" i="1"/>
  <c r="I138" i="1" s="1"/>
  <c r="L145" i="1"/>
  <c r="M145" i="1" s="1"/>
  <c r="H148" i="1"/>
  <c r="I148" i="1" s="1"/>
  <c r="L28" i="5"/>
  <c r="M28" i="5" s="1"/>
  <c r="O28" i="5" s="1"/>
  <c r="H139" i="1"/>
  <c r="I139" i="1" s="1"/>
  <c r="J150" i="1"/>
  <c r="K150" i="1" s="1"/>
  <c r="G555" i="5"/>
  <c r="L27" i="5"/>
  <c r="M27" i="5" s="1"/>
  <c r="O27" i="5" s="1"/>
  <c r="L8" i="5"/>
  <c r="M8" i="5" s="1"/>
  <c r="O8" i="5" s="1"/>
  <c r="G26" i="5"/>
  <c r="G557" i="5"/>
  <c r="K10" i="6"/>
  <c r="L10" i="6" s="1"/>
  <c r="N10" i="6" s="1"/>
  <c r="B257" i="1"/>
  <c r="K7" i="6"/>
  <c r="L7" i="6" s="1"/>
  <c r="N7" i="6" s="1"/>
  <c r="E98" i="6"/>
  <c r="L38" i="5"/>
  <c r="M38" i="5" s="1"/>
  <c r="O38" i="5" s="1"/>
  <c r="AF7" i="1"/>
  <c r="AF8" i="1" s="1"/>
  <c r="K2" i="6"/>
  <c r="L2" i="6" s="1"/>
  <c r="N2" i="6" s="1"/>
  <c r="N145" i="1"/>
  <c r="O145" i="1" s="1"/>
  <c r="AC7" i="1"/>
  <c r="AC8" i="1" s="1"/>
  <c r="F2" i="6"/>
  <c r="H140" i="1"/>
  <c r="I140" i="1" s="1"/>
  <c r="L7" i="5"/>
  <c r="M7" i="5" s="1"/>
  <c r="O7" i="5" s="1"/>
  <c r="L52" i="5"/>
  <c r="M52" i="5" s="1"/>
  <c r="O52" i="5" s="1"/>
  <c r="G29" i="5"/>
  <c r="L29" i="5"/>
  <c r="M29" i="5" s="1"/>
  <c r="O29" i="5" s="1"/>
  <c r="D545" i="5"/>
  <c r="L12" i="5"/>
  <c r="M12" i="5" s="1"/>
  <c r="O12" i="5" s="1"/>
  <c r="J545" i="5"/>
  <c r="L46" i="5"/>
  <c r="M46" i="5" s="1"/>
  <c r="O46" i="5" s="1"/>
  <c r="G46" i="5"/>
  <c r="G564" i="5"/>
  <c r="L564" i="5"/>
  <c r="M564" i="5" s="1"/>
  <c r="O564" i="5" s="1"/>
  <c r="G44" i="5"/>
  <c r="L44" i="5"/>
  <c r="M44" i="5" s="1"/>
  <c r="O44" i="5" s="1"/>
  <c r="L15" i="5"/>
  <c r="M15" i="5" s="1"/>
  <c r="O15" i="5" s="1"/>
  <c r="G562" i="5"/>
  <c r="L562" i="5"/>
  <c r="M562" i="5" s="1"/>
  <c r="O562" i="5" s="1"/>
  <c r="L53" i="5"/>
  <c r="M53" i="5" s="1"/>
  <c r="O53" i="5" s="1"/>
  <c r="L13" i="5"/>
  <c r="M13" i="5" s="1"/>
  <c r="O13" i="5" s="1"/>
  <c r="G13" i="5"/>
  <c r="G5" i="5"/>
  <c r="L5" i="5"/>
  <c r="L60" i="5"/>
  <c r="M60" i="5" s="1"/>
  <c r="O60" i="5" s="1"/>
  <c r="G60" i="5"/>
  <c r="L561" i="5"/>
  <c r="M561" i="5" s="1"/>
  <c r="O561" i="5" s="1"/>
  <c r="G561" i="5"/>
  <c r="G17" i="5"/>
  <c r="L17" i="5"/>
  <c r="M17" i="5" s="1"/>
  <c r="O17" i="5" s="1"/>
  <c r="G23" i="5"/>
  <c r="L23" i="5"/>
  <c r="M23" i="5" s="1"/>
  <c r="O23" i="5" s="1"/>
  <c r="G11" i="5"/>
  <c r="L11" i="5"/>
  <c r="M11" i="5" s="1"/>
  <c r="O11" i="5" s="1"/>
  <c r="L55" i="5"/>
  <c r="M55" i="5" s="1"/>
  <c r="O55" i="5" s="1"/>
  <c r="G55" i="5"/>
  <c r="L9" i="5"/>
  <c r="M9" i="5" s="1"/>
  <c r="O9" i="5" s="1"/>
  <c r="F30" i="5"/>
  <c r="L36" i="5"/>
  <c r="M36" i="5" s="1"/>
  <c r="O36" i="5" s="1"/>
  <c r="AM6" i="1"/>
  <c r="AG6" i="1"/>
  <c r="AJ6" i="1"/>
  <c r="AN5" i="1"/>
  <c r="V257" i="1"/>
  <c r="W3" i="1"/>
  <c r="S3" i="1"/>
  <c r="AK5" i="1"/>
  <c r="R257" i="1"/>
  <c r="AK7" i="1"/>
  <c r="S40" i="1"/>
  <c r="U3" i="1"/>
  <c r="AM5" i="1"/>
  <c r="T257" i="1"/>
  <c r="AH6" i="1"/>
  <c r="O35" i="1"/>
  <c r="AK6" i="1"/>
  <c r="AN7" i="1"/>
  <c r="AH5" i="1"/>
  <c r="M42" i="1"/>
  <c r="P257" i="1"/>
  <c r="K3" i="1"/>
  <c r="AE5" i="1"/>
  <c r="AM7" i="1"/>
  <c r="G219" i="3"/>
  <c r="K40" i="1"/>
  <c r="E219" i="3"/>
  <c r="F4" i="3"/>
  <c r="AD6" i="1"/>
  <c r="I35" i="1"/>
  <c r="AD5" i="1"/>
  <c r="I3" i="1"/>
  <c r="AG5" i="1"/>
  <c r="M3" i="1"/>
  <c r="AJ5" i="1"/>
  <c r="W35" i="1"/>
  <c r="AN6" i="1"/>
  <c r="K35" i="1"/>
  <c r="AE6" i="1"/>
  <c r="AJ7" i="1"/>
  <c r="P545" i="5" l="1"/>
  <c r="I101" i="6"/>
  <c r="F545" i="5"/>
  <c r="P30" i="5"/>
  <c r="AG7" i="1"/>
  <c r="AG8" i="1" s="1"/>
  <c r="L257" i="1"/>
  <c r="AE7" i="1"/>
  <c r="AE8" i="1" s="1"/>
  <c r="J257" i="1"/>
  <c r="K98" i="6"/>
  <c r="L98" i="6" s="1"/>
  <c r="AH7" i="1"/>
  <c r="AH8" i="1" s="1"/>
  <c r="H257" i="1"/>
  <c r="AD7" i="1"/>
  <c r="AD8" i="1" s="1"/>
  <c r="N257" i="1"/>
  <c r="M5" i="5"/>
  <c r="O5" i="5" s="1"/>
  <c r="L30" i="5"/>
  <c r="M30" i="5" s="1"/>
  <c r="O30" i="5" s="1"/>
  <c r="G30" i="5"/>
  <c r="AJ8" i="1"/>
  <c r="AM8" i="1"/>
  <c r="AK8" i="1"/>
  <c r="AN8" i="1"/>
  <c r="J548" i="5" l="1"/>
  <c r="L545" i="5"/>
  <c r="M54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89" authorId="0" shapeId="0" xr:uid="{A2B045D4-C011-42ED-A51B-29FB9DFE08F2}">
      <text>
        <r>
          <rPr>
            <b/>
            <sz val="9"/>
            <color indexed="81"/>
            <rFont val="Tahoma"/>
            <family val="2"/>
          </rPr>
          <t>Maturity - 8 Years (20-Sep-2031)
Interest payout
20 Mar &amp; 20 Sep each year</t>
        </r>
      </text>
    </comment>
    <comment ref="C390" authorId="0" shapeId="0" xr:uid="{CAF01A18-FB49-43C8-8F3B-2203F3C50CE5}">
      <text>
        <r>
          <rPr>
            <b/>
            <sz val="9"/>
            <color indexed="81"/>
            <rFont val="Tahoma"/>
            <family val="2"/>
          </rPr>
          <t>Maturity - 8 Years (28-Dec-2031)
Interest payout
28 Jun &amp; 28 Dec each year</t>
        </r>
      </text>
    </comment>
    <comment ref="C391" authorId="0" shapeId="0" xr:uid="{1D4CDFDA-5E84-4CB7-A695-E640996DC38A}">
      <text>
        <r>
          <rPr>
            <b/>
            <sz val="9"/>
            <color indexed="81"/>
            <rFont val="Tahoma"/>
            <family val="2"/>
          </rPr>
          <t>Maturity - 8 Years (21-Feb-2032)
Interest payout
21 Aug &amp; 21 Feb each year</t>
        </r>
      </text>
    </comment>
    <comment ref="K565" authorId="0" shapeId="0" xr:uid="{4951D688-1A5F-4D3A-BF6E-BFA0104377C9}">
      <text>
        <r>
          <rPr>
            <b/>
            <sz val="9"/>
            <color indexed="81"/>
            <rFont val="Tahoma"/>
            <family val="2"/>
          </rPr>
          <t>Using this field for monthly calculations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2" authorId="0" shapeId="0" xr:uid="{2D9578BE-F41F-44AF-B562-F7817025EC11}">
      <text>
        <r>
          <rPr>
            <sz val="9"/>
            <color indexed="81"/>
            <rFont val="Tahoma"/>
            <family val="2"/>
          </rPr>
          <t>Maturity Date - 28th Jan 2041</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891906-BE0D-44DB-BE02-E41B3FBECB44}" keepAlive="1" name="Query - ICICI PRUDENTIAL PENSION FUNDS MANAGEMENT COMPANY LIMITED" description="Connection to the 'ICICI PRUDENTIAL PENSION FUNDS MANAGEMENT COMPANY LIMITED' query in the workbook." type="5" refreshedVersion="8" background="1" saveData="1">
    <dbPr connection="Provider=Microsoft.Mashup.OleDb.1;Data Source=$Workbook$;Location=&quot;ICICI PRUDENTIAL PENSION FUNDS MANAGEMENT COMPANY LIMITED&quot;;Extended Properties=&quot;&quot;" command="SELECT * FROM [ICICI PRUDENTIAL PENSION FUNDS MANAGEMENT COMPANY LIMITED]"/>
  </connection>
  <connection id="2" xr16:uid="{8B05D745-3E61-44F5-B797-9ADB79F60352}" keepAlive="1" name="Query - ICICI PRUDENTIAL PENSION FUNDS MANAGEMENT COMPANY LIMITED (2)" description="Connection to the 'ICICI PRUDENTIAL PENSION FUNDS MANAGEMENT COMPANY LIMITED (2)' query in the workbook." type="5" refreshedVersion="0" background="1">
    <dbPr connection="Provider=Microsoft.Mashup.OleDb.1;Data Source=$Workbook$;Location=&quot;ICICI PRUDENTIAL PENSION FUNDS MANAGEMENT COMPANY LIMITED (2)&quot;;Extended Properties=&quot;&quot;" command="SELECT * FROM [ICICI PRUDENTIAL PENSION FUNDS MANAGEMENT COMPANY LIMITED (2)]"/>
  </connection>
  <connection id="3" xr16:uid="{1CE5B3BB-7426-417F-80BF-8D3DD5F68D20}" keepAlive="1" name="Query - LIC PENSION FUND LIMITED" description="Connection to the 'LIC PENSION FUND LIMITED' query in the workbook." type="5" refreshedVersion="0" background="1">
    <dbPr connection="Provider=Microsoft.Mashup.OleDb.1;Data Source=$Workbook$;Location=&quot;LIC PENSION FUND LIMITED&quot;;Extended Properties=&quot;&quot;" command="SELECT * FROM [LIC PENSION FUND LIMITED]"/>
  </connection>
  <connection id="4" xr16:uid="{798DCA30-EF5D-43FD-A38B-14B8AB2CB093}" keepAlive="1" name="Query - LIC PENSION FUND LIMITED (2)" description="Connection to the 'LIC PENSION FUND LIMITED (2)' query in the workbook." type="5" refreshedVersion="8" background="1" saveData="1">
    <dbPr connection="Provider=Microsoft.Mashup.OleDb.1;Data Source=$Workbook$;Location=&quot;LIC PENSION FUND LIMITED (2)&quot;;Extended Properties=&quot;&quot;" command="SELECT * FROM [LIC PENSION FUND LIMITED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6">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40"/>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7"/>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futureMetadata>
  <cellMetadata count="1">
    <bk>
      <rc t="1" v="0"/>
    </bk>
  </cellMetadata>
  <valueMetadata count="4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valueMetadata>
</metadata>
</file>

<file path=xl/sharedStrings.xml><?xml version="1.0" encoding="utf-8"?>
<sst xmlns="http://schemas.openxmlformats.org/spreadsheetml/2006/main" count="5374" uniqueCount="302">
  <si>
    <t>Date</t>
  </si>
  <si>
    <t>Amount</t>
  </si>
  <si>
    <t>Intrest Rate</t>
  </si>
  <si>
    <t>Duration</t>
  </si>
  <si>
    <t>Latest Value</t>
  </si>
  <si>
    <t>Total Return</t>
  </si>
  <si>
    <t>Compound</t>
  </si>
  <si>
    <t>C Return</t>
  </si>
  <si>
    <t>Company</t>
  </si>
  <si>
    <t>Amdocs</t>
  </si>
  <si>
    <t>Adobe</t>
  </si>
  <si>
    <t>Pension Fund</t>
  </si>
  <si>
    <t>Total</t>
  </si>
  <si>
    <t>Amdocs_2</t>
  </si>
  <si>
    <t>HR/GGN/29427/000071</t>
  </si>
  <si>
    <t>ADOBE/EPF/1160</t>
  </si>
  <si>
    <t>MH/PN/120695/0847</t>
  </si>
  <si>
    <t>Gain / Loss</t>
  </si>
  <si>
    <t>% Gain / Loss</t>
  </si>
  <si>
    <t>Annualised 
Return</t>
  </si>
  <si>
    <t>OLD PF No.</t>
  </si>
  <si>
    <t>NEW PF No.</t>
  </si>
  <si>
    <t>GN/GGN/0029427/000/0000071</t>
  </si>
  <si>
    <t>PU/PUN/0120695/000/0000847</t>
  </si>
  <si>
    <t>UP/30265/1160</t>
  </si>
  <si>
    <t>Employer Contribution</t>
  </si>
  <si>
    <t>Employee Contribution</t>
  </si>
  <si>
    <t>Compound Return</t>
  </si>
  <si>
    <t>Data</t>
  </si>
  <si>
    <t>Total Amount</t>
  </si>
  <si>
    <t>Employee Contribution Latest Value</t>
  </si>
  <si>
    <t>Total Latest Value</t>
  </si>
  <si>
    <t>Employer Contribution Latest Value</t>
  </si>
  <si>
    <t>Pension Fund Latest Value</t>
  </si>
  <si>
    <t>Investment</t>
  </si>
  <si>
    <t>Basic</t>
  </si>
  <si>
    <t>No of years of service</t>
  </si>
  <si>
    <t>Gratuity</t>
  </si>
  <si>
    <t>LIC PENSION FUND SCHEME C - TIER I</t>
  </si>
  <si>
    <t>LIC PENSION FUND SCHEME G - TIER I</t>
  </si>
  <si>
    <t>LIC PENSION FUND SCHEME E - TIER I</t>
  </si>
  <si>
    <t>Before Shifiting on 29th Jun 2016</t>
  </si>
  <si>
    <t>ICICI PRUDENTIAL PENSION FUND SCHEME G - TIER I</t>
  </si>
  <si>
    <t>ICICI PRUDENTIAL PENSION FUND SCHEME C - TIER I</t>
  </si>
  <si>
    <t>ICICI PRUDENTIAL PENSION FUND SCHEME E - TIER I</t>
  </si>
  <si>
    <t>Dividend</t>
  </si>
  <si>
    <t>Latest Price</t>
  </si>
  <si>
    <t>Latest 
NAV</t>
  </si>
  <si>
    <t>Units</t>
  </si>
  <si>
    <t>NAV</t>
  </si>
  <si>
    <t>Shifting Charges</t>
  </si>
  <si>
    <t>Brok. + Taxes</t>
  </si>
  <si>
    <t>Contribution</t>
  </si>
  <si>
    <t>Purchase
Date</t>
  </si>
  <si>
    <t>Scheme
Name</t>
  </si>
  <si>
    <t>LIC PENSION FUND SCHEME G - TIER II</t>
  </si>
  <si>
    <t>LIC PENSION FUND SCHEME C - TIER II</t>
  </si>
  <si>
    <t>LIC PENSION FUND SCHEME E - TIER II</t>
  </si>
  <si>
    <t>Comments</t>
  </si>
  <si>
    <t>Already transferred to Amdocs_2</t>
  </si>
  <si>
    <t>Amount Debited</t>
  </si>
  <si>
    <t>IRR</t>
  </si>
  <si>
    <t>Fund Type</t>
  </si>
  <si>
    <t>AXIS MIDCAP FUND - GROWTH</t>
  </si>
  <si>
    <t>Mid Cap</t>
  </si>
  <si>
    <t>Analysis - Total Amount - AXIS MIDCAP FUND - GROWTH</t>
  </si>
  <si>
    <t>Analysis - Absolute Return - AXIS MIDCAP FUND - GROWTH</t>
  </si>
  <si>
    <t>Analysis - IRR - AXIS MIDCAP FUND - GROWTH</t>
  </si>
  <si>
    <t>INDMoney</t>
  </si>
  <si>
    <t>Small Cap</t>
  </si>
  <si>
    <t>Analysis - Total Amount - Axis Small Cap Fund Direct Growth</t>
  </si>
  <si>
    <t>Analysis - Absolute Return - Axis Small Cap Fund Direct Growth</t>
  </si>
  <si>
    <t>Analysis - IRR - Axis Small Cap Fund Direct Growth</t>
  </si>
  <si>
    <t>Flexi Cap</t>
  </si>
  <si>
    <t>Analysis - Total Amount - CANARA ROBECO FLEXICAP FUND REGULAR GROWTH</t>
  </si>
  <si>
    <t>Analysis - Absolute Return - CANARA ROBECO FLEXICAP FUND REGULAR GROWTH</t>
  </si>
  <si>
    <t>Analysis - IRR - CANARA ROBECO FLEXICAP FUND REGULAR GROWTH</t>
  </si>
  <si>
    <t>Anu Shree</t>
  </si>
  <si>
    <t>Yashi</t>
  </si>
  <si>
    <t>Tisha</t>
  </si>
  <si>
    <t>Analysis - Total Amount - CANARA ROBECO SMALL CAP FUND REGULAR GROWTH</t>
  </si>
  <si>
    <t>Analysis - Absolute Return - CANARA ROBECO SMALL CAP FUND REGULAR GROWTH</t>
  </si>
  <si>
    <t>Analysis - IRR - CANARA ROBECO SMALL CAP FUND REGULAR GROWTH</t>
  </si>
  <si>
    <t>Thematic</t>
  </si>
  <si>
    <t>Analysis - Total Amount - HDFC Defence Fund Direct Growth</t>
  </si>
  <si>
    <t>Analysis - Absolute Return - HDFC Defence Fund Direct Growth</t>
  </si>
  <si>
    <t>Analysis - IRR - HDFC Defence Fund Direct Growth</t>
  </si>
  <si>
    <t>Multi Asset</t>
  </si>
  <si>
    <t>Analysis - Total Amount - ICICI Prudential Multi-Asset Fund Direct Plan Growth</t>
  </si>
  <si>
    <t>Analysis - Absolute Return - ICICI Prudential Multi-Asset Fund Direct Plan Growth</t>
  </si>
  <si>
    <t>Analysis - IRR - ICICI Prudential Multi-Asset Fund Direct Plan Growth</t>
  </si>
  <si>
    <t>Analysis - Total Amount - ICICI PRUDENTIAL MULTI-ASSET FUND - GROWTH</t>
  </si>
  <si>
    <t>Analysis - Absolute Return - ICICI PRUDENTIAL MULTI-ASSET FUND - GROWTH</t>
  </si>
  <si>
    <t>Analysis - IRR - ICICI PRUDENTIAL MULTI-ASSET FUND - GROWTH</t>
  </si>
  <si>
    <t>Kotak Midcap Fund Direct Growth</t>
  </si>
  <si>
    <t>Analysis - Total Amount - Kotak Midcap Fund Direct Growth</t>
  </si>
  <si>
    <t>Analysis - Absolute Return - Kotak Midcap Fund Direct Growth</t>
  </si>
  <si>
    <t>Analysis - IRR - Kotak Midcap Fund Direct Growth</t>
  </si>
  <si>
    <t>Kotak Midcap Fund Growth</t>
  </si>
  <si>
    <t>Analysis - Total Amount - Kotak Midcap Fund Growth</t>
  </si>
  <si>
    <t>Analysis - Absolute Return - Kotak Midcap Fund Growth</t>
  </si>
  <si>
    <t>Analysis - IRR - Kotak Midcap Fund Growth</t>
  </si>
  <si>
    <t>Large Cap</t>
  </si>
  <si>
    <t>Analysis - Total Amount - Mirae Asset Large Cap Fund Growth Plan</t>
  </si>
  <si>
    <t>Analysis - Absolute Return - Mirae Asset Large Cap Fund Growth Plan</t>
  </si>
  <si>
    <t>Analysis - IRR - Mirae Asset Large Cap Fund Growth Plan</t>
  </si>
  <si>
    <t>MIRAE ASSET LARGE AND MIDCAP FUND - REGULAR PLAN GROWTH OPTION</t>
  </si>
  <si>
    <t>Large &amp; Mid Cap</t>
  </si>
  <si>
    <t>Analysis - Total Amount - MIRAE ASSET LARGE AND MIDCAP FUND - REGULAR PLAN GROWTH OPTION</t>
  </si>
  <si>
    <t>Analysis - Absolute Return - MIRAE ASSET LARGE AND MIDCAP FUND - REGULAR PLAN GROWTH OPTION</t>
  </si>
  <si>
    <t>Analysis - IRR - MIRAE ASSET LARGE AND MIDCAP FUND - REGULAR PLAN GROWTH OPTION</t>
  </si>
  <si>
    <t>Motilal Oswal S&amp;P BSE Enhanced Value Index Fund Direct Growth</t>
  </si>
  <si>
    <t>Analysis - Total Amount - Motilal Oswal S&amp;P BSE Enhanced Value Index Fund Direct Growth</t>
  </si>
  <si>
    <t>Analysis - Absolute Return - Motilal Oswal S&amp;P BSE Enhanced Value Index Fund Direct Growth</t>
  </si>
  <si>
    <t>Analysis - IRR - Motilal Oswal S&amp;P BSE Enhanced Value Index Fund Direct Growth</t>
  </si>
  <si>
    <t>Nippon India Large Cap Fund - Direct Plan - Growth Plan</t>
  </si>
  <si>
    <t>Analysis - Total Amount - Nippon India Large Cap Fund - Direct Plan - Growth Plan</t>
  </si>
  <si>
    <t>Analysis - Absolute Return - Nippon India Large Cap Fund - Direct Plan - Growth Plan</t>
  </si>
  <si>
    <t>Analysis - IRR - Nippon India Large Cap Fund - Direct Plan - Growth Plan</t>
  </si>
  <si>
    <t>Nippon India Power &amp; Infra Fund - Direct Plan - Growth</t>
  </si>
  <si>
    <t>Analysis - Total Amount - Nippon India Power &amp; Infra Fund - Direct Plan - Growth</t>
  </si>
  <si>
    <t>Analysis - Absolute Return - Nippon India Power &amp; Infra Fund - Direct Plan - Growth</t>
  </si>
  <si>
    <t>Analysis - IRR - Nippon India Power &amp; Infra Fund - Direct Plan - Growth</t>
  </si>
  <si>
    <t>Nippon India Small Cap Fund - Direct Plan - Growth Plan</t>
  </si>
  <si>
    <t>Analysis - Total Amount - Nippon India Small Cap Fund - Direct Plan - Growth Plan</t>
  </si>
  <si>
    <t>Analysis - Absolute Return - Nippon India Small Cap Fund - Direct Plan - Growth Plan</t>
  </si>
  <si>
    <t>Analysis - IRR - Nippon India Small Cap Fund - Direct Plan - Growth Plan</t>
  </si>
  <si>
    <t>Analysis - Total Amount - Parag Parikh Flexi Cap Direct Growth</t>
  </si>
  <si>
    <t>Analysis - Absolute Return - Parag Parikh Flexi Cap Direct Growth</t>
  </si>
  <si>
    <t>Analysis - IRR - Parag Parikh Flexi Cap Direct Growth</t>
  </si>
  <si>
    <t>Analysis - Total Amount - Quant Quantamental Fund Direct Growth</t>
  </si>
  <si>
    <t>Analysis - Absolute Return - Quant Quantamental Fund Direct Growth</t>
  </si>
  <si>
    <t>Analysis - IRR - Quant Quantamental Fund Direct Growth</t>
  </si>
  <si>
    <t>Analysis - Total Amount - SBI Contra Fund Direct Growth</t>
  </si>
  <si>
    <t>Analysis - Absolute Return - SBI Contra Fund Direct Growth</t>
  </si>
  <si>
    <t>Analysis - IRR - SBI Contra Fund Direct Growth</t>
  </si>
  <si>
    <t>Tata Nifty Capital Markets Index Fund Direct Growth</t>
  </si>
  <si>
    <t>Analysis - Total Amount - Tata Nifty Capital Markets Index Fund Direct Growth</t>
  </si>
  <si>
    <t>Analysis - Absolute Return - Tata Nifty Capital Markets Index Fund Direct Growth</t>
  </si>
  <si>
    <t>Analysis - IRR - Tata Nifty Capital Markets Index Fund Direct Growth</t>
  </si>
  <si>
    <t>IndMoney</t>
  </si>
  <si>
    <t>ICICIDirect Amount</t>
  </si>
  <si>
    <t>Amount 
@ 8.5 % PA</t>
  </si>
  <si>
    <t>Cashback
Date</t>
  </si>
  <si>
    <t>Cashback</t>
  </si>
  <si>
    <t>Cashback
@ 8.5 % PA</t>
  </si>
  <si>
    <t>Policy 
Number</t>
  </si>
  <si>
    <t>Remaining</t>
  </si>
  <si>
    <t>Remaining
@8.5% PA</t>
  </si>
  <si>
    <t>LIC - Neha</t>
  </si>
  <si>
    <t>159394197</t>
  </si>
  <si>
    <t>A/C No</t>
  </si>
  <si>
    <t>FD</t>
  </si>
  <si>
    <t>Current</t>
  </si>
  <si>
    <t>Maturity</t>
  </si>
  <si>
    <t>Interest</t>
  </si>
  <si>
    <t>TDS</t>
  </si>
  <si>
    <t>Final Maturity Amount</t>
  </si>
  <si>
    <t>Deposit Date</t>
  </si>
  <si>
    <t>Maturity Date</t>
  </si>
  <si>
    <t>Interest Rate</t>
  </si>
  <si>
    <t>003713071117</t>
  </si>
  <si>
    <t>003713078019</t>
  </si>
  <si>
    <t>003713085023</t>
  </si>
  <si>
    <t>003713097486</t>
  </si>
  <si>
    <t>003713102560</t>
  </si>
  <si>
    <t>003713107564</t>
  </si>
  <si>
    <t xml:space="preserve">003713114197 </t>
  </si>
  <si>
    <t>003713126948</t>
  </si>
  <si>
    <t>003713135045</t>
  </si>
  <si>
    <t>003713142458</t>
  </si>
  <si>
    <t>003713143050</t>
  </si>
  <si>
    <t>003713147017</t>
  </si>
  <si>
    <t>003713148600</t>
  </si>
  <si>
    <t>003713149842</t>
  </si>
  <si>
    <t>003713151096</t>
  </si>
  <si>
    <t>003713153929</t>
  </si>
  <si>
    <t>003713157764</t>
  </si>
  <si>
    <t>003713159211</t>
  </si>
  <si>
    <t>003713162151</t>
  </si>
  <si>
    <t>003713162463</t>
  </si>
  <si>
    <t>003713162882</t>
  </si>
  <si>
    <t>003713163628</t>
  </si>
  <si>
    <t>003713164016</t>
  </si>
  <si>
    <t>003713165158</t>
  </si>
  <si>
    <t>003713166388</t>
  </si>
  <si>
    <t>003713166404</t>
  </si>
  <si>
    <t>003713168976</t>
  </si>
  <si>
    <t>003713170171</t>
  </si>
  <si>
    <t>457 Days Interest</t>
  </si>
  <si>
    <t>Monthly Interest</t>
  </si>
  <si>
    <t>Type</t>
  </si>
  <si>
    <t>Purchase Date</t>
  </si>
  <si>
    <t>Latest Value
@ 2.5 / 9.0/10.25/10.75% PA Compound</t>
  </si>
  <si>
    <t>Latest Value (Actual)</t>
  </si>
  <si>
    <t>Interest Realized</t>
  </si>
  <si>
    <t>Script</t>
  </si>
  <si>
    <t>Qty</t>
  </si>
  <si>
    <t>Price</t>
  </si>
  <si>
    <t>Brok. 
+ Taxes</t>
  </si>
  <si>
    <t>Amount Invested</t>
  </si>
  <si>
    <t>Brokerage Watch</t>
  </si>
  <si>
    <t>Latest Value (After Brokerage)</t>
  </si>
  <si>
    <t>Latest Value (Before Brokerage)</t>
  </si>
  <si>
    <t>Div</t>
  </si>
  <si>
    <t>Gain/Loss</t>
  </si>
  <si>
    <t>%  Gain/Loss</t>
  </si>
  <si>
    <t>Dur.</t>
  </si>
  <si>
    <t>Annualised Returns</t>
  </si>
  <si>
    <t>Amount With 8% Rate</t>
  </si>
  <si>
    <t>Sector</t>
  </si>
  <si>
    <t>Public / Private</t>
  </si>
  <si>
    <t>Market Cap (Large, Mid, Small, Multi)</t>
  </si>
  <si>
    <t>Market Cap  (Cr)</t>
  </si>
  <si>
    <t>Stop Loss</t>
  </si>
  <si>
    <t>Healthcare</t>
  </si>
  <si>
    <t>Private</t>
  </si>
  <si>
    <t>Large</t>
  </si>
  <si>
    <t>98K</t>
  </si>
  <si>
    <t>Long Term</t>
  </si>
  <si>
    <t>Auto</t>
  </si>
  <si>
    <t>2.4L</t>
  </si>
  <si>
    <t>Bank</t>
  </si>
  <si>
    <t>NA</t>
  </si>
  <si>
    <t>Telecom</t>
  </si>
  <si>
    <t>87K</t>
  </si>
  <si>
    <t>Energy</t>
  </si>
  <si>
    <t>PSU</t>
  </si>
  <si>
    <t>2.5L</t>
  </si>
  <si>
    <t>ETF</t>
  </si>
  <si>
    <t>IT</t>
  </si>
  <si>
    <t>4.5L</t>
  </si>
  <si>
    <t>13L</t>
  </si>
  <si>
    <t>Metal</t>
  </si>
  <si>
    <t>2L</t>
  </si>
  <si>
    <t>Short Term</t>
  </si>
  <si>
    <t>8.2L</t>
  </si>
  <si>
    <t>NBFC</t>
  </si>
  <si>
    <t>1.9L</t>
  </si>
  <si>
    <t>Infra</t>
  </si>
  <si>
    <t>4.8L</t>
  </si>
  <si>
    <t>3.4L</t>
  </si>
  <si>
    <t>4.1L</t>
  </si>
  <si>
    <t>Multi</t>
  </si>
  <si>
    <t>Power</t>
  </si>
  <si>
    <t>4L</t>
  </si>
  <si>
    <t>For IPO</t>
  </si>
  <si>
    <t>Oil</t>
  </si>
  <si>
    <t>3.7L</t>
  </si>
  <si>
    <t>Cables</t>
  </si>
  <si>
    <t>1L</t>
  </si>
  <si>
    <t>Small</t>
  </si>
  <si>
    <t>2K</t>
  </si>
  <si>
    <t>IPO</t>
  </si>
  <si>
    <t>7K</t>
  </si>
  <si>
    <t>Refineries</t>
  </si>
  <si>
    <t>20L</t>
  </si>
  <si>
    <t>Long Term / For IPO</t>
  </si>
  <si>
    <t>Manual Update</t>
  </si>
  <si>
    <t>SGBT65</t>
  </si>
  <si>
    <t>Gold</t>
  </si>
  <si>
    <t>SGBT66</t>
  </si>
  <si>
    <t>SGBT67</t>
  </si>
  <si>
    <t>Mid</t>
  </si>
  <si>
    <t>20K</t>
  </si>
  <si>
    <t>50K</t>
  </si>
  <si>
    <t>Pharma</t>
  </si>
  <si>
    <t>4.2L</t>
  </si>
  <si>
    <t>1.1L</t>
  </si>
  <si>
    <t>1.5L</t>
  </si>
  <si>
    <t>1.3L</t>
  </si>
  <si>
    <t>Jewellery</t>
  </si>
  <si>
    <t>3L</t>
  </si>
  <si>
    <t>FMCG</t>
  </si>
  <si>
    <t>2.1L</t>
  </si>
  <si>
    <t>Buyback</t>
  </si>
  <si>
    <t>Chennai Super Kings Cricket Ltd (CSK)</t>
  </si>
  <si>
    <t>Sports</t>
  </si>
  <si>
    <t>Realised</t>
  </si>
  <si>
    <t>Profit Over 8% Rate</t>
  </si>
  <si>
    <t>SGB</t>
  </si>
  <si>
    <t>Large &gt;50K</t>
  </si>
  <si>
    <t>Unlisted</t>
  </si>
  <si>
    <t>Mid &lt;50K &gt;10K</t>
  </si>
  <si>
    <t>Stocks</t>
  </si>
  <si>
    <t>Small &lt;10K</t>
  </si>
  <si>
    <t>Exchnage</t>
  </si>
  <si>
    <t>Amout Debited</t>
  </si>
  <si>
    <t>CoinDCX</t>
  </si>
  <si>
    <t>Bitcoin (BTC / INR)</t>
  </si>
  <si>
    <t>Doge (DOGE / INR)</t>
  </si>
  <si>
    <t>Ethereum (ETH / INR)</t>
  </si>
  <si>
    <t>Melania (MELANIA / INR)</t>
  </si>
  <si>
    <t>OMG Network (OMG / INR)</t>
  </si>
  <si>
    <t>SHIBA INU (SHIB / INR)</t>
  </si>
  <si>
    <t>Tether (USDT / INR)</t>
  </si>
  <si>
    <t>The Sandbox (SAND / INR)</t>
  </si>
  <si>
    <t>Trump (TRUMP / INR)</t>
  </si>
  <si>
    <t>Wink (WIN / INR)</t>
  </si>
  <si>
    <t>USDT to INR</t>
  </si>
  <si>
    <t>Amount INR</t>
  </si>
  <si>
    <t>Grand Total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</si>
</sst>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yy;@"/>
    <numFmt numFmtId="165" formatCode="[$-409]d\-mmm\-yy;@"/>
    <numFmt numFmtId="167" formatCode="#,##0.0000000"/>
    <numFmt numFmtId="168" formatCode="0.0000000%"/>
    <numFmt numFmtId="169" formatCode="0.00000000"/>
  </numFmts>
  <fonts count="18" x14ac:knownFonts="1">
    <font>
      <sz val="11"/>
      <color theme="1"/>
      <name val="Calibri"/>
      <family val="2"/>
      <scheme val="minor"/>
    </font>
    <font>
      <sz val="10"/>
      <name val="Bookman Old Style"/>
      <family val="1"/>
    </font>
    <font>
      <sz val="10"/>
      <color theme="1"/>
      <name val="Bookman Old Style"/>
      <family val="1"/>
    </font>
    <font>
      <b/>
      <sz val="10"/>
      <color theme="1"/>
      <name val="Bookman Old Style"/>
      <family val="1"/>
    </font>
    <font>
      <b/>
      <sz val="10"/>
      <name val="Bookman Old Style"/>
      <family val="1"/>
    </font>
    <font>
      <b/>
      <sz val="11"/>
      <color theme="1"/>
      <name val="Calibri"/>
      <family val="2"/>
      <scheme val="minor"/>
    </font>
    <font>
      <sz val="11"/>
      <color theme="1"/>
      <name val="Calibri"/>
      <family val="2"/>
      <scheme val="minor"/>
    </font>
    <font>
      <sz val="10"/>
      <color indexed="8"/>
      <name val="Bookman Old Style"/>
      <family val="1"/>
    </font>
    <font>
      <b/>
      <sz val="10"/>
      <color indexed="8"/>
      <name val="Bookman Old Style"/>
      <family val="1"/>
    </font>
    <font>
      <sz val="9"/>
      <color indexed="81"/>
      <name val="Tahoma"/>
      <family val="2"/>
    </font>
    <font>
      <b/>
      <sz val="9"/>
      <color theme="1"/>
      <name val="Calibri"/>
      <family val="2"/>
      <scheme val="minor"/>
    </font>
    <font>
      <sz val="9"/>
      <name val="Calibri"/>
      <family val="2"/>
      <scheme val="minor"/>
    </font>
    <font>
      <sz val="9"/>
      <color theme="1"/>
      <name val="Calibri"/>
      <family val="2"/>
      <scheme val="minor"/>
    </font>
    <font>
      <b/>
      <sz val="9"/>
      <name val="Calibri"/>
      <family val="2"/>
      <scheme val="minor"/>
    </font>
    <font>
      <sz val="10"/>
      <name val="Arial"/>
      <family val="2"/>
    </font>
    <font>
      <b/>
      <sz val="12"/>
      <name val="Bookman Old Style"/>
      <family val="1"/>
    </font>
    <font>
      <b/>
      <sz val="15"/>
      <color theme="1"/>
      <name val="Bookman Old Style"/>
      <family val="1"/>
    </font>
    <font>
      <b/>
      <sz val="9"/>
      <color indexed="81"/>
      <name val="Tahoma"/>
      <family val="2"/>
    </font>
  </fonts>
  <fills count="23">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rgb="FF00B0F0"/>
        <bgColor indexed="64"/>
      </patternFill>
    </fill>
    <fill>
      <patternFill patternType="solid">
        <fgColor indexed="52"/>
        <bgColor indexed="64"/>
      </patternFill>
    </fill>
    <fill>
      <patternFill patternType="solid">
        <fgColor indexed="13"/>
        <bgColor indexed="64"/>
      </patternFill>
    </fill>
    <fill>
      <patternFill patternType="solid">
        <fgColor theme="6"/>
        <bgColor indexed="64"/>
      </patternFill>
    </fill>
    <fill>
      <patternFill patternType="solid">
        <fgColor indexed="53"/>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6" fillId="0" borderId="0"/>
    <xf numFmtId="164" fontId="6" fillId="0" borderId="0"/>
    <xf numFmtId="9" fontId="6" fillId="0" borderId="0" applyFont="0" applyFill="0" applyBorder="0" applyAlignment="0" applyProtection="0"/>
    <xf numFmtId="0" fontId="14" fillId="0" borderId="0"/>
  </cellStyleXfs>
  <cellXfs count="158">
    <xf numFmtId="0" fontId="0" fillId="0" borderId="0" xfId="0"/>
    <xf numFmtId="10" fontId="0" fillId="0" borderId="0" xfId="0" applyNumberFormat="1"/>
    <xf numFmtId="4" fontId="2" fillId="0" borderId="1" xfId="0" applyNumberFormat="1" applyFont="1" applyBorder="1"/>
    <xf numFmtId="4" fontId="0" fillId="0" borderId="0" xfId="0" applyNumberFormat="1"/>
    <xf numFmtId="0" fontId="3" fillId="0" borderId="1" xfId="0" applyFont="1" applyBorder="1" applyAlignment="1">
      <alignment horizontal="center"/>
    </xf>
    <xf numFmtId="4" fontId="3" fillId="0" borderId="1" xfId="0" applyNumberFormat="1" applyFont="1" applyBorder="1" applyAlignment="1">
      <alignment horizontal="center"/>
    </xf>
    <xf numFmtId="10" fontId="3" fillId="0" borderId="1" xfId="0" applyNumberFormat="1" applyFont="1" applyBorder="1" applyAlignment="1">
      <alignment horizontal="center"/>
    </xf>
    <xf numFmtId="0" fontId="3" fillId="0" borderId="1" xfId="0" applyFont="1" applyBorder="1"/>
    <xf numFmtId="0" fontId="2" fillId="0" borderId="1" xfId="0" applyFont="1" applyBorder="1"/>
    <xf numFmtId="164" fontId="1" fillId="0" borderId="1" xfId="0" applyNumberFormat="1" applyFont="1" applyBorder="1" applyAlignment="1">
      <alignment horizontal="right"/>
    </xf>
    <xf numFmtId="4" fontId="1" fillId="0" borderId="1" xfId="0" applyNumberFormat="1" applyFont="1" applyBorder="1" applyAlignment="1">
      <alignment horizontal="right"/>
    </xf>
    <xf numFmtId="0" fontId="3" fillId="0" borderId="1" xfId="0" applyFont="1" applyBorder="1" applyAlignment="1">
      <alignment horizontal="center" wrapText="1"/>
    </xf>
    <xf numFmtId="10" fontId="2" fillId="0" borderId="1" xfId="0" applyNumberFormat="1" applyFont="1" applyBorder="1"/>
    <xf numFmtId="0" fontId="2" fillId="0" borderId="0" xfId="0" applyFont="1"/>
    <xf numFmtId="4" fontId="2" fillId="0" borderId="2" xfId="0" applyNumberFormat="1" applyFont="1" applyBorder="1"/>
    <xf numFmtId="10" fontId="2" fillId="0" borderId="0" xfId="0" applyNumberFormat="1" applyFont="1"/>
    <xf numFmtId="4" fontId="2" fillId="0" borderId="0" xfId="0" applyNumberFormat="1" applyFont="1"/>
    <xf numFmtId="4" fontId="3" fillId="0" borderId="1" xfId="0" applyNumberFormat="1" applyFont="1" applyBorder="1" applyAlignment="1">
      <alignment horizontal="center" wrapText="1"/>
    </xf>
    <xf numFmtId="10" fontId="3" fillId="0" borderId="1" xfId="0" applyNumberFormat="1" applyFont="1" applyBorder="1" applyAlignment="1">
      <alignment horizontal="center" wrapText="1"/>
    </xf>
    <xf numFmtId="0" fontId="0" fillId="0" borderId="0" xfId="0" applyAlignment="1">
      <alignment wrapText="1"/>
    </xf>
    <xf numFmtId="164" fontId="1" fillId="6" borderId="1" xfId="0" applyNumberFormat="1" applyFont="1" applyFill="1" applyBorder="1" applyAlignment="1">
      <alignment horizontal="right"/>
    </xf>
    <xf numFmtId="4" fontId="1" fillId="6" borderId="1" xfId="0" applyNumberFormat="1" applyFont="1" applyFill="1" applyBorder="1" applyAlignment="1">
      <alignment horizontal="right"/>
    </xf>
    <xf numFmtId="4" fontId="2" fillId="6" borderId="1" xfId="0" applyNumberFormat="1" applyFont="1" applyFill="1" applyBorder="1"/>
    <xf numFmtId="10" fontId="2" fillId="6" borderId="1" xfId="0" applyNumberFormat="1" applyFont="1" applyFill="1" applyBorder="1"/>
    <xf numFmtId="0" fontId="2" fillId="6" borderId="1" xfId="0" applyFont="1" applyFill="1" applyBorder="1"/>
    <xf numFmtId="164" fontId="1" fillId="5" borderId="1" xfId="0" applyNumberFormat="1" applyFont="1" applyFill="1" applyBorder="1" applyAlignment="1">
      <alignment horizontal="right"/>
    </xf>
    <xf numFmtId="4" fontId="1" fillId="5" borderId="1" xfId="0" applyNumberFormat="1" applyFont="1" applyFill="1" applyBorder="1" applyAlignment="1">
      <alignment horizontal="right"/>
    </xf>
    <xf numFmtId="4" fontId="2" fillId="5" borderId="1" xfId="0" applyNumberFormat="1" applyFont="1" applyFill="1" applyBorder="1"/>
    <xf numFmtId="10" fontId="2" fillId="5" borderId="1" xfId="0" applyNumberFormat="1" applyFont="1" applyFill="1" applyBorder="1"/>
    <xf numFmtId="0" fontId="2" fillId="5" borderId="1" xfId="0" applyFont="1" applyFill="1" applyBorder="1"/>
    <xf numFmtId="0" fontId="0" fillId="0" borderId="1" xfId="0" applyBorder="1"/>
    <xf numFmtId="0" fontId="5" fillId="9" borderId="1" xfId="0" applyFont="1" applyFill="1" applyBorder="1"/>
    <xf numFmtId="4" fontId="3" fillId="9" borderId="1" xfId="0" applyNumberFormat="1" applyFont="1" applyFill="1" applyBorder="1"/>
    <xf numFmtId="0" fontId="6" fillId="0" borderId="0" xfId="1"/>
    <xf numFmtId="0" fontId="6" fillId="0" borderId="1" xfId="1" applyBorder="1"/>
    <xf numFmtId="0" fontId="6" fillId="9" borderId="1" xfId="1" applyFill="1" applyBorder="1"/>
    <xf numFmtId="4" fontId="6" fillId="0" borderId="1" xfId="1" applyNumberFormat="1" applyBorder="1"/>
    <xf numFmtId="4" fontId="7" fillId="9" borderId="1" xfId="2" applyNumberFormat="1" applyFont="1" applyFill="1" applyBorder="1"/>
    <xf numFmtId="10" fontId="2" fillId="10" borderId="1" xfId="2" applyNumberFormat="1" applyFont="1" applyFill="1" applyBorder="1"/>
    <xf numFmtId="4" fontId="2" fillId="10" borderId="1" xfId="2" applyNumberFormat="1" applyFont="1" applyFill="1" applyBorder="1"/>
    <xf numFmtId="4" fontId="1" fillId="10" borderId="1" xfId="2" applyNumberFormat="1" applyFont="1" applyFill="1" applyBorder="1"/>
    <xf numFmtId="4" fontId="7" fillId="10" borderId="1" xfId="2" applyNumberFormat="1" applyFont="1" applyFill="1" applyBorder="1"/>
    <xf numFmtId="164" fontId="1" fillId="10" borderId="1" xfId="2" applyFont="1" applyFill="1" applyBorder="1" applyAlignment="1">
      <alignment horizontal="right"/>
    </xf>
    <xf numFmtId="164" fontId="2" fillId="10" borderId="1" xfId="2" applyFont="1" applyFill="1" applyBorder="1"/>
    <xf numFmtId="0" fontId="6" fillId="10" borderId="0" xfId="1" applyFill="1"/>
    <xf numFmtId="0" fontId="5" fillId="10" borderId="0" xfId="1" applyFont="1" applyFill="1"/>
    <xf numFmtId="10" fontId="2" fillId="0" borderId="1" xfId="2" applyNumberFormat="1" applyFont="1" applyBorder="1"/>
    <xf numFmtId="4" fontId="2" fillId="0" borderId="1" xfId="2" applyNumberFormat="1" applyFont="1" applyBorder="1"/>
    <xf numFmtId="4" fontId="1" fillId="0" borderId="1" xfId="2" applyNumberFormat="1" applyFont="1" applyBorder="1"/>
    <xf numFmtId="4" fontId="7" fillId="0" borderId="1" xfId="2" applyNumberFormat="1" applyFont="1" applyBorder="1"/>
    <xf numFmtId="164" fontId="1" fillId="0" borderId="1" xfId="2" applyFont="1" applyBorder="1" applyAlignment="1">
      <alignment horizontal="right"/>
    </xf>
    <xf numFmtId="164" fontId="2" fillId="0" borderId="1" xfId="2" applyFont="1" applyBorder="1"/>
    <xf numFmtId="164" fontId="2" fillId="0" borderId="1" xfId="2" applyFont="1" applyBorder="1" applyAlignment="1">
      <alignment wrapText="1"/>
    </xf>
    <xf numFmtId="164" fontId="4" fillId="0" borderId="1" xfId="2" applyFont="1" applyBorder="1" applyAlignment="1">
      <alignment horizontal="center" wrapText="1"/>
    </xf>
    <xf numFmtId="164" fontId="4" fillId="0" borderId="1" xfId="2" applyFont="1" applyBorder="1" applyAlignment="1">
      <alignment horizontal="center"/>
    </xf>
    <xf numFmtId="164" fontId="1" fillId="0" borderId="1" xfId="2" applyFont="1" applyBorder="1" applyAlignment="1">
      <alignment wrapText="1"/>
    </xf>
    <xf numFmtId="4" fontId="1" fillId="9" borderId="1" xfId="2" applyNumberFormat="1" applyFont="1" applyFill="1" applyBorder="1"/>
    <xf numFmtId="164" fontId="1" fillId="0" borderId="1" xfId="2" applyFont="1" applyBorder="1"/>
    <xf numFmtId="4" fontId="6" fillId="0" borderId="0" xfId="1" applyNumberFormat="1"/>
    <xf numFmtId="164" fontId="4" fillId="12" borderId="1" xfId="0" applyNumberFormat="1" applyFont="1" applyFill="1" applyBorder="1" applyAlignment="1">
      <alignment horizontal="left"/>
    </xf>
    <xf numFmtId="164" fontId="4" fillId="0" borderId="1" xfId="2" applyFont="1" applyBorder="1" applyAlignment="1">
      <alignment horizontal="right"/>
    </xf>
    <xf numFmtId="4" fontId="3" fillId="0" borderId="1" xfId="2" applyNumberFormat="1" applyFont="1" applyBorder="1"/>
    <xf numFmtId="0" fontId="5" fillId="0" borderId="0" xfId="1" applyFont="1"/>
    <xf numFmtId="10" fontId="3" fillId="0" borderId="1" xfId="2" applyNumberFormat="1" applyFont="1" applyBorder="1"/>
    <xf numFmtId="4" fontId="3" fillId="0" borderId="1" xfId="0" applyNumberFormat="1" applyFont="1" applyBorder="1"/>
    <xf numFmtId="0" fontId="3" fillId="11" borderId="1" xfId="0" applyFont="1" applyFill="1" applyBorder="1" applyAlignment="1">
      <alignment horizontal="center" vertical="center"/>
    </xf>
    <xf numFmtId="0" fontId="3" fillId="6" borderId="1" xfId="0" applyFont="1" applyFill="1" applyBorder="1" applyAlignment="1">
      <alignment horizontal="center"/>
    </xf>
    <xf numFmtId="0" fontId="3" fillId="3" borderId="1" xfId="0" applyFont="1" applyFill="1" applyBorder="1" applyAlignment="1">
      <alignment horizontal="center"/>
    </xf>
    <xf numFmtId="0" fontId="3" fillId="0" borderId="1" xfId="0" applyFont="1" applyBorder="1" applyAlignment="1">
      <alignment horizontal="center"/>
    </xf>
    <xf numFmtId="0" fontId="3" fillId="7" borderId="1" xfId="0" applyFont="1" applyFill="1" applyBorder="1" applyAlignment="1">
      <alignment horizontal="center"/>
    </xf>
    <xf numFmtId="0" fontId="3" fillId="4" borderId="1" xfId="0" applyFont="1" applyFill="1" applyBorder="1" applyAlignment="1">
      <alignment horizontal="center"/>
    </xf>
    <xf numFmtId="0" fontId="3" fillId="2" borderId="1" xfId="0" applyFont="1" applyFill="1" applyBorder="1" applyAlignment="1">
      <alignment horizontal="center"/>
    </xf>
    <xf numFmtId="0" fontId="3" fillId="5" borderId="1" xfId="0" applyFont="1" applyFill="1" applyBorder="1" applyAlignment="1">
      <alignment horizontal="center"/>
    </xf>
    <xf numFmtId="0" fontId="3" fillId="8" borderId="1" xfId="0" applyFont="1" applyFill="1" applyBorder="1" applyAlignment="1">
      <alignment horizontal="center"/>
    </xf>
    <xf numFmtId="164" fontId="4" fillId="0" borderId="1" xfId="2" applyFont="1" applyBorder="1"/>
    <xf numFmtId="164" fontId="2" fillId="0" borderId="0" xfId="2" applyFont="1"/>
    <xf numFmtId="164" fontId="3" fillId="13" borderId="1" xfId="2" applyFont="1" applyFill="1" applyBorder="1"/>
    <xf numFmtId="164" fontId="4" fillId="13" borderId="1" xfId="2" applyFont="1" applyFill="1" applyBorder="1" applyAlignment="1">
      <alignment horizontal="right"/>
    </xf>
    <xf numFmtId="4" fontId="3" fillId="13" borderId="1" xfId="2" applyNumberFormat="1" applyFont="1" applyFill="1" applyBorder="1"/>
    <xf numFmtId="4" fontId="4" fillId="13" borderId="1" xfId="2" applyNumberFormat="1" applyFont="1" applyFill="1" applyBorder="1"/>
    <xf numFmtId="4" fontId="8" fillId="13" borderId="1" xfId="2" applyNumberFormat="1" applyFont="1" applyFill="1" applyBorder="1"/>
    <xf numFmtId="10" fontId="3" fillId="13" borderId="1" xfId="2" applyNumberFormat="1" applyFont="1" applyFill="1" applyBorder="1"/>
    <xf numFmtId="164" fontId="4" fillId="13" borderId="1" xfId="2" applyFont="1" applyFill="1" applyBorder="1"/>
    <xf numFmtId="164" fontId="2" fillId="14" borderId="1" xfId="2" applyFont="1" applyFill="1" applyBorder="1"/>
    <xf numFmtId="164" fontId="2" fillId="15" borderId="1" xfId="2" applyFont="1" applyFill="1" applyBorder="1"/>
    <xf numFmtId="164" fontId="6" fillId="0" borderId="1" xfId="2" applyBorder="1"/>
    <xf numFmtId="164" fontId="6" fillId="0" borderId="0" xfId="2"/>
    <xf numFmtId="164" fontId="4" fillId="12" borderId="1" xfId="2" applyFont="1" applyFill="1" applyBorder="1" applyAlignment="1">
      <alignment horizontal="left"/>
    </xf>
    <xf numFmtId="4" fontId="2" fillId="0" borderId="0" xfId="2" applyNumberFormat="1" applyFont="1"/>
    <xf numFmtId="4" fontId="7" fillId="0" borderId="0" xfId="2" applyNumberFormat="1" applyFont="1"/>
    <xf numFmtId="4" fontId="6" fillId="0" borderId="0" xfId="2" applyNumberFormat="1"/>
    <xf numFmtId="164" fontId="2" fillId="0" borderId="0" xfId="2" applyFont="1" applyAlignment="1">
      <alignment horizontal="center"/>
    </xf>
    <xf numFmtId="49" fontId="2" fillId="0" borderId="1" xfId="2" applyNumberFormat="1" applyFont="1" applyBorder="1"/>
    <xf numFmtId="0" fontId="10" fillId="0" borderId="1" xfId="0" applyFont="1" applyBorder="1" applyAlignment="1">
      <alignment horizontal="center"/>
    </xf>
    <xf numFmtId="0" fontId="11" fillId="0" borderId="1" xfId="0" quotePrefix="1" applyFont="1" applyBorder="1"/>
    <xf numFmtId="4" fontId="11" fillId="0" borderId="1" xfId="0" applyNumberFormat="1" applyFont="1" applyBorder="1"/>
    <xf numFmtId="165" fontId="12" fillId="0" borderId="1" xfId="0" applyNumberFormat="1" applyFont="1" applyBorder="1"/>
    <xf numFmtId="4" fontId="12" fillId="0" borderId="1" xfId="0" applyNumberFormat="1" applyFont="1" applyBorder="1"/>
    <xf numFmtId="0" fontId="12" fillId="0" borderId="0" xfId="0" applyFont="1"/>
    <xf numFmtId="4" fontId="12" fillId="9" borderId="2" xfId="0" applyNumberFormat="1" applyFont="1" applyFill="1" applyBorder="1"/>
    <xf numFmtId="4" fontId="11" fillId="0" borderId="0" xfId="0" applyNumberFormat="1" applyFont="1"/>
    <xf numFmtId="49" fontId="13" fillId="0" borderId="1" xfId="0" applyNumberFormat="1" applyFont="1" applyBorder="1"/>
    <xf numFmtId="4" fontId="13" fillId="0" borderId="1" xfId="0" applyNumberFormat="1" applyFont="1" applyBorder="1"/>
    <xf numFmtId="0" fontId="0" fillId="0" borderId="0" xfId="0" quotePrefix="1"/>
    <xf numFmtId="0" fontId="3" fillId="0" borderId="1" xfId="1" applyFont="1" applyBorder="1" applyAlignment="1">
      <alignment horizontal="center"/>
    </xf>
    <xf numFmtId="0" fontId="3" fillId="0" borderId="1" xfId="1" applyFont="1" applyBorder="1" applyAlignment="1">
      <alignment horizontal="center" wrapText="1"/>
    </xf>
    <xf numFmtId="0" fontId="6" fillId="0" borderId="0" xfId="1" applyAlignment="1">
      <alignment horizontal="center"/>
    </xf>
    <xf numFmtId="0" fontId="2" fillId="0" borderId="1" xfId="1" applyFont="1" applyBorder="1"/>
    <xf numFmtId="164" fontId="1" fillId="0" borderId="1" xfId="1" applyNumberFormat="1" applyFont="1" applyBorder="1" applyAlignment="1">
      <alignment horizontal="right"/>
    </xf>
    <xf numFmtId="4" fontId="2" fillId="0" borderId="1" xfId="1" applyNumberFormat="1" applyFont="1" applyBorder="1"/>
    <xf numFmtId="4" fontId="1" fillId="0" borderId="1" xfId="1" applyNumberFormat="1" applyFont="1" applyBorder="1" applyAlignment="1">
      <alignment horizontal="right"/>
    </xf>
    <xf numFmtId="0" fontId="2" fillId="0" borderId="0" xfId="1" applyFont="1"/>
    <xf numFmtId="0" fontId="4" fillId="0" borderId="1" xfId="4" applyFont="1" applyBorder="1" applyAlignment="1">
      <alignment horizontal="center" vertical="center" wrapText="1"/>
    </xf>
    <xf numFmtId="0" fontId="4" fillId="16" borderId="1" xfId="4" applyFont="1" applyFill="1" applyBorder="1" applyAlignment="1">
      <alignment horizontal="center" vertical="center" wrapText="1"/>
    </xf>
    <xf numFmtId="0" fontId="4" fillId="17" borderId="1" xfId="4" applyFont="1" applyFill="1" applyBorder="1" applyAlignment="1">
      <alignment horizontal="center" vertical="center" wrapText="1"/>
    </xf>
    <xf numFmtId="0" fontId="1" fillId="0" borderId="0" xfId="4" applyFont="1" applyAlignment="1">
      <alignment wrapText="1"/>
    </xf>
    <xf numFmtId="0" fontId="1" fillId="0" borderId="1" xfId="4" applyFont="1" applyBorder="1"/>
    <xf numFmtId="165" fontId="1" fillId="0" borderId="1" xfId="4" applyNumberFormat="1" applyFont="1" applyBorder="1" applyAlignment="1">
      <alignment horizontal="right"/>
    </xf>
    <xf numFmtId="4" fontId="1" fillId="0" borderId="1" xfId="4" applyNumberFormat="1" applyFont="1" applyBorder="1"/>
    <xf numFmtId="10" fontId="1" fillId="16" borderId="3" xfId="4" applyNumberFormat="1" applyFont="1" applyFill="1" applyBorder="1"/>
    <xf numFmtId="4" fontId="1" fillId="17" borderId="1" xfId="4" applyNumberFormat="1" applyFont="1" applyFill="1" applyBorder="1"/>
    <xf numFmtId="10" fontId="1" fillId="0" borderId="1" xfId="4" applyNumberFormat="1" applyFont="1" applyBorder="1"/>
    <xf numFmtId="2" fontId="1" fillId="0" borderId="1" xfId="4" applyNumberFormat="1" applyFont="1" applyBorder="1"/>
    <xf numFmtId="4" fontId="1" fillId="0" borderId="1" xfId="4" applyNumberFormat="1" applyFont="1" applyBorder="1" applyAlignment="1">
      <alignment horizontal="right"/>
    </xf>
    <xf numFmtId="0" fontId="1" fillId="0" borderId="0" xfId="4" applyFont="1"/>
    <xf numFmtId="0" fontId="1" fillId="18" borderId="1" xfId="4" applyFont="1" applyFill="1" applyBorder="1"/>
    <xf numFmtId="4" fontId="4" fillId="0" borderId="1" xfId="4" applyNumberFormat="1" applyFont="1" applyBorder="1"/>
    <xf numFmtId="4" fontId="4" fillId="0" borderId="0" xfId="4" applyNumberFormat="1" applyFont="1"/>
    <xf numFmtId="2" fontId="4" fillId="0" borderId="0" xfId="4" applyNumberFormat="1" applyFont="1"/>
    <xf numFmtId="4" fontId="4" fillId="0" borderId="1" xfId="4" applyNumberFormat="1" applyFont="1" applyBorder="1" applyAlignment="1">
      <alignment horizontal="right"/>
    </xf>
    <xf numFmtId="0" fontId="4" fillId="0" borderId="1" xfId="4" applyFont="1" applyBorder="1" applyAlignment="1">
      <alignment horizontal="center"/>
    </xf>
    <xf numFmtId="4" fontId="4" fillId="0" borderId="4" xfId="4" applyNumberFormat="1" applyFont="1" applyBorder="1"/>
    <xf numFmtId="4" fontId="4" fillId="0" borderId="0" xfId="4" applyNumberFormat="1" applyFont="1" applyAlignment="1">
      <alignment horizontal="right"/>
    </xf>
    <xf numFmtId="0" fontId="15" fillId="19" borderId="1" xfId="4" applyFont="1" applyFill="1" applyBorder="1" applyAlignment="1">
      <alignment horizontal="center"/>
    </xf>
    <xf numFmtId="4" fontId="15" fillId="19" borderId="4" xfId="4" applyNumberFormat="1" applyFont="1" applyFill="1" applyBorder="1"/>
    <xf numFmtId="0" fontId="1" fillId="0" borderId="0" xfId="4" applyFont="1" applyAlignment="1">
      <alignment horizontal="right"/>
    </xf>
    <xf numFmtId="164" fontId="4" fillId="12" borderId="1" xfId="4" applyNumberFormat="1" applyFont="1" applyFill="1" applyBorder="1" applyAlignment="1">
      <alignment horizontal="left"/>
    </xf>
    <xf numFmtId="4" fontId="16" fillId="4" borderId="3" xfId="4" applyNumberFormat="1" applyFont="1" applyFill="1" applyBorder="1" applyAlignment="1">
      <alignment horizontal="center"/>
    </xf>
    <xf numFmtId="4" fontId="16" fillId="4" borderId="4" xfId="4" applyNumberFormat="1" applyFont="1" applyFill="1" applyBorder="1" applyAlignment="1">
      <alignment horizontal="center"/>
    </xf>
    <xf numFmtId="164" fontId="4" fillId="12" borderId="1" xfId="4" applyNumberFormat="1" applyFont="1" applyFill="1" applyBorder="1" applyAlignment="1">
      <alignment horizontal="left" wrapText="1"/>
    </xf>
    <xf numFmtId="4" fontId="3" fillId="4" borderId="1" xfId="4" applyNumberFormat="1" applyFont="1" applyFill="1" applyBorder="1"/>
    <xf numFmtId="4" fontId="1" fillId="0" borderId="0" xfId="4" applyNumberFormat="1" applyFont="1"/>
    <xf numFmtId="0" fontId="4" fillId="0" borderId="1" xfId="0" applyFont="1" applyBorder="1" applyAlignment="1">
      <alignment horizontal="center" vertical="center" wrapText="1"/>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165" fontId="1" fillId="0" borderId="1" xfId="0" applyNumberFormat="1" applyFont="1" applyBorder="1" applyAlignment="1">
      <alignment horizontal="right"/>
    </xf>
    <xf numFmtId="167" fontId="1" fillId="0" borderId="1" xfId="0" applyNumberFormat="1" applyFont="1" applyBorder="1" applyAlignment="1">
      <alignment horizontal="right"/>
    </xf>
    <xf numFmtId="10" fontId="1" fillId="16" borderId="3" xfId="3" applyNumberFormat="1" applyFont="1" applyFill="1" applyBorder="1" applyAlignment="1">
      <alignment horizontal="center"/>
    </xf>
    <xf numFmtId="167" fontId="1" fillId="9" borderId="1" xfId="0" applyNumberFormat="1" applyFont="1" applyFill="1" applyBorder="1" applyAlignment="1">
      <alignment horizontal="right"/>
    </xf>
    <xf numFmtId="168" fontId="1" fillId="0" borderId="1" xfId="0" applyNumberFormat="1" applyFont="1" applyBorder="1" applyAlignment="1">
      <alignment horizontal="right"/>
    </xf>
    <xf numFmtId="0" fontId="1" fillId="20" borderId="1" xfId="4" applyFont="1" applyFill="1" applyBorder="1"/>
    <xf numFmtId="167" fontId="0" fillId="0" borderId="0" xfId="0" applyNumberFormat="1"/>
    <xf numFmtId="167" fontId="4" fillId="0" borderId="1" xfId="0" applyNumberFormat="1" applyFont="1" applyBorder="1" applyAlignment="1">
      <alignment horizontal="right"/>
    </xf>
    <xf numFmtId="169" fontId="0" fillId="0" borderId="0" xfId="0" applyNumberFormat="1"/>
    <xf numFmtId="167" fontId="4" fillId="21" borderId="1" xfId="4" applyNumberFormat="1" applyFont="1" applyFill="1" applyBorder="1"/>
    <xf numFmtId="167" fontId="4" fillId="21" borderId="1" xfId="0" applyNumberFormat="1" applyFont="1" applyFill="1" applyBorder="1" applyAlignment="1">
      <alignment horizontal="right"/>
    </xf>
    <xf numFmtId="167" fontId="4" fillId="22" borderId="1" xfId="4" applyNumberFormat="1" applyFont="1" applyFill="1" applyBorder="1"/>
    <xf numFmtId="167" fontId="4" fillId="22" borderId="1" xfId="0" applyNumberFormat="1" applyFont="1" applyFill="1" applyBorder="1" applyAlignment="1">
      <alignment horizontal="right"/>
    </xf>
  </cellXfs>
  <cellStyles count="5">
    <cellStyle name="Normal" xfId="0" builtinId="0"/>
    <cellStyle name="Normal 2" xfId="1" xr:uid="{00000000-0005-0000-0000-000001000000}"/>
    <cellStyle name="Normal 2 2" xfId="4" xr:uid="{A3236CA8-58BD-4FAD-A2AE-65605576242C}"/>
    <cellStyle name="Normal 3" xfId="2" xr:uid="{00000000-0005-0000-0000-000002000000}"/>
    <cellStyle name="Percent" xfId="3" builtinId="5"/>
  </cellStyles>
  <dxfs count="14">
    <dxf>
      <font>
        <b/>
        <i val="0"/>
        <condense val="0"/>
        <extend val="0"/>
        <color indexed="17"/>
      </font>
    </dxf>
    <dxf>
      <font>
        <b/>
        <i val="0"/>
        <condense val="0"/>
        <extend val="0"/>
        <color indexed="10"/>
      </font>
    </dxf>
    <dxf>
      <font>
        <b/>
        <i val="0"/>
        <condense val="0"/>
        <extend val="0"/>
        <color indexed="17"/>
      </font>
    </dxf>
    <dxf>
      <font>
        <b/>
        <i val="0"/>
        <condense val="0"/>
        <extend val="0"/>
        <color indexed="10"/>
      </font>
    </dxf>
    <dxf>
      <font>
        <b/>
        <i val="0"/>
        <condense val="0"/>
        <extend val="0"/>
        <color indexed="17"/>
      </font>
    </dxf>
    <dxf>
      <font>
        <b/>
        <i val="0"/>
        <condense val="0"/>
        <extend val="0"/>
        <color indexed="10"/>
      </font>
    </dxf>
    <dxf>
      <font>
        <b/>
        <i val="0"/>
        <condense val="0"/>
        <extend val="0"/>
        <color indexed="17"/>
      </font>
    </dxf>
    <dxf>
      <font>
        <b/>
        <i val="0"/>
        <condense val="0"/>
        <extend val="0"/>
        <color indexed="10"/>
      </font>
    </dxf>
    <dxf>
      <font>
        <b/>
        <i val="0"/>
        <condense val="0"/>
        <extend val="0"/>
        <color indexed="17"/>
      </font>
    </dxf>
    <dxf>
      <font>
        <b/>
        <i val="0"/>
        <condense val="0"/>
        <extend val="0"/>
        <color indexed="10"/>
      </font>
    </dxf>
    <dxf>
      <font>
        <b/>
        <i val="0"/>
        <condense val="0"/>
        <extend val="0"/>
        <color indexed="17"/>
      </font>
    </dxf>
    <dxf>
      <font>
        <b/>
        <i val="0"/>
        <condense val="0"/>
        <extend val="0"/>
        <color indexed="10"/>
      </font>
    </dxf>
    <dxf>
      <font>
        <b/>
        <i val="0"/>
        <condense val="0"/>
        <extend val="0"/>
        <color indexed="17"/>
      </font>
    </dxf>
    <dxf>
      <font>
        <b/>
        <i val="0"/>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eetMetadata" Target="metadata.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microsoft.com/office/2017/06/relationships/rdSupportingPropertyBag" Target="richData/rdsupporting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epakj\Downloads\MF,%20Policies%20&amp;%20Bonds.xlsx" TargetMode="External"/><Relationship Id="rId1" Type="http://schemas.openxmlformats.org/officeDocument/2006/relationships/externalLinkPath" Target="MF,%20Policies%20&amp;%20Bond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eepakj\Downloads\Stocks%20&amp;%20ESPP.xlsx" TargetMode="External"/><Relationship Id="rId1" Type="http://schemas.openxmlformats.org/officeDocument/2006/relationships/externalLinkPath" Target="Stocks%20&amp;%20ESP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VAll"/>
      <sheetName val="Pivot - Deepak"/>
      <sheetName val="MF - Deepak"/>
      <sheetName val="MF (Sell) - Deepak"/>
      <sheetName val="IRR - MF (Sell) - Deepak"/>
      <sheetName val="Pivot - Neha"/>
      <sheetName val="MF - Neha"/>
      <sheetName val="MF (Sell) - Neha"/>
      <sheetName val="IRR - MF (Sell) - Neha"/>
      <sheetName val="Policies (Hold)"/>
      <sheetName val="Policies (Sell)"/>
      <sheetName val="IRR - Policies"/>
      <sheetName val="Bonds (Hold)"/>
      <sheetName val="Bonds (Sell)"/>
      <sheetName val="IRR - Bond (Sell)"/>
    </sheetNames>
    <sheetDataSet>
      <sheetData sheetId="0">
        <row r="1">
          <cell r="B1" t="str">
            <v>ISIN Div Payout/ ISIN Growth</v>
          </cell>
          <cell r="C1" t="str">
            <v>ISIN Div Reinvestment</v>
          </cell>
          <cell r="D1" t="str">
            <v>Scheme Name</v>
          </cell>
          <cell r="E1" t="str">
            <v>Net Asset Value</v>
          </cell>
        </row>
        <row r="2">
          <cell r="B2" t="str">
            <v/>
          </cell>
          <cell r="C2" t="str">
            <v/>
          </cell>
          <cell r="D2" t="str">
            <v/>
          </cell>
        </row>
        <row r="3">
          <cell r="B3" t="str">
            <v/>
          </cell>
          <cell r="C3" t="str">
            <v/>
          </cell>
          <cell r="D3" t="str">
            <v/>
          </cell>
        </row>
        <row r="4">
          <cell r="B4" t="str">
            <v/>
          </cell>
          <cell r="C4" t="str">
            <v/>
          </cell>
          <cell r="D4" t="str">
            <v/>
          </cell>
        </row>
        <row r="5">
          <cell r="B5" t="str">
            <v/>
          </cell>
          <cell r="C5" t="str">
            <v/>
          </cell>
          <cell r="D5" t="str">
            <v/>
          </cell>
        </row>
        <row r="6">
          <cell r="B6" t="str">
            <v/>
          </cell>
          <cell r="C6" t="str">
            <v/>
          </cell>
          <cell r="D6" t="str">
            <v/>
          </cell>
        </row>
        <row r="7">
          <cell r="B7" t="str">
            <v>INF209KA12Z1</v>
          </cell>
          <cell r="C7" t="str">
            <v>INF209KA13Z9</v>
          </cell>
          <cell r="D7" t="str">
            <v>Aditya Birla Sun Life Banking &amp; PSU Debt Fund  - DIRECT - IDCW</v>
          </cell>
          <cell r="E7">
            <v>106.61069999999999</v>
          </cell>
        </row>
        <row r="8">
          <cell r="B8" t="str">
            <v>INF209K01YM2</v>
          </cell>
          <cell r="C8" t="str">
            <v>-</v>
          </cell>
          <cell r="D8" t="str">
            <v>Aditya Birla Sun Life Banking &amp; PSU Debt Fund  - DIRECT - MONTHLY IDCW</v>
          </cell>
          <cell r="E8">
            <v>117.37</v>
          </cell>
        </row>
        <row r="9">
          <cell r="B9" t="str">
            <v>INF209K01YO8</v>
          </cell>
          <cell r="C9" t="str">
            <v>-</v>
          </cell>
          <cell r="D9" t="str">
            <v>Aditya Birla Sun Life Banking &amp; PSU Debt Fund  - Direct - Quarterly IDCW</v>
          </cell>
          <cell r="E9">
            <v>104.6481</v>
          </cell>
        </row>
        <row r="10">
          <cell r="B10" t="str">
            <v>INF209K01LX6</v>
          </cell>
          <cell r="C10" t="str">
            <v>INF209KA11Z3</v>
          </cell>
          <cell r="D10" t="str">
            <v>Aditya Birla Sun Life Banking &amp; PSU Debt Fund  - REGULAR - IDCW</v>
          </cell>
          <cell r="E10">
            <v>149.2149</v>
          </cell>
        </row>
        <row r="11">
          <cell r="B11" t="str">
            <v>INF209K01LU2</v>
          </cell>
          <cell r="C11" t="str">
            <v>-</v>
          </cell>
          <cell r="D11" t="str">
            <v>Aditya Birla Sun Life Banking &amp; PSU Debt Fund  - REGULAR - MONTHLY IDCW</v>
          </cell>
          <cell r="E11">
            <v>112.6417</v>
          </cell>
        </row>
        <row r="12">
          <cell r="B12" t="str">
            <v>INF209K01LN7</v>
          </cell>
          <cell r="C12" t="str">
            <v>-</v>
          </cell>
          <cell r="D12" t="str">
            <v>Aditya Birla Sun Life Banking &amp; PSU Debt Fund  - REGULAR - Quarterly IDCW</v>
          </cell>
          <cell r="E12">
            <v>102.2341</v>
          </cell>
        </row>
        <row r="13">
          <cell r="B13" t="str">
            <v>INF209K01LV0</v>
          </cell>
          <cell r="C13" t="str">
            <v>-</v>
          </cell>
          <cell r="D13" t="str">
            <v>Aditya Birla Sun Life Banking &amp; PSU Debt Fund - Regular Plan-Growth</v>
          </cell>
          <cell r="E13">
            <v>386.54910000000001</v>
          </cell>
        </row>
        <row r="14">
          <cell r="B14" t="str">
            <v>INF209K01YN0</v>
          </cell>
          <cell r="C14" t="str">
            <v>-</v>
          </cell>
          <cell r="D14" t="str">
            <v>Aditya Birla Sun Life Banking &amp; PSU Debt Fund- Direct Plan-Growth</v>
          </cell>
          <cell r="E14">
            <v>402.62439999999998</v>
          </cell>
        </row>
        <row r="15">
          <cell r="B15" t="str">
            <v/>
          </cell>
          <cell r="C15" t="str">
            <v/>
          </cell>
          <cell r="D15" t="str">
            <v/>
          </cell>
        </row>
        <row r="16">
          <cell r="B16" t="str">
            <v/>
          </cell>
          <cell r="C16" t="str">
            <v/>
          </cell>
          <cell r="D16" t="str">
            <v/>
          </cell>
        </row>
        <row r="17">
          <cell r="B17" t="str">
            <v/>
          </cell>
          <cell r="C17" t="str">
            <v/>
          </cell>
          <cell r="D17" t="str">
            <v/>
          </cell>
        </row>
        <row r="18">
          <cell r="B18" t="str">
            <v>INF846K01NF8</v>
          </cell>
          <cell r="C18" t="str">
            <v>-</v>
          </cell>
          <cell r="D18" t="str">
            <v>Axis Banking &amp; PSU Debt Fund - Direct Plan - Bonus Option</v>
          </cell>
          <cell r="E18">
            <v>1532.8271999999999</v>
          </cell>
        </row>
        <row r="19">
          <cell r="B19" t="str">
            <v>-</v>
          </cell>
          <cell r="C19" t="str">
            <v>INF846K01CU0</v>
          </cell>
          <cell r="D19" t="str">
            <v>Axis Banking &amp; PSU Debt Fund - Direct Plan - Daily IDCW</v>
          </cell>
          <cell r="E19">
            <v>1037.7487000000001</v>
          </cell>
        </row>
        <row r="20">
          <cell r="B20" t="str">
            <v>INF846K01CR6</v>
          </cell>
          <cell r="C20" t="str">
            <v>-</v>
          </cell>
          <cell r="D20" t="str">
            <v>Axis Banking &amp; PSU Debt Fund - Direct Plan - Growth Option</v>
          </cell>
          <cell r="E20">
            <v>2884.7395999999999</v>
          </cell>
        </row>
        <row r="21">
          <cell r="B21" t="str">
            <v>INF846K01CT2</v>
          </cell>
          <cell r="C21" t="str">
            <v>INF846K01CS4</v>
          </cell>
          <cell r="D21" t="str">
            <v>Axis Banking &amp; PSU Debt Fund - Direct Plan - Monthly IDCW</v>
          </cell>
          <cell r="E21">
            <v>1036.3495</v>
          </cell>
        </row>
        <row r="22">
          <cell r="B22" t="str">
            <v>INF846K01CV8</v>
          </cell>
          <cell r="C22" t="str">
            <v>INF846K01CW6</v>
          </cell>
          <cell r="D22" t="str">
            <v>Axis Banking &amp; PSU Debt Fund - Direct Plan - Weekly IDCW</v>
          </cell>
          <cell r="E22">
            <v>1036.8216</v>
          </cell>
        </row>
        <row r="23">
          <cell r="B23" t="str">
            <v>INF846K01NG6</v>
          </cell>
          <cell r="C23" t="str">
            <v>-</v>
          </cell>
          <cell r="D23" t="str">
            <v>Axis Banking &amp; PSU Debt Fund - Regular Plan - Bonus Option</v>
          </cell>
          <cell r="E23">
            <v>1289.4075</v>
          </cell>
        </row>
        <row r="24">
          <cell r="B24" t="str">
            <v>-</v>
          </cell>
          <cell r="C24" t="str">
            <v>INF846K01CC8</v>
          </cell>
          <cell r="D24" t="str">
            <v>Axis Banking &amp; PSU Debt Fund - Regular Plan - Daily IDCW</v>
          </cell>
          <cell r="E24">
            <v>1037.6190999999999</v>
          </cell>
        </row>
        <row r="25">
          <cell r="B25" t="str">
            <v>INF846K01CB0</v>
          </cell>
          <cell r="C25" t="str">
            <v>-</v>
          </cell>
          <cell r="D25" t="str">
            <v>Axis Banking &amp; PSU Debt Fund - Regular Plan - Growth option</v>
          </cell>
          <cell r="E25">
            <v>2789.1893</v>
          </cell>
        </row>
        <row r="26">
          <cell r="B26" t="str">
            <v>INF846K01CF1</v>
          </cell>
          <cell r="C26" t="str">
            <v>INF846K01CG9</v>
          </cell>
          <cell r="D26" t="str">
            <v>Axis Banking &amp; PSU Debt Fund - Regular Plan - Monthly IDCW</v>
          </cell>
          <cell r="E26">
            <v>1036.1239</v>
          </cell>
        </row>
        <row r="27">
          <cell r="B27" t="str">
            <v>INF846K01CD6</v>
          </cell>
          <cell r="C27" t="str">
            <v>INF846K01CE4</v>
          </cell>
          <cell r="D27" t="str">
            <v>Axis Banking &amp; PSU Debt Fund - Regular Plan - Weekly IDCW</v>
          </cell>
          <cell r="E27">
            <v>1036.6907000000001</v>
          </cell>
        </row>
        <row r="28">
          <cell r="B28" t="str">
            <v/>
          </cell>
          <cell r="C28" t="str">
            <v/>
          </cell>
          <cell r="D28" t="str">
            <v/>
          </cell>
        </row>
        <row r="29">
          <cell r="B29" t="str">
            <v/>
          </cell>
          <cell r="C29" t="str">
            <v/>
          </cell>
          <cell r="D29" t="str">
            <v/>
          </cell>
        </row>
        <row r="30">
          <cell r="B30" t="str">
            <v/>
          </cell>
          <cell r="C30" t="str">
            <v/>
          </cell>
          <cell r="D30" t="str">
            <v/>
          </cell>
        </row>
        <row r="31">
          <cell r="B31" t="str">
            <v>INF0QA701649</v>
          </cell>
          <cell r="C31" t="str">
            <v>INF0QA701631</v>
          </cell>
          <cell r="D31" t="str">
            <v>Bajaj Finserv Banking and PSU Fund-  Direct Plan-Monthly- IDCW</v>
          </cell>
          <cell r="E31">
            <v>10.9816</v>
          </cell>
        </row>
        <row r="32">
          <cell r="B32" t="str">
            <v>INF0QA701615</v>
          </cell>
          <cell r="C32" t="str">
            <v>INF0QA701623</v>
          </cell>
          <cell r="D32" t="str">
            <v>Bajaj Finserv Banking and PSU Fund- Direct Plan- IDCW</v>
          </cell>
          <cell r="E32">
            <v>12.1677</v>
          </cell>
        </row>
        <row r="33">
          <cell r="B33" t="str">
            <v>INF0QA701557</v>
          </cell>
          <cell r="C33" t="str">
            <v>-</v>
          </cell>
          <cell r="D33" t="str">
            <v>Bajaj Finserv Banking and PSU Fund- Regular Plan- Growth</v>
          </cell>
          <cell r="E33">
            <v>11.9892</v>
          </cell>
        </row>
        <row r="34">
          <cell r="B34" t="str">
            <v>INF0QA701565</v>
          </cell>
          <cell r="C34" t="str">
            <v>INF0QA701573</v>
          </cell>
          <cell r="D34" t="str">
            <v>Bajaj Finserv Banking and PSU Fund- Regular Plan- IDCW</v>
          </cell>
          <cell r="E34">
            <v>11.9892</v>
          </cell>
        </row>
        <row r="35">
          <cell r="B35" t="str">
            <v>INF0QA701607</v>
          </cell>
          <cell r="C35" t="str">
            <v>-</v>
          </cell>
          <cell r="D35" t="str">
            <v>Bajaj Finserv Banking and PSU Fund-Direct Plan- Growth</v>
          </cell>
          <cell r="E35">
            <v>12.1677</v>
          </cell>
        </row>
        <row r="36">
          <cell r="B36" t="str">
            <v>INF0QA701599</v>
          </cell>
          <cell r="C36" t="str">
            <v>INF0QA701581</v>
          </cell>
          <cell r="D36" t="str">
            <v>Bajaj Finserv Banking and PSU Fund-Regular Plan-Monthly-IDCW</v>
          </cell>
          <cell r="E36">
            <v>10.911799999999999</v>
          </cell>
        </row>
        <row r="37">
          <cell r="B37" t="str">
            <v/>
          </cell>
          <cell r="C37" t="str">
            <v/>
          </cell>
          <cell r="D37" t="str">
            <v/>
          </cell>
        </row>
        <row r="38">
          <cell r="B38" t="str">
            <v/>
          </cell>
          <cell r="C38" t="str">
            <v/>
          </cell>
          <cell r="D38" t="str">
            <v/>
          </cell>
        </row>
        <row r="39">
          <cell r="B39" t="str">
            <v/>
          </cell>
          <cell r="C39" t="str">
            <v/>
          </cell>
          <cell r="D39" t="str">
            <v/>
          </cell>
        </row>
        <row r="40">
          <cell r="B40" t="str">
            <v>INF194K019M8</v>
          </cell>
          <cell r="C40" t="str">
            <v>-</v>
          </cell>
          <cell r="D40" t="str">
            <v>Bandhan Banking and PSU Fund - Direct Annual IDCW</v>
          </cell>
          <cell r="E40">
            <v>12.3376</v>
          </cell>
        </row>
        <row r="41">
          <cell r="B41" t="str">
            <v>-</v>
          </cell>
          <cell r="C41" t="str">
            <v>INF194KA1JD3</v>
          </cell>
          <cell r="D41" t="str">
            <v>Bandhan Banking and PSU Fund - Direct Daily IDCW</v>
          </cell>
          <cell r="E41">
            <v>10.456099999999999</v>
          </cell>
        </row>
        <row r="42">
          <cell r="B42" t="str">
            <v>-</v>
          </cell>
          <cell r="C42" t="str">
            <v>INF194K010N5</v>
          </cell>
          <cell r="D42" t="str">
            <v>Bandhan Banking and PSU Fund - Direct Fortnightly IDCW</v>
          </cell>
          <cell r="E42">
            <v>10.4513</v>
          </cell>
        </row>
        <row r="43">
          <cell r="B43" t="str">
            <v>INF194K015G8</v>
          </cell>
          <cell r="C43" t="str">
            <v>-</v>
          </cell>
          <cell r="D43" t="str">
            <v>Bandhan Banking and PSU Fund - Direct Growth</v>
          </cell>
          <cell r="E43">
            <v>26.959</v>
          </cell>
        </row>
        <row r="44">
          <cell r="B44" t="str">
            <v>INF194K016G6</v>
          </cell>
          <cell r="C44" t="str">
            <v>INF194K017G4</v>
          </cell>
          <cell r="D44" t="str">
            <v>Bandhan Banking and PSU Fund - Direct IDCW</v>
          </cell>
          <cell r="E44">
            <v>14.181100000000001</v>
          </cell>
        </row>
        <row r="45">
          <cell r="B45" t="str">
            <v>-</v>
          </cell>
          <cell r="C45" t="str">
            <v>INF194K011N3</v>
          </cell>
          <cell r="D45" t="str">
            <v>Bandhan Banking and PSU Fund - Direct Monthly IDCW</v>
          </cell>
          <cell r="E45">
            <v>10.4315</v>
          </cell>
        </row>
        <row r="46">
          <cell r="B46" t="str">
            <v>INF194K018M0</v>
          </cell>
          <cell r="C46" t="str">
            <v>-</v>
          </cell>
          <cell r="D46" t="str">
            <v>Bandhan Banking and PSU Fund - Direct Quarterly IDCW</v>
          </cell>
          <cell r="E46">
            <v>11.0037</v>
          </cell>
        </row>
        <row r="47">
          <cell r="B47" t="str">
            <v>INF194K015M6</v>
          </cell>
          <cell r="C47" t="str">
            <v>-</v>
          </cell>
          <cell r="D47" t="str">
            <v>Bandhan Banking and PSU Fund - Regular Annual IDCW</v>
          </cell>
          <cell r="E47">
            <v>11.3498</v>
          </cell>
        </row>
        <row r="48">
          <cell r="B48" t="str">
            <v>-</v>
          </cell>
          <cell r="C48" t="str">
            <v>INF194KA1JC5</v>
          </cell>
          <cell r="D48" t="str">
            <v>Bandhan Banking and PSU Fund - Regular Daily IDCW</v>
          </cell>
          <cell r="E48">
            <v>10.8559</v>
          </cell>
        </row>
        <row r="49">
          <cell r="B49" t="str">
            <v>-</v>
          </cell>
          <cell r="C49" t="str">
            <v>INF194K016M4</v>
          </cell>
          <cell r="D49" t="str">
            <v>Bandhan Banking and PSU Fund - Regular Fortnightly IDCW</v>
          </cell>
          <cell r="E49">
            <v>10.6045</v>
          </cell>
        </row>
        <row r="50">
          <cell r="B50" t="str">
            <v>INF194K01SN6</v>
          </cell>
          <cell r="C50" t="str">
            <v>-</v>
          </cell>
          <cell r="D50" t="str">
            <v>Bandhan Banking and PSU Fund - Regular Growth</v>
          </cell>
          <cell r="E50">
            <v>26.111999999999998</v>
          </cell>
        </row>
        <row r="51">
          <cell r="B51" t="str">
            <v>INF194K01SO4</v>
          </cell>
          <cell r="C51" t="str">
            <v>INF194K012D2</v>
          </cell>
          <cell r="D51" t="str">
            <v>Bandhan Banking and PSU Fund - Regular IDCW</v>
          </cell>
          <cell r="E51">
            <v>14.100300000000001</v>
          </cell>
        </row>
        <row r="52">
          <cell r="B52" t="str">
            <v>-</v>
          </cell>
          <cell r="C52" t="str">
            <v>INF194K017M2</v>
          </cell>
          <cell r="D52" t="str">
            <v>Bandhan Banking and PSU Fund - Regular Monthly IDCW</v>
          </cell>
          <cell r="E52">
            <v>10.6737</v>
          </cell>
        </row>
        <row r="53">
          <cell r="B53" t="str">
            <v>INF194K014M9</v>
          </cell>
          <cell r="C53" t="str">
            <v>-</v>
          </cell>
          <cell r="D53" t="str">
            <v>Bandhan Banking and PSU Fund - Regular Quarterly IDCW</v>
          </cell>
          <cell r="E53">
            <v>10.8977</v>
          </cell>
        </row>
        <row r="54">
          <cell r="B54" t="str">
            <v/>
          </cell>
          <cell r="C54" t="str">
            <v/>
          </cell>
          <cell r="D54" t="str">
            <v/>
          </cell>
        </row>
        <row r="55">
          <cell r="B55" t="str">
            <v/>
          </cell>
          <cell r="C55" t="str">
            <v/>
          </cell>
          <cell r="D55" t="str">
            <v/>
          </cell>
        </row>
        <row r="56">
          <cell r="B56" t="str">
            <v/>
          </cell>
          <cell r="C56" t="str">
            <v/>
          </cell>
          <cell r="D56" t="str">
            <v/>
          </cell>
        </row>
        <row r="57">
          <cell r="B57" t="str">
            <v>INF760K01KC4</v>
          </cell>
          <cell r="C57" t="str">
            <v>-</v>
          </cell>
          <cell r="D57" t="str">
            <v>Canara Robeco Banking and PSU Debt Fund- Direct Plan- Growth Option</v>
          </cell>
          <cell r="E57">
            <v>12.862299999999999</v>
          </cell>
        </row>
        <row r="58">
          <cell r="B58" t="str">
            <v>INF760K01KE0</v>
          </cell>
          <cell r="C58" t="str">
            <v>INF760K01KD2</v>
          </cell>
          <cell r="D58" t="str">
            <v>Canara Robeco Banking and PSU Debt Fund- Direct Plan- IDCW Payout</v>
          </cell>
          <cell r="E58">
            <v>10.7828</v>
          </cell>
        </row>
        <row r="59">
          <cell r="B59" t="str">
            <v>INF760K01KF7</v>
          </cell>
          <cell r="C59" t="str">
            <v>-</v>
          </cell>
          <cell r="D59" t="str">
            <v>Canara Robeco Banking and PSU Debt Fund- Regular Plan- Growth Option</v>
          </cell>
          <cell r="E59">
            <v>12.7103</v>
          </cell>
        </row>
        <row r="60">
          <cell r="B60" t="str">
            <v>INF760K01KH3</v>
          </cell>
          <cell r="C60" t="str">
            <v>INF760K01KG5</v>
          </cell>
          <cell r="D60" t="str">
            <v>Canara Robeco Banking and PSU Debt Fund- Regular Plan- IDCW (Payout/ Reinvestment)</v>
          </cell>
          <cell r="E60">
            <v>10.664400000000001</v>
          </cell>
        </row>
        <row r="61">
          <cell r="B61" t="str">
            <v/>
          </cell>
          <cell r="C61" t="str">
            <v/>
          </cell>
          <cell r="D61" t="str">
            <v/>
          </cell>
        </row>
        <row r="62">
          <cell r="B62" t="str">
            <v/>
          </cell>
          <cell r="C62" t="str">
            <v/>
          </cell>
          <cell r="D62" t="str">
            <v/>
          </cell>
        </row>
        <row r="63">
          <cell r="B63" t="str">
            <v/>
          </cell>
          <cell r="C63" t="str">
            <v/>
          </cell>
          <cell r="D63" t="str">
            <v/>
          </cell>
        </row>
        <row r="64">
          <cell r="B64" t="str">
            <v>INF740K01ZW2</v>
          </cell>
          <cell r="C64" t="str">
            <v>-</v>
          </cell>
          <cell r="D64" t="str">
            <v>DSP Banking &amp; PSU Debt Fund - Direct Plan - Growth</v>
          </cell>
          <cell r="E64">
            <v>26.272500000000001</v>
          </cell>
        </row>
        <row r="65">
          <cell r="B65" t="str">
            <v>INF740K01A18</v>
          </cell>
          <cell r="C65" t="str">
            <v>INF740K01A26</v>
          </cell>
          <cell r="D65" t="str">
            <v>DSP Banking &amp; PSU Debt Fund - Direct Plan - IDCW</v>
          </cell>
          <cell r="E65">
            <v>10.603</v>
          </cell>
        </row>
        <row r="66">
          <cell r="B66" t="str">
            <v>-</v>
          </cell>
          <cell r="C66" t="str">
            <v>INF740KA1OF7</v>
          </cell>
          <cell r="D66" t="str">
            <v>DSP Banking &amp; PSU Debt Fund - Direct Plan - IDCW - Daily Reinvest</v>
          </cell>
          <cell r="E66">
            <v>10.160299999999999</v>
          </cell>
        </row>
        <row r="67">
          <cell r="B67" t="str">
            <v>INF740K01ZX0</v>
          </cell>
          <cell r="C67" t="str">
            <v>INF740K01ZY8</v>
          </cell>
          <cell r="D67" t="str">
            <v>DSP Banking &amp; PSU Debt Fund - Direct Plan - IDCW - Monthly</v>
          </cell>
          <cell r="E67">
            <v>10.425800000000001</v>
          </cell>
        </row>
        <row r="68">
          <cell r="B68" t="str">
            <v>INF740K01ZZ5</v>
          </cell>
          <cell r="C68" t="str">
            <v>INF740K01A00</v>
          </cell>
          <cell r="D68" t="str">
            <v xml:space="preserve">DSP Banking &amp; PSU Debt Fund - Direct Plan - IDCW - Quarterly </v>
          </cell>
          <cell r="E68">
            <v>10.4405</v>
          </cell>
        </row>
        <row r="69">
          <cell r="B69" t="str">
            <v>INF740KA1OG5</v>
          </cell>
          <cell r="C69" t="str">
            <v>INF740KA1OH3</v>
          </cell>
          <cell r="D69" t="str">
            <v>DSP Banking &amp; PSU Debt Fund - Direct Plan - IDCW - Weekly</v>
          </cell>
          <cell r="E69">
            <v>10.1601</v>
          </cell>
        </row>
        <row r="70">
          <cell r="B70" t="str">
            <v>INF740K01ZP6</v>
          </cell>
          <cell r="C70" t="str">
            <v>-</v>
          </cell>
          <cell r="D70" t="str">
            <v>DSP Banking &amp; PSU Debt Fund - Regular Plan - Growth</v>
          </cell>
          <cell r="E70">
            <v>25.300999999999998</v>
          </cell>
        </row>
        <row r="71">
          <cell r="B71" t="str">
            <v>INF740K01ZU6</v>
          </cell>
          <cell r="C71" t="str">
            <v>INF740K01ZV4</v>
          </cell>
          <cell r="D71" t="str">
            <v>DSP Banking &amp; PSU Debt Fund - Regular Plan - IDCW</v>
          </cell>
          <cell r="E71">
            <v>10.5906</v>
          </cell>
        </row>
        <row r="72">
          <cell r="B72" t="str">
            <v>-</v>
          </cell>
          <cell r="C72" t="str">
            <v>INF740KA1OI1</v>
          </cell>
          <cell r="D72" t="str">
            <v>DSP Banking &amp; PSU Debt Fund - Regular Plan - IDCW - Daily Reinvest</v>
          </cell>
          <cell r="E72">
            <v>10.159000000000001</v>
          </cell>
        </row>
        <row r="73">
          <cell r="B73" t="str">
            <v>INF740K01ZQ4</v>
          </cell>
          <cell r="C73" t="str">
            <v>INF740K01ZR2</v>
          </cell>
          <cell r="D73" t="str">
            <v>DSP Banking &amp; PSU Debt Fund - Regular Plan - IDCW - Monthly</v>
          </cell>
          <cell r="E73">
            <v>10.411799999999999</v>
          </cell>
        </row>
        <row r="74">
          <cell r="B74" t="str">
            <v>INF740K01ZS0</v>
          </cell>
          <cell r="C74" t="str">
            <v>INF740K01ZT8</v>
          </cell>
          <cell r="D74" t="str">
            <v xml:space="preserve">DSP Banking &amp; PSU Debt Fund - Regular Plan - IDCW - Quarterly </v>
          </cell>
          <cell r="E74">
            <v>10.4299</v>
          </cell>
        </row>
        <row r="75">
          <cell r="B75" t="str">
            <v>INF740KA1OJ9</v>
          </cell>
          <cell r="C75" t="str">
            <v>INF740KA1OK7</v>
          </cell>
          <cell r="D75" t="str">
            <v>DSP Banking &amp; PSU Debt Fund - Regular Plan - IDCW - Weekly</v>
          </cell>
          <cell r="E75">
            <v>10.1586</v>
          </cell>
        </row>
        <row r="76">
          <cell r="B76" t="str">
            <v/>
          </cell>
          <cell r="C76" t="str">
            <v/>
          </cell>
          <cell r="D76" t="str">
            <v/>
          </cell>
        </row>
        <row r="77">
          <cell r="B77" t="str">
            <v/>
          </cell>
          <cell r="C77" t="str">
            <v/>
          </cell>
          <cell r="D77" t="str">
            <v/>
          </cell>
        </row>
        <row r="78">
          <cell r="B78" t="str">
            <v/>
          </cell>
          <cell r="C78" t="str">
            <v/>
          </cell>
          <cell r="D78" t="str">
            <v/>
          </cell>
        </row>
        <row r="79">
          <cell r="B79" t="str">
            <v>INF843K01FC8</v>
          </cell>
          <cell r="C79" t="str">
            <v>-</v>
          </cell>
          <cell r="D79" t="str">
            <v>Edelweiss Banking and PSU Debt Fund - Direct Plan - Growth Option</v>
          </cell>
          <cell r="E79">
            <v>26.883800000000001</v>
          </cell>
        </row>
        <row r="80">
          <cell r="B80" t="str">
            <v>INF843K01FD6</v>
          </cell>
          <cell r="C80" t="str">
            <v>INF843K01FE4</v>
          </cell>
          <cell r="D80" t="str">
            <v>Edelweiss Banking and PSU Debt Fund - Direct Plan - IDCW Option</v>
          </cell>
          <cell r="E80">
            <v>18.622</v>
          </cell>
        </row>
        <row r="81">
          <cell r="B81" t="str">
            <v>INF843K01FG9</v>
          </cell>
          <cell r="C81" t="str">
            <v>-</v>
          </cell>
          <cell r="D81" t="str">
            <v>Edelweiss Banking and PSU Debt Fund - Direct Plan Fortnightly - IDCW Option</v>
          </cell>
          <cell r="E81">
            <v>14.3645</v>
          </cell>
        </row>
        <row r="82">
          <cell r="B82" t="str">
            <v>INF843K01FI5</v>
          </cell>
          <cell r="C82" t="str">
            <v>INF843K01FH7</v>
          </cell>
          <cell r="D82" t="str">
            <v>Edelweiss Banking and PSU Debt Fund - Direct Plan Monthly - IDCW Option</v>
          </cell>
          <cell r="E82">
            <v>10.929</v>
          </cell>
        </row>
        <row r="83">
          <cell r="B83" t="str">
            <v>INF843K01FF1</v>
          </cell>
          <cell r="C83" t="str">
            <v>-</v>
          </cell>
          <cell r="D83" t="str">
            <v>Edelweiss Banking and PSU Debt Fund - Direct Plan weekly - IDCW Option</v>
          </cell>
          <cell r="E83">
            <v>10.552099999999999</v>
          </cell>
        </row>
        <row r="84">
          <cell r="B84" t="str">
            <v>INF843K01FK1</v>
          </cell>
          <cell r="C84" t="str">
            <v>-</v>
          </cell>
          <cell r="D84" t="str">
            <v>Edelweiss Banking and PSU Debt Fund - Regular Plan - Growth Option</v>
          </cell>
          <cell r="E84">
            <v>25.8626</v>
          </cell>
        </row>
        <row r="85">
          <cell r="B85" t="str">
            <v>INF843K01FL9</v>
          </cell>
          <cell r="C85" t="str">
            <v>INF843K01FM7</v>
          </cell>
          <cell r="D85" t="str">
            <v>Edelweiss Banking and PSU Debt Fund - Regular Plan - IDCW Option</v>
          </cell>
          <cell r="E85">
            <v>17.680099999999999</v>
          </cell>
        </row>
        <row r="86">
          <cell r="B86" t="str">
            <v>INF843K01FO3</v>
          </cell>
          <cell r="C86" t="str">
            <v>-</v>
          </cell>
          <cell r="D86" t="str">
            <v>Edelweiss Banking and PSU Debt Fund - Regular Plan Fortnightly - IDCW Option</v>
          </cell>
          <cell r="E86">
            <v>13.887</v>
          </cell>
        </row>
        <row r="87">
          <cell r="B87" t="str">
            <v>INF843K01FQ8</v>
          </cell>
          <cell r="C87" t="str">
            <v>INF843K01FP0</v>
          </cell>
          <cell r="D87" t="str">
            <v>Edelweiss Banking and PSU Debt Fund - Regular Plan Monthly - IDCW Option</v>
          </cell>
          <cell r="E87">
            <v>11.173500000000001</v>
          </cell>
        </row>
        <row r="88">
          <cell r="B88" t="str">
            <v>INF843K01FN5</v>
          </cell>
          <cell r="C88" t="str">
            <v>-</v>
          </cell>
          <cell r="D88" t="str">
            <v>Edelweiss Banking and PSU Debt Fund - Regular Plan Weekly - IDCW Option</v>
          </cell>
          <cell r="E88">
            <v>10.145</v>
          </cell>
        </row>
        <row r="89">
          <cell r="B89" t="str">
            <v/>
          </cell>
          <cell r="C89" t="str">
            <v/>
          </cell>
          <cell r="D89" t="str">
            <v/>
          </cell>
        </row>
        <row r="90">
          <cell r="B90" t="str">
            <v/>
          </cell>
          <cell r="C90" t="str">
            <v/>
          </cell>
          <cell r="D90" t="str">
            <v/>
          </cell>
        </row>
        <row r="91">
          <cell r="B91" t="str">
            <v/>
          </cell>
          <cell r="C91" t="str">
            <v/>
          </cell>
          <cell r="D91" t="str">
            <v/>
          </cell>
        </row>
        <row r="92">
          <cell r="B92" t="str">
            <v>INF090I01KR8</v>
          </cell>
          <cell r="C92" t="str">
            <v>-</v>
          </cell>
          <cell r="D92" t="str">
            <v>Franklin India Banking &amp; PSU Debt Fund - Direct - Growth</v>
          </cell>
          <cell r="E92">
            <v>25.101500000000001</v>
          </cell>
        </row>
        <row r="93">
          <cell r="B93" t="str">
            <v>INF090I01KO5</v>
          </cell>
          <cell r="C93" t="str">
            <v>-</v>
          </cell>
          <cell r="D93" t="str">
            <v>Franklin India Banking &amp; PSU Debt Fund - Growth</v>
          </cell>
          <cell r="E93">
            <v>23.950700000000001</v>
          </cell>
        </row>
        <row r="94">
          <cell r="B94" t="str">
            <v>INF090I01KS6</v>
          </cell>
          <cell r="C94" t="str">
            <v>INF090I01KT4</v>
          </cell>
          <cell r="D94" t="str">
            <v xml:space="preserve">Franklin India Banking and PSU Debt Fund - Direct - IDCW </v>
          </cell>
          <cell r="E94">
            <v>11.5372</v>
          </cell>
        </row>
        <row r="95">
          <cell r="B95" t="str">
            <v>INF090I01KP2</v>
          </cell>
          <cell r="C95" t="str">
            <v>INF090I01KQ0</v>
          </cell>
          <cell r="D95" t="str">
            <v xml:space="preserve">Franklin India Banking and PSU Debt Fund - IDCW </v>
          </cell>
          <cell r="E95">
            <v>10.9091</v>
          </cell>
        </row>
        <row r="96">
          <cell r="B96" t="str">
            <v/>
          </cell>
          <cell r="C96" t="str">
            <v/>
          </cell>
          <cell r="D96" t="str">
            <v/>
          </cell>
        </row>
        <row r="97">
          <cell r="B97" t="str">
            <v/>
          </cell>
          <cell r="C97" t="str">
            <v/>
          </cell>
          <cell r="D97" t="str">
            <v/>
          </cell>
        </row>
        <row r="98">
          <cell r="B98" t="str">
            <v/>
          </cell>
          <cell r="C98" t="str">
            <v/>
          </cell>
          <cell r="D98" t="str">
            <v/>
          </cell>
        </row>
        <row r="99">
          <cell r="B99" t="str">
            <v>INF179KA1JC4</v>
          </cell>
          <cell r="C99" t="str">
            <v>-</v>
          </cell>
          <cell r="D99" t="str">
            <v>HDFC Banking and PSU Debt Fund - Growth Option</v>
          </cell>
          <cell r="E99">
            <v>24.314299999999999</v>
          </cell>
        </row>
        <row r="100">
          <cell r="B100" t="str">
            <v>INF179KA1IZ7</v>
          </cell>
          <cell r="C100" t="str">
            <v>-</v>
          </cell>
          <cell r="D100" t="str">
            <v>HDFC Banking and PSU Debt Fund - Growth Option - Direct Plan</v>
          </cell>
          <cell r="E100">
            <v>25.416899999999998</v>
          </cell>
        </row>
        <row r="101">
          <cell r="B101" t="str">
            <v>INF179KA1JD2</v>
          </cell>
          <cell r="C101" t="str">
            <v>INF179KA1JE0</v>
          </cell>
          <cell r="D101" t="str">
            <v>HDFC Banking and PSU Debt Fund - IDCW Option</v>
          </cell>
          <cell r="E101">
            <v>10.1198</v>
          </cell>
        </row>
        <row r="102">
          <cell r="B102" t="str">
            <v>INF179KA1JA8</v>
          </cell>
          <cell r="C102" t="str">
            <v>INF179KA1JB6</v>
          </cell>
          <cell r="D102" t="str">
            <v>HDFC Banking and PSU Debt Fund - IDCW Option - Direct Plan</v>
          </cell>
          <cell r="E102">
            <v>10.011699999999999</v>
          </cell>
        </row>
        <row r="103">
          <cell r="B103" t="str">
            <v/>
          </cell>
          <cell r="C103" t="str">
            <v/>
          </cell>
          <cell r="D103" t="str">
            <v/>
          </cell>
        </row>
        <row r="104">
          <cell r="B104" t="str">
            <v/>
          </cell>
          <cell r="C104" t="str">
            <v/>
          </cell>
          <cell r="D104" t="str">
            <v/>
          </cell>
        </row>
        <row r="105">
          <cell r="B105" t="str">
            <v/>
          </cell>
          <cell r="C105" t="str">
            <v/>
          </cell>
          <cell r="D105" t="str">
            <v/>
          </cell>
        </row>
        <row r="106">
          <cell r="B106" t="str">
            <v>INF109K01WS5</v>
          </cell>
          <cell r="C106" t="str">
            <v>INF109K01RV9</v>
          </cell>
          <cell r="D106" t="str">
            <v>ICICI Prudential Banking and PSU Debt Fund -  Daily IDCW</v>
          </cell>
          <cell r="E106">
            <v>10.0549</v>
          </cell>
        </row>
        <row r="107">
          <cell r="B107" t="str">
            <v>INF109K01WR7</v>
          </cell>
          <cell r="C107" t="str">
            <v>INF109K01RU1</v>
          </cell>
          <cell r="D107" t="str">
            <v>ICICI Prudential Banking and PSU Debt Fund -  Weekly IDCW</v>
          </cell>
          <cell r="E107">
            <v>10.242699999999999</v>
          </cell>
        </row>
        <row r="108">
          <cell r="B108" t="str">
            <v>INF109KA1B57</v>
          </cell>
          <cell r="C108" t="str">
            <v>-</v>
          </cell>
          <cell r="D108" t="str">
            <v>ICICI Prudential Banking and PSU Debt Fund - Bonus</v>
          </cell>
          <cell r="E108">
            <v>15.8889</v>
          </cell>
        </row>
        <row r="109">
          <cell r="B109" t="str">
            <v>INF109K01Z89</v>
          </cell>
          <cell r="C109" t="str">
            <v>INF109K01Z97</v>
          </cell>
          <cell r="D109" t="str">
            <v>ICICI Prudential Banking and PSU Debt Fund - Direct Plan -  Daily IDCW</v>
          </cell>
          <cell r="E109">
            <v>10.2538</v>
          </cell>
        </row>
        <row r="110">
          <cell r="B110" t="str">
            <v>INF109K010A6</v>
          </cell>
          <cell r="C110" t="str">
            <v>-</v>
          </cell>
          <cell r="D110" t="str">
            <v>ICICI Prudential Banking and PSU Debt Fund - Direct Plan -  Growth</v>
          </cell>
          <cell r="E110">
            <v>36.314900000000002</v>
          </cell>
        </row>
        <row r="111">
          <cell r="B111" t="str">
            <v>INF109K011A4</v>
          </cell>
          <cell r="C111" t="str">
            <v>INF109K012A2</v>
          </cell>
          <cell r="D111" t="str">
            <v>ICICI Prudential Banking and PSU Debt Fund - Direct Plan -  Quarterly IDCW</v>
          </cell>
          <cell r="E111">
            <v>13.1701</v>
          </cell>
        </row>
        <row r="112">
          <cell r="B112" t="str">
            <v>INF109K013A0</v>
          </cell>
          <cell r="C112" t="str">
            <v>INF109K014A8</v>
          </cell>
          <cell r="D112" t="str">
            <v>ICICI Prudential Banking and PSU Debt Fund - Direct Plan -  Weekly IDCW</v>
          </cell>
          <cell r="E112">
            <v>10.370799999999999</v>
          </cell>
        </row>
        <row r="113">
          <cell r="B113" t="str">
            <v>INF109KA1B40</v>
          </cell>
          <cell r="C113" t="str">
            <v>-</v>
          </cell>
          <cell r="D113" t="str">
            <v>ICICI Prudential Banking and PSU Debt Fund - Direct Plan Bonus</v>
          </cell>
          <cell r="E113">
            <v>13.8665</v>
          </cell>
        </row>
        <row r="114">
          <cell r="B114" t="str">
            <v>INF109KA1M96</v>
          </cell>
          <cell r="C114" t="str">
            <v>INF109KA1M88</v>
          </cell>
          <cell r="D114" t="str">
            <v>ICICI Prudential Banking and PSU Debt Fund - Direct Plan Half Yearly IDCW Option</v>
          </cell>
          <cell r="E114">
            <v>13.1098</v>
          </cell>
        </row>
        <row r="115">
          <cell r="B115" t="str">
            <v>INF109K01RT3</v>
          </cell>
          <cell r="C115" t="str">
            <v>-</v>
          </cell>
          <cell r="D115" t="str">
            <v>ICICI Prudential Banking and PSU Debt Fund - Growth</v>
          </cell>
          <cell r="E115">
            <v>34.712899999999998</v>
          </cell>
        </row>
        <row r="116">
          <cell r="B116" t="str">
            <v>INF109K01YE1</v>
          </cell>
          <cell r="C116" t="str">
            <v>INF109K01YD3</v>
          </cell>
          <cell r="D116" t="str">
            <v>ICICI Prudential Banking and PSU Debt Fund - Quarterly IDCW</v>
          </cell>
          <cell r="E116">
            <v>11.1447</v>
          </cell>
        </row>
        <row r="117">
          <cell r="B117" t="str">
            <v>INF109KA1M70</v>
          </cell>
          <cell r="C117" t="str">
            <v>INF109KA1M62</v>
          </cell>
          <cell r="D117" t="str">
            <v>ICICI Prudential Banking and PSU Debt Fund Half Yearly IDCW Option</v>
          </cell>
          <cell r="E117">
            <v>12.9261</v>
          </cell>
        </row>
        <row r="118">
          <cell r="B118" t="str">
            <v>INF109K01WW7</v>
          </cell>
          <cell r="C118" t="str">
            <v>INF109K01JM5</v>
          </cell>
          <cell r="D118" t="str">
            <v>ICICI Prudential Banking and PSU Debt Fund Retail Daily Dividend</v>
          </cell>
          <cell r="E118">
            <v>10.0122</v>
          </cell>
        </row>
        <row r="119">
          <cell r="B119" t="str">
            <v>INF109K01II5</v>
          </cell>
          <cell r="C119" t="str">
            <v>-</v>
          </cell>
          <cell r="D119" t="str">
            <v>ICICI Prudential Banking and PSU Debt Fund Retail Growth</v>
          </cell>
          <cell r="E119">
            <v>21.631</v>
          </cell>
        </row>
        <row r="120">
          <cell r="B120" t="str">
            <v>INF109K01WV9</v>
          </cell>
          <cell r="C120" t="str">
            <v>INF109K01IJ3</v>
          </cell>
          <cell r="D120" t="str">
            <v>ICICI Prudential Banking and PSU Debt Fund Retail Weekly Dividend</v>
          </cell>
          <cell r="E120">
            <v>10.330500000000001</v>
          </cell>
        </row>
        <row r="121">
          <cell r="B121" t="str">
            <v/>
          </cell>
          <cell r="C121" t="str">
            <v/>
          </cell>
          <cell r="D121" t="str">
            <v/>
          </cell>
        </row>
        <row r="122">
          <cell r="B122" t="str">
            <v/>
          </cell>
          <cell r="C122" t="str">
            <v/>
          </cell>
          <cell r="D122" t="str">
            <v/>
          </cell>
        </row>
        <row r="123">
          <cell r="B123" t="str">
            <v/>
          </cell>
          <cell r="C123" t="str">
            <v/>
          </cell>
          <cell r="D123" t="str">
            <v/>
          </cell>
        </row>
        <row r="124">
          <cell r="B124" t="str">
            <v>INF205K01KT4</v>
          </cell>
          <cell r="C124" t="str">
            <v>-</v>
          </cell>
          <cell r="D124" t="str">
            <v>Invesco India Banking and PSU Fund - Direct Plan -  Growth Option</v>
          </cell>
          <cell r="E124">
            <v>2570.6406999999999</v>
          </cell>
        </row>
        <row r="125">
          <cell r="B125" t="str">
            <v>-</v>
          </cell>
          <cell r="C125" t="str">
            <v>INF205K01KS6</v>
          </cell>
          <cell r="D125" t="str">
            <v>Invesco India Banking and PSU Fund - Direct Plan - Daily IDCW (Reinvestment)</v>
          </cell>
          <cell r="E125">
            <v>1063.5471</v>
          </cell>
        </row>
        <row r="126">
          <cell r="B126" t="str">
            <v>INF205K01KU2</v>
          </cell>
          <cell r="C126" t="str">
            <v>INF205K01KV0</v>
          </cell>
          <cell r="D126" t="str">
            <v>Invesco India Banking and PSU Fund - Direct Plan - Monthly IDCW (Payout / Reinvestment)</v>
          </cell>
          <cell r="E126">
            <v>1012.2117</v>
          </cell>
        </row>
        <row r="127">
          <cell r="B127" t="str">
            <v>-</v>
          </cell>
          <cell r="C127" t="str">
            <v>INF205K01JX8</v>
          </cell>
          <cell r="D127" t="str">
            <v>Invesco India Banking and PSU Fund - Regular Plan - Daily IDCW (Reinvestment)</v>
          </cell>
          <cell r="E127">
            <v>1050.2612999999999</v>
          </cell>
        </row>
        <row r="128">
          <cell r="B128" t="str">
            <v>INF205K01JV2</v>
          </cell>
          <cell r="C128" t="str">
            <v>-</v>
          </cell>
          <cell r="D128" t="str">
            <v>Invesco India Banking and PSU Fund - Regular Plan - Growth Option</v>
          </cell>
          <cell r="E128">
            <v>2391.6792</v>
          </cell>
        </row>
        <row r="129">
          <cell r="B129" t="str">
            <v>INF205K01JW0</v>
          </cell>
          <cell r="C129" t="str">
            <v>INF205K01JY6</v>
          </cell>
          <cell r="D129" t="str">
            <v>Invesco India Banking and PSU Fund - Regular Plan - Monthly IDCW (Payout / Reinvestment)</v>
          </cell>
          <cell r="E129">
            <v>1063.0347999999999</v>
          </cell>
        </row>
        <row r="130">
          <cell r="B130" t="str">
            <v/>
          </cell>
          <cell r="C130" t="str">
            <v/>
          </cell>
          <cell r="D130" t="str">
            <v/>
          </cell>
        </row>
        <row r="131">
          <cell r="B131" t="str">
            <v/>
          </cell>
          <cell r="C131" t="str">
            <v/>
          </cell>
          <cell r="D131" t="str">
            <v/>
          </cell>
        </row>
        <row r="132">
          <cell r="B132" t="str">
            <v/>
          </cell>
          <cell r="C132" t="str">
            <v/>
          </cell>
          <cell r="D132" t="str">
            <v/>
          </cell>
        </row>
        <row r="133">
          <cell r="B133" t="str">
            <v>INF00XX01861</v>
          </cell>
          <cell r="C133" t="str">
            <v>-</v>
          </cell>
          <cell r="D133" t="str">
            <v>ITI Banking &amp; PSU Debt Fund - Direct Plan - Growth Option</v>
          </cell>
          <cell r="E133">
            <v>14.1343</v>
          </cell>
        </row>
        <row r="134">
          <cell r="B134" t="str">
            <v>INF00XX01879</v>
          </cell>
          <cell r="C134" t="str">
            <v>INF00XX01887</v>
          </cell>
          <cell r="D134" t="str">
            <v>ITI Banking &amp; PSU Debt Fund - Direct Plan - IDCW Option</v>
          </cell>
          <cell r="E134">
            <v>14.1326</v>
          </cell>
        </row>
        <row r="135">
          <cell r="B135" t="str">
            <v>INF00XX01838</v>
          </cell>
          <cell r="C135" t="str">
            <v>-</v>
          </cell>
          <cell r="D135" t="str">
            <v>ITI Banking &amp; PSU Debt Fund - Regular Plan - Growth Option</v>
          </cell>
          <cell r="E135">
            <v>13.6953</v>
          </cell>
        </row>
        <row r="136">
          <cell r="B136" t="str">
            <v>INF00XX01846</v>
          </cell>
          <cell r="C136" t="str">
            <v>INF00XX01853</v>
          </cell>
          <cell r="D136" t="str">
            <v>ITI Banking &amp; PSU Debt Fund - Regular Plan - IDCW Option</v>
          </cell>
          <cell r="E136">
            <v>13.6965</v>
          </cell>
        </row>
        <row r="137">
          <cell r="B137" t="str">
            <v/>
          </cell>
          <cell r="C137" t="str">
            <v/>
          </cell>
          <cell r="D137" t="str">
            <v/>
          </cell>
        </row>
        <row r="138">
          <cell r="B138" t="str">
            <v/>
          </cell>
          <cell r="C138" t="str">
            <v/>
          </cell>
          <cell r="D138" t="str">
            <v/>
          </cell>
        </row>
        <row r="139">
          <cell r="B139" t="str">
            <v/>
          </cell>
          <cell r="C139" t="str">
            <v/>
          </cell>
          <cell r="D139" t="str">
            <v/>
          </cell>
        </row>
        <row r="140">
          <cell r="B140" t="str">
            <v>INF174K01FO3</v>
          </cell>
          <cell r="C140" t="str">
            <v>-</v>
          </cell>
          <cell r="D140" t="str">
            <v>Kotak Banking and PSU Debt - Growth</v>
          </cell>
          <cell r="E140">
            <v>69.409700000000001</v>
          </cell>
        </row>
        <row r="141">
          <cell r="B141" t="str">
            <v>INF174K01FQ8</v>
          </cell>
          <cell r="C141" t="str">
            <v>INF174K01FP0</v>
          </cell>
          <cell r="D141" t="str">
            <v>Kotak Banking and PSU Debt - Monthly Payout of Income Distribution cum capital withdrawal option</v>
          </cell>
          <cell r="E141">
            <v>13.040699999999999</v>
          </cell>
        </row>
        <row r="142">
          <cell r="B142" t="str">
            <v>INF174K01KI5</v>
          </cell>
          <cell r="C142" t="str">
            <v>INF174K01KJ3</v>
          </cell>
          <cell r="D142" t="str">
            <v>Kotak Banking and PSU Debt Direct - Annual Dividend</v>
          </cell>
          <cell r="E142">
            <v>17.142700000000001</v>
          </cell>
        </row>
        <row r="143">
          <cell r="B143" t="str">
            <v>INF174K01KH7</v>
          </cell>
          <cell r="C143" t="str">
            <v>-</v>
          </cell>
          <cell r="D143" t="str">
            <v>Kotak Banking and PSU Debt Direct - Growth</v>
          </cell>
          <cell r="E143">
            <v>72.588399999999993</v>
          </cell>
        </row>
        <row r="144">
          <cell r="B144" t="str">
            <v>INF174K01KK1</v>
          </cell>
          <cell r="C144" t="str">
            <v>INF174K01KL9</v>
          </cell>
          <cell r="D144" t="str">
            <v>Kotak Banking and PSU Debt Direct - Monthly Payout of Income Distribution cum capital withdrawal option</v>
          </cell>
          <cell r="E144">
            <v>10.250400000000001</v>
          </cell>
        </row>
        <row r="145">
          <cell r="B145" t="str">
            <v/>
          </cell>
          <cell r="C145" t="str">
            <v/>
          </cell>
          <cell r="D145" t="str">
            <v/>
          </cell>
        </row>
        <row r="146">
          <cell r="B146" t="str">
            <v/>
          </cell>
          <cell r="C146" t="str">
            <v/>
          </cell>
          <cell r="D146" t="str">
            <v/>
          </cell>
        </row>
        <row r="147">
          <cell r="B147" t="str">
            <v/>
          </cell>
          <cell r="C147" t="str">
            <v/>
          </cell>
          <cell r="D147" t="str">
            <v/>
          </cell>
        </row>
        <row r="148">
          <cell r="B148" t="str">
            <v>INF767K01GJ2</v>
          </cell>
          <cell r="C148" t="str">
            <v>INF767K01GM6</v>
          </cell>
          <cell r="D148" t="str">
            <v>LIC MF Banking &amp; PSU Fund-Direct Plan-Daily IDCW</v>
          </cell>
          <cell r="E148">
            <v>14.2888</v>
          </cell>
        </row>
        <row r="149">
          <cell r="B149" t="str">
            <v>INF767K01GI4</v>
          </cell>
          <cell r="C149" t="str">
            <v>-</v>
          </cell>
          <cell r="D149" t="str">
            <v>LIC MF Banking &amp; PSU Fund-Direct Plan-Growth</v>
          </cell>
          <cell r="E149">
            <v>39.802399999999999</v>
          </cell>
        </row>
        <row r="150">
          <cell r="B150" t="str">
            <v>INF767K01GK0</v>
          </cell>
          <cell r="C150" t="str">
            <v>INF767K01GN4</v>
          </cell>
          <cell r="D150" t="str">
            <v>LIC MF Banking &amp; PSU Fund-Direct Plan-Monthly IDCW</v>
          </cell>
          <cell r="E150">
            <v>14.9901</v>
          </cell>
        </row>
        <row r="151">
          <cell r="B151" t="str">
            <v>INF767K01GL8</v>
          </cell>
          <cell r="C151" t="str">
            <v>INF767K01GO2</v>
          </cell>
          <cell r="D151" t="str">
            <v>LIC MF Banking &amp; PSU Fund-Direct Plan-Weekly IDCW</v>
          </cell>
          <cell r="E151">
            <v>10.050599999999999</v>
          </cell>
        </row>
        <row r="152">
          <cell r="B152" t="str">
            <v>INF767K01519</v>
          </cell>
          <cell r="C152" t="str">
            <v>INF767K01527</v>
          </cell>
          <cell r="D152" t="str">
            <v>LIC MF Banking &amp; PSU Fund-Regular Plan-Daily IDCW</v>
          </cell>
          <cell r="E152">
            <v>11.7851</v>
          </cell>
        </row>
        <row r="153">
          <cell r="B153" t="str">
            <v>INF767K01535</v>
          </cell>
          <cell r="C153" t="str">
            <v>-</v>
          </cell>
          <cell r="D153" t="str">
            <v>LIC MF Banking &amp; PSU Fund-Regular Plan-Growth</v>
          </cell>
          <cell r="E153">
            <v>36.732100000000003</v>
          </cell>
        </row>
        <row r="154">
          <cell r="B154" t="str">
            <v>INF767K01543</v>
          </cell>
          <cell r="C154" t="str">
            <v>INF767K01550</v>
          </cell>
          <cell r="D154" t="str">
            <v>LIC MF Banking &amp; PSU Fund-Regular Plan-Monthly IDCW</v>
          </cell>
          <cell r="E154">
            <v>13.7475</v>
          </cell>
        </row>
        <row r="155">
          <cell r="B155" t="str">
            <v>INF767K01568</v>
          </cell>
          <cell r="C155" t="str">
            <v>INF767K01576</v>
          </cell>
          <cell r="D155" t="str">
            <v>LIC MF Banking &amp; PSU Fund-Regular Plan-Weekly IDCW</v>
          </cell>
          <cell r="E155">
            <v>10.380100000000001</v>
          </cell>
        </row>
        <row r="156">
          <cell r="B156" t="str">
            <v/>
          </cell>
          <cell r="C156" t="str">
            <v/>
          </cell>
          <cell r="D156" t="str">
            <v/>
          </cell>
        </row>
        <row r="157">
          <cell r="B157" t="str">
            <v/>
          </cell>
          <cell r="C157" t="str">
            <v/>
          </cell>
          <cell r="D157" t="str">
            <v/>
          </cell>
        </row>
        <row r="158">
          <cell r="B158" t="str">
            <v/>
          </cell>
          <cell r="C158" t="str">
            <v/>
          </cell>
          <cell r="D158" t="str">
            <v/>
          </cell>
        </row>
        <row r="159">
          <cell r="B159" t="str">
            <v>INF769K01FY9</v>
          </cell>
          <cell r="C159" t="str">
            <v>-</v>
          </cell>
          <cell r="D159" t="str">
            <v>Mirae Asset Banking and PSU Fund - Direct Plan - Growth</v>
          </cell>
          <cell r="E159">
            <v>13.9659</v>
          </cell>
        </row>
        <row r="160">
          <cell r="B160" t="str">
            <v>INF769K01FX1</v>
          </cell>
          <cell r="C160" t="str">
            <v>INF769K01FZ6</v>
          </cell>
          <cell r="D160" t="str">
            <v>Mirae Asset Banking and PSU Fund - Direct Plan - IDCW</v>
          </cell>
          <cell r="E160">
            <v>13.9587</v>
          </cell>
        </row>
        <row r="161">
          <cell r="B161" t="str">
            <v>INF769K01FV5</v>
          </cell>
          <cell r="C161" t="str">
            <v>-</v>
          </cell>
          <cell r="D161" t="str">
            <v>Mirae Asset Banking and PSU Fund - Regular Plan - Growth</v>
          </cell>
          <cell r="E161">
            <v>13.5946</v>
          </cell>
        </row>
        <row r="162">
          <cell r="B162" t="str">
            <v>INF769K01FU7</v>
          </cell>
          <cell r="C162" t="str">
            <v>INF769K01FW3</v>
          </cell>
          <cell r="D162" t="str">
            <v>Mirae Asset Banking and PSU Fund - Regular plan - IDCW</v>
          </cell>
          <cell r="E162">
            <v>13.595800000000001</v>
          </cell>
        </row>
        <row r="163">
          <cell r="B163" t="str">
            <v/>
          </cell>
          <cell r="C163" t="str">
            <v/>
          </cell>
          <cell r="D163" t="str">
            <v/>
          </cell>
        </row>
        <row r="164">
          <cell r="B164" t="str">
            <v/>
          </cell>
          <cell r="C164" t="str">
            <v/>
          </cell>
          <cell r="D164" t="str">
            <v/>
          </cell>
        </row>
        <row r="165">
          <cell r="B165" t="str">
            <v/>
          </cell>
          <cell r="C165" t="str">
            <v/>
          </cell>
          <cell r="D165" t="str">
            <v/>
          </cell>
        </row>
        <row r="166">
          <cell r="B166" t="str">
            <v>INF204KA1U79</v>
          </cell>
          <cell r="C166" t="str">
            <v>INF204KA1U87</v>
          </cell>
          <cell r="D166" t="str">
            <v>NIPPON INDIA BANKING and PSU  FUND - Direct Plan - IDCW Option</v>
          </cell>
          <cell r="E166">
            <v>22.8277</v>
          </cell>
        </row>
        <row r="167">
          <cell r="B167" t="str">
            <v>INF204KA1U12</v>
          </cell>
          <cell r="C167" t="str">
            <v>INF204KA1U20</v>
          </cell>
          <cell r="D167" t="str">
            <v>NIPPON INDIA BANKING and PSU  FUND - WEEKLY IDCW Option</v>
          </cell>
          <cell r="E167">
            <v>10.2689</v>
          </cell>
        </row>
        <row r="168">
          <cell r="B168" t="str">
            <v>INF204KA1U53</v>
          </cell>
          <cell r="C168" t="str">
            <v>-</v>
          </cell>
          <cell r="D168" t="str">
            <v>Nippon India Banking and PSU  Fund- Direct Plan-Growth Plan- Growth Option</v>
          </cell>
          <cell r="E168">
            <v>22.8277</v>
          </cell>
        </row>
        <row r="169">
          <cell r="B169" t="str">
            <v>INF204KA1V37</v>
          </cell>
          <cell r="C169" t="str">
            <v>INF204KA1V45</v>
          </cell>
          <cell r="D169" t="str">
            <v>NIPPON INDIA BANKING and PSU FUND - Direct Plan - MONTHLY IDCW Option</v>
          </cell>
          <cell r="E169">
            <v>10.766299999999999</v>
          </cell>
        </row>
        <row r="170">
          <cell r="B170" t="str">
            <v>INF204KA1U95</v>
          </cell>
          <cell r="C170" t="str">
            <v>INF204KA1V03</v>
          </cell>
          <cell r="D170" t="str">
            <v>NIPPON INDIA BANKING and PSU FUND - Direct Plan - QUARTERLY IDCW Option</v>
          </cell>
          <cell r="E170">
            <v>10.886100000000001</v>
          </cell>
        </row>
        <row r="171">
          <cell r="B171" t="str">
            <v>INF204KA1V11</v>
          </cell>
          <cell r="C171" t="str">
            <v>INF204KA1V29</v>
          </cell>
          <cell r="D171" t="str">
            <v>NIPPON INDIA BANKING and PSU FUND - Direct Plan - WEEKLY IDCW Option</v>
          </cell>
          <cell r="E171">
            <v>10.2681</v>
          </cell>
        </row>
        <row r="172">
          <cell r="B172" t="str">
            <v>INF204KA1T72</v>
          </cell>
          <cell r="C172" t="str">
            <v>INF204KA1T80</v>
          </cell>
          <cell r="D172" t="str">
            <v>NIPPON INDIA BANKING and PSU FUND - IDCW Option</v>
          </cell>
          <cell r="E172">
            <v>21.9056</v>
          </cell>
        </row>
        <row r="173">
          <cell r="B173" t="str">
            <v>INF204KA1U38</v>
          </cell>
          <cell r="C173" t="str">
            <v>INF204KA1U46</v>
          </cell>
          <cell r="D173" t="str">
            <v>NIPPON INDIA BANKING and PSU FUND - MONTHLY IDCW Option</v>
          </cell>
          <cell r="E173">
            <v>10.6968</v>
          </cell>
        </row>
        <row r="174">
          <cell r="B174" t="str">
            <v>INF204KA1T98</v>
          </cell>
          <cell r="C174" t="str">
            <v>INF204KA1U04</v>
          </cell>
          <cell r="D174" t="str">
            <v>NIPPON INDIA BANKING and PSU FUND - QUARTERLY IDCW Option</v>
          </cell>
          <cell r="E174">
            <v>10.819800000000001</v>
          </cell>
        </row>
        <row r="175">
          <cell r="B175" t="str">
            <v>INF204KA1U61</v>
          </cell>
          <cell r="C175" t="str">
            <v>-</v>
          </cell>
          <cell r="D175" t="str">
            <v>Nippon India Banking and PSU Fund- Direct Plan-Growth Plan- Bonus Option</v>
          </cell>
          <cell r="E175">
            <v>22.827000000000002</v>
          </cell>
        </row>
        <row r="176">
          <cell r="B176" t="str">
            <v>INF204KA1T64</v>
          </cell>
          <cell r="C176" t="str">
            <v>-</v>
          </cell>
          <cell r="D176" t="str">
            <v>Nippon India Banking and PSU Fund- Growth Plan- Bonus Option</v>
          </cell>
          <cell r="E176">
            <v>12.3452</v>
          </cell>
        </row>
        <row r="177">
          <cell r="B177" t="str">
            <v>INF204KA1T56</v>
          </cell>
          <cell r="C177" t="str">
            <v>-</v>
          </cell>
          <cell r="D177" t="str">
            <v>Nippon India Banking and PSU Fund- Growth Plan- Growth Option</v>
          </cell>
          <cell r="E177">
            <v>21.9056</v>
          </cell>
        </row>
        <row r="178">
          <cell r="B178" t="str">
            <v/>
          </cell>
          <cell r="C178" t="str">
            <v/>
          </cell>
          <cell r="D178" t="str">
            <v/>
          </cell>
        </row>
        <row r="179">
          <cell r="B179" t="str">
            <v/>
          </cell>
          <cell r="C179" t="str">
            <v/>
          </cell>
          <cell r="D179" t="str">
            <v/>
          </cell>
        </row>
        <row r="180">
          <cell r="B180" t="str">
            <v/>
          </cell>
          <cell r="C180" t="str">
            <v/>
          </cell>
          <cell r="D180" t="str">
            <v/>
          </cell>
        </row>
        <row r="181">
          <cell r="B181" t="str">
            <v>-</v>
          </cell>
          <cell r="C181" t="str">
            <v>INF200K01V16</v>
          </cell>
          <cell r="D181" t="str">
            <v>SBI Banking &amp; PSU Fund - Direct Plan - Daily Income Distribution cum Capital Withdrawal Option (IDCW)</v>
          </cell>
          <cell r="E181">
            <v>1547.0351000000001</v>
          </cell>
        </row>
        <row r="182">
          <cell r="B182" t="str">
            <v>INF200K01V08</v>
          </cell>
          <cell r="C182" t="str">
            <v>-</v>
          </cell>
          <cell r="D182" t="str">
            <v>SBI BANKING &amp; PSU FUND - Direct Plan - Growth</v>
          </cell>
          <cell r="E182">
            <v>3512.2190000000001</v>
          </cell>
        </row>
        <row r="183">
          <cell r="B183" t="str">
            <v>INF200K01V40</v>
          </cell>
          <cell r="C183" t="str">
            <v>INF200K01V57</v>
          </cell>
          <cell r="D183" t="str">
            <v>SBI Banking &amp; PSU Fund - Direct Plan - Monthly Income Distribution cum Capital Withdrawal Option (IDCW)</v>
          </cell>
          <cell r="E183">
            <v>1319.4785999999999</v>
          </cell>
        </row>
        <row r="184">
          <cell r="B184" t="str">
            <v>INF200K01V32</v>
          </cell>
          <cell r="C184" t="str">
            <v>INF200K01V24</v>
          </cell>
          <cell r="D184" t="str">
            <v>SBI Banking &amp; PSU Fund - Direct Plan - Weekly Income Distribution cum Capital Withdrawal Option (IDCW)</v>
          </cell>
          <cell r="E184">
            <v>1543.6008999999999</v>
          </cell>
        </row>
        <row r="185">
          <cell r="B185" t="str">
            <v>INF200K01U41</v>
          </cell>
          <cell r="C185" t="str">
            <v>-</v>
          </cell>
          <cell r="D185" t="str">
            <v>SBI BANKING &amp; PSU FUND - Regular Paln - Growth</v>
          </cell>
          <cell r="E185">
            <v>3291.5030000000002</v>
          </cell>
        </row>
        <row r="186">
          <cell r="B186" t="str">
            <v>-</v>
          </cell>
          <cell r="C186" t="str">
            <v>INF200K01U58</v>
          </cell>
          <cell r="D186" t="str">
            <v>SBI Banking &amp; PSU Fund - Regular Plan - Daily Income Distribution cum Capital Withdrawal Option (IDCW)</v>
          </cell>
          <cell r="E186">
            <v>1501.6750999999999</v>
          </cell>
        </row>
        <row r="187">
          <cell r="B187" t="str">
            <v>INF200K01U82</v>
          </cell>
          <cell r="C187" t="str">
            <v>INF200K01U90</v>
          </cell>
          <cell r="D187" t="str">
            <v>SBI Banking &amp; PSU Fund - Regular Plan - Monthly Income Distribution cum Capital Withdrawal Option (IDCW)</v>
          </cell>
          <cell r="E187">
            <v>1228.4323999999999</v>
          </cell>
        </row>
        <row r="188">
          <cell r="B188" t="str">
            <v>INF200K01U74</v>
          </cell>
          <cell r="C188" t="str">
            <v>INF200K01U66</v>
          </cell>
          <cell r="D188" t="str">
            <v>SBI Banking &amp; PSU Fund - Regular Plan - Weekly Income Distribution cum Capital Withdrawal Option (IDCW)</v>
          </cell>
          <cell r="E188">
            <v>1501.3178</v>
          </cell>
        </row>
        <row r="189">
          <cell r="B189" t="str">
            <v/>
          </cell>
          <cell r="C189" t="str">
            <v/>
          </cell>
          <cell r="D189" t="str">
            <v/>
          </cell>
        </row>
        <row r="190">
          <cell r="B190" t="str">
            <v/>
          </cell>
          <cell r="C190" t="str">
            <v/>
          </cell>
          <cell r="D190" t="str">
            <v/>
          </cell>
        </row>
        <row r="191">
          <cell r="B191" t="str">
            <v/>
          </cell>
          <cell r="C191" t="str">
            <v/>
          </cell>
          <cell r="D191" t="str">
            <v/>
          </cell>
        </row>
        <row r="192">
          <cell r="B192" t="str">
            <v>INF903J017I5</v>
          </cell>
          <cell r="C192" t="str">
            <v>-</v>
          </cell>
          <cell r="D192" t="str">
            <v>Sundaram Banking &amp; PSU Fund (Formerly Known as Sundaram Banking &amp; PSU Debt Fund) - Direct Growth</v>
          </cell>
          <cell r="E192">
            <v>11.7065</v>
          </cell>
        </row>
        <row r="193">
          <cell r="B193" t="str">
            <v>INF903J012J4</v>
          </cell>
          <cell r="C193" t="str">
            <v>INF903J013J2</v>
          </cell>
          <cell r="D193" t="str">
            <v>Sundaram Banking &amp; PSU Fund (Formerly Known as Sundaram Banking &amp; PSU Debt Fund) - Direct Monthly Dividend</v>
          </cell>
          <cell r="E193">
            <v>11.4008</v>
          </cell>
        </row>
        <row r="194">
          <cell r="B194" t="str">
            <v>INF903J019I1</v>
          </cell>
          <cell r="C194" t="str">
            <v>INF903J014J0</v>
          </cell>
          <cell r="D194" t="str">
            <v>Sundaram Banking &amp; PSU Fund (Formerly Known as Sundaram Banking &amp; PSU Debt Fund) - Direct Quarterly Dividend</v>
          </cell>
          <cell r="E194">
            <v>10.6356</v>
          </cell>
        </row>
        <row r="195">
          <cell r="B195" t="str">
            <v>INF903J016I7</v>
          </cell>
          <cell r="C195" t="str">
            <v>-</v>
          </cell>
          <cell r="D195" t="str">
            <v>Sundaram Banking &amp; PSU Fund (Formerly Known as Sundaram Banking &amp; PSU Debt Fund) - Regular Annual Bonus</v>
          </cell>
          <cell r="E195">
            <v>11.6319</v>
          </cell>
        </row>
        <row r="196">
          <cell r="B196" t="str">
            <v>-</v>
          </cell>
          <cell r="C196" t="str">
            <v>INF903J010I0</v>
          </cell>
          <cell r="D196" t="str">
            <v>Sundaram Banking &amp; PSU Fund (Formerly Known as Sundaram Banking &amp; PSU Debt Fund) - Regular Daily Dividend Reinvestment</v>
          </cell>
          <cell r="E196">
            <v>11.658200000000001</v>
          </cell>
        </row>
        <row r="197">
          <cell r="B197" t="str">
            <v>INF903J016H9</v>
          </cell>
          <cell r="C197" t="str">
            <v>-</v>
          </cell>
          <cell r="D197" t="str">
            <v>Sundaram Banking &amp; PSU Fund (Formerly Known as Sundaram Banking &amp; PSU Debt Fund) - Regular Growth</v>
          </cell>
          <cell r="E197">
            <v>11.6493</v>
          </cell>
        </row>
        <row r="198">
          <cell r="B198" t="str">
            <v>INF903J018H5</v>
          </cell>
          <cell r="C198" t="str">
            <v>INF903J012I6</v>
          </cell>
          <cell r="D198" t="str">
            <v>Sundaram Banking &amp; PSU Fund (Formerly Known as Sundaram Banking &amp; PSU Debt Fund) - Regular Monthly Dividend</v>
          </cell>
          <cell r="E198">
            <v>11.1411</v>
          </cell>
        </row>
        <row r="199">
          <cell r="B199" t="str">
            <v>INF903J014I2</v>
          </cell>
          <cell r="C199" t="str">
            <v>-</v>
          </cell>
          <cell r="D199" t="str">
            <v>Sundaram Banking &amp; PSU Fund (Formerly Known as Sundaram Banking &amp; PSU Debt Fund) - Regular Quarterly Bonus</v>
          </cell>
          <cell r="E199">
            <v>11.168100000000001</v>
          </cell>
        </row>
        <row r="200">
          <cell r="B200" t="str">
            <v>INF903J019H3</v>
          </cell>
          <cell r="C200" t="str">
            <v>INF903J013I4</v>
          </cell>
          <cell r="D200" t="str">
            <v>Sundaram Banking &amp; PSU Fund (Formerly Known as Sundaram Banking &amp; PSU Debt Fund) - Regular Quarterly Dividend</v>
          </cell>
          <cell r="E200">
            <v>11.0236</v>
          </cell>
        </row>
        <row r="201">
          <cell r="B201" t="str">
            <v>INF903J017H7</v>
          </cell>
          <cell r="C201" t="str">
            <v>INF903J011I8</v>
          </cell>
          <cell r="D201" t="str">
            <v>Sundaram Banking &amp; PSU Fund (Formerly Known as Sundaram Banking &amp; PSU Debt Fund) - Regular Weekly Dividend</v>
          </cell>
          <cell r="E201">
            <v>10.1418</v>
          </cell>
        </row>
        <row r="202">
          <cell r="B202" t="str">
            <v>INF903J01RI4</v>
          </cell>
          <cell r="C202" t="str">
            <v>-</v>
          </cell>
          <cell r="D202" t="str">
            <v>Sundaram Banking &amp; PSU Fund (Formerly Known as Sundaram Banking and PSU Debt Fund) Direct Plan - Bonus</v>
          </cell>
          <cell r="E202">
            <v>21.898099999999999</v>
          </cell>
        </row>
        <row r="203">
          <cell r="B203" t="str">
            <v>-</v>
          </cell>
          <cell r="C203" t="str">
            <v>INF903J01PC1</v>
          </cell>
          <cell r="D203" t="str">
            <v>Sundaram Banking &amp; PSU Fund (Formerly Known as Sundaram Banking and PSU Debt Fund) Direct Plan - Daily Reinvestment of Income Distribution cum Capital Withdrawal (IDCW)</v>
          </cell>
          <cell r="E203">
            <v>10.23</v>
          </cell>
        </row>
        <row r="204">
          <cell r="B204" t="str">
            <v>INF903J01PA5</v>
          </cell>
          <cell r="C204" t="str">
            <v>-</v>
          </cell>
          <cell r="D204" t="str">
            <v>Sundaram Banking &amp; PSU Fund (Formerly Known as Sundaram Banking and PSU Debt Fund) Direct Plan - Growth</v>
          </cell>
          <cell r="E204">
            <v>46.217100000000002</v>
          </cell>
        </row>
        <row r="205">
          <cell r="B205" t="str">
            <v>INF903J01PB3</v>
          </cell>
          <cell r="C205" t="str">
            <v>INF903J01PE7</v>
          </cell>
          <cell r="D205" t="str">
            <v>Sundaram Banking &amp; PSU Fund (Formerly Known as Sundaram Banking and PSU Debt Fund) Direct Plan - Income Distribution cum Capital Withdrawal (IDCW)</v>
          </cell>
          <cell r="E205">
            <v>11.5059</v>
          </cell>
        </row>
        <row r="206">
          <cell r="B206" t="str">
            <v>INF903J01LY4</v>
          </cell>
          <cell r="C206" t="str">
            <v>-</v>
          </cell>
          <cell r="D206" t="str">
            <v>Sundaram Banking &amp; PSU Fund (Formerly Known as Sundaram Banking and PSU Debt Fund) Regular Plan - Bonus</v>
          </cell>
          <cell r="E206">
            <v>21.764399999999998</v>
          </cell>
        </row>
        <row r="207">
          <cell r="B207" t="str">
            <v>-</v>
          </cell>
          <cell r="C207" t="str">
            <v>INF903J01IP8</v>
          </cell>
          <cell r="D207" t="str">
            <v>Sundaram Banking &amp; PSU Fund (Formerly Known as Sundaram Banking and PSU Debt Fund) Regular Plan - Daily Reinvestment of Income Distribution cum Capital Withdrawal (IDCW)</v>
          </cell>
          <cell r="E207">
            <v>10.355</v>
          </cell>
        </row>
        <row r="208">
          <cell r="B208" t="str">
            <v>INF903J01IN3</v>
          </cell>
          <cell r="C208" t="str">
            <v>-</v>
          </cell>
          <cell r="D208" t="str">
            <v>Sundaram Banking &amp; PSU Fund (Formerly Known as Sundaram Banking and PSU Debt Fund) Regular Plan - Growth</v>
          </cell>
          <cell r="E208">
            <v>45.496400000000001</v>
          </cell>
        </row>
        <row r="209">
          <cell r="B209" t="str">
            <v>INF903J01IO1</v>
          </cell>
          <cell r="C209" t="str">
            <v>INF903J01IR4</v>
          </cell>
          <cell r="D209" t="str">
            <v>Sundaram Banking &amp; PSU Fund (Formerly Known as Sundaram Banking and PSU Debt Fund) Regular Plan - Income Distribution cum Capital Withdrawal (IDCW)</v>
          </cell>
          <cell r="E209">
            <v>11.5297</v>
          </cell>
        </row>
        <row r="210">
          <cell r="B210" t="str">
            <v>-</v>
          </cell>
          <cell r="C210" t="str">
            <v>INF903J01IQ6</v>
          </cell>
          <cell r="D210" t="str">
            <v>Sundaram Banking &amp; PSU Fund (Formerly Known as Sundaram Banking and PSU Debt Fund) Regular Plan - Weekly Reinvestment of Income Distribution cum Capital Withdrawal (IDCW)</v>
          </cell>
          <cell r="E210">
            <v>12.1035</v>
          </cell>
        </row>
        <row r="211">
          <cell r="B211" t="str">
            <v>INF903J01IK9</v>
          </cell>
          <cell r="C211" t="str">
            <v>-</v>
          </cell>
          <cell r="D211" t="str">
            <v>Sundaram Banking &amp; PSU Fund (Formerly Known as Sundaram Banking and PSU Debt Fund) Retail Plan - Growth</v>
          </cell>
          <cell r="E211">
            <v>35.620600000000003</v>
          </cell>
        </row>
        <row r="212">
          <cell r="B212" t="str">
            <v>INF903J01IL7</v>
          </cell>
          <cell r="C212" t="str">
            <v>INF903J01IM5</v>
          </cell>
          <cell r="D212" t="str">
            <v>Sundaram Banking &amp; PSU Fund (Formerly Known as Sundaram Banking and PSU Debt Fund) Retail Plan - Monthly Income Distribution cum Capital Withdrawal (IDCW)</v>
          </cell>
          <cell r="E212">
            <v>11.4908</v>
          </cell>
        </row>
        <row r="213">
          <cell r="B213" t="str">
            <v/>
          </cell>
          <cell r="C213" t="str">
            <v/>
          </cell>
          <cell r="D213" t="str">
            <v/>
          </cell>
        </row>
        <row r="214">
          <cell r="B214" t="str">
            <v/>
          </cell>
          <cell r="C214" t="str">
            <v/>
          </cell>
          <cell r="D214" t="str">
            <v/>
          </cell>
        </row>
        <row r="215">
          <cell r="B215" t="str">
            <v/>
          </cell>
          <cell r="C215" t="str">
            <v/>
          </cell>
          <cell r="D215" t="str">
            <v/>
          </cell>
        </row>
        <row r="216">
          <cell r="B216" t="str">
            <v>INF789FA1V03</v>
          </cell>
          <cell r="C216" t="str">
            <v>INF789FA1V11</v>
          </cell>
          <cell r="D216" t="str">
            <v>UTI Banking &amp; PSU Fund - Direct Plan - Annual IDCW</v>
          </cell>
          <cell r="E216">
            <v>13.6129</v>
          </cell>
        </row>
        <row r="217">
          <cell r="B217" t="str">
            <v>INF789FA1V29</v>
          </cell>
          <cell r="C217" t="str">
            <v>INF789FA1V37</v>
          </cell>
          <cell r="D217" t="str">
            <v>UTI Banking &amp; PSU Fund - Direct Plan - Flexi IDCW</v>
          </cell>
          <cell r="E217">
            <v>20.4847</v>
          </cell>
        </row>
        <row r="218">
          <cell r="B218" t="str">
            <v>INF789F015Z6</v>
          </cell>
          <cell r="C218" t="str">
            <v>-</v>
          </cell>
          <cell r="D218" t="str">
            <v>UTI Banking &amp; PSU Fund - Direct Plan - Growth Option</v>
          </cell>
          <cell r="E218">
            <v>23.7715</v>
          </cell>
        </row>
        <row r="219">
          <cell r="B219" t="str">
            <v>INF789FA1U87</v>
          </cell>
          <cell r="C219" t="str">
            <v>INF789FA1U95</v>
          </cell>
          <cell r="D219" t="str">
            <v>UTI Banking &amp; PSU Fund - Direct Plan - Half-Yearly IDCW</v>
          </cell>
          <cell r="E219">
            <v>15.7742</v>
          </cell>
        </row>
        <row r="220">
          <cell r="B220" t="str">
            <v>INF789FC1HE1</v>
          </cell>
          <cell r="C220" t="str">
            <v>INF789FC1HF8</v>
          </cell>
          <cell r="D220" t="str">
            <v>UTI Banking &amp; PSU Fund - Direct Plan - Monthly IDCW</v>
          </cell>
          <cell r="E220">
            <v>13.675599999999999</v>
          </cell>
        </row>
        <row r="221">
          <cell r="B221" t="str">
            <v>INF789F016Z4</v>
          </cell>
          <cell r="C221" t="str">
            <v>INF789F017Z2</v>
          </cell>
          <cell r="D221" t="str">
            <v>UTI Banking &amp; PSU Fund - Direct Plan - Quarterly IDCW</v>
          </cell>
          <cell r="E221">
            <v>17.692799999999998</v>
          </cell>
        </row>
        <row r="222">
          <cell r="B222" t="str">
            <v>INF789FA1U46</v>
          </cell>
          <cell r="C222" t="str">
            <v>INF789FA1U53</v>
          </cell>
          <cell r="D222" t="str">
            <v>UTI Banking &amp; PSU Fund - Regular Plan - Annual IDCW</v>
          </cell>
          <cell r="E222">
            <v>13.3193</v>
          </cell>
        </row>
        <row r="223">
          <cell r="B223" t="str">
            <v>INF789FA1U61</v>
          </cell>
          <cell r="C223" t="str">
            <v>INF789FA1U79</v>
          </cell>
          <cell r="D223" t="str">
            <v>UTI Banking &amp; PSU Fund - Regular Plan - Flexi IDCW</v>
          </cell>
          <cell r="E223">
            <v>15.632400000000001</v>
          </cell>
        </row>
        <row r="224">
          <cell r="B224" t="str">
            <v>INF789FA1U20</v>
          </cell>
          <cell r="C224" t="str">
            <v>INF789FA1U38</v>
          </cell>
          <cell r="D224" t="str">
            <v>UTI Banking &amp; PSU Fund - Regular Plan - Half-Yearly IDCW</v>
          </cell>
          <cell r="E224">
            <v>15.5669</v>
          </cell>
        </row>
        <row r="225">
          <cell r="B225" t="str">
            <v>INF789FC1HC5</v>
          </cell>
          <cell r="C225" t="str">
            <v>INF789FC1HD3</v>
          </cell>
          <cell r="D225" t="str">
            <v>UTI Banking &amp; PSU Fund - Regular Plan - Monthly IDCW</v>
          </cell>
          <cell r="E225">
            <v>13.402699999999999</v>
          </cell>
        </row>
        <row r="226">
          <cell r="B226" t="str">
            <v>INF789F012Z3</v>
          </cell>
          <cell r="C226" t="str">
            <v>INF789F013Z1</v>
          </cell>
          <cell r="D226" t="str">
            <v>UTI Banking &amp; PSU Fund - Regular Plan - Quarterly IDCW</v>
          </cell>
          <cell r="E226">
            <v>15.997</v>
          </cell>
        </row>
        <row r="227">
          <cell r="B227" t="str">
            <v>INF789F014Z9</v>
          </cell>
          <cell r="C227" t="str">
            <v>-</v>
          </cell>
          <cell r="D227" t="str">
            <v>UTI Banking &amp; PSU Fund- Regular Plan - Growth Option</v>
          </cell>
          <cell r="E227">
            <v>23.310700000000001</v>
          </cell>
        </row>
        <row r="228">
          <cell r="B228" t="str">
            <v/>
          </cell>
          <cell r="C228" t="str">
            <v/>
          </cell>
          <cell r="D228" t="str">
            <v/>
          </cell>
        </row>
        <row r="229">
          <cell r="B229" t="str">
            <v/>
          </cell>
          <cell r="C229" t="str">
            <v/>
          </cell>
          <cell r="D229" t="str">
            <v/>
          </cell>
        </row>
        <row r="230">
          <cell r="B230" t="str">
            <v/>
          </cell>
          <cell r="C230" t="str">
            <v/>
          </cell>
          <cell r="D230" t="str">
            <v/>
          </cell>
        </row>
        <row r="231">
          <cell r="B231" t="str">
            <v/>
          </cell>
          <cell r="C231" t="str">
            <v/>
          </cell>
          <cell r="D231" t="str">
            <v/>
          </cell>
        </row>
        <row r="232">
          <cell r="B232" t="str">
            <v/>
          </cell>
          <cell r="C232" t="str">
            <v/>
          </cell>
          <cell r="D232" t="str">
            <v/>
          </cell>
        </row>
        <row r="233">
          <cell r="B233" t="str">
            <v>INF209K01S38</v>
          </cell>
          <cell r="C233" t="str">
            <v>-</v>
          </cell>
          <cell r="D233" t="str">
            <v>Aditya Birla Sun Life Corporate Bond Fund - Growth - Direct Plan</v>
          </cell>
          <cell r="E233">
            <v>121.4635</v>
          </cell>
        </row>
        <row r="234">
          <cell r="B234" t="str">
            <v>INF209K01785</v>
          </cell>
          <cell r="C234" t="str">
            <v>-</v>
          </cell>
          <cell r="D234" t="str">
            <v>Aditya Birla Sun Life Corporate Bond Fund - Growth - Regular Plan</v>
          </cell>
          <cell r="E234">
            <v>119.2011</v>
          </cell>
        </row>
        <row r="235">
          <cell r="B235" t="str">
            <v>INF209KA1KT0</v>
          </cell>
          <cell r="C235" t="str">
            <v>-</v>
          </cell>
          <cell r="D235" t="str">
            <v>Aditya Birla Sun Life Corporate Bond Fund -DIRECT - IDCW</v>
          </cell>
          <cell r="E235">
            <v>10.6303</v>
          </cell>
        </row>
        <row r="236">
          <cell r="B236" t="str">
            <v>INF209K01N90</v>
          </cell>
          <cell r="C236" t="str">
            <v>INF209KA1KU8</v>
          </cell>
          <cell r="D236" t="str">
            <v>Aditya Birla Sun Life Corporate Bond Fund -DIRECT - MONTHLY IDCW</v>
          </cell>
          <cell r="E236">
            <v>12.8392</v>
          </cell>
        </row>
        <row r="237">
          <cell r="B237" t="str">
            <v>INF209KA1KS2</v>
          </cell>
          <cell r="C237" t="str">
            <v>-</v>
          </cell>
          <cell r="D237" t="str">
            <v>Aditya Birla Sun Life Corporate Bond Fund -REGULAR - IDCW</v>
          </cell>
          <cell r="E237">
            <v>11.9155</v>
          </cell>
        </row>
        <row r="238">
          <cell r="B238" t="str">
            <v>INF209K01983</v>
          </cell>
          <cell r="C238" t="str">
            <v>INF209K01DL8</v>
          </cell>
          <cell r="D238" t="str">
            <v>Aditya Birla Sun Life Corporate Bond Fund -REGULAR - MONTHLY IDCW</v>
          </cell>
          <cell r="E238">
            <v>12.616899999999999</v>
          </cell>
        </row>
        <row r="239">
          <cell r="B239" t="str">
            <v/>
          </cell>
          <cell r="C239" t="str">
            <v/>
          </cell>
          <cell r="D239" t="str">
            <v/>
          </cell>
        </row>
        <row r="240">
          <cell r="B240" t="str">
            <v/>
          </cell>
          <cell r="C240" t="str">
            <v/>
          </cell>
          <cell r="D240" t="str">
            <v/>
          </cell>
        </row>
        <row r="241">
          <cell r="B241" t="str">
            <v/>
          </cell>
          <cell r="C241" t="str">
            <v/>
          </cell>
          <cell r="D241" t="str">
            <v/>
          </cell>
        </row>
        <row r="242">
          <cell r="B242" t="str">
            <v>INF846K01ZN6</v>
          </cell>
          <cell r="C242" t="str">
            <v>-</v>
          </cell>
          <cell r="D242" t="str">
            <v>Axis Corporate Bond Fund - Direct Plan - Daily IDCW</v>
          </cell>
          <cell r="E242">
            <v>10.2097</v>
          </cell>
        </row>
        <row r="243">
          <cell r="B243" t="str">
            <v>INF846K01ZQ9</v>
          </cell>
          <cell r="C243" t="str">
            <v>INF846K01ZR7</v>
          </cell>
          <cell r="D243" t="str">
            <v>Axis Corporate Bond Fund - Direct Plan - Monthly IDCW</v>
          </cell>
          <cell r="E243">
            <v>10.221399999999999</v>
          </cell>
        </row>
        <row r="244">
          <cell r="B244" t="str">
            <v>INF846K01ZS5</v>
          </cell>
          <cell r="C244" t="str">
            <v>INF846K01ZT3</v>
          </cell>
          <cell r="D244" t="str">
            <v>Axis Corporate Bond Fund - Direct Plan - Regular IDCW</v>
          </cell>
          <cell r="E244">
            <v>15.0413</v>
          </cell>
        </row>
        <row r="245">
          <cell r="B245" t="str">
            <v>INF846K01ZO4</v>
          </cell>
          <cell r="C245" t="str">
            <v>INF846K01ZP1</v>
          </cell>
          <cell r="D245" t="str">
            <v>Axis Corporate Bond Fund - Direct Plan - Weekly IDCW</v>
          </cell>
          <cell r="E245">
            <v>10.338699999999999</v>
          </cell>
        </row>
        <row r="246">
          <cell r="B246" t="str">
            <v>INF846K01ZM8</v>
          </cell>
          <cell r="C246" t="str">
            <v>-</v>
          </cell>
          <cell r="D246" t="str">
            <v>Axis Corporate Bond Fund - Direct Plan Growth</v>
          </cell>
          <cell r="E246">
            <v>19.279900000000001</v>
          </cell>
        </row>
        <row r="247">
          <cell r="B247" t="str">
            <v>INF846K01ZV9</v>
          </cell>
          <cell r="C247" t="str">
            <v>-</v>
          </cell>
          <cell r="D247" t="str">
            <v>Axis Corporate Bond Fund - Regular Plan - Daily IDCW</v>
          </cell>
          <cell r="E247">
            <v>10.206899999999999</v>
          </cell>
        </row>
        <row r="248">
          <cell r="B248" t="str">
            <v>INF846K01ZY3</v>
          </cell>
          <cell r="C248" t="str">
            <v>INF846K01ZZ0</v>
          </cell>
          <cell r="D248" t="str">
            <v>Axis Corporate Bond Fund - Regular Plan - Monthly IDCW</v>
          </cell>
          <cell r="E248">
            <v>10.2141</v>
          </cell>
        </row>
        <row r="249">
          <cell r="B249" t="str">
            <v>INF846K01A03</v>
          </cell>
          <cell r="C249" t="str">
            <v>INF846K01A11</v>
          </cell>
          <cell r="D249" t="str">
            <v>Axis Corporate Bond Fund - Regular Plan - Regular IDCW</v>
          </cell>
          <cell r="E249">
            <v>13.9871</v>
          </cell>
        </row>
        <row r="250">
          <cell r="B250" t="str">
            <v>INF846K01ZW7</v>
          </cell>
          <cell r="C250" t="str">
            <v>INF846K01ZX5</v>
          </cell>
          <cell r="D250" t="str">
            <v>Axis Corporate Bond Fund - Regular Plan - Weekly IDCW</v>
          </cell>
          <cell r="E250">
            <v>10.218299999999999</v>
          </cell>
        </row>
        <row r="251">
          <cell r="B251" t="str">
            <v>INF846K01ZU1</v>
          </cell>
          <cell r="C251" t="str">
            <v>-</v>
          </cell>
          <cell r="D251" t="str">
            <v>Axis Corporate Bond Fund - Regular Plan Growth</v>
          </cell>
          <cell r="E251">
            <v>18.103999999999999</v>
          </cell>
        </row>
        <row r="252">
          <cell r="B252" t="str">
            <v/>
          </cell>
          <cell r="C252" t="str">
            <v/>
          </cell>
          <cell r="D252" t="str">
            <v/>
          </cell>
        </row>
        <row r="253">
          <cell r="B253" t="str">
            <v/>
          </cell>
          <cell r="C253" t="str">
            <v/>
          </cell>
          <cell r="D253" t="str">
            <v/>
          </cell>
        </row>
        <row r="254">
          <cell r="B254" t="str">
            <v/>
          </cell>
          <cell r="C254" t="str">
            <v/>
          </cell>
          <cell r="D254" t="str">
            <v/>
          </cell>
        </row>
        <row r="255">
          <cell r="B255" t="str">
            <v>INF194KA1T34</v>
          </cell>
          <cell r="C255" t="str">
            <v>INF194KA1T42</v>
          </cell>
          <cell r="D255" t="str">
            <v>BANDHAN Corporate Bond Fund - Direct Annual IDCW</v>
          </cell>
          <cell r="E255">
            <v>10.505599999999999</v>
          </cell>
        </row>
        <row r="256">
          <cell r="B256" t="str">
            <v>INF194KA1M23</v>
          </cell>
          <cell r="C256" t="str">
            <v>-</v>
          </cell>
          <cell r="D256" t="str">
            <v>BANDHAN Corporate Bond Fund - Direct Growth</v>
          </cell>
          <cell r="E256">
            <v>21.0868</v>
          </cell>
        </row>
        <row r="257">
          <cell r="B257" t="str">
            <v>INF194KA1T00</v>
          </cell>
          <cell r="C257" t="str">
            <v>INF194KA1T18</v>
          </cell>
          <cell r="D257" t="str">
            <v>BANDHAN Corporate Bond Fund - Direct Half Yearly IDCW</v>
          </cell>
          <cell r="E257">
            <v>11.8285</v>
          </cell>
        </row>
        <row r="258">
          <cell r="B258" t="str">
            <v>INF194KA1S43</v>
          </cell>
          <cell r="C258" t="str">
            <v>INF194KA1S50</v>
          </cell>
          <cell r="D258" t="str">
            <v>BANDHAN Corporate Bond Fund - Direct Monthly IDCW</v>
          </cell>
          <cell r="E258">
            <v>10.340999999999999</v>
          </cell>
        </row>
        <row r="259">
          <cell r="B259" t="str">
            <v>INF194KA1M31</v>
          </cell>
          <cell r="C259" t="str">
            <v>INF194KA1M49</v>
          </cell>
          <cell r="D259" t="str">
            <v>BANDHAN Corporate Bond Fund - Direct Periodic IDCW</v>
          </cell>
          <cell r="E259">
            <v>13.9899</v>
          </cell>
        </row>
        <row r="260">
          <cell r="B260" t="str">
            <v>INF194KA1S76</v>
          </cell>
          <cell r="C260" t="str">
            <v>INF194KA1S84</v>
          </cell>
          <cell r="D260" t="str">
            <v>BANDHAN Corporate Bond Fund - Direct Quarterly IDCW</v>
          </cell>
          <cell r="E260">
            <v>10.680999999999999</v>
          </cell>
        </row>
        <row r="261">
          <cell r="B261" t="str">
            <v>INF194KA1S19</v>
          </cell>
          <cell r="C261" t="str">
            <v>INF194KA1S27</v>
          </cell>
          <cell r="D261" t="str">
            <v>BANDHAN Corporate Bond Fund - Regular Annual IDCW</v>
          </cell>
          <cell r="E261">
            <v>10.486599999999999</v>
          </cell>
        </row>
        <row r="262">
          <cell r="B262" t="str">
            <v>INF194KA1L81</v>
          </cell>
          <cell r="C262" t="str">
            <v>-</v>
          </cell>
          <cell r="D262" t="str">
            <v>BANDHAN Corporate Bond Fund - Regular Growth</v>
          </cell>
          <cell r="E262">
            <v>20.4087</v>
          </cell>
        </row>
        <row r="263">
          <cell r="B263" t="str">
            <v>INF194KA1R85</v>
          </cell>
          <cell r="C263" t="str">
            <v>INF194KA1R93</v>
          </cell>
          <cell r="D263" t="str">
            <v>BANDHAN Corporate Bond Fund - Regular Half Yearly IDCW</v>
          </cell>
          <cell r="E263">
            <v>11.1911</v>
          </cell>
        </row>
        <row r="264">
          <cell r="B264" t="str">
            <v>INF194KA1R28</v>
          </cell>
          <cell r="C264" t="str">
            <v>INF194KA1R36</v>
          </cell>
          <cell r="D264" t="str">
            <v>BANDHAN Corporate Bond Fund - Regular Monthly IDCW</v>
          </cell>
          <cell r="E264">
            <v>10.5924</v>
          </cell>
        </row>
        <row r="265">
          <cell r="B265" t="str">
            <v>INF194KA1L99</v>
          </cell>
          <cell r="C265" t="str">
            <v>INF194KA1M07</v>
          </cell>
          <cell r="D265" t="str">
            <v>BANDHAN Corporate Bond Fund - Regular Periodic IDCW</v>
          </cell>
          <cell r="E265">
            <v>13.758100000000001</v>
          </cell>
        </row>
        <row r="266">
          <cell r="B266" t="str">
            <v>INF194KA1R51</v>
          </cell>
          <cell r="C266" t="str">
            <v>INF194KA1R69</v>
          </cell>
          <cell r="D266" t="str">
            <v>BANDHAN Corporate Bond Fund - Regular Quarterly IDCW</v>
          </cell>
          <cell r="E266">
            <v>10.711</v>
          </cell>
        </row>
        <row r="267">
          <cell r="B267" t="str">
            <v/>
          </cell>
          <cell r="C267" t="str">
            <v/>
          </cell>
          <cell r="D267" t="str">
            <v/>
          </cell>
        </row>
        <row r="268">
          <cell r="B268" t="str">
            <v/>
          </cell>
          <cell r="C268" t="str">
            <v/>
          </cell>
          <cell r="D268" t="str">
            <v/>
          </cell>
        </row>
        <row r="269">
          <cell r="B269" t="str">
            <v/>
          </cell>
          <cell r="C269" t="str">
            <v/>
          </cell>
          <cell r="D269" t="str">
            <v/>
          </cell>
        </row>
        <row r="270">
          <cell r="B270" t="str">
            <v>INF251K01EN4</v>
          </cell>
          <cell r="C270" t="str">
            <v>INF251K01EO2</v>
          </cell>
          <cell r="D270" t="str">
            <v>BARODA BNP PARIBAS Corporate Bond Fund - Defunct Plan - Annual-IDCW Option</v>
          </cell>
          <cell r="E270">
            <v>12.196400000000001</v>
          </cell>
        </row>
        <row r="271">
          <cell r="B271" t="str">
            <v>INF251K01EI4</v>
          </cell>
          <cell r="C271" t="str">
            <v>-</v>
          </cell>
          <cell r="D271" t="str">
            <v>BARODA BNP PARIBAS Corporate Bond Fund - Defunct Plan - Growth Option</v>
          </cell>
          <cell r="E271">
            <v>33.882199999999997</v>
          </cell>
        </row>
        <row r="272">
          <cell r="B272" t="str">
            <v>INF251K01EJ2</v>
          </cell>
          <cell r="C272" t="str">
            <v>INF251K01EK0</v>
          </cell>
          <cell r="D272" t="str">
            <v>BARODA BNP PARIBAS Corporate Bond Fund - Defunct Plan - Monthly-IDCW Option</v>
          </cell>
          <cell r="E272">
            <v>10.3833</v>
          </cell>
        </row>
        <row r="273">
          <cell r="B273" t="str">
            <v>INF251K01EL8</v>
          </cell>
          <cell r="C273" t="str">
            <v>INF251K01EM6</v>
          </cell>
          <cell r="D273" t="str">
            <v>BARODA BNP PARIBAS Corporate Bond Fund - Defunct Plan - Quarterly-IDCW Option</v>
          </cell>
          <cell r="E273">
            <v>10.379</v>
          </cell>
        </row>
        <row r="274">
          <cell r="B274" t="str">
            <v>INF251K01GU4</v>
          </cell>
          <cell r="C274" t="str">
            <v>INF251K01GV2</v>
          </cell>
          <cell r="D274" t="str">
            <v>BARODA BNP PARIBAS Corporate Bond Fund - Direct Plan - Annual IDCW Option</v>
          </cell>
          <cell r="E274">
            <v>12.4985</v>
          </cell>
        </row>
        <row r="275">
          <cell r="B275" t="str">
            <v>INF251K01GP4</v>
          </cell>
          <cell r="C275" t="str">
            <v>-</v>
          </cell>
          <cell r="D275" t="str">
            <v>BARODA BNP PARIBAS Corporate Bond Fund - Direct Plan - Growth Option</v>
          </cell>
          <cell r="E275">
            <v>31.1812</v>
          </cell>
        </row>
        <row r="276">
          <cell r="B276" t="str">
            <v>INF251K01GQ2</v>
          </cell>
          <cell r="C276" t="str">
            <v>INF251K01GR0</v>
          </cell>
          <cell r="D276" t="str">
            <v>BARODA BNP PARIBAS Corporate Bond Fund - Direct Plan - Monthly IDCW Option</v>
          </cell>
          <cell r="E276">
            <v>10.6</v>
          </cell>
        </row>
        <row r="277">
          <cell r="B277" t="str">
            <v>INF251K01GS8</v>
          </cell>
          <cell r="C277" t="str">
            <v>INF251K01GT6</v>
          </cell>
          <cell r="D277" t="str">
            <v>BARODA BNP PARIBAS Corporate Bond Fund - Direct Plan - Quarterly IDCW Option</v>
          </cell>
          <cell r="E277">
            <v>10.632400000000001</v>
          </cell>
        </row>
        <row r="278">
          <cell r="B278" t="str">
            <v>INF251K01EU9</v>
          </cell>
          <cell r="C278" t="str">
            <v>INF251K01EV7</v>
          </cell>
          <cell r="D278" t="str">
            <v>BARODA BNP PARIBAS CORPORATE BOND FUND - Regular Plan - ANNUAL IDCW OPTION</v>
          </cell>
          <cell r="E278">
            <v>12.1174</v>
          </cell>
        </row>
        <row r="279">
          <cell r="B279" t="str">
            <v>INF251K01EP9</v>
          </cell>
          <cell r="C279" t="str">
            <v>-</v>
          </cell>
          <cell r="D279" t="str">
            <v>BARODA BNP PARIBAS CORPORATE BOND FUND - Regular Plan - GROWTH OPTION</v>
          </cell>
          <cell r="E279">
            <v>29.273900000000001</v>
          </cell>
        </row>
        <row r="280">
          <cell r="B280" t="str">
            <v>INF251K01EQ7</v>
          </cell>
          <cell r="C280" t="str">
            <v>INF251K01ER5</v>
          </cell>
          <cell r="D280" t="str">
            <v>BARODA BNP PARIBAS CORPORATE BOND FUND - Regular Plan - MONTHLY IDCW OPTION</v>
          </cell>
          <cell r="E280">
            <v>10.428699999999999</v>
          </cell>
        </row>
        <row r="281">
          <cell r="B281" t="str">
            <v>INF251K01ES3</v>
          </cell>
          <cell r="C281" t="str">
            <v>INF251K01ET1</v>
          </cell>
          <cell r="D281" t="str">
            <v>BARODA BNP PARIBAS CORPORATE BOND FUND - Regular Plan - QUARTERLY IDCW OPTION</v>
          </cell>
          <cell r="E281">
            <v>10.3918</v>
          </cell>
        </row>
        <row r="282">
          <cell r="B282" t="str">
            <v/>
          </cell>
          <cell r="C282" t="str">
            <v/>
          </cell>
          <cell r="D282" t="str">
            <v/>
          </cell>
        </row>
        <row r="283">
          <cell r="B283" t="str">
            <v/>
          </cell>
          <cell r="C283" t="str">
            <v/>
          </cell>
          <cell r="D283" t="str">
            <v/>
          </cell>
        </row>
        <row r="284">
          <cell r="B284" t="str">
            <v/>
          </cell>
          <cell r="C284" t="str">
            <v/>
          </cell>
          <cell r="D284" t="str">
            <v/>
          </cell>
        </row>
        <row r="285">
          <cell r="B285" t="str">
            <v>INF760K01HB2</v>
          </cell>
          <cell r="C285" t="str">
            <v>-</v>
          </cell>
          <cell r="D285" t="str">
            <v>CANARA ROBECO CORPORATE BOND FUND - DIRECT PLAN - GROWTH OPTION</v>
          </cell>
          <cell r="E285">
            <v>24.5579</v>
          </cell>
        </row>
        <row r="286">
          <cell r="B286" t="str">
            <v>INF760K01HC0</v>
          </cell>
          <cell r="C286" t="str">
            <v>INF760K01HD8</v>
          </cell>
          <cell r="D286" t="str">
            <v>CANARA ROBECO CORPORATE BOND FUND - DIRECT PLAN - IDCW (Payout/Reinvestment)</v>
          </cell>
          <cell r="E286">
            <v>12.425000000000001</v>
          </cell>
        </row>
        <row r="287">
          <cell r="B287" t="str">
            <v>INF760K01GY6</v>
          </cell>
          <cell r="C287" t="str">
            <v>-</v>
          </cell>
          <cell r="D287" t="str">
            <v>CANARA ROBECO CORPORATE BOND FUND - REGULAR PLAN - GROWTH OPTION</v>
          </cell>
          <cell r="E287">
            <v>22.764500000000002</v>
          </cell>
        </row>
        <row r="288">
          <cell r="B288" t="str">
            <v>INF760K01GZ3</v>
          </cell>
          <cell r="C288" t="str">
            <v>INF760K01HA4</v>
          </cell>
          <cell r="D288" t="str">
            <v>CANARA ROBECO CORPORATE BOND FUND - REGULAR PLAN - IDCW (Payout/Reinvestment)</v>
          </cell>
          <cell r="E288">
            <v>11.541399999999999</v>
          </cell>
        </row>
        <row r="289">
          <cell r="B289" t="str">
            <v/>
          </cell>
          <cell r="C289" t="str">
            <v/>
          </cell>
          <cell r="D289" t="str">
            <v/>
          </cell>
        </row>
        <row r="290">
          <cell r="B290" t="str">
            <v/>
          </cell>
          <cell r="C290" t="str">
            <v/>
          </cell>
          <cell r="D290" t="str">
            <v/>
          </cell>
        </row>
        <row r="291">
          <cell r="B291" t="str">
            <v/>
          </cell>
          <cell r="C291" t="str">
            <v/>
          </cell>
          <cell r="D291" t="str">
            <v/>
          </cell>
        </row>
        <row r="292">
          <cell r="B292" t="str">
            <v>INF740KA1KE8</v>
          </cell>
          <cell r="C292" t="str">
            <v>-</v>
          </cell>
          <cell r="D292" t="str">
            <v>DSP Corporate Bond Fund - Direct - Growth</v>
          </cell>
          <cell r="E292">
            <v>17.309200000000001</v>
          </cell>
        </row>
        <row r="293">
          <cell r="B293" t="str">
            <v>INF740KA1KF5</v>
          </cell>
          <cell r="C293" t="str">
            <v>INF740KA1KG3</v>
          </cell>
          <cell r="D293" t="str">
            <v>DSP Corporate Bond Fund - Direct - IDCW</v>
          </cell>
          <cell r="E293">
            <v>11.5047</v>
          </cell>
        </row>
        <row r="294">
          <cell r="B294" t="str">
            <v>INF740KA1KH1</v>
          </cell>
          <cell r="C294" t="str">
            <v>INF740KA1KI9</v>
          </cell>
          <cell r="D294" t="str">
            <v>DSP Corporate Bond Fund - Direct - IDCW - Monthly</v>
          </cell>
          <cell r="E294">
            <v>10.645300000000001</v>
          </cell>
        </row>
        <row r="295">
          <cell r="B295" t="str">
            <v>INF740KA1KJ7</v>
          </cell>
          <cell r="C295" t="str">
            <v>INF740KA1KK5</v>
          </cell>
          <cell r="D295" t="str">
            <v xml:space="preserve">DSP Corporate Bond Fund - Direct - IDCW - Quarterly </v>
          </cell>
          <cell r="E295">
            <v>11.432600000000001</v>
          </cell>
        </row>
        <row r="296">
          <cell r="B296" t="str">
            <v>INF740KA1JX0</v>
          </cell>
          <cell r="C296" t="str">
            <v>-</v>
          </cell>
          <cell r="D296" t="str">
            <v>DSP Corporate Bond Fund - Regular - Growth</v>
          </cell>
          <cell r="E296">
            <v>16.967600000000001</v>
          </cell>
        </row>
        <row r="297">
          <cell r="B297" t="str">
            <v>INF740KA1JY8</v>
          </cell>
          <cell r="C297" t="str">
            <v>INF740KA1JZ5</v>
          </cell>
          <cell r="D297" t="str">
            <v>DSP Corporate Bond Fund - Regular - IDCW</v>
          </cell>
          <cell r="E297">
            <v>11.472899999999999</v>
          </cell>
        </row>
        <row r="298">
          <cell r="B298" t="str">
            <v>INF740KA1KA6</v>
          </cell>
          <cell r="C298" t="str">
            <v>INF740KA1KB4</v>
          </cell>
          <cell r="D298" t="str">
            <v>DSP Corporate Bond Fund - Regular - IDCW - Monthly</v>
          </cell>
          <cell r="E298">
            <v>10.6191</v>
          </cell>
        </row>
        <row r="299">
          <cell r="B299" t="str">
            <v>INF740KA1KC2</v>
          </cell>
          <cell r="C299" t="str">
            <v>INF740KA1KD0</v>
          </cell>
          <cell r="D299" t="str">
            <v xml:space="preserve">DSP Corporate Bond Fund - Regular - IDCW - Quarterly </v>
          </cell>
          <cell r="E299">
            <v>10.777799999999999</v>
          </cell>
        </row>
        <row r="300">
          <cell r="B300" t="str">
            <v/>
          </cell>
          <cell r="C300" t="str">
            <v/>
          </cell>
          <cell r="D300" t="str">
            <v/>
          </cell>
        </row>
        <row r="301">
          <cell r="B301" t="str">
            <v/>
          </cell>
          <cell r="C301" t="str">
            <v/>
          </cell>
          <cell r="D301" t="str">
            <v/>
          </cell>
        </row>
        <row r="302">
          <cell r="B302" t="str">
            <v/>
          </cell>
          <cell r="C302" t="str">
            <v/>
          </cell>
          <cell r="D302" t="str">
            <v/>
          </cell>
        </row>
        <row r="303">
          <cell r="B303" t="str">
            <v>INF090I01KC0</v>
          </cell>
          <cell r="C303" t="str">
            <v>-</v>
          </cell>
          <cell r="D303" t="str">
            <v>Franklin India Corporate Debt Fund - Direct - Bonus</v>
          </cell>
          <cell r="E303">
            <v>0</v>
          </cell>
        </row>
        <row r="304">
          <cell r="B304" t="str">
            <v>INF090I01FW8</v>
          </cell>
          <cell r="C304" t="str">
            <v>-</v>
          </cell>
          <cell r="D304" t="str">
            <v>Franklin India Corporate Debt Fund - Direct - GROWTH</v>
          </cell>
          <cell r="E304">
            <v>115.4631</v>
          </cell>
        </row>
        <row r="305">
          <cell r="B305" t="str">
            <v>INF090I01DG6</v>
          </cell>
          <cell r="C305" t="str">
            <v>-</v>
          </cell>
          <cell r="D305" t="str">
            <v>Franklin India Corporate Debt Fund - Growth</v>
          </cell>
          <cell r="E305">
            <v>106.0335</v>
          </cell>
        </row>
        <row r="306">
          <cell r="B306" t="str">
            <v>INF090I01DC5</v>
          </cell>
          <cell r="C306" t="str">
            <v>-</v>
          </cell>
          <cell r="D306" t="str">
            <v>Franklin India Corporate Debt Fund - Monthly Bonus</v>
          </cell>
          <cell r="E306">
            <v>0</v>
          </cell>
        </row>
        <row r="307">
          <cell r="B307" t="str">
            <v>INF090I01DH4</v>
          </cell>
          <cell r="C307" t="str">
            <v>INF090I01DI2</v>
          </cell>
          <cell r="D307" t="str">
            <v>Franklin India Corporate Debt Fund - Plan A - Annual - IDCW</v>
          </cell>
          <cell r="E307">
            <v>16.9236</v>
          </cell>
        </row>
        <row r="308">
          <cell r="B308" t="str">
            <v>INF090I01FX6</v>
          </cell>
          <cell r="C308" t="str">
            <v>INF090I01FY4</v>
          </cell>
          <cell r="D308" t="str">
            <v>Franklin India Corporate Debt Fund - Plan A - Direct - Annual - IDCW</v>
          </cell>
          <cell r="E308">
            <v>19.002099999999999</v>
          </cell>
        </row>
        <row r="309">
          <cell r="B309" t="str">
            <v>INF090I01FU2</v>
          </cell>
          <cell r="C309" t="str">
            <v>INF090I01FV0</v>
          </cell>
          <cell r="D309" t="str">
            <v>Franklin India Corporate Debt Fund - Plan A - Direct - Half yearly - IDCW</v>
          </cell>
          <cell r="E309">
            <v>14.898199999999999</v>
          </cell>
        </row>
        <row r="310">
          <cell r="B310" t="str">
            <v>INF090I01FQ0</v>
          </cell>
          <cell r="C310" t="str">
            <v>INF090I01FR8</v>
          </cell>
          <cell r="D310" t="str">
            <v>Franklin India Corporate Debt Fund - Plan A - Direct - Monthly - IDCW</v>
          </cell>
          <cell r="E310">
            <v>17.033100000000001</v>
          </cell>
        </row>
        <row r="311">
          <cell r="B311" t="str">
            <v>INF090I01FS6</v>
          </cell>
          <cell r="C311" t="str">
            <v>INF090I01FT4</v>
          </cell>
          <cell r="D311" t="str">
            <v>Franklin India Corporate Debt Fund - Plan A - Direct - Quarterly - IDCW</v>
          </cell>
          <cell r="E311">
            <v>13.6165</v>
          </cell>
        </row>
        <row r="312">
          <cell r="B312" t="str">
            <v>INF090I01DN2</v>
          </cell>
          <cell r="C312" t="str">
            <v>INF090I01DO0</v>
          </cell>
          <cell r="D312" t="str">
            <v>Franklin India Corporate Debt Fund - Plan B - Half yearly - IDCW</v>
          </cell>
          <cell r="E312">
            <v>12.6191</v>
          </cell>
        </row>
        <row r="313">
          <cell r="B313" t="str">
            <v>INF090I01DJ0</v>
          </cell>
          <cell r="C313" t="str">
            <v>INF090I01DK8</v>
          </cell>
          <cell r="D313" t="str">
            <v>Franklin India Corporate Debt Fund - Plan B - Monthly - IDCW</v>
          </cell>
          <cell r="E313">
            <v>15.256500000000001</v>
          </cell>
        </row>
        <row r="314">
          <cell r="B314" t="str">
            <v>INF090I01DL6</v>
          </cell>
          <cell r="C314" t="str">
            <v>INF090I01DM4</v>
          </cell>
          <cell r="D314" t="str">
            <v>Franklin India Corporate Debt Fund - Plan B - Quarterly - IDCW</v>
          </cell>
          <cell r="E314">
            <v>12.018800000000001</v>
          </cell>
        </row>
        <row r="315">
          <cell r="B315" t="str">
            <v/>
          </cell>
          <cell r="C315" t="str">
            <v/>
          </cell>
          <cell r="D315" t="str">
            <v/>
          </cell>
        </row>
        <row r="316">
          <cell r="B316" t="str">
            <v/>
          </cell>
          <cell r="C316" t="str">
            <v/>
          </cell>
          <cell r="D316" t="str">
            <v/>
          </cell>
        </row>
        <row r="317">
          <cell r="B317" t="str">
            <v/>
          </cell>
          <cell r="C317" t="str">
            <v/>
          </cell>
          <cell r="D317" t="str">
            <v/>
          </cell>
        </row>
        <row r="318">
          <cell r="B318" t="str">
            <v>INF179K01DC2</v>
          </cell>
          <cell r="C318" t="str">
            <v>-</v>
          </cell>
          <cell r="D318" t="str">
            <v>HDFC Corporate Bond Fund - Growth Option</v>
          </cell>
          <cell r="E318">
            <v>34.327500000000001</v>
          </cell>
        </row>
        <row r="319">
          <cell r="B319" t="str">
            <v>INF179K01XD8</v>
          </cell>
          <cell r="C319" t="str">
            <v>-</v>
          </cell>
          <cell r="D319" t="str">
            <v>HDFC Corporate Bond Fund - Growth Option - Direct Plan</v>
          </cell>
          <cell r="E319">
            <v>35.170900000000003</v>
          </cell>
        </row>
        <row r="320">
          <cell r="B320" t="str">
            <v>INF179KA1D33</v>
          </cell>
          <cell r="C320" t="str">
            <v>INF179KA1D25</v>
          </cell>
          <cell r="D320" t="str">
            <v>HDFC Corporate Bond Fund - IDCW Option</v>
          </cell>
          <cell r="E320">
            <v>20.780799999999999</v>
          </cell>
        </row>
        <row r="321">
          <cell r="B321" t="str">
            <v>INF179KA1D17</v>
          </cell>
          <cell r="C321" t="str">
            <v>-</v>
          </cell>
          <cell r="D321" t="str">
            <v>HDFC Corporate Bond Fund - IDCW Option - Direct Plan</v>
          </cell>
          <cell r="E321">
            <v>21.5502</v>
          </cell>
        </row>
        <row r="322">
          <cell r="B322" t="str">
            <v>INF179K01DD0</v>
          </cell>
          <cell r="C322" t="str">
            <v>INF179K01DE8</v>
          </cell>
          <cell r="D322" t="str">
            <v>HDFC Corporate Bond Fund - Quarterly IDCW Option</v>
          </cell>
          <cell r="E322">
            <v>10.563800000000001</v>
          </cell>
        </row>
        <row r="323">
          <cell r="B323" t="str">
            <v>INF179K01XB2</v>
          </cell>
          <cell r="C323" t="str">
            <v>INF179K01XC0</v>
          </cell>
          <cell r="D323" t="str">
            <v>HDFC Corporate Bond Fund - Quarterly IDCW Option - Direct Plan</v>
          </cell>
          <cell r="E323">
            <v>10.458399999999999</v>
          </cell>
        </row>
        <row r="324">
          <cell r="B324" t="str">
            <v/>
          </cell>
          <cell r="C324" t="str">
            <v/>
          </cell>
          <cell r="D324" t="str">
            <v/>
          </cell>
        </row>
        <row r="325">
          <cell r="B325" t="str">
            <v/>
          </cell>
          <cell r="C325" t="str">
            <v/>
          </cell>
          <cell r="D325" t="str">
            <v/>
          </cell>
        </row>
        <row r="326">
          <cell r="B326" t="str">
            <v/>
          </cell>
          <cell r="C326" t="str">
            <v/>
          </cell>
          <cell r="D326" t="str">
            <v/>
          </cell>
        </row>
        <row r="327">
          <cell r="B327" t="str">
            <v>INF917K01VZ8</v>
          </cell>
          <cell r="C327" t="str">
            <v>INF917K01VY1</v>
          </cell>
          <cell r="D327" t="str">
            <v>HSBC Corporate Bond Fund - Direct Annual IDCW</v>
          </cell>
          <cell r="E327">
            <v>11.746499999999999</v>
          </cell>
        </row>
        <row r="328">
          <cell r="B328" t="str">
            <v>INF917K01HN3</v>
          </cell>
          <cell r="C328" t="str">
            <v>-</v>
          </cell>
          <cell r="D328" t="str">
            <v>HSBC Corporate Bond Fund - Direct Growth</v>
          </cell>
          <cell r="E328">
            <v>82.697599999999994</v>
          </cell>
        </row>
        <row r="329">
          <cell r="B329" t="str">
            <v>INF917K01HP8</v>
          </cell>
          <cell r="C329" t="str">
            <v>INF917K01HO1</v>
          </cell>
          <cell r="D329" t="str">
            <v>HSBC Corporate Bond Fund - Direct Quarterly IDCW</v>
          </cell>
          <cell r="E329">
            <v>11.260899999999999</v>
          </cell>
        </row>
        <row r="330">
          <cell r="B330" t="str">
            <v>INF917K01HR4</v>
          </cell>
          <cell r="C330" t="str">
            <v>INF917K01HQ6</v>
          </cell>
          <cell r="D330" t="str">
            <v>HSBC Corporate Bond Fund - Direct Semi Annual IDCW</v>
          </cell>
          <cell r="E330">
            <v>19.988299999999999</v>
          </cell>
        </row>
        <row r="331">
          <cell r="B331" t="str">
            <v>INF917K01WB7</v>
          </cell>
          <cell r="C331" t="str">
            <v>INF917K01WA9</v>
          </cell>
          <cell r="D331" t="str">
            <v>HSBC Corporate Bond Fund - Regular Annual IDCW</v>
          </cell>
          <cell r="E331">
            <v>11.458299999999999</v>
          </cell>
        </row>
        <row r="332">
          <cell r="B332" t="str">
            <v>INF917K01AH0</v>
          </cell>
          <cell r="C332" t="str">
            <v>-</v>
          </cell>
          <cell r="D332" t="str">
            <v>HSBC Corporate Bond Fund - Regular Growth</v>
          </cell>
          <cell r="E332">
            <v>77.408500000000004</v>
          </cell>
        </row>
        <row r="333">
          <cell r="B333" t="str">
            <v>INF917K01AF4</v>
          </cell>
          <cell r="C333" t="str">
            <v>INF917K01AG2</v>
          </cell>
          <cell r="D333" t="str">
            <v>HSBC Corporate Bond Fund - Regular Quarterly IDCW</v>
          </cell>
          <cell r="E333">
            <v>10.842599999999999</v>
          </cell>
        </row>
        <row r="334">
          <cell r="B334" t="str">
            <v>INF917K01AI8</v>
          </cell>
          <cell r="C334" t="str">
            <v>INF917K01AJ6</v>
          </cell>
          <cell r="D334" t="str">
            <v>HSBC Corporate Bond Fund - Regular Semi Annual IDCW</v>
          </cell>
          <cell r="E334">
            <v>16.664899999999999</v>
          </cell>
        </row>
        <row r="335">
          <cell r="B335" t="str">
            <v>INF917K01AK4</v>
          </cell>
          <cell r="C335" t="str">
            <v>-</v>
          </cell>
          <cell r="D335" t="str">
            <v>HSBC Corporate Bond Fund -Regular Plan - Bonus</v>
          </cell>
          <cell r="E335">
            <v>29.4039</v>
          </cell>
        </row>
        <row r="336">
          <cell r="B336" t="str">
            <v/>
          </cell>
          <cell r="C336" t="str">
            <v/>
          </cell>
          <cell r="D336" t="str">
            <v/>
          </cell>
        </row>
        <row r="337">
          <cell r="B337" t="str">
            <v/>
          </cell>
          <cell r="C337" t="str">
            <v/>
          </cell>
          <cell r="D337" t="str">
            <v/>
          </cell>
        </row>
        <row r="338">
          <cell r="B338" t="str">
            <v/>
          </cell>
          <cell r="C338" t="str">
            <v/>
          </cell>
          <cell r="D338" t="str">
            <v/>
          </cell>
        </row>
        <row r="339">
          <cell r="B339" t="str">
            <v>INF109KA1I84</v>
          </cell>
          <cell r="C339" t="str">
            <v>-</v>
          </cell>
          <cell r="D339" t="str">
            <v>ICICI Prudential Corporate Bond Fund - Bonus</v>
          </cell>
          <cell r="E339">
            <v>14.978199999999999</v>
          </cell>
        </row>
        <row r="340">
          <cell r="B340" t="str">
            <v>INF109K01CR9</v>
          </cell>
          <cell r="C340" t="str">
            <v>-</v>
          </cell>
          <cell r="D340" t="str">
            <v>ICICI Prudential Corporate Bond Fund - Daily IDCW</v>
          </cell>
          <cell r="E340">
            <v>10.1065</v>
          </cell>
        </row>
        <row r="341">
          <cell r="B341" t="str">
            <v>INF109K013B8</v>
          </cell>
          <cell r="C341" t="str">
            <v>-</v>
          </cell>
          <cell r="D341" t="str">
            <v>ICICI Prudential Corporate Bond Fund - Direct Plan - Daily IDCW</v>
          </cell>
          <cell r="E341">
            <v>10.1008</v>
          </cell>
        </row>
        <row r="342">
          <cell r="B342" t="str">
            <v>INF109K014B6</v>
          </cell>
          <cell r="C342" t="str">
            <v>INF109K015B3</v>
          </cell>
          <cell r="D342" t="str">
            <v>ICICI Prudential Corporate Bond Fund - Direct Plan - Fortnightly IDCW</v>
          </cell>
          <cell r="E342">
            <v>12.1669</v>
          </cell>
        </row>
        <row r="343">
          <cell r="B343" t="str">
            <v>INF109K016B1</v>
          </cell>
          <cell r="C343" t="str">
            <v>-</v>
          </cell>
          <cell r="D343" t="str">
            <v>ICICI Prudential Corporate Bond Fund - Direct Plan - Growth</v>
          </cell>
          <cell r="E343">
            <v>33.383400000000002</v>
          </cell>
        </row>
        <row r="344">
          <cell r="B344" t="str">
            <v>INF109KA1N38</v>
          </cell>
          <cell r="C344" t="str">
            <v>INF109KA1N20</v>
          </cell>
          <cell r="D344" t="str">
            <v>ICICI Prudential Corporate Bond Fund - Direct Plan - Half Yearly IDCW Option</v>
          </cell>
          <cell r="E344">
            <v>12.8827</v>
          </cell>
        </row>
        <row r="345">
          <cell r="B345" t="str">
            <v>INF109K017B9</v>
          </cell>
          <cell r="C345" t="str">
            <v>INF109K018B7</v>
          </cell>
          <cell r="D345" t="str">
            <v>ICICI Prudential Corporate Bond Fund - Direct Plan - Monthly IDCW</v>
          </cell>
          <cell r="E345">
            <v>10.222099999999999</v>
          </cell>
        </row>
        <row r="346">
          <cell r="B346" t="str">
            <v>INF109K019B5</v>
          </cell>
          <cell r="C346" t="str">
            <v>INF109K012C8</v>
          </cell>
          <cell r="D346" t="str">
            <v>ICICI Prudential Corporate Bond Fund - Direct Plan - Quarterly IDCW</v>
          </cell>
          <cell r="E346">
            <v>15.6973</v>
          </cell>
        </row>
        <row r="347">
          <cell r="B347" t="str">
            <v>INF109K010C2</v>
          </cell>
          <cell r="C347" t="str">
            <v>INF109K011C0</v>
          </cell>
          <cell r="D347" t="str">
            <v>ICICI Prudential Corporate Bond Fund - Direct Plan - Weekly IDCW</v>
          </cell>
          <cell r="E347">
            <v>10.2332</v>
          </cell>
        </row>
        <row r="348">
          <cell r="B348" t="str">
            <v>INF109K01SJ2</v>
          </cell>
          <cell r="C348" t="str">
            <v>INF109K01CS7</v>
          </cell>
          <cell r="D348" t="str">
            <v>ICICI Prudential Corporate Bond Fund - Fortnightly IDCW</v>
          </cell>
          <cell r="E348">
            <v>10.224299999999999</v>
          </cell>
        </row>
        <row r="349">
          <cell r="B349" t="str">
            <v>INF109K01CQ1</v>
          </cell>
          <cell r="C349" t="str">
            <v>-</v>
          </cell>
          <cell r="D349" t="str">
            <v>ICICI Prudential Corporate Bond Fund - Growth</v>
          </cell>
          <cell r="E349">
            <v>31.797799999999999</v>
          </cell>
        </row>
        <row r="350">
          <cell r="B350" t="str">
            <v>INF109KA1N12</v>
          </cell>
          <cell r="C350" t="str">
            <v>INF109KA1N04</v>
          </cell>
          <cell r="D350" t="str">
            <v>ICICI Prudential Corporate Bond Fund - Half Yearly IDCW Option</v>
          </cell>
          <cell r="E350">
            <v>12.6555</v>
          </cell>
        </row>
        <row r="351">
          <cell r="B351" t="str">
            <v>INF109K01SK0</v>
          </cell>
          <cell r="C351" t="str">
            <v>INF109K01CT5</v>
          </cell>
          <cell r="D351" t="str">
            <v>ICICI Prudential Corporate Bond Fund - Monthly IDCW</v>
          </cell>
          <cell r="E351">
            <v>10.375500000000001</v>
          </cell>
        </row>
        <row r="352">
          <cell r="B352" t="str">
            <v>INF109K01CL2</v>
          </cell>
          <cell r="C352" t="str">
            <v>-</v>
          </cell>
          <cell r="D352" t="str">
            <v>ICICI Prudential Corporate Bond Fund - Premium Daily Dividend</v>
          </cell>
          <cell r="E352">
            <v>10.027699999999999</v>
          </cell>
        </row>
        <row r="353">
          <cell r="B353" t="str">
            <v>INF109K01CO6</v>
          </cell>
          <cell r="C353" t="str">
            <v>-</v>
          </cell>
          <cell r="D353" t="str">
            <v>ICICI Prudential Corporate Bond Fund - Premium Monthly Dividend</v>
          </cell>
          <cell r="E353">
            <v>10.077</v>
          </cell>
        </row>
        <row r="354">
          <cell r="B354" t="str">
            <v>INF109K01SL8</v>
          </cell>
          <cell r="C354" t="str">
            <v>INF109K01SM6</v>
          </cell>
          <cell r="D354" t="str">
            <v>ICICI Prudential Corporate Bond Fund - Weekly IDCW</v>
          </cell>
          <cell r="E354">
            <v>10.304</v>
          </cell>
        </row>
        <row r="355">
          <cell r="B355" t="str">
            <v>INF109K01SN4</v>
          </cell>
          <cell r="C355" t="str">
            <v>INF109K01SO2</v>
          </cell>
          <cell r="D355" t="str">
            <v>ICICI Prudential Corporate Bond Fund -Quarterly IDCW</v>
          </cell>
          <cell r="E355">
            <v>11.3443</v>
          </cell>
        </row>
        <row r="356">
          <cell r="B356" t="str">
            <v>INF109K01CF4</v>
          </cell>
          <cell r="C356" t="str">
            <v>-</v>
          </cell>
          <cell r="D356" t="str">
            <v>ICICI Prudential Corporate Bond Fund Retail Daily Dividend</v>
          </cell>
          <cell r="E356">
            <v>10.0275</v>
          </cell>
        </row>
        <row r="357">
          <cell r="B357" t="str">
            <v>INF109K01SF0</v>
          </cell>
          <cell r="C357" t="str">
            <v>INF109K01CH0</v>
          </cell>
          <cell r="D357" t="str">
            <v>ICICI Prudential Corporate Bond Fund Retail Fort Nightly Dividend</v>
          </cell>
          <cell r="E357">
            <v>10.3041</v>
          </cell>
        </row>
        <row r="358">
          <cell r="B358" t="str">
            <v>INF109K01CE7</v>
          </cell>
          <cell r="C358" t="str">
            <v>-</v>
          </cell>
          <cell r="D358" t="str">
            <v>ICICI Prudential Corporate Bond Fund Retail Growth</v>
          </cell>
          <cell r="E358">
            <v>22.785299999999999</v>
          </cell>
        </row>
        <row r="359">
          <cell r="B359" t="str">
            <v>INF109K01QM0</v>
          </cell>
          <cell r="C359" t="str">
            <v>INF109K01CI8</v>
          </cell>
          <cell r="D359" t="str">
            <v>ICICI Prudential Corporate Bond Fund Retail Monthly Dividend</v>
          </cell>
          <cell r="E359">
            <v>10.300800000000001</v>
          </cell>
        </row>
        <row r="360">
          <cell r="B360" t="str">
            <v>INF109K01FQ4</v>
          </cell>
          <cell r="C360" t="str">
            <v>INF109K01CJ6</v>
          </cell>
          <cell r="D360" t="str">
            <v>ICICI Prudential Corporate Bond Fund Retail Quarterly Dividend</v>
          </cell>
          <cell r="E360">
            <v>10.9335</v>
          </cell>
        </row>
        <row r="361">
          <cell r="B361" t="str">
            <v>INF109K01SE3</v>
          </cell>
          <cell r="C361" t="str">
            <v>INF109K01CG2</v>
          </cell>
          <cell r="D361" t="str">
            <v>ICICI Prudential Corporate Bond Fund Retail Weekly Dividend</v>
          </cell>
          <cell r="E361">
            <v>10.2202</v>
          </cell>
        </row>
        <row r="362">
          <cell r="B362" t="str">
            <v/>
          </cell>
          <cell r="C362" t="str">
            <v/>
          </cell>
          <cell r="D362" t="str">
            <v/>
          </cell>
        </row>
        <row r="363">
          <cell r="B363" t="str">
            <v/>
          </cell>
          <cell r="C363" t="str">
            <v/>
          </cell>
          <cell r="D363" t="str">
            <v/>
          </cell>
        </row>
        <row r="364">
          <cell r="B364" t="str">
            <v/>
          </cell>
          <cell r="C364" t="str">
            <v/>
          </cell>
          <cell r="D364" t="str">
            <v/>
          </cell>
        </row>
        <row r="365">
          <cell r="B365" t="str">
            <v>INF205K01RA9</v>
          </cell>
          <cell r="C365" t="str">
            <v>INF205K01RB7</v>
          </cell>
          <cell r="D365" t="str">
            <v>Invesco India Corporate Bond Fund - Direct Plan - Annual IDCW (Payout / Reinvestment)</v>
          </cell>
          <cell r="E365">
            <v>1240.9205999999999</v>
          </cell>
        </row>
        <row r="366">
          <cell r="B366" t="str">
            <v>INF205K01RD3</v>
          </cell>
          <cell r="C366" t="str">
            <v>INF205K01RE1</v>
          </cell>
          <cell r="D366" t="str">
            <v>Invesco India Corporate Bond Fund - Direct Plan - Discretionary IDCW (Payout / Reinvestment)</v>
          </cell>
          <cell r="E366">
            <v>3613.3544999999999</v>
          </cell>
        </row>
        <row r="367">
          <cell r="B367" t="str">
            <v>INF205K01RF8</v>
          </cell>
          <cell r="C367" t="str">
            <v>-</v>
          </cell>
          <cell r="D367" t="str">
            <v>Invesco India Corporate Bond Fund - Direct Plan - Growth</v>
          </cell>
          <cell r="E367">
            <v>3612.2013999999999</v>
          </cell>
        </row>
        <row r="368">
          <cell r="B368" t="str">
            <v>INF205K01RG6</v>
          </cell>
          <cell r="C368" t="str">
            <v>INF205K01RH4</v>
          </cell>
          <cell r="D368" t="str">
            <v>Invesco India Corporate Bond Fund - Direct Plan - Monthly IDCW (Payout / Reinvestment)</v>
          </cell>
          <cell r="E368">
            <v>1257.3608999999999</v>
          </cell>
        </row>
        <row r="369">
          <cell r="B369" t="str">
            <v>INF205K01RI2</v>
          </cell>
          <cell r="C369" t="str">
            <v>INF205K01RJ0</v>
          </cell>
          <cell r="D369" t="str">
            <v>Invesco India Corporate Bond Fund - Direct Plan - Quarterly IDCW (Payout / Reinvestment)</v>
          </cell>
          <cell r="E369">
            <v>1171.1402</v>
          </cell>
        </row>
        <row r="370">
          <cell r="B370" t="str">
            <v>INF205K01QX3</v>
          </cell>
          <cell r="C370" t="str">
            <v>INF205K01QY1</v>
          </cell>
          <cell r="D370" t="str">
            <v>Invesco India Corporate Bond Fund - Regular Plan - Annual IDCW (Payout / Reinvestment)</v>
          </cell>
          <cell r="E370">
            <v>1336.1895999999999</v>
          </cell>
        </row>
        <row r="371">
          <cell r="B371" t="str">
            <v>INF205K01RK8</v>
          </cell>
          <cell r="C371" t="str">
            <v>INF205K01RL6</v>
          </cell>
          <cell r="D371" t="str">
            <v>Invesco India Corporate Bond Fund - Regular Plan - Discretionary IDCW (Payout / Reinvestment)</v>
          </cell>
          <cell r="E371">
            <v>3526.4279000000001</v>
          </cell>
        </row>
        <row r="372">
          <cell r="B372" t="str">
            <v>INF205K01RM4</v>
          </cell>
          <cell r="C372" t="str">
            <v>-</v>
          </cell>
          <cell r="D372" t="str">
            <v>Invesco India Corporate Bond Fund - Regular Plan - Growth</v>
          </cell>
          <cell r="E372">
            <v>3356.5636</v>
          </cell>
        </row>
        <row r="373">
          <cell r="B373" t="str">
            <v>INF205K01RN2</v>
          </cell>
          <cell r="C373" t="str">
            <v>INF205K01RO0</v>
          </cell>
          <cell r="D373" t="str">
            <v>Invesco India Corporate Bond Fund - Regular Plan - Monthly IDCW (Payout / Reinvestment)</v>
          </cell>
          <cell r="E373">
            <v>1923.8710000000001</v>
          </cell>
        </row>
        <row r="374">
          <cell r="B374" t="str">
            <v>INF205K01RP7</v>
          </cell>
          <cell r="C374" t="str">
            <v>INF205K01RQ5</v>
          </cell>
          <cell r="D374" t="str">
            <v>Invesco India Corporate Bond Fund - Regular Plan - Quarterly IDCW (Payout / Reinvestment)</v>
          </cell>
          <cell r="E374">
            <v>1165.741</v>
          </cell>
        </row>
        <row r="375">
          <cell r="B375" t="str">
            <v/>
          </cell>
          <cell r="C375" t="str">
            <v/>
          </cell>
          <cell r="D375" t="str">
            <v/>
          </cell>
        </row>
        <row r="376">
          <cell r="B376" t="str">
            <v/>
          </cell>
          <cell r="C376" t="str">
            <v/>
          </cell>
          <cell r="D376" t="str">
            <v/>
          </cell>
        </row>
        <row r="377">
          <cell r="B377" t="str">
            <v/>
          </cell>
          <cell r="C377" t="str">
            <v/>
          </cell>
          <cell r="D377" t="str">
            <v/>
          </cell>
        </row>
        <row r="378">
          <cell r="B378" t="str">
            <v>INF769K01HD9</v>
          </cell>
          <cell r="C378" t="str">
            <v>-</v>
          </cell>
          <cell r="D378" t="str">
            <v>Mirae Asset Corporate Bond Fund Direct Growth Plan</v>
          </cell>
          <cell r="E378">
            <v>13.7623</v>
          </cell>
        </row>
        <row r="379">
          <cell r="B379" t="str">
            <v>INF769K01HC1</v>
          </cell>
          <cell r="C379" t="str">
            <v>INF769K01HE7</v>
          </cell>
          <cell r="D379" t="str">
            <v>Mirae Asset Corporate Bond Fund Direct IDCW</v>
          </cell>
          <cell r="E379">
            <v>13.758800000000001</v>
          </cell>
        </row>
        <row r="380">
          <cell r="B380" t="str">
            <v>INF769K01HA5</v>
          </cell>
          <cell r="C380" t="str">
            <v>-</v>
          </cell>
          <cell r="D380" t="str">
            <v>Mirae Asset Corporate Bond Fund Regular Growth</v>
          </cell>
          <cell r="E380">
            <v>13.4436</v>
          </cell>
        </row>
        <row r="381">
          <cell r="B381" t="str">
            <v>INF769K01GZ4</v>
          </cell>
          <cell r="C381" t="str">
            <v>INF769K01HB3</v>
          </cell>
          <cell r="D381" t="str">
            <v>Mirae Asset Corporate Bond Fund Regular IDCW</v>
          </cell>
          <cell r="E381">
            <v>13.4435</v>
          </cell>
        </row>
        <row r="382">
          <cell r="B382" t="str">
            <v/>
          </cell>
          <cell r="C382" t="str">
            <v/>
          </cell>
          <cell r="D382" t="str">
            <v/>
          </cell>
        </row>
        <row r="383">
          <cell r="B383" t="str">
            <v/>
          </cell>
          <cell r="C383" t="str">
            <v/>
          </cell>
          <cell r="D383" t="str">
            <v/>
          </cell>
        </row>
        <row r="384">
          <cell r="B384" t="str">
            <v/>
          </cell>
          <cell r="C384" t="str">
            <v/>
          </cell>
          <cell r="D384" t="str">
            <v/>
          </cell>
        </row>
        <row r="385">
          <cell r="B385" t="str">
            <v>-</v>
          </cell>
          <cell r="C385" t="str">
            <v>INF204K01EG7</v>
          </cell>
          <cell r="D385" t="str">
            <v>NIPPON INDIA CORPORATE BOND FUND - DAILY IDCW Option</v>
          </cell>
          <cell r="E385">
            <v>17.063199999999998</v>
          </cell>
        </row>
        <row r="386">
          <cell r="B386" t="str">
            <v>-</v>
          </cell>
          <cell r="C386" t="str">
            <v>INF204K01C23</v>
          </cell>
          <cell r="D386" t="str">
            <v>NIPPON INDIA CORPORATE BOND FUND - DIRECT Plan - DAILY IDCW Option</v>
          </cell>
          <cell r="E386">
            <v>17.066199999999998</v>
          </cell>
        </row>
        <row r="387">
          <cell r="B387" t="str">
            <v>INF204KA1EO9</v>
          </cell>
          <cell r="C387" t="str">
            <v>INF204KA1EP6</v>
          </cell>
          <cell r="D387" t="str">
            <v>NIPPON INDIA CORPORATE BOND FUND - DIRECT Plan - IDCW Option</v>
          </cell>
          <cell r="E387">
            <v>21.203399999999998</v>
          </cell>
        </row>
        <row r="388">
          <cell r="B388" t="str">
            <v>INF204K01C56</v>
          </cell>
          <cell r="C388" t="str">
            <v>INF204K01C64</v>
          </cell>
          <cell r="D388" t="str">
            <v>NIPPON INDIA CORPORATE BOND FUND - DIRECT Plan - MONTHLY IDCW Option</v>
          </cell>
          <cell r="E388">
            <v>11.778499999999999</v>
          </cell>
        </row>
        <row r="389">
          <cell r="B389" t="str">
            <v>INF204K01C72</v>
          </cell>
          <cell r="C389" t="str">
            <v>INF204K01C80</v>
          </cell>
          <cell r="D389" t="str">
            <v>NIPPON INDIA CORPORATE BOND FUND - DIRECT Plan - QUARTERLY IDCW Option</v>
          </cell>
          <cell r="E389">
            <v>12.1922</v>
          </cell>
        </row>
        <row r="390">
          <cell r="B390" t="str">
            <v>INF204K01C31</v>
          </cell>
          <cell r="C390" t="str">
            <v>INF204K01C49</v>
          </cell>
          <cell r="D390" t="str">
            <v>NIPPON INDIA CORPORATE BOND FUND - DIRECT Plan - WEEKLY IDCW Option</v>
          </cell>
          <cell r="E390">
            <v>17.068100000000001</v>
          </cell>
        </row>
        <row r="391">
          <cell r="B391" t="str">
            <v>INF204K01D63</v>
          </cell>
          <cell r="C391" t="str">
            <v>-</v>
          </cell>
          <cell r="D391" t="str">
            <v>Nippon India Corporate Bond Fund - Direct Plan Growth Plan - Bonus</v>
          </cell>
          <cell r="E391">
            <v>47.773499999999999</v>
          </cell>
        </row>
        <row r="392">
          <cell r="B392" t="str">
            <v>INF204K01C15</v>
          </cell>
          <cell r="C392" t="str">
            <v>-</v>
          </cell>
          <cell r="D392" t="str">
            <v>Nippon India Corporate Bond Fund - Direct Plan Growth Plan - Growth Option</v>
          </cell>
          <cell r="E392">
            <v>66.914400000000001</v>
          </cell>
        </row>
        <row r="393">
          <cell r="B393" t="str">
            <v>INF204KA12N8</v>
          </cell>
          <cell r="C393" t="str">
            <v>-</v>
          </cell>
          <cell r="D393" t="str">
            <v>Nippon India Corporate Bond Fund - Growth Plan - Bonus Option</v>
          </cell>
          <cell r="E393">
            <v>45.348700000000001</v>
          </cell>
        </row>
        <row r="394">
          <cell r="B394" t="str">
            <v>INF204K01EF9</v>
          </cell>
          <cell r="C394" t="str">
            <v>-</v>
          </cell>
          <cell r="D394" t="str">
            <v>Nippon India Corporate Bond Fund - Growth Plan - Growth Option</v>
          </cell>
          <cell r="E394">
            <v>63.496299999999998</v>
          </cell>
        </row>
        <row r="395">
          <cell r="B395" t="str">
            <v>INF204KA1EM3</v>
          </cell>
          <cell r="C395" t="str">
            <v>INF204KA1EN1</v>
          </cell>
          <cell r="D395" t="str">
            <v>NIPPON INDIA CORPORATE BOND FUND - IDCW Option</v>
          </cell>
          <cell r="E395">
            <v>20.342500000000001</v>
          </cell>
        </row>
        <row r="396">
          <cell r="B396" t="str">
            <v>INF204K01EJ1</v>
          </cell>
          <cell r="C396" t="str">
            <v>INF204K01EK9</v>
          </cell>
          <cell r="D396" t="str">
            <v>NIPPON INDIA CORPORATE BOND FUND - MONTHLY IDCW Option</v>
          </cell>
          <cell r="E396">
            <v>11.647600000000001</v>
          </cell>
        </row>
        <row r="397">
          <cell r="B397" t="str">
            <v>INF204K01EL7</v>
          </cell>
          <cell r="C397" t="str">
            <v>INF204K01EM5</v>
          </cell>
          <cell r="D397" t="str">
            <v>NIPPON INDIA CORPORATE BOND FUND - QUARTERLY IDCW Option</v>
          </cell>
          <cell r="E397">
            <v>12.03</v>
          </cell>
        </row>
        <row r="398">
          <cell r="B398" t="str">
            <v>INF204K01EH5</v>
          </cell>
          <cell r="C398" t="str">
            <v>INF204K01EI3</v>
          </cell>
          <cell r="D398" t="str">
            <v>NIPPON INDIA CORPORATE BOND FUND - WEEKLY IDCW Option</v>
          </cell>
          <cell r="E398">
            <v>17.065300000000001</v>
          </cell>
        </row>
        <row r="399">
          <cell r="B399" t="str">
            <v/>
          </cell>
          <cell r="C399" t="str">
            <v/>
          </cell>
          <cell r="D399" t="str">
            <v/>
          </cell>
        </row>
        <row r="400">
          <cell r="B400" t="str">
            <v/>
          </cell>
          <cell r="C400" t="str">
            <v/>
          </cell>
          <cell r="D400" t="str">
            <v/>
          </cell>
        </row>
        <row r="401">
          <cell r="B401" t="str">
            <v/>
          </cell>
          <cell r="C401" t="str">
            <v/>
          </cell>
          <cell r="D401" t="str">
            <v/>
          </cell>
        </row>
        <row r="402">
          <cell r="B402" t="str">
            <v>INF223J01CY6</v>
          </cell>
          <cell r="C402" t="str">
            <v>INF223J01CZ3</v>
          </cell>
          <cell r="D402" t="str">
            <v>PGIM India Corporate Bond Fund - Annual Dividend</v>
          </cell>
          <cell r="E402">
            <v>10.2515</v>
          </cell>
        </row>
        <row r="403">
          <cell r="B403" t="str">
            <v>INF223J01OM6</v>
          </cell>
          <cell r="C403" t="str">
            <v>-</v>
          </cell>
          <cell r="D403" t="str">
            <v>PGIM India Corporate Bond Fund - Direct Plan - Annual Dividend</v>
          </cell>
          <cell r="E403">
            <v>15.858700000000001</v>
          </cell>
        </row>
        <row r="404">
          <cell r="B404" t="str">
            <v>INF223J01OO2</v>
          </cell>
          <cell r="C404" t="str">
            <v>-</v>
          </cell>
          <cell r="D404" t="str">
            <v>PGIM India Corporate Bond Fund - Direct Plan - Growth</v>
          </cell>
          <cell r="E404">
            <v>50.929200000000002</v>
          </cell>
        </row>
        <row r="405">
          <cell r="B405" t="str">
            <v>INF223J01OP9</v>
          </cell>
          <cell r="C405" t="str">
            <v>-</v>
          </cell>
          <cell r="D405" t="str">
            <v>PGIM India Corporate Bond Fund - Direct Plan - Monthly Dividend</v>
          </cell>
          <cell r="E405">
            <v>14.334899999999999</v>
          </cell>
        </row>
        <row r="406">
          <cell r="B406" t="str">
            <v>INF223J01OR5</v>
          </cell>
          <cell r="C406" t="str">
            <v>INF223J01OS3</v>
          </cell>
          <cell r="D406" t="str">
            <v>PGIM India Corporate Bond Fund - Direct Plan - Quarterly Dividend</v>
          </cell>
          <cell r="E406">
            <v>12.822699999999999</v>
          </cell>
        </row>
        <row r="407">
          <cell r="B407" t="str">
            <v>INF223J01DB2</v>
          </cell>
          <cell r="C407" t="str">
            <v>-</v>
          </cell>
          <cell r="D407" t="str">
            <v>PGIM India Corporate Bond Fund - Growth</v>
          </cell>
          <cell r="E407">
            <v>45.360399999999998</v>
          </cell>
        </row>
        <row r="408">
          <cell r="B408" t="str">
            <v>INF223J01DC0</v>
          </cell>
          <cell r="C408" t="str">
            <v>INF223J01DD8</v>
          </cell>
          <cell r="D408" t="str">
            <v>PGIM India Corporate Bond Fund - Monthly Dividend</v>
          </cell>
          <cell r="E408">
            <v>12.2683</v>
          </cell>
        </row>
        <row r="409">
          <cell r="B409" t="str">
            <v>INF223J01CQ2</v>
          </cell>
          <cell r="C409" t="str">
            <v>-</v>
          </cell>
          <cell r="D409" t="str">
            <v>PGIM India Corporate Bond Fund - Premium Plus Plan - Growth</v>
          </cell>
          <cell r="E409">
            <v>21.588000000000001</v>
          </cell>
        </row>
        <row r="410">
          <cell r="B410" t="str">
            <v>INF223J01DE6</v>
          </cell>
          <cell r="C410" t="str">
            <v>INF223J01DF3</v>
          </cell>
          <cell r="D410" t="str">
            <v>PGIM India Corporate Bond Fund - Quarterly Dividend</v>
          </cell>
          <cell r="E410">
            <v>11.2661</v>
          </cell>
        </row>
        <row r="411">
          <cell r="B411" t="str">
            <v>INF223J01WZ1</v>
          </cell>
          <cell r="C411" t="str">
            <v>-</v>
          </cell>
          <cell r="D411" t="str">
            <v>PGIM India Premier Bond Fund - Annual Bonus</v>
          </cell>
          <cell r="E411">
            <v>24.933399999999999</v>
          </cell>
        </row>
        <row r="412">
          <cell r="B412" t="str">
            <v>INF223J01DA4</v>
          </cell>
          <cell r="C412" t="str">
            <v>-</v>
          </cell>
          <cell r="D412" t="str">
            <v>PGIM India Premier Bond Fund - Bonus</v>
          </cell>
          <cell r="E412">
            <v>15.226000000000001</v>
          </cell>
        </row>
        <row r="413">
          <cell r="B413" t="str">
            <v>INF223J01WG1</v>
          </cell>
          <cell r="C413" t="str">
            <v>-</v>
          </cell>
          <cell r="D413" t="str">
            <v>PGIM India Premier Bond Fund - Direct Plan - Half-Yearly Bonus</v>
          </cell>
          <cell r="E413">
            <v>13.2164</v>
          </cell>
        </row>
        <row r="414">
          <cell r="B414" t="str">
            <v>INF223J01WF3</v>
          </cell>
          <cell r="C414" t="str">
            <v>-</v>
          </cell>
          <cell r="D414" t="str">
            <v>PGIM India Premier Bond Fund - Half-Yearly Bonus</v>
          </cell>
          <cell r="E414">
            <v>13.5688</v>
          </cell>
        </row>
        <row r="415">
          <cell r="B415" t="str">
            <v/>
          </cell>
          <cell r="C415" t="str">
            <v/>
          </cell>
          <cell r="D415" t="str">
            <v/>
          </cell>
        </row>
        <row r="416">
          <cell r="B416" t="str">
            <v/>
          </cell>
          <cell r="C416" t="str">
            <v/>
          </cell>
          <cell r="D416" t="str">
            <v/>
          </cell>
        </row>
        <row r="417">
          <cell r="B417" t="str">
            <v/>
          </cell>
          <cell r="C417" t="str">
            <v/>
          </cell>
          <cell r="D417" t="str">
            <v/>
          </cell>
        </row>
        <row r="418">
          <cell r="B418" t="str">
            <v>INF200KA1YR4</v>
          </cell>
          <cell r="C418" t="str">
            <v>-</v>
          </cell>
          <cell r="D418" t="str">
            <v>SBI Corporate Bond Fund - Direct Plan - Growth</v>
          </cell>
          <cell r="E418">
            <v>16.940799999999999</v>
          </cell>
        </row>
        <row r="419">
          <cell r="B419" t="str">
            <v>INF200KA1YS2</v>
          </cell>
          <cell r="C419" t="str">
            <v>INF200KA1YT0</v>
          </cell>
          <cell r="D419" t="str">
            <v>SBI Corporate Bond Fund - Direct Plan - Monthly Income Distribution cum Capital Withdrawal Option (IDCW)</v>
          </cell>
          <cell r="E419">
            <v>15.990399999999999</v>
          </cell>
        </row>
        <row r="420">
          <cell r="B420" t="str">
            <v>INF200KA1YU8</v>
          </cell>
          <cell r="C420" t="str">
            <v>INF200KA1YV6</v>
          </cell>
          <cell r="D420" t="str">
            <v>SBI Corporate Bond Fund - Direct Plan - Quarterly Income Distribution cum Capital Withdrawal Option (IDCW)</v>
          </cell>
          <cell r="E420">
            <v>16.468800000000002</v>
          </cell>
        </row>
        <row r="421">
          <cell r="B421" t="str">
            <v>INF200KA1YM5</v>
          </cell>
          <cell r="C421" t="str">
            <v>-</v>
          </cell>
          <cell r="D421" t="str">
            <v>SBI Corporate Bond Fund - Regular Plan - Growth</v>
          </cell>
          <cell r="E421">
            <v>16.372800000000002</v>
          </cell>
        </row>
        <row r="422">
          <cell r="B422" t="str">
            <v>INF200KA1YN3</v>
          </cell>
          <cell r="C422" t="str">
            <v>INF200KA1YO1</v>
          </cell>
          <cell r="D422" t="str">
            <v>SBI Corporate Bond Fund - Regular Plan - Monthly Income Distribution cum Capital Withdrawal Option (IDCW)</v>
          </cell>
          <cell r="E422">
            <v>15.4518</v>
          </cell>
        </row>
        <row r="423">
          <cell r="B423" t="str">
            <v>INF200KA1YP8</v>
          </cell>
          <cell r="C423" t="str">
            <v>INF200KA1YQ6</v>
          </cell>
          <cell r="D423" t="str">
            <v>SBI Corporate Bond Fund - Regular Plan - Quarterly Income Distribution cum Capital Withdrawal Option (IDCW)</v>
          </cell>
          <cell r="E423">
            <v>15.907999999999999</v>
          </cell>
        </row>
        <row r="424">
          <cell r="B424" t="str">
            <v/>
          </cell>
          <cell r="C424" t="str">
            <v/>
          </cell>
          <cell r="D424" t="str">
            <v/>
          </cell>
        </row>
        <row r="425">
          <cell r="B425" t="str">
            <v/>
          </cell>
          <cell r="C425" t="str">
            <v/>
          </cell>
          <cell r="D425" t="str">
            <v/>
          </cell>
        </row>
        <row r="426">
          <cell r="B426" t="str">
            <v/>
          </cell>
          <cell r="C426" t="str">
            <v/>
          </cell>
          <cell r="D426" t="str">
            <v/>
          </cell>
        </row>
        <row r="427">
          <cell r="B427" t="str">
            <v>-</v>
          </cell>
          <cell r="C427" t="str">
            <v>INF903J01PD9</v>
          </cell>
          <cell r="D427" t="str">
            <v>Sundaram Banking and PSU Debt Fund Direct Plan - Weekly Reinvestment of Income Distribution cum Capital Withdrawal (IDCW)</v>
          </cell>
          <cell r="E427">
            <v>13.0091</v>
          </cell>
        </row>
        <row r="428">
          <cell r="B428" t="str">
            <v>INF903J01NR4</v>
          </cell>
          <cell r="C428" t="str">
            <v>-</v>
          </cell>
          <cell r="D428" t="str">
            <v>Sundaram Corporate Bond Fund Direct Plan - Growth</v>
          </cell>
          <cell r="E428">
            <v>43.901000000000003</v>
          </cell>
        </row>
        <row r="429">
          <cell r="B429" t="str">
            <v>INF903J01OW2</v>
          </cell>
          <cell r="C429" t="str">
            <v>INF903J01OY8</v>
          </cell>
          <cell r="D429" t="str">
            <v>Sundaram Corporate Bond Fund Direct Plan - Income Distribution cum Capital Withdrawal (IDCW)</v>
          </cell>
          <cell r="E429">
            <v>17.770600000000002</v>
          </cell>
        </row>
        <row r="430">
          <cell r="B430" t="str">
            <v>INF903J01NS2</v>
          </cell>
          <cell r="C430" t="str">
            <v>INF903J01NT0</v>
          </cell>
          <cell r="D430" t="str">
            <v>Sundaram Corporate Bond Fund Direct Plan - Income Distribution cum Capital Withdrawal(IDCW)</v>
          </cell>
          <cell r="E430">
            <v>17.967300000000002</v>
          </cell>
        </row>
        <row r="431">
          <cell r="B431" t="str">
            <v>INF903J01OX0</v>
          </cell>
          <cell r="C431" t="str">
            <v>INF903J01OZ5</v>
          </cell>
          <cell r="D431" t="str">
            <v>Sundaram Corporate Bond Fund Direct Plan -Income Distribution cum Capital Withdrawal (IDCW)</v>
          </cell>
          <cell r="E431">
            <v>18.529599999999999</v>
          </cell>
        </row>
        <row r="432">
          <cell r="B432" t="str">
            <v>INF903J01NU8</v>
          </cell>
          <cell r="C432" t="str">
            <v>INF903J01NV6</v>
          </cell>
          <cell r="D432" t="str">
            <v>Sundaram Corporate Bond Fund Direct Plan-Income Distribution cum Capital Withdrawal(IDCW)</v>
          </cell>
          <cell r="E432">
            <v>19.597300000000001</v>
          </cell>
        </row>
        <row r="433">
          <cell r="B433" t="str">
            <v>INF903J01HY2</v>
          </cell>
          <cell r="C433" t="str">
            <v>INF903J01IC6</v>
          </cell>
          <cell r="D433" t="str">
            <v>Sundaram Corporate Bond Fund Regular Plan - Income Distribution cum Capital Withdrawal (IDCW )</v>
          </cell>
          <cell r="E433">
            <v>18.933900000000001</v>
          </cell>
        </row>
        <row r="434">
          <cell r="B434" t="str">
            <v>INF903J01HX4</v>
          </cell>
          <cell r="C434" t="str">
            <v>INF903J01IB8</v>
          </cell>
          <cell r="D434" t="str">
            <v>Sundaram Corporate Bond Fund Regular Plan -Income Distribution cum Capital Withdrawal(IDCW)</v>
          </cell>
          <cell r="E434">
            <v>16.954799999999999</v>
          </cell>
        </row>
        <row r="435">
          <cell r="B435" t="str">
            <v>INF903J01HW6</v>
          </cell>
          <cell r="C435" t="str">
            <v>-</v>
          </cell>
          <cell r="D435" t="str">
            <v>Sundaram Corporate Bond Fund Regular Plan- Growth</v>
          </cell>
          <cell r="E435">
            <v>42.341900000000003</v>
          </cell>
        </row>
        <row r="436">
          <cell r="B436" t="str">
            <v>INF903J01IA0</v>
          </cell>
          <cell r="C436" t="str">
            <v>INF903J01IE2</v>
          </cell>
          <cell r="D436" t="str">
            <v>Sundaram Corporate Bond Fund Regular Plan- Income Distribution cum Capital Withdrawal (IDCW)</v>
          </cell>
          <cell r="E436">
            <v>17.956099999999999</v>
          </cell>
        </row>
        <row r="437">
          <cell r="B437" t="str">
            <v>INF903J01HZ9</v>
          </cell>
          <cell r="C437" t="str">
            <v>INF903J01ID4</v>
          </cell>
          <cell r="D437" t="str">
            <v>Sundaram Corporate Bond Fund Regular Plan-Income Distribution cum Capital Withdrawal (IDCW)</v>
          </cell>
          <cell r="E437">
            <v>17.630199999999999</v>
          </cell>
        </row>
        <row r="438">
          <cell r="B438" t="str">
            <v/>
          </cell>
          <cell r="C438" t="str">
            <v/>
          </cell>
          <cell r="D438" t="str">
            <v/>
          </cell>
        </row>
        <row r="439">
          <cell r="B439" t="str">
            <v/>
          </cell>
          <cell r="C439" t="str">
            <v/>
          </cell>
          <cell r="D439" t="str">
            <v/>
          </cell>
        </row>
        <row r="440">
          <cell r="B440" t="str">
            <v/>
          </cell>
          <cell r="C440" t="str">
            <v/>
          </cell>
          <cell r="D440" t="str">
            <v/>
          </cell>
        </row>
        <row r="441">
          <cell r="B441" t="str">
            <v>INF277KA1224</v>
          </cell>
          <cell r="C441" t="str">
            <v>-</v>
          </cell>
          <cell r="D441" t="str">
            <v>Tata Corporate Bond Fund-Direct Plan-Growth</v>
          </cell>
          <cell r="E441">
            <v>13.375999999999999</v>
          </cell>
        </row>
        <row r="442">
          <cell r="B442" t="str">
            <v>INF277KA1240</v>
          </cell>
          <cell r="C442" t="str">
            <v>-</v>
          </cell>
          <cell r="D442" t="str">
            <v>Tata Corporate Bond Fund-Direct Plan-IDCW Monthly Payout</v>
          </cell>
          <cell r="E442">
            <v>13.375999999999999</v>
          </cell>
        </row>
        <row r="443">
          <cell r="B443" t="str">
            <v>-</v>
          </cell>
          <cell r="C443" t="str">
            <v>INF277KA1273</v>
          </cell>
          <cell r="D443" t="str">
            <v>Tata Corporate Bond Fund-Direct Plan-IDCW Monthly Reinvestment</v>
          </cell>
          <cell r="E443">
            <v>13.375999999999999</v>
          </cell>
        </row>
        <row r="444">
          <cell r="B444" t="str">
            <v>INF277KA1232</v>
          </cell>
          <cell r="C444" t="str">
            <v>-</v>
          </cell>
          <cell r="D444" t="str">
            <v>Tata Corporate Bond Fund-Direct Plan-IDCW Periodic Payout</v>
          </cell>
          <cell r="E444">
            <v>13.375999999999999</v>
          </cell>
        </row>
        <row r="445">
          <cell r="B445" t="str">
            <v>-</v>
          </cell>
          <cell r="C445" t="str">
            <v>INF277KA1265</v>
          </cell>
          <cell r="D445" t="str">
            <v>Tata Corporate Bond Fund-Direct Plan-IDCW Periodic Reinvestment</v>
          </cell>
          <cell r="E445">
            <v>13.375999999999999</v>
          </cell>
        </row>
        <row r="446">
          <cell r="B446" t="str">
            <v>INF277KA1257</v>
          </cell>
          <cell r="C446" t="str">
            <v>-</v>
          </cell>
          <cell r="D446" t="str">
            <v>Tata Corporate Bond Fund-Direct Plan-IDCW Quarterly Payout</v>
          </cell>
          <cell r="E446">
            <v>13.375999999999999</v>
          </cell>
        </row>
        <row r="447">
          <cell r="B447" t="str">
            <v>-</v>
          </cell>
          <cell r="C447" t="str">
            <v>INF277KA1281</v>
          </cell>
          <cell r="D447" t="str">
            <v>Tata Corporate Bond Fund-Direct Plan-IDCW Quarterly Reinvestment</v>
          </cell>
          <cell r="E447">
            <v>13.375999999999999</v>
          </cell>
        </row>
        <row r="448">
          <cell r="B448" t="str">
            <v>INF277KA1299</v>
          </cell>
          <cell r="C448" t="str">
            <v>-</v>
          </cell>
          <cell r="D448" t="str">
            <v>Tata Corporate Bond Fund-Regular Plan-Growth</v>
          </cell>
          <cell r="E448">
            <v>13.0306</v>
          </cell>
        </row>
        <row r="449">
          <cell r="B449" t="str">
            <v>INF277KA1315</v>
          </cell>
          <cell r="C449" t="str">
            <v>-</v>
          </cell>
          <cell r="D449" t="str">
            <v>Tata Corporate Bond Fund-Regular Plan-IDCW Monthly Payout</v>
          </cell>
          <cell r="E449">
            <v>13.0306</v>
          </cell>
        </row>
        <row r="450">
          <cell r="B450" t="str">
            <v>-</v>
          </cell>
          <cell r="C450" t="str">
            <v>INF277KA1349</v>
          </cell>
          <cell r="D450" t="str">
            <v>Tata Corporate Bond Fund-Regular Plan-IDCW Monthly Reinvestment</v>
          </cell>
          <cell r="E450">
            <v>13.0306</v>
          </cell>
        </row>
        <row r="451">
          <cell r="B451" t="str">
            <v>INF277KA1307</v>
          </cell>
          <cell r="C451" t="str">
            <v>-</v>
          </cell>
          <cell r="D451" t="str">
            <v>Tata Corporate Bond Fund-Regular Plan-IDCW Periodic Payout</v>
          </cell>
          <cell r="E451">
            <v>13.0306</v>
          </cell>
        </row>
        <row r="452">
          <cell r="B452" t="str">
            <v>-</v>
          </cell>
          <cell r="C452" t="str">
            <v>INF277KA1331</v>
          </cell>
          <cell r="D452" t="str">
            <v>Tata Corporate Bond Fund-Regular Plan-IDCW Periodic Reinvestment</v>
          </cell>
          <cell r="E452">
            <v>13.0306</v>
          </cell>
        </row>
        <row r="453">
          <cell r="B453" t="str">
            <v>INF277KA1323</v>
          </cell>
          <cell r="C453" t="str">
            <v>-</v>
          </cell>
          <cell r="D453" t="str">
            <v>Tata Corporate Bond Fund-Regular Plan-IDCW Quarterly Payout</v>
          </cell>
          <cell r="E453">
            <v>13.0306</v>
          </cell>
        </row>
        <row r="454">
          <cell r="B454" t="str">
            <v>-</v>
          </cell>
          <cell r="C454" t="str">
            <v>INF277KA1356</v>
          </cell>
          <cell r="D454" t="str">
            <v>Tata Corporate Bond Fund-Regular Plan-IDCW Quarterly Reinvestment</v>
          </cell>
          <cell r="E454">
            <v>13.0306</v>
          </cell>
        </row>
        <row r="455">
          <cell r="B455" t="str">
            <v/>
          </cell>
          <cell r="C455" t="str">
            <v/>
          </cell>
          <cell r="D455" t="str">
            <v/>
          </cell>
        </row>
        <row r="456">
          <cell r="B456" t="str">
            <v/>
          </cell>
          <cell r="C456" t="str">
            <v/>
          </cell>
          <cell r="D456" t="str">
            <v/>
          </cell>
        </row>
        <row r="457">
          <cell r="B457" t="str">
            <v/>
          </cell>
          <cell r="C457" t="str">
            <v/>
          </cell>
          <cell r="D457" t="str">
            <v/>
          </cell>
        </row>
        <row r="458">
          <cell r="B458" t="str">
            <v>INF0GCD01560</v>
          </cell>
          <cell r="C458" t="str">
            <v>-</v>
          </cell>
          <cell r="D458" t="str">
            <v>TRUSTMF CORPORATE BOND FUND-DIRECT PLAN-GROWTH</v>
          </cell>
          <cell r="E458">
            <v>1269.4276</v>
          </cell>
        </row>
        <row r="459">
          <cell r="B459" t="str">
            <v>INF0GCD01586</v>
          </cell>
          <cell r="C459" t="str">
            <v>INF0GCD01578</v>
          </cell>
          <cell r="D459" t="str">
            <v>TRUSTMF CORPORATE BOND FUND-DIRECT PLAN-MONTHLY IDCW</v>
          </cell>
          <cell r="E459">
            <v>1186.348</v>
          </cell>
        </row>
        <row r="460">
          <cell r="B460" t="str">
            <v>INF0GCD01537</v>
          </cell>
          <cell r="C460" t="str">
            <v>-</v>
          </cell>
          <cell r="D460" t="str">
            <v>TRUSTMF CORPORATE BOND FUND-REGULAR PLAN-GROWTH</v>
          </cell>
          <cell r="E460">
            <v>1251.7036000000001</v>
          </cell>
        </row>
        <row r="461">
          <cell r="B461" t="str">
            <v>INF0GCD01552</v>
          </cell>
          <cell r="C461" t="str">
            <v>INF0GCD01545</v>
          </cell>
          <cell r="D461" t="str">
            <v>TRUSTMF CORPORATE BOND FUND-REGULAR PLAN-MONTHLY IDCW</v>
          </cell>
          <cell r="E461">
            <v>1166.779</v>
          </cell>
        </row>
        <row r="462">
          <cell r="B462" t="str">
            <v/>
          </cell>
          <cell r="C462" t="str">
            <v/>
          </cell>
          <cell r="D462" t="str">
            <v/>
          </cell>
        </row>
        <row r="463">
          <cell r="B463" t="str">
            <v/>
          </cell>
          <cell r="C463" t="str">
            <v/>
          </cell>
          <cell r="D463" t="str">
            <v/>
          </cell>
        </row>
        <row r="464">
          <cell r="B464" t="str">
            <v/>
          </cell>
          <cell r="C464" t="str">
            <v/>
          </cell>
          <cell r="D464" t="str">
            <v/>
          </cell>
        </row>
        <row r="465">
          <cell r="B465" t="str">
            <v>INF582M01DU5</v>
          </cell>
          <cell r="C465" t="str">
            <v>-</v>
          </cell>
          <cell r="D465" t="str">
            <v>Union Corporate Bond Fund - Direct Plan - Growth Option</v>
          </cell>
          <cell r="E465">
            <v>16.488399999999999</v>
          </cell>
        </row>
        <row r="466">
          <cell r="B466" t="str">
            <v>INF582M01DW1</v>
          </cell>
          <cell r="C466" t="str">
            <v>INF582M01DV3</v>
          </cell>
          <cell r="D466" t="str">
            <v>Union Corporate Bond Fund - Direct Plan - IDCW Option</v>
          </cell>
          <cell r="E466">
            <v>16.488399999999999</v>
          </cell>
        </row>
        <row r="467">
          <cell r="B467" t="str">
            <v>INF582M01DY7</v>
          </cell>
          <cell r="C467" t="str">
            <v>-</v>
          </cell>
          <cell r="D467" t="str">
            <v>Union Corporate Bond Fund - Regular Plan - Growth Option</v>
          </cell>
          <cell r="E467">
            <v>16.0715</v>
          </cell>
        </row>
        <row r="468">
          <cell r="B468" t="str">
            <v>INF582M01EA5</v>
          </cell>
          <cell r="C468" t="str">
            <v>INF582M01DZ4</v>
          </cell>
          <cell r="D468" t="str">
            <v>Union Corporate Bond Fund - Regular Plan - IDCW Option</v>
          </cell>
          <cell r="E468">
            <v>16.0715</v>
          </cell>
        </row>
        <row r="469">
          <cell r="B469" t="str">
            <v/>
          </cell>
          <cell r="C469" t="str">
            <v/>
          </cell>
          <cell r="D469" t="str">
            <v/>
          </cell>
        </row>
        <row r="470">
          <cell r="B470" t="str">
            <v/>
          </cell>
          <cell r="C470" t="str">
            <v/>
          </cell>
          <cell r="D470" t="str">
            <v/>
          </cell>
        </row>
        <row r="471">
          <cell r="B471" t="str">
            <v/>
          </cell>
          <cell r="C471" t="str">
            <v/>
          </cell>
          <cell r="D471" t="str">
            <v/>
          </cell>
        </row>
        <row r="472">
          <cell r="B472" t="str">
            <v>INF789F1AOW2</v>
          </cell>
          <cell r="C472" t="str">
            <v>-</v>
          </cell>
          <cell r="D472" t="str">
            <v>UTI - Bond Fund ( Segregated - 17022020) - Regular Plan - Growth Option</v>
          </cell>
          <cell r="E472">
            <v>6.8146000000000004</v>
          </cell>
        </row>
        <row r="473">
          <cell r="B473" t="str">
            <v>INF789F1APF4</v>
          </cell>
          <cell r="C473" t="str">
            <v>-</v>
          </cell>
          <cell r="D473" t="str">
            <v>UTI - Bond Fund (Segregated - 17022020) - Direct Plan - Growth Option</v>
          </cell>
          <cell r="E473">
            <v>7.3483999999999998</v>
          </cell>
        </row>
        <row r="474">
          <cell r="B474" t="str">
            <v>INF789F1APK4</v>
          </cell>
          <cell r="C474" t="str">
            <v>INF789F1APL2</v>
          </cell>
          <cell r="D474" t="str">
            <v>UTI Bond Fund ( Segregated - 17022020) - Direct Plan - Annual IDCW</v>
          </cell>
          <cell r="E474">
            <v>1.504</v>
          </cell>
        </row>
        <row r="475">
          <cell r="B475" t="str">
            <v>INF789F1APM0</v>
          </cell>
          <cell r="C475" t="str">
            <v>INF789F1APN8</v>
          </cell>
          <cell r="D475" t="str">
            <v>UTI Bond Fund ( Segregated - 17022020) - Direct Plan - Flexi IDCW</v>
          </cell>
          <cell r="E475">
            <v>1.4941</v>
          </cell>
        </row>
        <row r="476">
          <cell r="B476" t="str">
            <v>INF789F1API8</v>
          </cell>
          <cell r="C476" t="str">
            <v>INF789F1APJ6</v>
          </cell>
          <cell r="D476" t="str">
            <v>UTI Bond Fund ( Segregated - 17022020) - Direct Plan - Half-Yearly IDCW</v>
          </cell>
          <cell r="E476">
            <v>1.4429000000000001</v>
          </cell>
        </row>
        <row r="477">
          <cell r="B477" t="str">
            <v>INF789F1APG2</v>
          </cell>
          <cell r="C477" t="str">
            <v>INF789F1APH0</v>
          </cell>
          <cell r="D477" t="str">
            <v>UTI Bond Fund ( Segregated - 17022020) - Direct Plan - Quarterly IDCW</v>
          </cell>
          <cell r="E477">
            <v>2.3466999999999998</v>
          </cell>
        </row>
        <row r="478">
          <cell r="B478" t="str">
            <v>INF789F1APB3</v>
          </cell>
          <cell r="C478" t="str">
            <v>INF789F1APC1</v>
          </cell>
          <cell r="D478" t="str">
            <v>UTI Bond Fund ( Segregated - 17022020) - Regular Plan - Annual IDCW</v>
          </cell>
          <cell r="E478">
            <v>1.4416</v>
          </cell>
        </row>
        <row r="479">
          <cell r="B479" t="str">
            <v>INF789F1APD9</v>
          </cell>
          <cell r="C479" t="str">
            <v>INF789F1APE7</v>
          </cell>
          <cell r="D479" t="str">
            <v>UTI Bond Fund ( Segregated - 17022020) - Regular Plan - Flexi IDCW</v>
          </cell>
          <cell r="E479">
            <v>1.4408000000000001</v>
          </cell>
        </row>
        <row r="480">
          <cell r="B480" t="str">
            <v>INF789F1AOZ5</v>
          </cell>
          <cell r="C480" t="str">
            <v>INF789F1APA5</v>
          </cell>
          <cell r="D480" t="str">
            <v>UTI Bond Fund ( Segregated - 17022020) - Regular Plan - Half-Yearly IDCW</v>
          </cell>
          <cell r="E480">
            <v>1.4131</v>
          </cell>
        </row>
        <row r="481">
          <cell r="B481" t="str">
            <v>INF789F1AOX0</v>
          </cell>
          <cell r="C481" t="str">
            <v>INF789F1AOY8</v>
          </cell>
          <cell r="D481" t="str">
            <v>UTI Bond Fund ( Segregated - 17022020) - Regular Plan - Quarterly IDCW</v>
          </cell>
          <cell r="E481">
            <v>1.8744000000000001</v>
          </cell>
        </row>
        <row r="482">
          <cell r="B482" t="str">
            <v>INF789F1A587</v>
          </cell>
          <cell r="C482" t="str">
            <v>INF789F1A595</v>
          </cell>
          <cell r="D482" t="str">
            <v>UTI Corporate Bond Fund - Direct Plan - Annual IDCW</v>
          </cell>
          <cell r="E482">
            <v>13.8408</v>
          </cell>
        </row>
        <row r="483">
          <cell r="B483" t="str">
            <v>INF789F1A603</v>
          </cell>
          <cell r="C483" t="str">
            <v>INF789F1A611</v>
          </cell>
          <cell r="D483" t="str">
            <v>UTI Corporate Bond Fund - Direct Plan - Flexi IDCW</v>
          </cell>
          <cell r="E483">
            <v>15.675599999999999</v>
          </cell>
        </row>
        <row r="484">
          <cell r="B484" t="str">
            <v>INF789F1A538</v>
          </cell>
          <cell r="C484" t="str">
            <v>-</v>
          </cell>
          <cell r="D484" t="str">
            <v>UTI Corporate Bond Fund - Direct Plan - Growth Option</v>
          </cell>
          <cell r="E484">
            <v>17.785299999999999</v>
          </cell>
        </row>
        <row r="485">
          <cell r="B485" t="str">
            <v>INF789F1A561</v>
          </cell>
          <cell r="C485" t="str">
            <v>INF789F1A579</v>
          </cell>
          <cell r="D485" t="str">
            <v>UTI Corporate Bond Fund - Direct Plan - Half-Yearly IDCW</v>
          </cell>
          <cell r="E485">
            <v>15.196999999999999</v>
          </cell>
        </row>
        <row r="486">
          <cell r="B486" t="str">
            <v>INF789F1A546</v>
          </cell>
          <cell r="C486" t="str">
            <v>INF789F1A553</v>
          </cell>
          <cell r="D486" t="str">
            <v>UTI Corporate Bond Fund - Direct Plan - Quarterly IDCW</v>
          </cell>
          <cell r="E486">
            <v>15.555</v>
          </cell>
        </row>
        <row r="487">
          <cell r="B487" t="str">
            <v>INF789F1A496</v>
          </cell>
          <cell r="C487" t="str">
            <v>INF789F1A504</v>
          </cell>
          <cell r="D487" t="str">
            <v>UTI Corporate Bond Fund - Regular Plan - Annual IDCW</v>
          </cell>
          <cell r="E487">
            <v>13.4521</v>
          </cell>
        </row>
        <row r="488">
          <cell r="B488" t="str">
            <v>INF789F1A512</v>
          </cell>
          <cell r="C488" t="str">
            <v>INF789F1A520</v>
          </cell>
          <cell r="D488" t="str">
            <v>UTI Corporate Bond Fund - Regular Plan - Flexi IDCW</v>
          </cell>
          <cell r="E488">
            <v>15.277200000000001</v>
          </cell>
        </row>
        <row r="489">
          <cell r="B489" t="str">
            <v>INF789F1A447</v>
          </cell>
          <cell r="C489" t="str">
            <v>-</v>
          </cell>
          <cell r="D489" t="str">
            <v>UTI Corporate Bond Fund - Regular Plan - Growth Option</v>
          </cell>
          <cell r="E489">
            <v>17.349499999999999</v>
          </cell>
        </row>
        <row r="490">
          <cell r="B490" t="str">
            <v>INF789F1A470</v>
          </cell>
          <cell r="C490" t="str">
            <v>INF789F1A488</v>
          </cell>
          <cell r="D490" t="str">
            <v>UTI Corporate Bond Fund - Regular Plan - Half-Yearly IDCW</v>
          </cell>
          <cell r="E490">
            <v>14.659000000000001</v>
          </cell>
        </row>
        <row r="491">
          <cell r="B491" t="str">
            <v>INF789F1A454</v>
          </cell>
          <cell r="C491" t="str">
            <v>INF789F1A462</v>
          </cell>
          <cell r="D491" t="str">
            <v>UTI Corporate Bond Fund - Regular Plan - Quarterly IDCW</v>
          </cell>
          <cell r="E491">
            <v>15.086499999999999</v>
          </cell>
        </row>
        <row r="492">
          <cell r="B492" t="str">
            <v/>
          </cell>
          <cell r="C492" t="str">
            <v/>
          </cell>
          <cell r="D492" t="str">
            <v/>
          </cell>
        </row>
        <row r="493">
          <cell r="B493" t="str">
            <v/>
          </cell>
          <cell r="C493" t="str">
            <v/>
          </cell>
          <cell r="D493" t="str">
            <v/>
          </cell>
        </row>
        <row r="494">
          <cell r="B494" t="str">
            <v/>
          </cell>
          <cell r="C494" t="str">
            <v/>
          </cell>
          <cell r="D494" t="str">
            <v/>
          </cell>
        </row>
        <row r="495">
          <cell r="B495" t="str">
            <v/>
          </cell>
          <cell r="C495" t="str">
            <v/>
          </cell>
          <cell r="D495" t="str">
            <v/>
          </cell>
        </row>
        <row r="496">
          <cell r="B496" t="str">
            <v/>
          </cell>
          <cell r="C496" t="str">
            <v/>
          </cell>
          <cell r="D496" t="str">
            <v/>
          </cell>
        </row>
        <row r="497">
          <cell r="B497" t="str">
            <v>INF209KA1K96</v>
          </cell>
          <cell r="C497" t="str">
            <v>INF209KA1L04</v>
          </cell>
          <cell r="D497" t="str">
            <v>Aditya Birla Sun Life Credit Risk Fund - Direct - IDCW</v>
          </cell>
          <cell r="E497">
            <v>14.573399999999999</v>
          </cell>
        </row>
        <row r="498">
          <cell r="B498" t="str">
            <v>INF209KA1L12</v>
          </cell>
          <cell r="C498" t="str">
            <v>-</v>
          </cell>
          <cell r="D498" t="str">
            <v>Aditya Birla Sun Life Credit Risk Fund - Direct Plan - Bonus</v>
          </cell>
          <cell r="E498">
            <v>27.858499999999999</v>
          </cell>
        </row>
        <row r="499">
          <cell r="B499" t="str">
            <v>INF209KA1K88</v>
          </cell>
          <cell r="C499" t="str">
            <v>-</v>
          </cell>
          <cell r="D499" t="str">
            <v>Aditya Birla Sun Life Credit Risk Fund - Direct Plan - Growth</v>
          </cell>
          <cell r="E499">
            <v>27.8597</v>
          </cell>
        </row>
        <row r="500">
          <cell r="B500" t="str">
            <v>INF209KA1K54</v>
          </cell>
          <cell r="C500" t="str">
            <v>INF209KA1K62</v>
          </cell>
          <cell r="D500" t="str">
            <v>Aditya Birla Sun Life Credit Risk Fund - Regular - IDCW</v>
          </cell>
          <cell r="E500">
            <v>13.168699999999999</v>
          </cell>
        </row>
        <row r="501">
          <cell r="B501" t="str">
            <v>INF209KA1K70</v>
          </cell>
          <cell r="C501" t="str">
            <v>-</v>
          </cell>
          <cell r="D501" t="str">
            <v>Aditya Birla Sun Life Credit Risk Fund - Regular Plan - Bonus</v>
          </cell>
          <cell r="E501">
            <v>17.700399999999998</v>
          </cell>
        </row>
        <row r="502">
          <cell r="B502" t="str">
            <v>INF209KA1K47</v>
          </cell>
          <cell r="C502" t="str">
            <v>-</v>
          </cell>
          <cell r="D502" t="str">
            <v>Aditya Birla Sun Life Credit Risk Fund - Regular Plan - Growth</v>
          </cell>
          <cell r="E502">
            <v>25.1966</v>
          </cell>
        </row>
        <row r="503">
          <cell r="B503" t="str">
            <v/>
          </cell>
          <cell r="C503" t="str">
            <v/>
          </cell>
          <cell r="D503" t="str">
            <v/>
          </cell>
        </row>
        <row r="504">
          <cell r="B504" t="str">
            <v/>
          </cell>
          <cell r="C504" t="str">
            <v/>
          </cell>
          <cell r="D504" t="str">
            <v/>
          </cell>
        </row>
        <row r="505">
          <cell r="B505" t="str">
            <v/>
          </cell>
          <cell r="C505" t="str">
            <v/>
          </cell>
          <cell r="D505" t="str">
            <v/>
          </cell>
        </row>
        <row r="506">
          <cell r="B506" t="str">
            <v>INF846K01PJ5</v>
          </cell>
          <cell r="C506" t="str">
            <v>-</v>
          </cell>
          <cell r="D506" t="str">
            <v>Axis Credit Risk Fund - Direct Plan - Growth</v>
          </cell>
          <cell r="E506">
            <v>26.163599999999999</v>
          </cell>
        </row>
        <row r="507">
          <cell r="B507" t="str">
            <v>INF846K01PM9</v>
          </cell>
          <cell r="C507" t="str">
            <v>INF846K01PN7</v>
          </cell>
          <cell r="D507" t="str">
            <v>Axis Credit Risk Fund - Direct Plan - Monthly IDCW</v>
          </cell>
          <cell r="E507">
            <v>10.276899999999999</v>
          </cell>
        </row>
        <row r="508">
          <cell r="B508" t="str">
            <v>INF846K01PK3</v>
          </cell>
          <cell r="C508" t="str">
            <v>INF846K01PL1</v>
          </cell>
          <cell r="D508" t="str">
            <v>Axis Credit Risk Fund - Direct Plan - Weekly IDCW</v>
          </cell>
          <cell r="E508">
            <v>10.3362</v>
          </cell>
        </row>
        <row r="509">
          <cell r="B509" t="str">
            <v>INF846K01PO5</v>
          </cell>
          <cell r="C509" t="str">
            <v>-</v>
          </cell>
          <cell r="D509" t="str">
            <v>Axis Credit Risk Fund - Regular Plan - Growth</v>
          </cell>
          <cell r="E509">
            <v>23.206499999999998</v>
          </cell>
        </row>
        <row r="510">
          <cell r="B510" t="str">
            <v>INF846K01PR8</v>
          </cell>
          <cell r="C510" t="str">
            <v>INF846K01PS6</v>
          </cell>
          <cell r="D510" t="str">
            <v>Axis Credit Risk Fund - Regular Plan - Monthly IDCW</v>
          </cell>
          <cell r="E510">
            <v>10.226699999999999</v>
          </cell>
        </row>
        <row r="511">
          <cell r="B511" t="str">
            <v>INF846K01PP2</v>
          </cell>
          <cell r="C511" t="str">
            <v>INF846K01PQ0</v>
          </cell>
          <cell r="D511" t="str">
            <v>Axis Credit Risk Fund - Regular Plan - Weekly IDCW</v>
          </cell>
          <cell r="E511">
            <v>10.1625</v>
          </cell>
        </row>
        <row r="512">
          <cell r="B512" t="str">
            <v/>
          </cell>
          <cell r="C512" t="str">
            <v/>
          </cell>
          <cell r="D512" t="str">
            <v/>
          </cell>
        </row>
        <row r="513">
          <cell r="B513" t="str">
            <v/>
          </cell>
          <cell r="C513" t="str">
            <v/>
          </cell>
          <cell r="D513" t="str">
            <v/>
          </cell>
        </row>
        <row r="514">
          <cell r="B514" t="str">
            <v/>
          </cell>
          <cell r="C514" t="str">
            <v/>
          </cell>
          <cell r="D514" t="str">
            <v/>
          </cell>
        </row>
        <row r="515">
          <cell r="B515" t="str">
            <v>INF194KA1X04</v>
          </cell>
          <cell r="C515" t="str">
            <v>INF194KA1X12</v>
          </cell>
          <cell r="D515" t="str">
            <v>BANDHAN CREDIT RISK FUND - DIRECT PLAN HALF YEARLY IDCW</v>
          </cell>
          <cell r="E515">
            <v>10.451700000000001</v>
          </cell>
        </row>
        <row r="516">
          <cell r="B516" t="str">
            <v>INF194KA1W05</v>
          </cell>
          <cell r="C516" t="str">
            <v>INF194KA1W13</v>
          </cell>
          <cell r="D516" t="str">
            <v>BANDHAN Credit Risk Fund - Regular Plan Annual IDCW</v>
          </cell>
          <cell r="E516">
            <v>10.4276</v>
          </cell>
        </row>
        <row r="517">
          <cell r="B517" t="str">
            <v>INF194KA1W39</v>
          </cell>
          <cell r="C517" t="str">
            <v>-</v>
          </cell>
          <cell r="D517" t="str">
            <v>BANDHAN Credit Risk Fund - Regular Plan Growth</v>
          </cell>
          <cell r="E517">
            <v>17.268699999999999</v>
          </cell>
        </row>
        <row r="518">
          <cell r="B518" t="str">
            <v>INF194KA1V71</v>
          </cell>
          <cell r="C518" t="str">
            <v>INF194KA1V89</v>
          </cell>
          <cell r="D518" t="str">
            <v>BANDHAN Credit Risk Fund - Regular Plan Half Yearly IDCW</v>
          </cell>
          <cell r="E518">
            <v>10.3764</v>
          </cell>
        </row>
        <row r="519">
          <cell r="B519" t="str">
            <v>INF194KA1V14</v>
          </cell>
          <cell r="C519" t="str">
            <v>INF194KA1V22</v>
          </cell>
          <cell r="D519" t="str">
            <v>BANDHAN Credit Risk Fund - Regular Plan Periodic IDCW</v>
          </cell>
          <cell r="E519">
            <v>13.4099</v>
          </cell>
        </row>
        <row r="520">
          <cell r="B520" t="str">
            <v>INF194KA1V48</v>
          </cell>
          <cell r="C520" t="str">
            <v>INF194KA1V55</v>
          </cell>
          <cell r="D520" t="str">
            <v>BANDHAN Credit Risk Fund - Regular Plan Quarterly IDCW</v>
          </cell>
          <cell r="E520">
            <v>10.5832</v>
          </cell>
        </row>
        <row r="521">
          <cell r="B521" t="str">
            <v>INF194KA1X38</v>
          </cell>
          <cell r="C521" t="str">
            <v>INF194KA1X46</v>
          </cell>
          <cell r="D521" t="str">
            <v>BANDHAN Credit Risk Fund-Direct Plan-Annual IDCW</v>
          </cell>
          <cell r="E521">
            <v>10.530900000000001</v>
          </cell>
        </row>
        <row r="522">
          <cell r="B522" t="str">
            <v>INF194KA1X61</v>
          </cell>
          <cell r="C522" t="str">
            <v>-</v>
          </cell>
          <cell r="D522" t="str">
            <v>BANDHAN Credit Risk Fund-Direct Plan-Growth</v>
          </cell>
          <cell r="E522">
            <v>18.944500000000001</v>
          </cell>
        </row>
        <row r="523">
          <cell r="B523" t="str">
            <v>INF194KA1W47</v>
          </cell>
          <cell r="C523" t="str">
            <v>INF194KA1W54</v>
          </cell>
          <cell r="D523" t="str">
            <v>BANDHAN Credit Risk Fund-Direct Plan-Periodic IDCW</v>
          </cell>
          <cell r="E523">
            <v>14.085800000000001</v>
          </cell>
        </row>
        <row r="524">
          <cell r="B524" t="str">
            <v>INF194KA1W70</v>
          </cell>
          <cell r="C524" t="str">
            <v>INF194KA1W88</v>
          </cell>
          <cell r="D524" t="str">
            <v>BANDHAN Credit Risk Fund-Direct Plan-Quarterly IDCW</v>
          </cell>
          <cell r="E524">
            <v>10.792999999999999</v>
          </cell>
        </row>
        <row r="525">
          <cell r="B525" t="str">
            <v/>
          </cell>
          <cell r="C525" t="str">
            <v/>
          </cell>
          <cell r="D525" t="str">
            <v/>
          </cell>
        </row>
        <row r="526">
          <cell r="B526" t="str">
            <v/>
          </cell>
          <cell r="C526" t="str">
            <v/>
          </cell>
          <cell r="D526" t="str">
            <v/>
          </cell>
        </row>
        <row r="527">
          <cell r="B527" t="str">
            <v/>
          </cell>
          <cell r="C527" t="str">
            <v/>
          </cell>
          <cell r="D527" t="str">
            <v/>
          </cell>
        </row>
        <row r="528">
          <cell r="B528" t="str">
            <v>INF761K01DG8</v>
          </cell>
          <cell r="C528" t="str">
            <v>-</v>
          </cell>
          <cell r="D528" t="str">
            <v>BANK OF INDIA Credit Risk  Fund - Direct Plan</v>
          </cell>
          <cell r="E528">
            <v>14.729200000000001</v>
          </cell>
        </row>
        <row r="529">
          <cell r="B529" t="str">
            <v>INF761K01DH6</v>
          </cell>
          <cell r="C529" t="str">
            <v>-</v>
          </cell>
          <cell r="D529" t="str">
            <v>BANK OF INDIA Credit Risk Fund - Regular Plan</v>
          </cell>
          <cell r="E529">
            <v>14.3109</v>
          </cell>
        </row>
        <row r="530">
          <cell r="B530" t="str">
            <v/>
          </cell>
          <cell r="C530" t="str">
            <v/>
          </cell>
          <cell r="D530" t="str">
            <v/>
          </cell>
        </row>
        <row r="531">
          <cell r="B531" t="str">
            <v/>
          </cell>
          <cell r="C531" t="str">
            <v/>
          </cell>
          <cell r="D531" t="str">
            <v/>
          </cell>
        </row>
        <row r="532">
          <cell r="B532" t="str">
            <v/>
          </cell>
          <cell r="C532" t="str">
            <v/>
          </cell>
          <cell r="D532" t="str">
            <v/>
          </cell>
        </row>
        <row r="533">
          <cell r="B533" t="str">
            <v>INF955L01IZ3</v>
          </cell>
          <cell r="C533" t="str">
            <v>INF955L01JA4</v>
          </cell>
          <cell r="D533" t="str">
            <v>Baroda BNP Paribas Credit Risk fund - Regular-Quarterly- IDCW option -Seg. Portfolio 2 (erstwhile BBNPP Medium Duration Fund Regular-Quarterly IDCW option Seg. Portfolio 1)</v>
          </cell>
          <cell r="E533">
            <v>0</v>
          </cell>
        </row>
        <row r="534">
          <cell r="B534" t="str">
            <v>-</v>
          </cell>
          <cell r="C534" t="str">
            <v>INF955L01JE6</v>
          </cell>
          <cell r="D534" t="str">
            <v>Baroda BNP Paribas Credit Risk fund - Regular-Weekly-IDCW option -Seg. Portfolio 2 (erstwhile BBNPP Medium Duration Fund Regular-Weekly IDCW option Seg. Portfolio 1)</v>
          </cell>
          <cell r="E534">
            <v>0</v>
          </cell>
        </row>
        <row r="535">
          <cell r="B535" t="str">
            <v>INF955L01JM9</v>
          </cell>
          <cell r="C535" t="str">
            <v>-</v>
          </cell>
          <cell r="D535" t="str">
            <v>Baroda BNP Paribas Credit risk fund -Defunct -Growth option -Seg-Portfolio 2 (erstwhile BBNPP Medium Duration Fund-Defunct Growth Option Seg.Portfolio1)</v>
          </cell>
          <cell r="E535">
            <v>0</v>
          </cell>
        </row>
        <row r="536">
          <cell r="B536" t="str">
            <v>INF955L01JP2</v>
          </cell>
          <cell r="C536" t="str">
            <v>INF955L01JQ0</v>
          </cell>
          <cell r="D536" t="str">
            <v>Baroda BNP Paribas Credit Risk fund -Defunct -Monthly IDCW option -Seg. Portfolio 2 (erstwhile BBNPP Medium Duration Fund Defunct-Monthly IDCW option Seg. Portfolio 1)</v>
          </cell>
          <cell r="E536">
            <v>0</v>
          </cell>
        </row>
        <row r="537">
          <cell r="B537" t="str">
            <v>-</v>
          </cell>
          <cell r="C537" t="str">
            <v>INF955L01JO5</v>
          </cell>
          <cell r="D537" t="str">
            <v>Baroda BNP Paribas Credit Risk fund -Defunct -Weekly IDCW option -Seg. Portfolio 2 (erstwhile BBNPP Medium Duration Fund Defunct-Weekly IDCW option Seg. Portfolio 1)</v>
          </cell>
          <cell r="E537">
            <v>0</v>
          </cell>
        </row>
        <row r="538">
          <cell r="B538" t="str">
            <v>INF955L01JF3</v>
          </cell>
          <cell r="C538" t="str">
            <v>-</v>
          </cell>
          <cell r="D538" t="str">
            <v>Baroda BNP Paribas Credit Risk fund -Direct - Growth option -Seg. Portfolio 2 (erstwhile BBNPP Medium Duration Fund Direct-Growth option Seg. Portfolio 1)</v>
          </cell>
          <cell r="E538">
            <v>0</v>
          </cell>
        </row>
        <row r="539">
          <cell r="B539" t="str">
            <v>-</v>
          </cell>
          <cell r="C539" t="str">
            <v>INF955L01JJ5</v>
          </cell>
          <cell r="D539" t="str">
            <v>Baroda BNP Paribas Credit Risk fund -Direct -Monthly IDCW option -Seg. Portfolio 2 (erstwhile BBNPP Medium Duration Fund Direct-Monthly IDCW option Seg. Portfolio 1)</v>
          </cell>
          <cell r="E539">
            <v>0</v>
          </cell>
        </row>
        <row r="540">
          <cell r="B540" t="str">
            <v>INF955L01JG1</v>
          </cell>
          <cell r="C540" t="str">
            <v>INF955L01JH9</v>
          </cell>
          <cell r="D540" t="str">
            <v>Baroda BNP Paribas Credit Risk fund -Direct -Quarterly IDCW option -Seg. Portfolio 2 (erstwhile BBNPP Medium Duration Fund Direct-Quarterly IDCW option Seg. Portfolio 1)</v>
          </cell>
          <cell r="E540">
            <v>0</v>
          </cell>
        </row>
        <row r="541">
          <cell r="B541" t="str">
            <v>-</v>
          </cell>
          <cell r="C541" t="str">
            <v>INF955L01JL1</v>
          </cell>
          <cell r="D541" t="str">
            <v>Baroda BNP Paribas Credit Risk fund -Direct -Weekly IDCW option -Seg. Portfolio 2 (erstwhile BBNPP Medium Duration Fund Direct-weekly IDCW option Seg. Portfolio 1)</v>
          </cell>
          <cell r="E541">
            <v>0</v>
          </cell>
        </row>
        <row r="542">
          <cell r="B542" t="str">
            <v>INF955L01FZ9</v>
          </cell>
          <cell r="C542" t="str">
            <v>-</v>
          </cell>
          <cell r="D542" t="str">
            <v>Baroda BNP Paribas Credit Risk Fund -Direct- Monthly IDCW</v>
          </cell>
          <cell r="E542">
            <v>14.3324</v>
          </cell>
        </row>
        <row r="543">
          <cell r="B543" t="str">
            <v>INF955L01GA0</v>
          </cell>
          <cell r="C543" t="str">
            <v>-</v>
          </cell>
          <cell r="D543" t="str">
            <v>Baroda BNP Paribas Credit Risk Fund -Direct- Quarterly IDCW</v>
          </cell>
          <cell r="E543">
            <v>12.6684</v>
          </cell>
        </row>
        <row r="544">
          <cell r="B544" t="str">
            <v>INF955L01JI7</v>
          </cell>
          <cell r="C544" t="str">
            <v>INF955L01JK3</v>
          </cell>
          <cell r="D544" t="str">
            <v>Baroda BNP Paribas Credit Risk fund -Direct-Daily IDCW option -Seg. Portfolio 2 (erstwhile BBNPP Medium Duration Fund Direct-daily-IDCW option Seg. Portfolio 1)</v>
          </cell>
          <cell r="E544">
            <v>0</v>
          </cell>
        </row>
        <row r="545">
          <cell r="B545" t="str">
            <v>INF955L01FR6</v>
          </cell>
          <cell r="C545" t="str">
            <v>-</v>
          </cell>
          <cell r="D545" t="str">
            <v>Baroda BNP Paribas Credit Risk Fund -Direct-Growth Option</v>
          </cell>
          <cell r="E545">
            <v>26.277999999999999</v>
          </cell>
        </row>
        <row r="546">
          <cell r="B546" t="str">
            <v>-</v>
          </cell>
          <cell r="C546" t="str">
            <v>INF955L01JD8</v>
          </cell>
          <cell r="D546" t="str">
            <v>Baroda BNP Paribas Credit Risk fund -Regular -Daily-IDCW option -Seg. Portfolio 2 (erstwhile BBNPP Medium Duration Fund Regular-Daily-IDCW option Seg. Portfolio 1)</v>
          </cell>
          <cell r="E546">
            <v>0</v>
          </cell>
        </row>
        <row r="547">
          <cell r="B547" t="str">
            <v>INF955L01JB2</v>
          </cell>
          <cell r="C547" t="str">
            <v>INF955L01JC0</v>
          </cell>
          <cell r="D547" t="str">
            <v>Baroda BNP Paribas Credit Risk fund -Regular -Monthly IDCW option -Seg. Portfolio 2 (erstwhile BBNPP Medium Duration Fund Regular-Monthly IDCW option Seg. Portfolio 1)</v>
          </cell>
          <cell r="E547">
            <v>0</v>
          </cell>
        </row>
        <row r="548">
          <cell r="B548" t="str">
            <v>INF955L01IY6</v>
          </cell>
          <cell r="C548" t="str">
            <v>-</v>
          </cell>
          <cell r="D548" t="str">
            <v>Baroda BNP Paribas Credit Risk fund -Regular-Growth -Seg. Portfolio 2 (erstwhile BBNPP Medium Duration Fund Regular Growth Seg. Portfolio 1)</v>
          </cell>
          <cell r="E548">
            <v>0</v>
          </cell>
        </row>
        <row r="549">
          <cell r="B549" t="str">
            <v>INF955L01FP0</v>
          </cell>
          <cell r="C549" t="str">
            <v>-</v>
          </cell>
          <cell r="D549" t="str">
            <v>Baroda BNP Paribas Credit Risk Fund -Regular-Growth Option</v>
          </cell>
          <cell r="E549">
            <v>23.680299999999999</v>
          </cell>
        </row>
        <row r="550">
          <cell r="B550" t="str">
            <v>INF955L01FU0</v>
          </cell>
          <cell r="C550" t="str">
            <v>-</v>
          </cell>
          <cell r="D550" t="str">
            <v>Baroda BNP Paribas Credit Risk Fund -Regular-Monthly IDCW</v>
          </cell>
          <cell r="E550">
            <v>11.2196</v>
          </cell>
        </row>
        <row r="551">
          <cell r="B551" t="str">
            <v>INF955L01FV8</v>
          </cell>
          <cell r="C551" t="str">
            <v>-</v>
          </cell>
          <cell r="D551" t="str">
            <v>Baroda BNP Paribas Credit Risk Fund -Regular-Quarterly IDCW</v>
          </cell>
          <cell r="E551">
            <v>11.585900000000001</v>
          </cell>
        </row>
        <row r="552">
          <cell r="B552" t="str">
            <v>-</v>
          </cell>
          <cell r="C552" t="str">
            <v>-</v>
          </cell>
          <cell r="D552" t="str">
            <v>Baroda BNP Paribas Credit Risk Fund- Direct - Bonus Option- Segregated Portfolio- 1</v>
          </cell>
          <cell r="E552">
            <v>0</v>
          </cell>
        </row>
        <row r="553">
          <cell r="B553" t="str">
            <v>INF955L01IT6</v>
          </cell>
          <cell r="C553" t="str">
            <v>-</v>
          </cell>
          <cell r="D553" t="str">
            <v>Baroda BNP Paribas Credit Risk Fund- Direct- Growth Option- Segregated Portfolio- 1</v>
          </cell>
          <cell r="E553">
            <v>0</v>
          </cell>
        </row>
        <row r="554">
          <cell r="B554" t="str">
            <v>INF955L01IW0</v>
          </cell>
          <cell r="C554" t="str">
            <v>INF955L01IX8</v>
          </cell>
          <cell r="D554" t="str">
            <v>Baroda BNP Paribas Credit Risk Fund- Direct- Monthly IDCW Option- Segregated Portfolio- 1</v>
          </cell>
          <cell r="E554">
            <v>0</v>
          </cell>
        </row>
        <row r="555">
          <cell r="B555" t="str">
            <v>-</v>
          </cell>
          <cell r="C555" t="str">
            <v>-</v>
          </cell>
          <cell r="D555" t="str">
            <v>Baroda BNP Paribas Credit Risk Fund- Regular- Bonus Option- Segregated Portfolio- 1</v>
          </cell>
          <cell r="E555">
            <v>0</v>
          </cell>
        </row>
        <row r="556">
          <cell r="B556" t="str">
            <v>INF955L01IO7</v>
          </cell>
          <cell r="C556" t="str">
            <v>-</v>
          </cell>
          <cell r="D556" t="str">
            <v>Baroda BNP Paribas Credit Risk Fund- Regular- Growth Option- Segregated Portfolio- 1</v>
          </cell>
          <cell r="E556">
            <v>0</v>
          </cell>
        </row>
        <row r="557">
          <cell r="B557" t="str">
            <v>INF955L01IR0</v>
          </cell>
          <cell r="C557" t="str">
            <v>INF955L01IS8</v>
          </cell>
          <cell r="D557" t="str">
            <v>Baroda BNP Paribas Credit Risk Fund- Regular- Monthly IDCW Option- Segregated Portfolio- 1</v>
          </cell>
          <cell r="E557">
            <v>0</v>
          </cell>
        </row>
        <row r="558">
          <cell r="B558" t="str">
            <v>INF955L01IP4</v>
          </cell>
          <cell r="C558" t="str">
            <v>INF955L01IQ2</v>
          </cell>
          <cell r="D558" t="str">
            <v>Baroda BNP Paribas Credit Risk Fund- Regular- Quarterly IDCW Option- Segregated Portfolio- 1</v>
          </cell>
          <cell r="E558">
            <v>0</v>
          </cell>
        </row>
        <row r="559">
          <cell r="B559" t="str">
            <v>-</v>
          </cell>
          <cell r="C559" t="str">
            <v>INF955L01JN7</v>
          </cell>
          <cell r="D559" t="str">
            <v>Baroda BNP Paribas Credit Risk Fund-Defunct -Daily IDCW option - seg Portfolio 2 (erstwhile BBNPP Medium Duration fund Defunct Daily IDCW daily option Seg Portfolio 1)</v>
          </cell>
          <cell r="E559">
            <v>0</v>
          </cell>
        </row>
        <row r="560">
          <cell r="B560" t="str">
            <v>INF955L01IU4</v>
          </cell>
          <cell r="C560" t="str">
            <v>INF955L01IV2</v>
          </cell>
          <cell r="D560" t="str">
            <v>Baroda BNP Paribas Credit Risk Fund-Direct- Quarterly IDCW Option- Segregated Portfolio- 1</v>
          </cell>
          <cell r="E560">
            <v>0</v>
          </cell>
        </row>
        <row r="561">
          <cell r="B561" t="str">
            <v/>
          </cell>
          <cell r="C561" t="str">
            <v/>
          </cell>
          <cell r="D561" t="str">
            <v/>
          </cell>
        </row>
        <row r="562">
          <cell r="B562" t="str">
            <v/>
          </cell>
          <cell r="C562" t="str">
            <v/>
          </cell>
          <cell r="D562" t="str">
            <v/>
          </cell>
        </row>
        <row r="563">
          <cell r="B563" t="str">
            <v/>
          </cell>
          <cell r="C563" t="str">
            <v/>
          </cell>
          <cell r="D563" t="str">
            <v/>
          </cell>
        </row>
        <row r="564">
          <cell r="B564" t="str">
            <v>INF740K01OV8</v>
          </cell>
          <cell r="C564" t="str">
            <v>INF740K01OW6</v>
          </cell>
          <cell r="D564" t="str">
            <v>DSP Credit Risk Fund - Direct Plan -  IDCW - Monthly</v>
          </cell>
          <cell r="E564">
            <v>11.2127</v>
          </cell>
        </row>
        <row r="565">
          <cell r="B565" t="str">
            <v>INF740K01OS4</v>
          </cell>
          <cell r="C565" t="str">
            <v>-</v>
          </cell>
          <cell r="D565" t="str">
            <v>DSP Credit Risk Fund - Direct Plan - Growth</v>
          </cell>
          <cell r="E565">
            <v>60.3628</v>
          </cell>
        </row>
        <row r="566">
          <cell r="B566" t="str">
            <v>INF740K01OT2</v>
          </cell>
          <cell r="C566" t="str">
            <v>INF740K01OU0</v>
          </cell>
          <cell r="D566" t="str">
            <v>DSP Credit Risk Fund - Direct Plan - IDCW</v>
          </cell>
          <cell r="E566">
            <v>12.6532</v>
          </cell>
        </row>
        <row r="567">
          <cell r="B567" t="str">
            <v>-</v>
          </cell>
          <cell r="C567" t="str">
            <v>INF740KA1NX2</v>
          </cell>
          <cell r="D567" t="str">
            <v>DSP Credit Risk Fund - Direct Plan - IDCW - Daily</v>
          </cell>
          <cell r="E567">
            <v>11.117599999999999</v>
          </cell>
        </row>
        <row r="568">
          <cell r="B568" t="str">
            <v>INF740K01OX4</v>
          </cell>
          <cell r="C568" t="str">
            <v>INF740K01OY2</v>
          </cell>
          <cell r="D568" t="str">
            <v xml:space="preserve">DSP Credit Risk Fund - Direct Plan - IDCW - Quarterly </v>
          </cell>
          <cell r="E568">
            <v>11.579499999999999</v>
          </cell>
        </row>
        <row r="569">
          <cell r="B569" t="str">
            <v>INF740KA1NY0</v>
          </cell>
          <cell r="C569" t="str">
            <v>INF740KA1NZ7</v>
          </cell>
          <cell r="D569" t="str">
            <v>DSP Credit Risk Fund - Direct Plan - IDCW - Weekly</v>
          </cell>
          <cell r="E569">
            <v>11.1265</v>
          </cell>
        </row>
        <row r="570">
          <cell r="B570" t="str">
            <v>INF740K01581</v>
          </cell>
          <cell r="C570" t="str">
            <v>INF740K01AB9</v>
          </cell>
          <cell r="D570" t="str">
            <v>DSP Credit Risk Fund - Regular Plan - IDCW</v>
          </cell>
          <cell r="E570">
            <v>12.565899999999999</v>
          </cell>
        </row>
        <row r="571">
          <cell r="B571" t="str">
            <v>-</v>
          </cell>
          <cell r="C571" t="str">
            <v>INF740KA1OA8</v>
          </cell>
          <cell r="D571" t="str">
            <v>DSP Credit Risk Fund - Regular Plan - IDCW - Daily</v>
          </cell>
          <cell r="E571">
            <v>11.113300000000001</v>
          </cell>
        </row>
        <row r="572">
          <cell r="B572" t="str">
            <v>INF740K01JW6</v>
          </cell>
          <cell r="C572" t="str">
            <v>INF740K01JV8</v>
          </cell>
          <cell r="D572" t="str">
            <v>DSP Credit Risk Fund - Regular Plan - IDCW - Monthly</v>
          </cell>
          <cell r="E572">
            <v>11.2704</v>
          </cell>
        </row>
        <row r="573">
          <cell r="B573" t="str">
            <v>INF740K01JY2</v>
          </cell>
          <cell r="C573" t="str">
            <v>INF740K01JX4</v>
          </cell>
          <cell r="D573" t="str">
            <v xml:space="preserve">DSP Credit Risk Fund - Regular Plan - IDCW - Quarterly </v>
          </cell>
          <cell r="E573">
            <v>11.505699999999999</v>
          </cell>
        </row>
        <row r="574">
          <cell r="B574" t="str">
            <v>INF740K01FR4</v>
          </cell>
          <cell r="C574" t="str">
            <v>INF740K01FQ6</v>
          </cell>
          <cell r="D574" t="str">
            <v>DSP Credit Risk Fund - Regular Plan - IDCW - Weekly</v>
          </cell>
          <cell r="E574">
            <v>11.1249</v>
          </cell>
        </row>
        <row r="575">
          <cell r="B575" t="str">
            <v>INF740K01599</v>
          </cell>
          <cell r="C575" t="str">
            <v>-</v>
          </cell>
          <cell r="D575" t="str">
            <v>DSP Credit Risk Fund - Regular Plan -Growth</v>
          </cell>
          <cell r="E575">
            <v>54.837400000000002</v>
          </cell>
        </row>
        <row r="576">
          <cell r="B576" t="str">
            <v/>
          </cell>
          <cell r="C576" t="str">
            <v/>
          </cell>
          <cell r="D576" t="str">
            <v/>
          </cell>
        </row>
        <row r="577">
          <cell r="B577" t="str">
            <v/>
          </cell>
          <cell r="C577" t="str">
            <v/>
          </cell>
          <cell r="D577" t="str">
            <v/>
          </cell>
        </row>
        <row r="578">
          <cell r="B578" t="str">
            <v/>
          </cell>
          <cell r="C578" t="str">
            <v/>
          </cell>
          <cell r="D578" t="str">
            <v/>
          </cell>
        </row>
        <row r="579">
          <cell r="B579" t="str">
            <v>INF090I01JL3</v>
          </cell>
          <cell r="C579" t="str">
            <v>-</v>
          </cell>
          <cell r="D579" t="str">
            <v>Franklin India Credit Risk Fund - Direct - Growth</v>
          </cell>
          <cell r="E579">
            <v>25.565000000000001</v>
          </cell>
        </row>
        <row r="580">
          <cell r="B580" t="str">
            <v>INF090I01JJ7</v>
          </cell>
          <cell r="C580" t="str">
            <v>INF090I01JK5</v>
          </cell>
          <cell r="D580" t="str">
            <v xml:space="preserve">Franklin India Credit Risk Fund - Direct - IDCW </v>
          </cell>
          <cell r="E580">
            <v>14.0105</v>
          </cell>
        </row>
        <row r="581">
          <cell r="B581" t="str">
            <v>INF090I01ET7</v>
          </cell>
          <cell r="C581" t="str">
            <v>-</v>
          </cell>
          <cell r="D581" t="str">
            <v>Franklin India Credit Risk Fund - Growth</v>
          </cell>
          <cell r="E581">
            <v>25.334800000000001</v>
          </cell>
        </row>
        <row r="582">
          <cell r="B582" t="str">
            <v>INF090I01ES9</v>
          </cell>
          <cell r="C582" t="str">
            <v>INF090I01ER1</v>
          </cell>
          <cell r="D582" t="str">
            <v xml:space="preserve">Franklin India Credit Risk Fund - IDCW </v>
          </cell>
          <cell r="E582">
            <v>13.585800000000001</v>
          </cell>
        </row>
        <row r="583">
          <cell r="B583" t="str">
            <v>INF090I01VZ8</v>
          </cell>
          <cell r="C583" t="str">
            <v>-</v>
          </cell>
          <cell r="D583" t="str">
            <v>Franklin India Credit Risk Fund - Segregated Portfolio 3 (9.50% Yes bank Ltd CO 23Dec21) - Direct Growth Plan</v>
          </cell>
          <cell r="E583">
            <v>0</v>
          </cell>
        </row>
        <row r="584">
          <cell r="B584" t="str">
            <v>INF090I01VX3</v>
          </cell>
          <cell r="C584" t="str">
            <v>-</v>
          </cell>
          <cell r="D584" t="str">
            <v>Franklin India Credit Risk Fund - Segregated Portfolio 3 (9.50% Yes Bank Ltd CO 23Dec21) - Growth Plan</v>
          </cell>
          <cell r="E584">
            <v>0</v>
          </cell>
        </row>
        <row r="585">
          <cell r="B585" t="str">
            <v>INF090I01TK4</v>
          </cell>
          <cell r="C585" t="str">
            <v>-</v>
          </cell>
          <cell r="D585" t="str">
            <v>Franklin India Credit Risk Fund- Segregated Portfolio 1- 8.25% Vodafone Idea Ltd-10JUL20-Direct-Dividend Plan</v>
          </cell>
          <cell r="E585">
            <v>0</v>
          </cell>
        </row>
        <row r="586">
          <cell r="B586" t="str">
            <v>INF090I01TL2</v>
          </cell>
          <cell r="C586" t="str">
            <v>-</v>
          </cell>
          <cell r="D586" t="str">
            <v>Franklin India Credit Risk Fund- Segregated Portfolio 1- 8.25% Vodafone Idea Ltd-10JUL20-Direct-Growth Plan</v>
          </cell>
          <cell r="E586">
            <v>0</v>
          </cell>
        </row>
        <row r="587">
          <cell r="B587" t="str">
            <v>INF090I01TI8</v>
          </cell>
          <cell r="C587" t="str">
            <v>-</v>
          </cell>
          <cell r="D587" t="str">
            <v>Franklin India Credit Risk Fund- Segregated Portfolio 1- 8.25% Vodafone Idea Ltd-10JUL20-Dividend Plan</v>
          </cell>
          <cell r="E587">
            <v>0</v>
          </cell>
        </row>
        <row r="588">
          <cell r="B588" t="str">
            <v>INF090I01TJ6</v>
          </cell>
          <cell r="C588" t="str">
            <v>-</v>
          </cell>
          <cell r="D588" t="str">
            <v>Franklin India Credit Risk Fund- Segregated Portfolio 1- 8.25% Vodafone Idea Ltd-10JUL20-Growth Plan</v>
          </cell>
          <cell r="E588">
            <v>0</v>
          </cell>
        </row>
        <row r="589">
          <cell r="B589" t="str">
            <v>INF090I01TM0</v>
          </cell>
          <cell r="C589" t="str">
            <v>-</v>
          </cell>
          <cell r="D589" t="str">
            <v>Franklin India Credit Risk Fund- Segregated Portfolio 2 - 10.90% Vodafone Idea Ltd (02-Sep-2023) - IDCW</v>
          </cell>
          <cell r="E589">
            <v>0</v>
          </cell>
        </row>
        <row r="590">
          <cell r="B590" t="str">
            <v>INF090I01TP3</v>
          </cell>
          <cell r="C590" t="str">
            <v>-</v>
          </cell>
          <cell r="D590" t="str">
            <v>Franklin India Credit Risk Fund- Segregated Portfolio 2- 10.90% Vodafone Idea Ltd 02Sep2023-Direct Growth Plan</v>
          </cell>
          <cell r="E590">
            <v>0</v>
          </cell>
        </row>
        <row r="591">
          <cell r="B591" t="str">
            <v>INF090I01TN8</v>
          </cell>
          <cell r="C591" t="str">
            <v>-</v>
          </cell>
          <cell r="D591" t="str">
            <v>Franklin India Credit Risk Fund- Segregated Portfolio 2- 10.90% Vodafone Idea Ltd 02Sep2023-Growth Plan</v>
          </cell>
          <cell r="E591">
            <v>0</v>
          </cell>
        </row>
        <row r="592">
          <cell r="B592" t="str">
            <v>INF090I01VW5</v>
          </cell>
          <cell r="C592" t="str">
            <v>-</v>
          </cell>
          <cell r="D592" t="str">
            <v>Franklin India Credit Risk Fund- Segregated Portfolio 3 (9.50% Yes Bank Ltd CO 23Dec21) - IDCW</v>
          </cell>
          <cell r="E592">
            <v>0</v>
          </cell>
        </row>
        <row r="593">
          <cell r="B593" t="str">
            <v>INF090I01TO6</v>
          </cell>
          <cell r="C593" t="str">
            <v>-</v>
          </cell>
          <cell r="D593" t="str">
            <v>Franklin India Credit Risk Fund-Segregated Portfolio 2 - 10.90% Vodafone Idea Ltd (02-Sep-2023) - Direct IDCW</v>
          </cell>
          <cell r="E593">
            <v>0</v>
          </cell>
        </row>
        <row r="594">
          <cell r="B594" t="str">
            <v>INF090I01VY1</v>
          </cell>
          <cell r="C594" t="str">
            <v>-</v>
          </cell>
          <cell r="D594" t="str">
            <v>Franklin India Credit Risk Fund-Segregated Portfolio 3 (9.50% Yes Bank Ltd CO 23Dec21) - Direct IDCW</v>
          </cell>
          <cell r="E594">
            <v>0</v>
          </cell>
        </row>
        <row r="595">
          <cell r="B595" t="str">
            <v/>
          </cell>
          <cell r="C595" t="str">
            <v/>
          </cell>
          <cell r="D595" t="str">
            <v/>
          </cell>
        </row>
        <row r="596">
          <cell r="B596" t="str">
            <v/>
          </cell>
          <cell r="C596" t="str">
            <v/>
          </cell>
          <cell r="D596" t="str">
            <v/>
          </cell>
        </row>
        <row r="597">
          <cell r="B597" t="str">
            <v/>
          </cell>
          <cell r="C597" t="str">
            <v/>
          </cell>
          <cell r="D597" t="str">
            <v/>
          </cell>
        </row>
        <row r="598">
          <cell r="B598" t="str">
            <v>INF179KA1GC0</v>
          </cell>
          <cell r="C598" t="str">
            <v>-</v>
          </cell>
          <cell r="D598" t="str">
            <v>HDFC Credit Risk Debt Fund - Growth Option</v>
          </cell>
          <cell r="E598">
            <v>25.814499999999999</v>
          </cell>
        </row>
        <row r="599">
          <cell r="B599" t="str">
            <v>INF179KA1FZ3</v>
          </cell>
          <cell r="C599" t="str">
            <v>-</v>
          </cell>
          <cell r="D599" t="str">
            <v>HDFC Credit Risk Debt Fund - Growth Option - Direct Plan</v>
          </cell>
          <cell r="E599">
            <v>28.055700000000002</v>
          </cell>
        </row>
        <row r="600">
          <cell r="B600" t="str">
            <v>INF179KA1I87</v>
          </cell>
          <cell r="C600" t="str">
            <v>INF179KA1I79</v>
          </cell>
          <cell r="D600" t="str">
            <v>HDFC Credit Risk Debt Fund - IDCW Option</v>
          </cell>
          <cell r="E600">
            <v>23.770800000000001</v>
          </cell>
        </row>
        <row r="601">
          <cell r="B601" t="str">
            <v>INF179KA1I61</v>
          </cell>
          <cell r="C601" t="str">
            <v>INF179KA1I53</v>
          </cell>
          <cell r="D601" t="str">
            <v>HDFC Credit Risk Debt Fund - IDCW Option - Direct Plan</v>
          </cell>
          <cell r="E601">
            <v>24.593699999999998</v>
          </cell>
        </row>
        <row r="602">
          <cell r="B602" t="str">
            <v>INF179KA1GA4</v>
          </cell>
          <cell r="C602" t="str">
            <v>INF179KA1GB2</v>
          </cell>
          <cell r="D602" t="str">
            <v>HDFC Credit Risk Debt Fund - Quarterly IDCW - Direct Plan</v>
          </cell>
          <cell r="E602">
            <v>10.8293</v>
          </cell>
        </row>
        <row r="603">
          <cell r="B603" t="str">
            <v>INF179KA1GD8</v>
          </cell>
          <cell r="C603" t="str">
            <v>INF179KA1GE6</v>
          </cell>
          <cell r="D603" t="str">
            <v>HDFC Credit Risk Debt Fund - Quarterly IDCW Option</v>
          </cell>
          <cell r="E603">
            <v>10.476900000000001</v>
          </cell>
        </row>
        <row r="604">
          <cell r="B604" t="str">
            <v/>
          </cell>
          <cell r="C604" t="str">
            <v/>
          </cell>
          <cell r="D604" t="str">
            <v/>
          </cell>
        </row>
        <row r="605">
          <cell r="B605" t="str">
            <v/>
          </cell>
          <cell r="C605" t="str">
            <v/>
          </cell>
          <cell r="D605" t="str">
            <v/>
          </cell>
        </row>
        <row r="606">
          <cell r="B606" t="str">
            <v/>
          </cell>
          <cell r="C606" t="str">
            <v/>
          </cell>
          <cell r="D606" t="str">
            <v/>
          </cell>
        </row>
        <row r="607">
          <cell r="B607" t="str">
            <v>INF917K01UL0</v>
          </cell>
          <cell r="C607" t="str">
            <v>INF917K01UK2</v>
          </cell>
          <cell r="D607" t="str">
            <v>HSBC Credit Risk Fund - Direct Annual IDCW</v>
          </cell>
          <cell r="E607">
            <v>13.572800000000001</v>
          </cell>
        </row>
        <row r="608">
          <cell r="B608" t="str">
            <v>INF917K01UH8</v>
          </cell>
          <cell r="C608" t="str">
            <v>-</v>
          </cell>
          <cell r="D608" t="str">
            <v>HSBC Credit Risk Fund - Direct Growth</v>
          </cell>
          <cell r="E608">
            <v>37.4221</v>
          </cell>
        </row>
        <row r="609">
          <cell r="B609" t="str">
            <v>INF917K01E29</v>
          </cell>
          <cell r="C609" t="str">
            <v>INF917K01UI6</v>
          </cell>
          <cell r="D609" t="str">
            <v>HSBC Credit Risk Fund - Direct IDCW</v>
          </cell>
          <cell r="E609">
            <v>12.3453</v>
          </cell>
        </row>
        <row r="610">
          <cell r="B610" t="str">
            <v>INF917K01UN6</v>
          </cell>
          <cell r="C610" t="str">
            <v>INF917K01UM8</v>
          </cell>
          <cell r="D610" t="str">
            <v>HSBC Credit Risk Fund - Regular Annual IDCW</v>
          </cell>
          <cell r="E610">
            <v>12.4269</v>
          </cell>
        </row>
        <row r="611">
          <cell r="B611" t="str">
            <v>INF917K01130</v>
          </cell>
          <cell r="C611" t="str">
            <v>-</v>
          </cell>
          <cell r="D611" t="str">
            <v>HSBC Credit Risk Fund - Regular Growth</v>
          </cell>
          <cell r="E611">
            <v>34.2682</v>
          </cell>
        </row>
        <row r="612">
          <cell r="B612" t="str">
            <v>INF917K01114</v>
          </cell>
          <cell r="C612" t="str">
            <v>INF917K01122</v>
          </cell>
          <cell r="D612" t="str">
            <v>HSBC Credit Risk Fund - Regular IDCW</v>
          </cell>
          <cell r="E612">
            <v>11.246</v>
          </cell>
        </row>
        <row r="613">
          <cell r="B613" t="str">
            <v>-</v>
          </cell>
          <cell r="C613" t="str">
            <v>INF917K01CU9</v>
          </cell>
          <cell r="D613" t="str">
            <v>HSBC Credit Risk Fund- Regular Plan - Bonus</v>
          </cell>
          <cell r="E613">
            <v>33.726399999999998</v>
          </cell>
        </row>
        <row r="614">
          <cell r="B614" t="str">
            <v/>
          </cell>
          <cell r="C614" t="str">
            <v/>
          </cell>
          <cell r="D614" t="str">
            <v/>
          </cell>
        </row>
        <row r="615">
          <cell r="B615" t="str">
            <v/>
          </cell>
          <cell r="C615" t="str">
            <v/>
          </cell>
          <cell r="D615" t="str">
            <v/>
          </cell>
        </row>
        <row r="616">
          <cell r="B616" t="str">
            <v/>
          </cell>
          <cell r="C616" t="str">
            <v/>
          </cell>
          <cell r="D616" t="str">
            <v/>
          </cell>
        </row>
        <row r="617">
          <cell r="B617" t="str">
            <v>INF109KB1AF0</v>
          </cell>
          <cell r="C617" t="str">
            <v>INF109KB1AG8</v>
          </cell>
          <cell r="D617" t="str">
            <v>ICICI Prudential Credit Risk Fund - Annual IDCW</v>
          </cell>
          <cell r="E617">
            <v>10.3035</v>
          </cell>
        </row>
        <row r="618">
          <cell r="B618" t="str">
            <v>INF109KA1I27</v>
          </cell>
          <cell r="C618" t="str">
            <v>-</v>
          </cell>
          <cell r="D618" t="str">
            <v>ICICI Prudential Credit Risk Fund - Bonus</v>
          </cell>
          <cell r="E618">
            <v>15.7498</v>
          </cell>
        </row>
        <row r="619">
          <cell r="B619" t="str">
            <v>INF109KB1AD5</v>
          </cell>
          <cell r="C619" t="str">
            <v>INF109KB1AE3</v>
          </cell>
          <cell r="D619" t="str">
            <v>ICICI Prudential Credit Risk Fund - Direct Plan - Annual IDCW</v>
          </cell>
          <cell r="E619">
            <v>10.4846</v>
          </cell>
        </row>
        <row r="620">
          <cell r="B620" t="str">
            <v>INF109K01V00</v>
          </cell>
          <cell r="C620" t="str">
            <v>-</v>
          </cell>
          <cell r="D620" t="str">
            <v>ICICI Prudential Credit Risk Fund - Direct Plan - Growth</v>
          </cell>
          <cell r="E620">
            <v>38.303899999999999</v>
          </cell>
        </row>
        <row r="621">
          <cell r="B621" t="str">
            <v>INF109K01V18</v>
          </cell>
          <cell r="C621" t="str">
            <v>INF109K01V26</v>
          </cell>
          <cell r="D621" t="str">
            <v>ICICI Prudential Credit Risk Fund - Direct Plan - Half Yearly IDCW</v>
          </cell>
          <cell r="E621">
            <v>10.975</v>
          </cell>
        </row>
        <row r="622">
          <cell r="B622" t="str">
            <v>INF109K01V34</v>
          </cell>
          <cell r="C622" t="str">
            <v>INF109K01V42</v>
          </cell>
          <cell r="D622" t="str">
            <v>ICICI Prudential Credit Risk Fund - Direct Plan - Quarterly IDCW</v>
          </cell>
          <cell r="E622">
            <v>12.0291</v>
          </cell>
        </row>
        <row r="623">
          <cell r="B623" t="str">
            <v>INF109KA1I19</v>
          </cell>
          <cell r="C623" t="str">
            <v>-</v>
          </cell>
          <cell r="D623" t="str">
            <v>ICICI Prudential Credit Risk Fund - Direct Plan Bonus</v>
          </cell>
          <cell r="E623">
            <v>14.6853</v>
          </cell>
        </row>
        <row r="624">
          <cell r="B624" t="str">
            <v>INF109K01GU4</v>
          </cell>
          <cell r="C624" t="str">
            <v>-</v>
          </cell>
          <cell r="D624" t="str">
            <v>ICICI Prudential Credit Risk Fund - Growth</v>
          </cell>
          <cell r="E624">
            <v>34.525399999999998</v>
          </cell>
        </row>
        <row r="625">
          <cell r="B625" t="str">
            <v>INF109K01GX8</v>
          </cell>
          <cell r="C625" t="str">
            <v>INF109K01GY6</v>
          </cell>
          <cell r="D625" t="str">
            <v>ICICI Prudential Credit Risk Fund - Half Yearly IDCW</v>
          </cell>
          <cell r="E625">
            <v>10.5892</v>
          </cell>
        </row>
        <row r="626">
          <cell r="B626" t="str">
            <v>INF109K01GV2</v>
          </cell>
          <cell r="C626" t="str">
            <v>INF109K01GW0</v>
          </cell>
          <cell r="D626" t="str">
            <v>ICICI Prudential Credit Risk Fund - Quarterly IDCW</v>
          </cell>
          <cell r="E626">
            <v>11.327400000000001</v>
          </cell>
        </row>
        <row r="627">
          <cell r="B627" t="str">
            <v/>
          </cell>
          <cell r="C627" t="str">
            <v/>
          </cell>
          <cell r="D627" t="str">
            <v/>
          </cell>
        </row>
        <row r="628">
          <cell r="B628" t="str">
            <v/>
          </cell>
          <cell r="C628" t="str">
            <v/>
          </cell>
          <cell r="D628" t="str">
            <v/>
          </cell>
        </row>
        <row r="629">
          <cell r="B629" t="str">
            <v/>
          </cell>
          <cell r="C629" t="str">
            <v/>
          </cell>
          <cell r="D629" t="str">
            <v/>
          </cell>
        </row>
        <row r="630">
          <cell r="B630" t="str">
            <v>INF205K01J09</v>
          </cell>
          <cell r="C630" t="str">
            <v>INF205K01J25</v>
          </cell>
          <cell r="D630" t="str">
            <v>Invesco India Credit Risk Fund - Direct Plan - Discretionary IDCW (Payout / Reinvestment)</v>
          </cell>
          <cell r="E630">
            <v>2352.6201999999998</v>
          </cell>
        </row>
        <row r="631">
          <cell r="B631" t="str">
            <v>INF205K01I83</v>
          </cell>
          <cell r="C631" t="str">
            <v>-</v>
          </cell>
          <cell r="D631" t="str">
            <v>Invesco India Credit Risk Fund - Direct Plan - Growth</v>
          </cell>
          <cell r="E631">
            <v>2335.1904</v>
          </cell>
        </row>
        <row r="632">
          <cell r="B632" t="str">
            <v>INF205K01I91</v>
          </cell>
          <cell r="C632" t="str">
            <v>INF205K01J17</v>
          </cell>
          <cell r="D632" t="str">
            <v>Invesco India Credit Risk Fund - Direct Plan - Monthly IDCW (Payout / Reinvestment)</v>
          </cell>
          <cell r="E632">
            <v>1180.7541000000001</v>
          </cell>
        </row>
        <row r="633">
          <cell r="B633" t="str">
            <v>INF205K01I59</v>
          </cell>
          <cell r="C633" t="str">
            <v>INF205K01I75</v>
          </cell>
          <cell r="D633" t="str">
            <v>Invesco India Credit Risk Fund - Regular Plan - Discretionary IDCW (Payout / Reinvestment)</v>
          </cell>
          <cell r="E633">
            <v>2071.7968000000001</v>
          </cell>
        </row>
        <row r="634">
          <cell r="B634" t="str">
            <v>INF205K01I34</v>
          </cell>
          <cell r="C634" t="str">
            <v>-</v>
          </cell>
          <cell r="D634" t="str">
            <v>Invesco India Credit Risk Fund - Regular Plan - Growth</v>
          </cell>
          <cell r="E634">
            <v>2072.442</v>
          </cell>
        </row>
        <row r="635">
          <cell r="B635" t="str">
            <v>INF205K01I42</v>
          </cell>
          <cell r="C635" t="str">
            <v>INF205K01I67</v>
          </cell>
          <cell r="D635" t="str">
            <v>Invesco India Credit Risk Fund - Regular Plan - Monthly IDCW (Payout / Reinvestment)</v>
          </cell>
          <cell r="E635">
            <v>1192.6516999999999</v>
          </cell>
        </row>
        <row r="636">
          <cell r="B636" t="str">
            <v/>
          </cell>
          <cell r="C636" t="str">
            <v/>
          </cell>
          <cell r="D636" t="str">
            <v/>
          </cell>
        </row>
        <row r="637">
          <cell r="B637" t="str">
            <v/>
          </cell>
          <cell r="C637" t="str">
            <v/>
          </cell>
          <cell r="D637" t="str">
            <v/>
          </cell>
        </row>
        <row r="638">
          <cell r="B638" t="str">
            <v/>
          </cell>
          <cell r="C638" t="str">
            <v/>
          </cell>
          <cell r="D638" t="str">
            <v/>
          </cell>
        </row>
        <row r="639">
          <cell r="B639" t="str">
            <v>INF174K01MG5</v>
          </cell>
          <cell r="C639" t="str">
            <v>-</v>
          </cell>
          <cell r="D639" t="str">
            <v>Kotak Credit Risk Fund - Direct Plan - Standard Income Distribution cum capital withdrawal option</v>
          </cell>
          <cell r="E639">
            <v>27.015999999999998</v>
          </cell>
        </row>
        <row r="640">
          <cell r="B640" t="str">
            <v>INF174K01DY7</v>
          </cell>
          <cell r="C640" t="str">
            <v>-</v>
          </cell>
          <cell r="D640" t="str">
            <v>Kotak Credit Risk Fund - Growth</v>
          </cell>
          <cell r="E640">
            <v>31.666699999999999</v>
          </cell>
        </row>
        <row r="641">
          <cell r="B641" t="str">
            <v>INF174K01LZ7</v>
          </cell>
          <cell r="C641" t="str">
            <v>-</v>
          </cell>
          <cell r="D641" t="str">
            <v>Kotak Credit Risk Fund - Growth - Direct</v>
          </cell>
          <cell r="E641">
            <v>35.968800000000002</v>
          </cell>
        </row>
        <row r="642">
          <cell r="B642" t="str">
            <v>INF174K01EG2</v>
          </cell>
          <cell r="C642" t="str">
            <v>INF174K01EF4</v>
          </cell>
          <cell r="D642" t="str">
            <v>Kotak Credit Risk Fund - Regular Plan - Standard Income Distribution cum capital withdrawal option</v>
          </cell>
          <cell r="E642">
            <v>13.7714</v>
          </cell>
        </row>
        <row r="643">
          <cell r="B643" t="str">
            <v/>
          </cell>
          <cell r="C643" t="str">
            <v/>
          </cell>
          <cell r="D643" t="str">
            <v/>
          </cell>
        </row>
        <row r="644">
          <cell r="B644" t="str">
            <v/>
          </cell>
          <cell r="C644" t="str">
            <v/>
          </cell>
          <cell r="D644" t="str">
            <v/>
          </cell>
        </row>
        <row r="645">
          <cell r="B645" t="str">
            <v/>
          </cell>
          <cell r="C645" t="str">
            <v/>
          </cell>
          <cell r="D645" t="str">
            <v/>
          </cell>
        </row>
        <row r="646">
          <cell r="B646" t="str">
            <v>INF204K01FQ3</v>
          </cell>
          <cell r="C646" t="str">
            <v>-</v>
          </cell>
          <cell r="D646" t="str">
            <v>Nippon India Credit Risk Fund  - Growth Plan</v>
          </cell>
          <cell r="E646">
            <v>37.781999999999996</v>
          </cell>
        </row>
        <row r="647">
          <cell r="B647" t="str">
            <v>INF204K01FT7</v>
          </cell>
          <cell r="C647" t="str">
            <v>-</v>
          </cell>
          <cell r="D647" t="str">
            <v>Nippon India Credit Risk Fund  - Institutional Growth Plan</v>
          </cell>
          <cell r="E647">
            <v>39.7806</v>
          </cell>
        </row>
        <row r="648">
          <cell r="B648" t="str">
            <v>INF204KB17P0</v>
          </cell>
          <cell r="C648" t="str">
            <v>INF204KB18P8</v>
          </cell>
          <cell r="D648" t="str">
            <v>NIPPON INDIA CREDIT RISK FUND -  SEGREGATED PORTFOLIO 2 - DIRECT Plan - IDCW Option</v>
          </cell>
          <cell r="E648">
            <v>0</v>
          </cell>
        </row>
        <row r="649">
          <cell r="B649" t="str">
            <v>INF204KB15P4</v>
          </cell>
          <cell r="C649" t="str">
            <v>INF204KB16P2</v>
          </cell>
          <cell r="D649" t="str">
            <v>NIPPON INDIA CREDIT RISK FUND -  SEGREGATED PORTFOLIO 2 - DIRECT Plan - QUARTERLY IDCW Option</v>
          </cell>
          <cell r="E649">
            <v>0</v>
          </cell>
        </row>
        <row r="650">
          <cell r="B650" t="str">
            <v>INF204KB13Q7</v>
          </cell>
          <cell r="C650" t="str">
            <v>INF204KB14Q5</v>
          </cell>
          <cell r="D650" t="str">
            <v>NIPPON INDIA CREDIT RISK FUND -  SEGREGATED PORTFOLIO 2 - IDCW Option</v>
          </cell>
          <cell r="E650">
            <v>0</v>
          </cell>
        </row>
        <row r="651">
          <cell r="B651" t="str">
            <v>INF204KB11Q1</v>
          </cell>
          <cell r="C651" t="str">
            <v>INF204KB12Q9</v>
          </cell>
          <cell r="D651" t="str">
            <v>NIPPON INDIA CREDIT RISK FUND -  SEGREGATED PORTFOLIO 2 - QUARTERLY IDCW Option</v>
          </cell>
          <cell r="E651">
            <v>0</v>
          </cell>
        </row>
        <row r="652">
          <cell r="B652" t="str">
            <v>INF204K01A74</v>
          </cell>
          <cell r="C652" t="str">
            <v>-</v>
          </cell>
          <cell r="D652" t="str">
            <v>Nippon India Credit Risk Fund - Direct Plan - Growth Plan</v>
          </cell>
          <cell r="E652">
            <v>41.915199999999999</v>
          </cell>
        </row>
        <row r="653">
          <cell r="B653" t="str">
            <v>INF204KA1WV6</v>
          </cell>
          <cell r="C653" t="str">
            <v>-</v>
          </cell>
          <cell r="D653" t="str">
            <v>NIPPON INDIA CREDIT RISK FUND - DIRECT Plan - IDCW Option</v>
          </cell>
          <cell r="E653">
            <v>22.6937</v>
          </cell>
        </row>
        <row r="654">
          <cell r="B654" t="str">
            <v>INF204K01A82</v>
          </cell>
          <cell r="C654" t="str">
            <v>INF204K01A90</v>
          </cell>
          <cell r="D654" t="str">
            <v>NIPPON INDIA CREDIT RISK FUND - DIRECT Plan - QUARTERLY IDCW Option</v>
          </cell>
          <cell r="E654">
            <v>13.695</v>
          </cell>
        </row>
        <row r="655">
          <cell r="B655" t="str">
            <v>INF204KA1WT0</v>
          </cell>
          <cell r="C655" t="str">
            <v>INF204KA1WS2</v>
          </cell>
          <cell r="D655" t="str">
            <v>NIPPON INDIA CREDIT RISK FUND - IDCW Option</v>
          </cell>
          <cell r="E655">
            <v>20.724499999999999</v>
          </cell>
        </row>
        <row r="656">
          <cell r="B656" t="str">
            <v>INF204K01FR1</v>
          </cell>
          <cell r="C656" t="str">
            <v>INF204K01FS9</v>
          </cell>
          <cell r="D656" t="str">
            <v>NIPPON INDIA CREDIT RISK FUND - QUARTERLY IDCW Option</v>
          </cell>
          <cell r="E656">
            <v>13.0869</v>
          </cell>
        </row>
        <row r="657">
          <cell r="B657" t="str">
            <v>INF204KB12L0</v>
          </cell>
          <cell r="C657" t="str">
            <v>-</v>
          </cell>
          <cell r="D657" t="str">
            <v>Nippon India Credit Risk Fund - Segregated Portfolio 1 - Direct Plan - Growth Plan</v>
          </cell>
          <cell r="E657">
            <v>0.53420000000000001</v>
          </cell>
        </row>
        <row r="658">
          <cell r="B658" t="str">
            <v>INF204KB15L3</v>
          </cell>
          <cell r="C658" t="str">
            <v>INF204KB16L1</v>
          </cell>
          <cell r="D658" t="str">
            <v>NIPPON INDIA CREDIT RISK FUND - SEGREGATED PORTFOLIO 1 - Direct Plan - IDCW Option</v>
          </cell>
          <cell r="E658">
            <v>0.2893</v>
          </cell>
        </row>
        <row r="659">
          <cell r="B659" t="str">
            <v>INF204KB13L8</v>
          </cell>
          <cell r="C659" t="str">
            <v>INF204KB14L6</v>
          </cell>
          <cell r="D659" t="str">
            <v>NIPPON INDIA CREDIT RISK FUND - SEGREGATED PORTFOLIO 1 - Direct Plan - QUARTERLY IDCW Option</v>
          </cell>
          <cell r="E659">
            <v>0.2477</v>
          </cell>
        </row>
        <row r="660">
          <cell r="B660" t="str">
            <v>INF204KB17L9</v>
          </cell>
          <cell r="C660" t="str">
            <v>-</v>
          </cell>
          <cell r="D660" t="str">
            <v>Nippon India Credit Risk Fund - Segregated Portfolio 1 - Growth Plan</v>
          </cell>
          <cell r="E660">
            <v>0.50360000000000005</v>
          </cell>
        </row>
        <row r="661">
          <cell r="B661" t="str">
            <v>INF204KB11M0</v>
          </cell>
          <cell r="C661" t="str">
            <v>INF204KB12M8</v>
          </cell>
          <cell r="D661" t="str">
            <v>NIPPON INDIA CREDIT RISK FUND - SEGREGATED PORTFOLIO 1 - IDCW Option</v>
          </cell>
          <cell r="E661">
            <v>0.27629999999999999</v>
          </cell>
        </row>
        <row r="662">
          <cell r="B662" t="str">
            <v>INF204KB18L7</v>
          </cell>
          <cell r="C662" t="str">
            <v>-</v>
          </cell>
          <cell r="D662" t="str">
            <v>Nippon India Credit Risk Fund - Segregated Portfolio 1 - Institutional Growth Plan</v>
          </cell>
          <cell r="E662">
            <v>0.43330000000000002</v>
          </cell>
        </row>
        <row r="663">
          <cell r="B663" t="str">
            <v>INF204KB19L5</v>
          </cell>
          <cell r="C663" t="str">
            <v>INF204KB10M2</v>
          </cell>
          <cell r="D663" t="str">
            <v>NIPPON INDIA CREDIT RISK FUND - SEGREGATED PORTFOLIO 1 - QUARTERLY IDCW Option</v>
          </cell>
          <cell r="E663">
            <v>0.24049999999999999</v>
          </cell>
        </row>
        <row r="664">
          <cell r="B664" t="str">
            <v>INF204KB14P7</v>
          </cell>
          <cell r="C664" t="str">
            <v>-</v>
          </cell>
          <cell r="D664" t="str">
            <v>Nippon India Credit Risk Fund - Segregated Portfolio 2 - Direct Plan - Growth Plan</v>
          </cell>
          <cell r="E664">
            <v>0</v>
          </cell>
        </row>
        <row r="665">
          <cell r="B665" t="str">
            <v>INF204KB19P6</v>
          </cell>
          <cell r="C665" t="str">
            <v>-</v>
          </cell>
          <cell r="D665" t="str">
            <v>Nippon India Credit Risk Fund - Segregated Portfolio 2 - Growth Plan</v>
          </cell>
          <cell r="E665">
            <v>0</v>
          </cell>
        </row>
        <row r="666">
          <cell r="B666" t="str">
            <v>INF204KB10Q3</v>
          </cell>
          <cell r="C666" t="str">
            <v>-</v>
          </cell>
          <cell r="D666" t="str">
            <v>Nippon India Credit Risk Fund - Segregated Portfolio 2 - Institutional Growth Plan</v>
          </cell>
          <cell r="E666">
            <v>0</v>
          </cell>
        </row>
        <row r="667">
          <cell r="B667" t="str">
            <v/>
          </cell>
          <cell r="C667" t="str">
            <v/>
          </cell>
          <cell r="D667" t="str">
            <v/>
          </cell>
        </row>
        <row r="668">
          <cell r="B668" t="str">
            <v/>
          </cell>
          <cell r="C668" t="str">
            <v/>
          </cell>
          <cell r="D668" t="str">
            <v/>
          </cell>
        </row>
        <row r="669">
          <cell r="B669" t="str">
            <v/>
          </cell>
          <cell r="C669" t="str">
            <v/>
          </cell>
          <cell r="D669" t="str">
            <v/>
          </cell>
        </row>
        <row r="670">
          <cell r="B670" t="str">
            <v>-</v>
          </cell>
          <cell r="C670" t="str">
            <v>INF200K01SS0</v>
          </cell>
          <cell r="D670" t="str">
            <v>SBI Credit Risk Fund - Direct Plan - Daily Income Distribution cum Capital Withdrawal Option (IDCW)</v>
          </cell>
          <cell r="E670">
            <v>16.979600000000001</v>
          </cell>
        </row>
        <row r="671">
          <cell r="B671" t="str">
            <v>INF200K01ST8</v>
          </cell>
          <cell r="C671" t="str">
            <v>INF200K01SU6</v>
          </cell>
          <cell r="D671" t="str">
            <v>SBI Credit Risk Fund - Direct Plan - Income Distribution cum Capital Withdrawal Option (IDCW)</v>
          </cell>
          <cell r="E671">
            <v>24.901599999999998</v>
          </cell>
        </row>
        <row r="672">
          <cell r="B672" t="str">
            <v>INF200K01SV4</v>
          </cell>
          <cell r="C672" t="str">
            <v>-</v>
          </cell>
          <cell r="D672" t="str">
            <v>SBI CREDIT RISK FUND - DIRECT PLAN -GROWTH</v>
          </cell>
          <cell r="E672">
            <v>53.5105</v>
          </cell>
        </row>
        <row r="673">
          <cell r="B673" t="str">
            <v>-</v>
          </cell>
          <cell r="C673" t="str">
            <v>INF200K01QK1</v>
          </cell>
          <cell r="D673" t="str">
            <v>SBI Credit Risk Fund - Regular Plan - Daily Income Distribution cum Capital Withdrawal Option (IDCW)</v>
          </cell>
          <cell r="E673">
            <v>16.288599999999999</v>
          </cell>
        </row>
        <row r="674">
          <cell r="B674" t="str">
            <v>INF200K01685</v>
          </cell>
          <cell r="C674" t="str">
            <v>-</v>
          </cell>
          <cell r="D674" t="str">
            <v>SBI CREDIT RISK FUND - REGULAR PLAN - GROWTH</v>
          </cell>
          <cell r="E674">
            <v>49.213999999999999</v>
          </cell>
        </row>
        <row r="675">
          <cell r="B675" t="str">
            <v>INF200K01693</v>
          </cell>
          <cell r="C675" t="str">
            <v>INF200K01701</v>
          </cell>
          <cell r="D675" t="str">
            <v>SBI Credit Risk Fund - Regular Plan - Income Distribution cum Capital Withdrawal Option (IDCW)</v>
          </cell>
          <cell r="E675">
            <v>22.248899999999999</v>
          </cell>
        </row>
        <row r="676">
          <cell r="B676" t="str">
            <v/>
          </cell>
          <cell r="C676" t="str">
            <v/>
          </cell>
          <cell r="D676" t="str">
            <v/>
          </cell>
        </row>
        <row r="677">
          <cell r="B677" t="str">
            <v/>
          </cell>
          <cell r="C677" t="str">
            <v/>
          </cell>
          <cell r="D677" t="str">
            <v/>
          </cell>
        </row>
        <row r="678">
          <cell r="B678" t="str">
            <v/>
          </cell>
          <cell r="C678" t="str">
            <v/>
          </cell>
          <cell r="D678" t="str">
            <v/>
          </cell>
        </row>
        <row r="679">
          <cell r="B679" t="str">
            <v>INF789F1ARG8</v>
          </cell>
          <cell r="C679" t="str">
            <v>INF789F1ARH6</v>
          </cell>
          <cell r="D679" t="str">
            <v>UTI - Credit Risk Fund (Segregated - 06032020) - Direct Plan - Annual Dividend Option</v>
          </cell>
          <cell r="E679">
            <v>0</v>
          </cell>
        </row>
        <row r="680">
          <cell r="B680" t="str">
            <v>INF789F1ARK0</v>
          </cell>
          <cell r="C680" t="str">
            <v>INF789F1ARL8</v>
          </cell>
          <cell r="D680" t="str">
            <v>UTI - Credit Risk Fund (Segregated - 06032020) - Direct Plan - Flexi Dividend Option</v>
          </cell>
          <cell r="E680">
            <v>0</v>
          </cell>
        </row>
        <row r="681">
          <cell r="B681" t="str">
            <v>INF789F1ARF0</v>
          </cell>
          <cell r="C681" t="str">
            <v>-</v>
          </cell>
          <cell r="D681" t="str">
            <v>UTI - Credit Risk Fund (Segregated - 06032020) - Direct Plan - Growth Option</v>
          </cell>
          <cell r="E681">
            <v>0</v>
          </cell>
        </row>
        <row r="682">
          <cell r="B682" t="str">
            <v>INF789F1ARI4</v>
          </cell>
          <cell r="C682" t="str">
            <v>INF789F1ARJ2</v>
          </cell>
          <cell r="D682" t="str">
            <v>UTI - Credit Risk Fund (Segregated - 06032020) - Direct Plan - Half Yearly Dividend Option</v>
          </cell>
          <cell r="E682">
            <v>0</v>
          </cell>
        </row>
        <row r="683">
          <cell r="B683" t="str">
            <v>INF789F1ARM6</v>
          </cell>
          <cell r="C683" t="str">
            <v>INF789F1ARN4</v>
          </cell>
          <cell r="D683" t="str">
            <v>UTI - Credit Risk Fund (Segregated - 06032020) - Direct Plan - Monthly Dividend Option</v>
          </cell>
          <cell r="E683">
            <v>0</v>
          </cell>
        </row>
        <row r="684">
          <cell r="B684" t="str">
            <v>INF789F1ARD5</v>
          </cell>
          <cell r="C684" t="str">
            <v>INF789F1ARE3</v>
          </cell>
          <cell r="D684" t="str">
            <v>UTI - Credit Risk Fund (Segregated - 06032020) - Direct Plan - Quarterly Dividend Option</v>
          </cell>
          <cell r="E684">
            <v>0</v>
          </cell>
        </row>
        <row r="685">
          <cell r="B685" t="str">
            <v>INF789F1ARR5</v>
          </cell>
          <cell r="C685" t="str">
            <v>INF789F1ARS3</v>
          </cell>
          <cell r="D685" t="str">
            <v>UTI - Credit Risk Fund (Segregated - 06032020) - Regular Plan - Annual Dividend Option</v>
          </cell>
          <cell r="E685">
            <v>0</v>
          </cell>
        </row>
        <row r="686">
          <cell r="B686" t="str">
            <v>INF789F1ARV7</v>
          </cell>
          <cell r="C686" t="str">
            <v>INF789F1ARW5</v>
          </cell>
          <cell r="D686" t="str">
            <v>UTI - Credit Risk Fund (Segregated - 06032020) - Regular Plan - Flexi Dividend Option</v>
          </cell>
          <cell r="E686">
            <v>0</v>
          </cell>
        </row>
        <row r="687">
          <cell r="B687" t="str">
            <v>INF789F1ARQ7</v>
          </cell>
          <cell r="C687" t="str">
            <v>-</v>
          </cell>
          <cell r="D687" t="str">
            <v>UTI - Credit Risk Fund (Segregated - 06032020) - Regular Plan - Growth Option</v>
          </cell>
          <cell r="E687">
            <v>0</v>
          </cell>
        </row>
        <row r="688">
          <cell r="B688" t="str">
            <v>INF789F1ART1</v>
          </cell>
          <cell r="C688" t="str">
            <v>INF789F1ARU9</v>
          </cell>
          <cell r="D688" t="str">
            <v>UTI - Credit Risk Fund (Segregated - 06032020) - Regular Plan - Half Yearly Dividend Option</v>
          </cell>
          <cell r="E688">
            <v>0</v>
          </cell>
        </row>
        <row r="689">
          <cell r="B689" t="str">
            <v>INF789F1ARX3</v>
          </cell>
          <cell r="C689" t="str">
            <v>INF789F1ARY1</v>
          </cell>
          <cell r="D689" t="str">
            <v>UTI - Credit Risk Fund (Segregated - 06032020) - Regular Plan - Monthly Dividend Option</v>
          </cell>
          <cell r="E689">
            <v>0</v>
          </cell>
        </row>
        <row r="690">
          <cell r="B690" t="str">
            <v>INF789F1ARO2</v>
          </cell>
          <cell r="C690" t="str">
            <v>INF789F1ARP9</v>
          </cell>
          <cell r="D690" t="str">
            <v>UTI - Credit Risk Fund (Segregated - 06032020) - Regular Plan - Quarterly Dividend Option</v>
          </cell>
          <cell r="E690">
            <v>0</v>
          </cell>
        </row>
        <row r="691">
          <cell r="B691" t="str">
            <v>-</v>
          </cell>
          <cell r="C691" t="str">
            <v>-</v>
          </cell>
          <cell r="D691" t="str">
            <v>UTI - Credit Risk Fund (Segregated - 07072020) - Direct  Plan - Quarterly Dividend Option</v>
          </cell>
          <cell r="E691">
            <v>0</v>
          </cell>
        </row>
        <row r="692">
          <cell r="B692" t="str">
            <v>-</v>
          </cell>
          <cell r="C692" t="str">
            <v>-</v>
          </cell>
          <cell r="D692" t="str">
            <v>UTI - Credit Risk Fund (Segregated - 07072020) - Direct Plan - Annual Dividend Option</v>
          </cell>
          <cell r="E692">
            <v>0</v>
          </cell>
        </row>
        <row r="693">
          <cell r="B693" t="str">
            <v>-</v>
          </cell>
          <cell r="C693" t="str">
            <v>-</v>
          </cell>
          <cell r="D693" t="str">
            <v>UTI - Credit Risk Fund (Segregated - 07072020) - Direct Plan - Flexi  Dividend Option</v>
          </cell>
          <cell r="E693">
            <v>0</v>
          </cell>
        </row>
        <row r="694">
          <cell r="B694" t="str">
            <v>-</v>
          </cell>
          <cell r="C694" t="str">
            <v>-</v>
          </cell>
          <cell r="D694" t="str">
            <v>UTI - Credit Risk Fund (Segregated - 07072020) - Direct Plan - Growth Option</v>
          </cell>
          <cell r="E694">
            <v>0</v>
          </cell>
        </row>
        <row r="695">
          <cell r="B695" t="str">
            <v>-</v>
          </cell>
          <cell r="C695" t="str">
            <v>-</v>
          </cell>
          <cell r="D695" t="str">
            <v>UTI - Credit Risk Fund (Segregated - 07072020) - Direct Plan - Half Yearly Dividend Option</v>
          </cell>
          <cell r="E695">
            <v>0</v>
          </cell>
        </row>
        <row r="696">
          <cell r="B696" t="str">
            <v>-</v>
          </cell>
          <cell r="C696" t="str">
            <v>-</v>
          </cell>
          <cell r="D696" t="str">
            <v>UTI - Credit Risk Fund (Segregated - 07072020) - Direct Plan - Monthly Dividend Option</v>
          </cell>
          <cell r="E696">
            <v>0</v>
          </cell>
        </row>
        <row r="697">
          <cell r="B697" t="str">
            <v>-</v>
          </cell>
          <cell r="C697" t="str">
            <v>-</v>
          </cell>
          <cell r="D697" t="str">
            <v>UTI - Credit Risk Fund (Segregated - 07072020) - Regular Plan - Annual Dividend Option</v>
          </cell>
          <cell r="E697">
            <v>0</v>
          </cell>
        </row>
        <row r="698">
          <cell r="B698" t="str">
            <v>-</v>
          </cell>
          <cell r="C698" t="str">
            <v>-</v>
          </cell>
          <cell r="D698" t="str">
            <v>UTI - Credit Risk Fund (Segregated - 07072020) - Regular Plan - Flexi  Dividend Option</v>
          </cell>
          <cell r="E698">
            <v>0</v>
          </cell>
        </row>
        <row r="699">
          <cell r="B699" t="str">
            <v>-</v>
          </cell>
          <cell r="C699" t="str">
            <v>-</v>
          </cell>
          <cell r="D699" t="str">
            <v>UTI - Credit Risk Fund (Segregated - 07072020) - Regular Plan - Growth Option</v>
          </cell>
          <cell r="E699">
            <v>0</v>
          </cell>
        </row>
        <row r="700">
          <cell r="B700" t="str">
            <v>-</v>
          </cell>
          <cell r="C700" t="str">
            <v>-</v>
          </cell>
          <cell r="D700" t="str">
            <v>UTI - Credit Risk Fund (Segregated - 07072020) - Regular Plan - Half Yearly Dividend Option</v>
          </cell>
          <cell r="E700">
            <v>0</v>
          </cell>
        </row>
        <row r="701">
          <cell r="B701" t="str">
            <v>-</v>
          </cell>
          <cell r="C701" t="str">
            <v>-</v>
          </cell>
          <cell r="D701" t="str">
            <v>UTI - Credit Risk Fund (Segregated - 07072020) - Regular Plan - Monthly Dividend Option</v>
          </cell>
          <cell r="E701">
            <v>0</v>
          </cell>
        </row>
        <row r="702">
          <cell r="B702" t="str">
            <v>-</v>
          </cell>
          <cell r="C702" t="str">
            <v>-</v>
          </cell>
          <cell r="D702" t="str">
            <v>UTI - Credit Risk Fund (Segregated - 07072020) - Regular Plan - Quarterly Dividend Option</v>
          </cell>
          <cell r="E702">
            <v>0</v>
          </cell>
        </row>
        <row r="703">
          <cell r="B703" t="str">
            <v>INF789F1AML9</v>
          </cell>
          <cell r="C703" t="str">
            <v>INF789F1AMM7</v>
          </cell>
          <cell r="D703" t="str">
            <v>UTI - Credit Risk Fund (Segregated - 13092019) - Direct Plan - Annual Dividend Option</v>
          </cell>
          <cell r="E703">
            <v>0</v>
          </cell>
        </row>
        <row r="704">
          <cell r="B704" t="str">
            <v>INF789F1AMP0</v>
          </cell>
          <cell r="C704" t="str">
            <v>INF789F1AMQ8</v>
          </cell>
          <cell r="D704" t="str">
            <v>UTI - Credit Risk Fund (Segregated - 13092019) - Direct Plan - Flexi Dividend Option</v>
          </cell>
          <cell r="E704">
            <v>0</v>
          </cell>
        </row>
        <row r="705">
          <cell r="B705" t="str">
            <v>INF789F1AMK1</v>
          </cell>
          <cell r="C705" t="str">
            <v>-</v>
          </cell>
          <cell r="D705" t="str">
            <v>UTI - Credit Risk Fund (Segregated - 13092019) - Direct Plan - Growth Option</v>
          </cell>
          <cell r="E705">
            <v>0</v>
          </cell>
        </row>
        <row r="706">
          <cell r="B706" t="str">
            <v>INF789F1AMN5</v>
          </cell>
          <cell r="C706" t="str">
            <v>INF789F1AMO3</v>
          </cell>
          <cell r="D706" t="str">
            <v>UTI - Credit Risk Fund (Segregated - 13092019) - Direct Plan - Half Yearly Dividend Option</v>
          </cell>
          <cell r="E706">
            <v>0</v>
          </cell>
        </row>
        <row r="707">
          <cell r="B707" t="str">
            <v>INF789F1AMR6</v>
          </cell>
          <cell r="C707" t="str">
            <v>INF789F1AMS4</v>
          </cell>
          <cell r="D707" t="str">
            <v>UTI - Credit Risk Fund (Segregated - 13092019) - Direct Plan - Monthly Dividend Option</v>
          </cell>
          <cell r="E707">
            <v>0</v>
          </cell>
        </row>
        <row r="708">
          <cell r="B708" t="str">
            <v>INF789F1AMI5</v>
          </cell>
          <cell r="C708" t="str">
            <v>INF789F1AMJ3</v>
          </cell>
          <cell r="D708" t="str">
            <v>UTI - Credit Risk Fund (Segregated - 13092019) - Direct Plan - Quarterly Dividend Option</v>
          </cell>
          <cell r="E708">
            <v>0</v>
          </cell>
        </row>
        <row r="709">
          <cell r="B709" t="str">
            <v>INF789F1AMW6</v>
          </cell>
          <cell r="C709" t="str">
            <v>INF789F1AMX4</v>
          </cell>
          <cell r="D709" t="str">
            <v>UTI - Credit Risk Fund (Segregated - 13092019) - Regular Plan - Annual Dividend Option</v>
          </cell>
          <cell r="E709">
            <v>0</v>
          </cell>
        </row>
        <row r="710">
          <cell r="B710" t="str">
            <v>INF789F1ANA0</v>
          </cell>
          <cell r="C710" t="str">
            <v>INF789F1ANB8</v>
          </cell>
          <cell r="D710" t="str">
            <v>UTI - Credit Risk Fund (Segregated - 13092019) - Regular Plan - Flexi Dividend Option</v>
          </cell>
          <cell r="E710">
            <v>0</v>
          </cell>
        </row>
        <row r="711">
          <cell r="B711" t="str">
            <v>INF789F1AMV8</v>
          </cell>
          <cell r="C711" t="str">
            <v>-</v>
          </cell>
          <cell r="D711" t="str">
            <v>UTI - Credit Risk Fund (Segregated - 13092019) - Regular Plan - Growth Option</v>
          </cell>
          <cell r="E711">
            <v>0</v>
          </cell>
        </row>
        <row r="712">
          <cell r="B712" t="str">
            <v>INF789F1AMY2</v>
          </cell>
          <cell r="C712" t="str">
            <v>INF789F1AMZ9</v>
          </cell>
          <cell r="D712" t="str">
            <v>UTI - Credit Risk Fund (Segregated - 13092019) - Regular Plan - Half Yearly Dividend Option</v>
          </cell>
          <cell r="E712">
            <v>0</v>
          </cell>
        </row>
        <row r="713">
          <cell r="B713" t="str">
            <v>INF789F1ANC6</v>
          </cell>
          <cell r="C713" t="str">
            <v>INF789F1AND4</v>
          </cell>
          <cell r="D713" t="str">
            <v>UTI - Credit Risk Fund (Segregated - 13092019) - Regular Plan - Monthly Dividend Option</v>
          </cell>
          <cell r="E713">
            <v>0</v>
          </cell>
        </row>
        <row r="714">
          <cell r="B714" t="str">
            <v>INF789F1AMT2</v>
          </cell>
          <cell r="C714" t="str">
            <v>INF789F1AMU0</v>
          </cell>
          <cell r="D714" t="str">
            <v>UTI - Credit Risk Fund (Segregated - 13092019) - Regular Plan - Quarterly Dividend Option</v>
          </cell>
          <cell r="E714">
            <v>0</v>
          </cell>
        </row>
        <row r="715">
          <cell r="B715" t="str">
            <v>INF789F1ANG7</v>
          </cell>
          <cell r="C715" t="str">
            <v>-</v>
          </cell>
          <cell r="D715" t="str">
            <v>UTI - Credit Risk Fund (Segregated - 17022020) - Direct Plan - Growth Option</v>
          </cell>
          <cell r="E715">
            <v>2.6873999999999998</v>
          </cell>
        </row>
        <row r="716">
          <cell r="B716" t="str">
            <v>INF789F1ANR4</v>
          </cell>
          <cell r="C716" t="str">
            <v>-</v>
          </cell>
          <cell r="D716" t="str">
            <v>UTI - Credit Risk Fund (Segregated - 17022020) - Regular Plan - Growth Option</v>
          </cell>
          <cell r="E716">
            <v>2.4018000000000002</v>
          </cell>
        </row>
        <row r="717">
          <cell r="B717" t="str">
            <v>INF789F1ANH5</v>
          </cell>
          <cell r="C717" t="str">
            <v>INF789F1ANI3</v>
          </cell>
          <cell r="D717" t="str">
            <v>UTI Credit Risk Fund ( Segregated - 17022020 ) - Direct Plan - Annual IDCW</v>
          </cell>
          <cell r="E717">
            <v>1.7437</v>
          </cell>
        </row>
        <row r="718">
          <cell r="B718" t="str">
            <v>INF789F1ANL7</v>
          </cell>
          <cell r="C718" t="str">
            <v>INF789F1ANM5</v>
          </cell>
          <cell r="D718" t="str">
            <v>UTI Credit Risk Fund ( Segregated - 17022020 ) - Direct Plan - Flexi IDCW</v>
          </cell>
          <cell r="E718">
            <v>1.7035</v>
          </cell>
        </row>
        <row r="719">
          <cell r="B719" t="str">
            <v>INF789F1ANJ1</v>
          </cell>
          <cell r="C719" t="str">
            <v>INF789F1ANK9</v>
          </cell>
          <cell r="D719" t="str">
            <v>UTI Credit Risk Fund ( Segregated - 17022020 ) - Direct Plan - Half-Yearly IDCW</v>
          </cell>
          <cell r="E719">
            <v>1.7067000000000001</v>
          </cell>
        </row>
        <row r="720">
          <cell r="B720" t="str">
            <v>INF789F1ANN3</v>
          </cell>
          <cell r="C720" t="str">
            <v>INF789F1ANO1</v>
          </cell>
          <cell r="D720" t="str">
            <v>UTI Credit Risk Fund ( Segregated - 17022020 ) - Direct Plan - Monthly IDCW</v>
          </cell>
          <cell r="E720">
            <v>1.6035999999999999</v>
          </cell>
        </row>
        <row r="721">
          <cell r="B721" t="str">
            <v>INF789F1ANE2</v>
          </cell>
          <cell r="C721" t="str">
            <v>INF789F1ANF9</v>
          </cell>
          <cell r="D721" t="str">
            <v>UTI Credit Risk Fund ( Segregated - 17022020 ) - Direct Plan - Quarterly IDCW</v>
          </cell>
          <cell r="E721">
            <v>1.8964000000000001</v>
          </cell>
        </row>
        <row r="722">
          <cell r="B722" t="str">
            <v>INF789F1ANS2</v>
          </cell>
          <cell r="C722" t="str">
            <v>INF789F1ANT0</v>
          </cell>
          <cell r="D722" t="str">
            <v>UTI Credit Risk Fund ( Segregated - 17022020 ) - Regular Plan - Annual IDCW</v>
          </cell>
          <cell r="E722">
            <v>1.6027</v>
          </cell>
        </row>
        <row r="723">
          <cell r="B723" t="str">
            <v>INF789F1ANW4</v>
          </cell>
          <cell r="C723" t="str">
            <v>INF789F1ANX2</v>
          </cell>
          <cell r="D723" t="str">
            <v>UTI Credit Risk Fund ( Segregated - 17022020 ) - Regular Plan - Flexi IDCW</v>
          </cell>
          <cell r="E723">
            <v>1.5589999999999999</v>
          </cell>
        </row>
        <row r="724">
          <cell r="B724" t="str">
            <v>INF789F1ANU8</v>
          </cell>
          <cell r="C724" t="str">
            <v>INF789F1ANV6</v>
          </cell>
          <cell r="D724" t="str">
            <v>UTI Credit Risk Fund ( Segregated - 17022020 ) - Regular Plan - Half-Yearly IDCW</v>
          </cell>
          <cell r="E724">
            <v>1.6108</v>
          </cell>
        </row>
        <row r="725">
          <cell r="B725" t="str">
            <v>INF789F1ANY0</v>
          </cell>
          <cell r="C725" t="str">
            <v>INF789F1ANZ7</v>
          </cell>
          <cell r="D725" t="str">
            <v>UTI Credit Risk Fund ( Segregated - 17022020 ) - Regular Plan - Monthly IDCW</v>
          </cell>
          <cell r="E725">
            <v>1.4421999999999999</v>
          </cell>
        </row>
        <row r="726">
          <cell r="B726" t="str">
            <v>INF789F1ANP8</v>
          </cell>
          <cell r="C726" t="str">
            <v>INF789F1ANQ6</v>
          </cell>
          <cell r="D726" t="str">
            <v>UTI Credit Risk Fund ( Segregated - 17022020 ) - Regular Plan - Quarterly IDCW</v>
          </cell>
          <cell r="E726">
            <v>1.706</v>
          </cell>
        </row>
        <row r="727">
          <cell r="B727" t="str">
            <v>INF789F01QZ1</v>
          </cell>
          <cell r="C727" t="str">
            <v>-</v>
          </cell>
          <cell r="D727" t="str">
            <v>UTI Credit Risk Fund  - Regular Plan - Growth Option</v>
          </cell>
          <cell r="E727">
            <v>18.178799999999999</v>
          </cell>
        </row>
        <row r="728">
          <cell r="B728" t="str">
            <v>INF789FB1U28</v>
          </cell>
          <cell r="C728" t="str">
            <v>INF789FB1U36</v>
          </cell>
          <cell r="D728" t="str">
            <v>UTI Credit Risk Fund - Direct Plan - Annual IDCW</v>
          </cell>
          <cell r="E728">
            <v>13.126899999999999</v>
          </cell>
        </row>
        <row r="729">
          <cell r="B729" t="str">
            <v>INF789FB1U44</v>
          </cell>
          <cell r="C729" t="str">
            <v>INF789FB1U51</v>
          </cell>
          <cell r="D729" t="str">
            <v>UTI Credit Risk Fund - Direct Plan - Flexi IDCW</v>
          </cell>
          <cell r="E729">
            <v>13.1309</v>
          </cell>
        </row>
        <row r="730">
          <cell r="B730" t="str">
            <v>INF789F01YB6</v>
          </cell>
          <cell r="C730" t="str">
            <v>-</v>
          </cell>
          <cell r="D730" t="str">
            <v>UTI Credit Risk Fund - Direct Plan - Growth Option</v>
          </cell>
          <cell r="E730">
            <v>20.6906</v>
          </cell>
        </row>
        <row r="731">
          <cell r="B731" t="str">
            <v>INF789FA1W02</v>
          </cell>
          <cell r="C731" t="str">
            <v>INF789FA1W10</v>
          </cell>
          <cell r="D731" t="str">
            <v>UTI Credit Risk Fund - Direct Plan - Half-Yearly IDCW</v>
          </cell>
          <cell r="E731">
            <v>13.178800000000001</v>
          </cell>
        </row>
        <row r="732">
          <cell r="B732" t="str">
            <v>INF789FB1U02</v>
          </cell>
          <cell r="C732" t="str">
            <v>INF789FB1U10</v>
          </cell>
          <cell r="D732" t="str">
            <v>UTI Credit Risk Fund - Direct Plan - Monthly IDCW</v>
          </cell>
          <cell r="E732">
            <v>11.3209</v>
          </cell>
        </row>
        <row r="733">
          <cell r="B733" t="str">
            <v>INF789F01YC4</v>
          </cell>
          <cell r="C733" t="str">
            <v>INF789F01YD2</v>
          </cell>
          <cell r="D733" t="str">
            <v>UTI Credit Risk Fund - Direct Plan - Quarterly IDCW</v>
          </cell>
          <cell r="E733">
            <v>14.600300000000001</v>
          </cell>
        </row>
        <row r="734">
          <cell r="B734" t="str">
            <v>INF789FA1V60</v>
          </cell>
          <cell r="C734" t="str">
            <v>INF789FA1V78</v>
          </cell>
          <cell r="D734" t="str">
            <v>UTI Credit Risk Fund - Regular Plan - Annual IDCW</v>
          </cell>
          <cell r="E734">
            <v>12.1303</v>
          </cell>
        </row>
        <row r="735">
          <cell r="B735" t="str">
            <v>INF789FA1V86</v>
          </cell>
          <cell r="C735" t="str">
            <v>INF789FA1V94</v>
          </cell>
          <cell r="D735" t="str">
            <v>UTI Credit Risk Fund - Regular Plan - Flexi IDCW</v>
          </cell>
          <cell r="E735">
            <v>11.801</v>
          </cell>
        </row>
        <row r="736">
          <cell r="B736" t="str">
            <v>INF789FA1V45</v>
          </cell>
          <cell r="C736" t="str">
            <v>INF789FA1V52</v>
          </cell>
          <cell r="D736" t="str">
            <v>UTI Credit Risk Fund - Regular Plan - Half-Yearly IDCW</v>
          </cell>
          <cell r="E736">
            <v>12.194699999999999</v>
          </cell>
        </row>
        <row r="737">
          <cell r="B737" t="str">
            <v>INF789FB1T88</v>
          </cell>
          <cell r="C737" t="str">
            <v>INF789FB1T96</v>
          </cell>
          <cell r="D737" t="str">
            <v>UTI Credit Risk Fund - Regular Plan - Monthly IDCW</v>
          </cell>
          <cell r="E737">
            <v>10.916600000000001</v>
          </cell>
        </row>
        <row r="738">
          <cell r="B738" t="str">
            <v>INF789F01RA2</v>
          </cell>
          <cell r="C738" t="str">
            <v>INF789F01RB0</v>
          </cell>
          <cell r="D738" t="str">
            <v>UTI Credit Risk Fund - Regular Plan - Quarterly IDCW</v>
          </cell>
          <cell r="E738">
            <v>12.912699999999999</v>
          </cell>
        </row>
        <row r="739">
          <cell r="B739" t="str">
            <v/>
          </cell>
          <cell r="C739" t="str">
            <v/>
          </cell>
          <cell r="D739" t="str">
            <v/>
          </cell>
        </row>
        <row r="740">
          <cell r="B740" t="str">
            <v/>
          </cell>
          <cell r="C740" t="str">
            <v/>
          </cell>
          <cell r="D740" t="str">
            <v/>
          </cell>
        </row>
        <row r="741">
          <cell r="B741" t="str">
            <v/>
          </cell>
          <cell r="C741" t="str">
            <v/>
          </cell>
          <cell r="D741" t="str">
            <v/>
          </cell>
        </row>
        <row r="742">
          <cell r="B742" t="str">
            <v/>
          </cell>
          <cell r="C742" t="str">
            <v/>
          </cell>
          <cell r="D742" t="str">
            <v/>
          </cell>
        </row>
        <row r="743">
          <cell r="B743" t="str">
            <v/>
          </cell>
          <cell r="C743" t="str">
            <v/>
          </cell>
          <cell r="D743" t="str">
            <v/>
          </cell>
        </row>
        <row r="744">
          <cell r="B744" t="str">
            <v>INF579M01183</v>
          </cell>
          <cell r="C744" t="str">
            <v>-</v>
          </cell>
          <cell r="D744" t="str">
            <v>360 ONE Dynamic Bond Fund - Regular Plan - Growth Option</v>
          </cell>
          <cell r="E744">
            <v>24.109100000000002</v>
          </cell>
        </row>
        <row r="745">
          <cell r="B745" t="str">
            <v>INF579M01266</v>
          </cell>
          <cell r="C745" t="str">
            <v>-</v>
          </cell>
          <cell r="D745" t="str">
            <v>360 ONE Dynamic Bond Fund Direct Plan Growth</v>
          </cell>
          <cell r="E745">
            <v>25.502600000000001</v>
          </cell>
        </row>
        <row r="746">
          <cell r="B746" t="str">
            <v>INF579M01282</v>
          </cell>
          <cell r="C746" t="str">
            <v>INF579M01316</v>
          </cell>
          <cell r="D746" t="str">
            <v>360 ONE Dynamic Bond Fund Direct Plan Monthly Dividend</v>
          </cell>
          <cell r="E746">
            <v>14.2501</v>
          </cell>
        </row>
        <row r="747">
          <cell r="B747" t="str">
            <v>INF579M01290</v>
          </cell>
          <cell r="C747" t="str">
            <v>INF579M01324</v>
          </cell>
          <cell r="D747" t="str">
            <v>360 ONE Dynamic Bond Fund Direct Plan Quarterly Dividend</v>
          </cell>
          <cell r="E747">
            <v>23.529499999999999</v>
          </cell>
        </row>
        <row r="748">
          <cell r="B748" t="str">
            <v>INF579M01191</v>
          </cell>
          <cell r="C748" t="str">
            <v>-</v>
          </cell>
          <cell r="D748" t="str">
            <v>360 ONE Dynamic Bond Fund Regular Plan Bonus</v>
          </cell>
          <cell r="E748">
            <v>24.109000000000002</v>
          </cell>
        </row>
        <row r="749">
          <cell r="B749" t="str">
            <v>INF579M01225</v>
          </cell>
          <cell r="C749" t="str">
            <v>INF579M01258</v>
          </cell>
          <cell r="D749" t="str">
            <v>360 ONE Dynamic Bond Fund Regular Plan Half Yearly Dividend</v>
          </cell>
          <cell r="E749">
            <v>23.2652</v>
          </cell>
        </row>
        <row r="750">
          <cell r="B750" t="str">
            <v>INF579M01209</v>
          </cell>
          <cell r="C750" t="str">
            <v>INF579M01233</v>
          </cell>
          <cell r="D750" t="str">
            <v>360 ONE Dynamic Bond Fund Regular Plan Monthly Dividend</v>
          </cell>
          <cell r="E750">
            <v>13.1328</v>
          </cell>
        </row>
        <row r="751">
          <cell r="B751" t="str">
            <v>INF579M01217</v>
          </cell>
          <cell r="C751" t="str">
            <v>INF579M01241</v>
          </cell>
          <cell r="D751" t="str">
            <v>360 ONE Dynamic Bond Fund Regular Plan Quarterly Dividend</v>
          </cell>
          <cell r="E751">
            <v>23.2653</v>
          </cell>
        </row>
        <row r="752">
          <cell r="B752" t="str">
            <v/>
          </cell>
          <cell r="C752" t="str">
            <v/>
          </cell>
          <cell r="D752" t="str">
            <v/>
          </cell>
        </row>
        <row r="753">
          <cell r="B753" t="str">
            <v/>
          </cell>
          <cell r="C753" t="str">
            <v/>
          </cell>
          <cell r="D753" t="str">
            <v/>
          </cell>
        </row>
        <row r="754">
          <cell r="B754" t="str">
            <v/>
          </cell>
          <cell r="C754" t="str">
            <v/>
          </cell>
          <cell r="D754" t="str">
            <v/>
          </cell>
        </row>
        <row r="755">
          <cell r="B755" t="str">
            <v>INF209K01N82</v>
          </cell>
          <cell r="C755" t="str">
            <v>-</v>
          </cell>
          <cell r="D755" t="str">
            <v>Aditya Birla Sun Life Dynamic Bond Fund - Growth - Direct Plan</v>
          </cell>
          <cell r="E755">
            <v>52.719900000000003</v>
          </cell>
        </row>
        <row r="756">
          <cell r="B756" t="str">
            <v>INF209K01793</v>
          </cell>
          <cell r="C756" t="str">
            <v>-</v>
          </cell>
          <cell r="D756" t="str">
            <v>Aditya Birla Sun Life Dynamic Bond Fund - Growth - Regular Plan</v>
          </cell>
          <cell r="E756">
            <v>48.842799999999997</v>
          </cell>
        </row>
        <row r="757">
          <cell r="B757" t="str">
            <v>INF209KA1TX3</v>
          </cell>
          <cell r="C757" t="str">
            <v>-</v>
          </cell>
          <cell r="D757" t="str">
            <v>Aditya Birla Sun Life Dynamic Bond Fund -Direct - IDCW</v>
          </cell>
          <cell r="E757">
            <v>13.231299999999999</v>
          </cell>
        </row>
        <row r="758">
          <cell r="B758" t="str">
            <v>INF209K01R62</v>
          </cell>
          <cell r="C758" t="str">
            <v>-</v>
          </cell>
          <cell r="D758" t="str">
            <v>Aditya Birla Sun Life Dynamic Bond Fund -DIRECT - MONTHLY IDCW</v>
          </cell>
          <cell r="E758">
            <v>11.2241</v>
          </cell>
        </row>
        <row r="759">
          <cell r="B759" t="str">
            <v>INF209K01R88</v>
          </cell>
          <cell r="C759" t="str">
            <v>-</v>
          </cell>
          <cell r="D759" t="str">
            <v>Aditya Birla Sun Life Dynamic Bond Fund -Direct - Quarterly IDCW</v>
          </cell>
          <cell r="E759">
            <v>11.0717</v>
          </cell>
        </row>
        <row r="760">
          <cell r="B760" t="str">
            <v>INF209KA1TV7</v>
          </cell>
          <cell r="C760" t="str">
            <v>-</v>
          </cell>
          <cell r="D760" t="str">
            <v>Aditya Birla Sun Life Dynamic Bond Fund -Regular - IDCW</v>
          </cell>
          <cell r="E760">
            <v>12.1477</v>
          </cell>
        </row>
        <row r="761">
          <cell r="B761" t="str">
            <v>INF209K01801</v>
          </cell>
          <cell r="C761" t="str">
            <v>INF209K01DG8</v>
          </cell>
          <cell r="D761" t="str">
            <v>Aditya Birla Sun Life Dynamic Bond Fund -REGULAR - MONTHLY IDCW</v>
          </cell>
          <cell r="E761">
            <v>10.7159</v>
          </cell>
        </row>
        <row r="762">
          <cell r="B762" t="str">
            <v>INF209K01819</v>
          </cell>
          <cell r="C762" t="str">
            <v>INF209K01DH6</v>
          </cell>
          <cell r="D762" t="str">
            <v>Aditya Birla Sun Life Dynamic Bond Fund -Regular - Quarterly IDCW</v>
          </cell>
          <cell r="E762">
            <v>10.7517</v>
          </cell>
        </row>
        <row r="763">
          <cell r="B763" t="str">
            <v/>
          </cell>
          <cell r="C763" t="str">
            <v/>
          </cell>
          <cell r="D763" t="str">
            <v/>
          </cell>
        </row>
        <row r="764">
          <cell r="B764" t="str">
            <v/>
          </cell>
          <cell r="C764" t="str">
            <v/>
          </cell>
          <cell r="D764" t="str">
            <v/>
          </cell>
        </row>
        <row r="765">
          <cell r="B765" t="str">
            <v/>
          </cell>
          <cell r="C765" t="str">
            <v/>
          </cell>
          <cell r="D765" t="str">
            <v/>
          </cell>
        </row>
        <row r="766">
          <cell r="B766" t="str">
            <v>INF846K01DI3</v>
          </cell>
          <cell r="C766" t="str">
            <v>-</v>
          </cell>
          <cell r="D766" t="str">
            <v>Axis Dynamic Bond Fund - Direct Plan - Growth Option</v>
          </cell>
          <cell r="E766">
            <v>34.661000000000001</v>
          </cell>
        </row>
        <row r="767">
          <cell r="B767" t="str">
            <v>INF846K01DJ1</v>
          </cell>
          <cell r="C767" t="str">
            <v>INF846K01DK9</v>
          </cell>
          <cell r="D767" t="str">
            <v>Axis Dynamic Bond Fund - Direct Plan - Half Yearly IDCW</v>
          </cell>
          <cell r="E767">
            <v>13.157400000000001</v>
          </cell>
        </row>
        <row r="768">
          <cell r="B768" t="str">
            <v>INF846K01DL7</v>
          </cell>
          <cell r="C768" t="str">
            <v>INF846K01DM5</v>
          </cell>
          <cell r="D768" t="str">
            <v>Axis Dynamic Bond Fund - Direct Plan - Quarterly IDCW</v>
          </cell>
          <cell r="E768">
            <v>11.513199999999999</v>
          </cell>
        </row>
        <row r="769">
          <cell r="B769" t="str">
            <v>INF846K01917</v>
          </cell>
          <cell r="C769" t="str">
            <v>-</v>
          </cell>
          <cell r="D769" t="str">
            <v>Axis Dynamic Bond Fund - Regular Plan - Growth Option</v>
          </cell>
          <cell r="E769">
            <v>31.4603</v>
          </cell>
        </row>
        <row r="770">
          <cell r="B770" t="str">
            <v>INF846K01941</v>
          </cell>
          <cell r="C770" t="str">
            <v>INF846K01958</v>
          </cell>
          <cell r="D770" t="str">
            <v>Axis Dynamic Bond Fund - Regular Plan - Half Yearly IDCW</v>
          </cell>
          <cell r="E770">
            <v>11.9617</v>
          </cell>
        </row>
        <row r="771">
          <cell r="B771" t="str">
            <v>INF846K01925</v>
          </cell>
          <cell r="C771" t="str">
            <v>INF846K01933</v>
          </cell>
          <cell r="D771" t="str">
            <v>Axis Dynamic Bond Fund - Regular Plan - Quarterly IDCW</v>
          </cell>
          <cell r="E771">
            <v>11.5299</v>
          </cell>
        </row>
        <row r="772">
          <cell r="B772" t="str">
            <v/>
          </cell>
          <cell r="C772" t="str">
            <v/>
          </cell>
          <cell r="D772" t="str">
            <v/>
          </cell>
        </row>
        <row r="773">
          <cell r="B773" t="str">
            <v/>
          </cell>
          <cell r="C773" t="str">
            <v/>
          </cell>
          <cell r="D773" t="str">
            <v/>
          </cell>
        </row>
        <row r="774">
          <cell r="B774" t="str">
            <v/>
          </cell>
          <cell r="C774" t="str">
            <v/>
          </cell>
          <cell r="D774" t="str">
            <v/>
          </cell>
        </row>
        <row r="775">
          <cell r="B775" t="str">
            <v>INF194K01QI0</v>
          </cell>
          <cell r="C775" t="str">
            <v>INF194K01QH2</v>
          </cell>
          <cell r="D775" t="str">
            <v>BANDHAN Dynamic Bond Fund - Regular Plan B - Quarterly IDCW</v>
          </cell>
          <cell r="E775">
            <v>11.588200000000001</v>
          </cell>
        </row>
        <row r="776">
          <cell r="B776" t="str">
            <v>INF194K01QL4</v>
          </cell>
          <cell r="C776" t="str">
            <v>INF194K01QK6</v>
          </cell>
          <cell r="D776" t="str">
            <v>BANDHAN Dynamic Bond Fund - Regular Plan B - Annual IDCW</v>
          </cell>
          <cell r="E776">
            <v>11.55</v>
          </cell>
        </row>
        <row r="777">
          <cell r="B777" t="str">
            <v>INF194K01QG4</v>
          </cell>
          <cell r="C777" t="str">
            <v>-</v>
          </cell>
          <cell r="D777" t="str">
            <v>BANDHAN Dynamic Bond Fund - Regular Plan B - Growth</v>
          </cell>
          <cell r="E777">
            <v>35.702100000000002</v>
          </cell>
        </row>
        <row r="778">
          <cell r="B778" t="str">
            <v>INF194K018R9</v>
          </cell>
          <cell r="C778" t="str">
            <v>INF194K019R7</v>
          </cell>
          <cell r="D778" t="str">
            <v>BANDHAN Dynamic Bond Fund - Regular Plan B - Half Yearly IDCW</v>
          </cell>
          <cell r="E778">
            <v>11.165900000000001</v>
          </cell>
        </row>
        <row r="779">
          <cell r="B779" t="str">
            <v>INF194K01QO8</v>
          </cell>
          <cell r="C779" t="str">
            <v>INF194K01QN0</v>
          </cell>
          <cell r="D779" t="str">
            <v>BANDHAN Dynamic Bond Fund - Regular Plan B - IDCW</v>
          </cell>
          <cell r="E779">
            <v>13.6511</v>
          </cell>
        </row>
        <row r="780">
          <cell r="B780" t="str">
            <v>INF194KA1TM3</v>
          </cell>
          <cell r="C780" t="str">
            <v>INF194KA1TN1</v>
          </cell>
          <cell r="D780" t="str">
            <v>BANDHAN Dynamic Bond Fund - Regular Plan B - Periodic IDCW</v>
          </cell>
          <cell r="E780">
            <v>14.187099999999999</v>
          </cell>
        </row>
        <row r="781">
          <cell r="B781" t="str">
            <v>INF194K01O13</v>
          </cell>
          <cell r="C781" t="str">
            <v>INF194K01O05</v>
          </cell>
          <cell r="D781" t="str">
            <v>BANDHAN Dynamic Bond Fund-Direct Plan-Annual IDCW</v>
          </cell>
          <cell r="E781">
            <v>12.0885</v>
          </cell>
        </row>
        <row r="782">
          <cell r="B782" t="str">
            <v>INF194K01N63</v>
          </cell>
          <cell r="C782" t="str">
            <v>-</v>
          </cell>
          <cell r="D782" t="str">
            <v>BANDHAN Dynamic Bond Fund-Direct Plan-Growth</v>
          </cell>
          <cell r="E782">
            <v>40.0443</v>
          </cell>
        </row>
        <row r="783">
          <cell r="B783" t="str">
            <v>INF194K011P8</v>
          </cell>
          <cell r="C783" t="str">
            <v>INF194K012P6</v>
          </cell>
          <cell r="D783" t="str">
            <v>BANDHAN Dynamic Bond Fund-Direct Plan-Half Yearly IDCW</v>
          </cell>
          <cell r="E783">
            <v>11.4072</v>
          </cell>
        </row>
        <row r="784">
          <cell r="B784" t="str">
            <v>INF194K01O47</v>
          </cell>
          <cell r="C784" t="str">
            <v>INF194K01O39</v>
          </cell>
          <cell r="D784" t="str">
            <v>BANDHAN Dynamic Bond Fund-Direct Plan-IDCW</v>
          </cell>
          <cell r="E784">
            <v>17.1919</v>
          </cell>
        </row>
        <row r="785">
          <cell r="B785" t="str">
            <v>INF194KA1TP6</v>
          </cell>
          <cell r="C785" t="str">
            <v>INF194KA1TQ4</v>
          </cell>
          <cell r="D785" t="str">
            <v>BANDHAN Dynamic Bond Fund-Direct Plan-Periodic IDCW</v>
          </cell>
          <cell r="E785">
            <v>14.040800000000001</v>
          </cell>
        </row>
        <row r="786">
          <cell r="B786" t="str">
            <v>INF194K01N89</v>
          </cell>
          <cell r="C786" t="str">
            <v>INF194K01N71</v>
          </cell>
          <cell r="D786" t="str">
            <v>BANDHAN Dynamic Bond Fund-Direct Plan-Quarterly IDCW</v>
          </cell>
          <cell r="E786">
            <v>13.589700000000001</v>
          </cell>
        </row>
        <row r="787">
          <cell r="B787" t="str">
            <v/>
          </cell>
          <cell r="C787" t="str">
            <v/>
          </cell>
          <cell r="D787" t="str">
            <v/>
          </cell>
        </row>
        <row r="788">
          <cell r="B788" t="str">
            <v/>
          </cell>
          <cell r="C788" t="str">
            <v/>
          </cell>
          <cell r="D788" t="str">
            <v/>
          </cell>
        </row>
        <row r="789">
          <cell r="B789" t="str">
            <v/>
          </cell>
          <cell r="C789" t="str">
            <v/>
          </cell>
          <cell r="D789" t="str">
            <v/>
          </cell>
        </row>
        <row r="790">
          <cell r="B790" t="str">
            <v>-</v>
          </cell>
          <cell r="C790" t="str">
            <v>INF251K01GX8</v>
          </cell>
          <cell r="D790" t="str">
            <v>Baroda BNP Paribas Dynamic Bond Fund - Direct Plan - Daily IDCW Option</v>
          </cell>
          <cell r="E790">
            <v>10.0817</v>
          </cell>
        </row>
        <row r="791">
          <cell r="B791" t="str">
            <v>INF251K01GW0</v>
          </cell>
          <cell r="C791" t="str">
            <v>-</v>
          </cell>
          <cell r="D791" t="str">
            <v>Baroda BNP Paribas Dynamic Bond Fund - Direct Plan - Growth Option</v>
          </cell>
          <cell r="E791">
            <v>52.315100000000001</v>
          </cell>
        </row>
        <row r="792">
          <cell r="B792" t="str">
            <v>INF251K01HD8</v>
          </cell>
          <cell r="C792" t="str">
            <v>INF251K01HE6</v>
          </cell>
          <cell r="D792" t="str">
            <v>Baroda BNP Paribas Dynamic Bond Fund - Direct Plan - Half Yearly IDCW Option</v>
          </cell>
          <cell r="E792">
            <v>10</v>
          </cell>
        </row>
        <row r="793">
          <cell r="B793" t="str">
            <v>INF251K01GZ3</v>
          </cell>
          <cell r="C793" t="str">
            <v>INF251K01HA4</v>
          </cell>
          <cell r="D793" t="str">
            <v>Baroda BNP Paribas Dynamic Bond Fund - Direct Plan - Monthly IDCW Option</v>
          </cell>
          <cell r="E793">
            <v>10.4419</v>
          </cell>
        </row>
        <row r="794">
          <cell r="B794" t="str">
            <v>INF251K01HB2</v>
          </cell>
          <cell r="C794" t="str">
            <v>INF251K01HC0</v>
          </cell>
          <cell r="D794" t="str">
            <v>Baroda BNP Paribas Dynamic Bond Fund - Direct Plan - Quarterly IDCW Option</v>
          </cell>
          <cell r="E794">
            <v>10.3538</v>
          </cell>
        </row>
        <row r="795">
          <cell r="B795" t="str">
            <v>-</v>
          </cell>
          <cell r="C795" t="str">
            <v>INF251K01GY6</v>
          </cell>
          <cell r="D795" t="str">
            <v>Baroda BNP Paribas Dynamic Bond Fund - Direct Plan - Weekly IDCW Option</v>
          </cell>
          <cell r="E795">
            <v>10.051600000000001</v>
          </cell>
        </row>
        <row r="796">
          <cell r="B796" t="str">
            <v>-</v>
          </cell>
          <cell r="C796" t="str">
            <v>INF251K01DX5</v>
          </cell>
          <cell r="D796" t="str">
            <v>Baroda BNP Paribas Dynamic Bond Fund - Regular Plan - Daily IDCW Option</v>
          </cell>
          <cell r="E796">
            <v>10.077400000000001</v>
          </cell>
        </row>
        <row r="797">
          <cell r="B797" t="str">
            <v>INF251K01DW7</v>
          </cell>
          <cell r="C797" t="str">
            <v>-</v>
          </cell>
          <cell r="D797" t="str">
            <v>Baroda BNP Paribas Dynamic Bond Fund - Regular Plan - Growth Option</v>
          </cell>
          <cell r="E797">
            <v>46.499200000000002</v>
          </cell>
        </row>
        <row r="798">
          <cell r="B798" t="str">
            <v>INF251K01ED5</v>
          </cell>
          <cell r="C798" t="str">
            <v>INF251K01EE3</v>
          </cell>
          <cell r="D798" t="str">
            <v>Baroda BNP Paribas Dynamic Bond Fund - Regular Plan - Half Yearly IDCW Option</v>
          </cell>
          <cell r="E798">
            <v>10.203900000000001</v>
          </cell>
        </row>
        <row r="799">
          <cell r="B799" t="str">
            <v>INF251K01DZ0</v>
          </cell>
          <cell r="C799" t="str">
            <v>INF251K01EA1</v>
          </cell>
          <cell r="D799" t="str">
            <v>Baroda BNP Paribas Dynamic Bond Fund - Regular Plan - Monthly IDCW Option</v>
          </cell>
          <cell r="E799">
            <v>10.174200000000001</v>
          </cell>
        </row>
        <row r="800">
          <cell r="B800" t="str">
            <v>INF251K01EB9</v>
          </cell>
          <cell r="C800" t="str">
            <v>INF251K01EC7</v>
          </cell>
          <cell r="D800" t="str">
            <v>Baroda BNP Paribas Dynamic Bond Fund - Regular Plan - Quarterly IDCW Option</v>
          </cell>
          <cell r="E800">
            <v>10.168699999999999</v>
          </cell>
        </row>
        <row r="801">
          <cell r="B801" t="str">
            <v>-</v>
          </cell>
          <cell r="C801" t="str">
            <v>INF251K01DY3</v>
          </cell>
          <cell r="D801" t="str">
            <v>Baroda BNP Paribas Dynamic Bond Fund - Regular Plan - Weekly IDCW Option</v>
          </cell>
          <cell r="E801">
            <v>10.047499999999999</v>
          </cell>
        </row>
        <row r="802">
          <cell r="B802" t="str">
            <v>INF251K01EF0</v>
          </cell>
          <cell r="C802" t="str">
            <v>-</v>
          </cell>
          <cell r="D802" t="str">
            <v>Baroda BNP Paribas Dynamic Bond Fund-Defunct Plan - Growth Option</v>
          </cell>
          <cell r="E802">
            <v>32.7455</v>
          </cell>
        </row>
        <row r="803">
          <cell r="B803" t="str">
            <v/>
          </cell>
          <cell r="C803" t="str">
            <v/>
          </cell>
          <cell r="D803" t="str">
            <v/>
          </cell>
        </row>
        <row r="804">
          <cell r="B804" t="str">
            <v/>
          </cell>
          <cell r="C804" t="str">
            <v/>
          </cell>
          <cell r="D804" t="str">
            <v/>
          </cell>
        </row>
        <row r="805">
          <cell r="B805" t="str">
            <v/>
          </cell>
          <cell r="C805" t="str">
            <v/>
          </cell>
          <cell r="D805" t="str">
            <v/>
          </cell>
        </row>
        <row r="806">
          <cell r="B806" t="str">
            <v>INF760K01EC7</v>
          </cell>
          <cell r="C806" t="str">
            <v>-</v>
          </cell>
          <cell r="D806" t="str">
            <v>CANARA ROBECO DYNAMIC BOND FUND - DIRECT PLAN - GROWTH OPTION</v>
          </cell>
          <cell r="E806">
            <v>33.204300000000003</v>
          </cell>
        </row>
        <row r="807">
          <cell r="B807" t="str">
            <v>INF760K01EA1</v>
          </cell>
          <cell r="C807" t="str">
            <v>INF760K01EB9</v>
          </cell>
          <cell r="D807" t="str">
            <v>CANARA ROBECO DYNAMIC BOND FUND - DIRECT PLAN - IDCW (Payout/Reinvestment)</v>
          </cell>
          <cell r="E807">
            <v>14.9861</v>
          </cell>
        </row>
        <row r="808">
          <cell r="B808" t="str">
            <v>INF760K01449</v>
          </cell>
          <cell r="C808" t="str">
            <v>-</v>
          </cell>
          <cell r="D808" t="str">
            <v>CANARA ROBECO DYNAMIC BOND FUND - REGULAR PLAN - GROWTH OPTION</v>
          </cell>
          <cell r="E808">
            <v>29.7682</v>
          </cell>
        </row>
        <row r="809">
          <cell r="B809" t="str">
            <v>INF760K01423</v>
          </cell>
          <cell r="C809" t="str">
            <v>INF760K01431</v>
          </cell>
          <cell r="D809" t="str">
            <v>CANARA ROBECO DYNAMIC BOND FUND - REGULAR PLAN - IDCW (Payout/Reinvestment)</v>
          </cell>
          <cell r="E809">
            <v>13.282299999999999</v>
          </cell>
        </row>
        <row r="810">
          <cell r="B810" t="str">
            <v/>
          </cell>
          <cell r="C810" t="str">
            <v/>
          </cell>
          <cell r="D810" t="str">
            <v/>
          </cell>
        </row>
        <row r="811">
          <cell r="B811" t="str">
            <v/>
          </cell>
          <cell r="C811" t="str">
            <v/>
          </cell>
          <cell r="D811" t="str">
            <v/>
          </cell>
        </row>
        <row r="812">
          <cell r="B812" t="str">
            <v/>
          </cell>
          <cell r="C812" t="str">
            <v/>
          </cell>
          <cell r="D812" t="str">
            <v/>
          </cell>
        </row>
        <row r="813">
          <cell r="B813" t="str">
            <v>INF740K01QG4</v>
          </cell>
          <cell r="C813" t="str">
            <v>-</v>
          </cell>
          <cell r="D813" t="str">
            <v>DSP Strategic Bond Fund - Direct Plan - Growth</v>
          </cell>
          <cell r="E813">
            <v>3707.6569</v>
          </cell>
        </row>
        <row r="814">
          <cell r="B814" t="str">
            <v>INF740K01QI0</v>
          </cell>
          <cell r="C814" t="str">
            <v>INF740K01QK6</v>
          </cell>
          <cell r="D814" t="str">
            <v>DSP Strategic Bond Fund - Direct Plan - IDCW</v>
          </cell>
          <cell r="E814">
            <v>2526.1187</v>
          </cell>
        </row>
        <row r="815">
          <cell r="B815" t="str">
            <v>-</v>
          </cell>
          <cell r="C815" t="str">
            <v>INF740KA1OX0</v>
          </cell>
          <cell r="D815" t="str">
            <v>DSP Strategic Bond Fund - Direct Plan - IDCW - Daily</v>
          </cell>
          <cell r="E815">
            <v>1049.5174999999999</v>
          </cell>
        </row>
        <row r="816">
          <cell r="B816" t="str">
            <v>INF740K01QH2</v>
          </cell>
          <cell r="C816" t="str">
            <v>INF740K01QJ8</v>
          </cell>
          <cell r="D816" t="str">
            <v>DSP Strategic Bond Fund - Direct Plan - IDCW - Monthly</v>
          </cell>
          <cell r="E816">
            <v>1081.6033</v>
          </cell>
        </row>
        <row r="817">
          <cell r="B817" t="str">
            <v>INF740KA1OY8</v>
          </cell>
          <cell r="C817" t="str">
            <v>INF740KA1OZ5</v>
          </cell>
          <cell r="D817" t="str">
            <v>DSP Strategic Bond Fund - Direct Plan - IDCW - Weekly</v>
          </cell>
          <cell r="E817">
            <v>990</v>
          </cell>
        </row>
        <row r="818">
          <cell r="B818" t="str">
            <v>INF740K01GK7</v>
          </cell>
          <cell r="C818" t="str">
            <v>-</v>
          </cell>
          <cell r="D818" t="str">
            <v>DSP Strategic Bond Fund - Regular Plan - Growth</v>
          </cell>
          <cell r="E818">
            <v>3454.6649000000002</v>
          </cell>
        </row>
        <row r="819">
          <cell r="B819" t="str">
            <v>INF740K01GO9</v>
          </cell>
          <cell r="C819" t="str">
            <v>INF740K01GN1</v>
          </cell>
          <cell r="D819" t="str">
            <v>DSP Strategic Bond Fund - Regular Plan - IDCW</v>
          </cell>
          <cell r="E819">
            <v>1274.8947000000001</v>
          </cell>
        </row>
        <row r="820">
          <cell r="B820" t="str">
            <v>-</v>
          </cell>
          <cell r="C820" t="str">
            <v>INF740KA1PA5</v>
          </cell>
          <cell r="D820" t="str">
            <v>DSP Strategic Bond Fund - Regular Plan - IDCW - Daily</v>
          </cell>
          <cell r="E820">
            <v>1062.5668000000001</v>
          </cell>
        </row>
        <row r="821">
          <cell r="B821" t="str">
            <v>INF740K01GM3</v>
          </cell>
          <cell r="C821" t="str">
            <v>INF740K01GL5</v>
          </cell>
          <cell r="D821" t="str">
            <v>DSP Strategic Bond Fund - Regular Plan - IDCW - Monthly</v>
          </cell>
          <cell r="E821">
            <v>1071.4295</v>
          </cell>
        </row>
        <row r="822">
          <cell r="B822" t="str">
            <v>INF740K01GQ4</v>
          </cell>
          <cell r="C822" t="str">
            <v>INF740K01GP6</v>
          </cell>
          <cell r="D822" t="str">
            <v>DSP Strategic Bond Fund - Regular Plan - IDCW - Weekly</v>
          </cell>
          <cell r="E822">
            <v>1049.7719999999999</v>
          </cell>
        </row>
        <row r="823">
          <cell r="B823" t="str">
            <v/>
          </cell>
          <cell r="C823" t="str">
            <v/>
          </cell>
          <cell r="D823" t="str">
            <v/>
          </cell>
        </row>
        <row r="824">
          <cell r="B824" t="str">
            <v/>
          </cell>
          <cell r="C824" t="str">
            <v/>
          </cell>
          <cell r="D824" t="str">
            <v/>
          </cell>
        </row>
        <row r="825">
          <cell r="B825" t="str">
            <v/>
          </cell>
          <cell r="C825" t="str">
            <v/>
          </cell>
          <cell r="D825" t="str">
            <v/>
          </cell>
        </row>
        <row r="826">
          <cell r="B826" t="str">
            <v>INF090I01HB8</v>
          </cell>
          <cell r="C826" t="str">
            <v>-</v>
          </cell>
          <cell r="D826" t="str">
            <v>Franklin India Dynamic Accrual Fund - Direct - Growth</v>
          </cell>
          <cell r="E826">
            <v>84.032899999999998</v>
          </cell>
        </row>
        <row r="827">
          <cell r="B827" t="str">
            <v>INF090I01GZ9</v>
          </cell>
          <cell r="C827" t="str">
            <v>INF090I01HA0</v>
          </cell>
          <cell r="D827" t="str">
            <v xml:space="preserve">Franklin India Dynamic Accrual Fund - Direct - IDCW </v>
          </cell>
          <cell r="E827">
            <v>14.163500000000001</v>
          </cell>
        </row>
        <row r="828">
          <cell r="B828" t="str">
            <v>INF090I01BN6</v>
          </cell>
          <cell r="C828" t="str">
            <v>INF090I01BO4</v>
          </cell>
          <cell r="D828" t="str">
            <v xml:space="preserve">Franklin India Dynamic Accrual Fund - IDCW </v>
          </cell>
          <cell r="E828">
            <v>15.6675</v>
          </cell>
        </row>
        <row r="829">
          <cell r="B829" t="str">
            <v>INF090I01WD3</v>
          </cell>
          <cell r="C829" t="str">
            <v>-</v>
          </cell>
          <cell r="D829" t="str">
            <v>Franklin India Dynamic Accrual Fund - Segregated Portfolio 3 (9.50% Yes Bank Ltd CO 23Dec21) - Direct Growth Plan</v>
          </cell>
          <cell r="E829">
            <v>0</v>
          </cell>
        </row>
        <row r="830">
          <cell r="B830" t="str">
            <v>INF090I01WB7</v>
          </cell>
          <cell r="C830" t="str">
            <v>-</v>
          </cell>
          <cell r="D830" t="str">
            <v>Franklin India Dynamic Accrual Fund - Segregated Portfolio 3 (9.50% Yes Bank Ltd CO 23Dec21) - Growth Plan</v>
          </cell>
          <cell r="E830">
            <v>0</v>
          </cell>
        </row>
        <row r="831">
          <cell r="B831" t="str">
            <v>INF090I01TS7</v>
          </cell>
          <cell r="C831" t="str">
            <v>-</v>
          </cell>
          <cell r="D831" t="str">
            <v>Franklin India Dynamic Accrual Fund- Segregated Portfolio 1- 8.25% Vodafone Idea Ltd-10JUL20-Direct-Dividend Plan</v>
          </cell>
          <cell r="E831">
            <v>0</v>
          </cell>
        </row>
        <row r="832">
          <cell r="B832" t="str">
            <v>INF090I01TT5</v>
          </cell>
          <cell r="C832" t="str">
            <v>-</v>
          </cell>
          <cell r="D832" t="str">
            <v>Franklin India Dynamic Accrual Fund- Segregated Portfolio 1- 8.25% Vodafone Idea Ltd-10JUL20-Direct-Growth Plan</v>
          </cell>
          <cell r="E832">
            <v>0</v>
          </cell>
        </row>
        <row r="833">
          <cell r="B833" t="str">
            <v>INF090I01TQ1</v>
          </cell>
          <cell r="C833" t="str">
            <v>-</v>
          </cell>
          <cell r="D833" t="str">
            <v>Franklin India Dynamic Accrual Fund- Segregated Portfolio 1- 8.25% Vodafone Idea Ltd-10JUL20-Dividend Plan</v>
          </cell>
          <cell r="E833">
            <v>0</v>
          </cell>
        </row>
        <row r="834">
          <cell r="B834" t="str">
            <v>INF090I01TR9</v>
          </cell>
          <cell r="C834" t="str">
            <v>-</v>
          </cell>
          <cell r="D834" t="str">
            <v>Franklin India Dynamic Accrual Fund- Segregated Portfolio 1- 8.25% Vodafone Idea Ltd-10JUL20-Growth Plan</v>
          </cell>
          <cell r="E834">
            <v>0</v>
          </cell>
        </row>
        <row r="835">
          <cell r="B835" t="str">
            <v>INF090I01TU3</v>
          </cell>
          <cell r="C835" t="str">
            <v>-</v>
          </cell>
          <cell r="D835" t="str">
            <v>Franklin India Dynamic Accrual Fund- Segregated Portfolio 2 - 10.90% Vodafone Idea Ltd (02-Sep-2023) - IDCW</v>
          </cell>
          <cell r="E835">
            <v>0</v>
          </cell>
        </row>
        <row r="836">
          <cell r="B836" t="str">
            <v>INF090I01TX7</v>
          </cell>
          <cell r="C836" t="str">
            <v>-</v>
          </cell>
          <cell r="D836" t="str">
            <v>Franklin India Dynamic Accrual Fund- Segregated Portfolio 2- 10.90% Vodafone Idea Ltd 02Sep2023-Direct-Growth Plan</v>
          </cell>
          <cell r="E836">
            <v>0</v>
          </cell>
        </row>
        <row r="837">
          <cell r="B837" t="str">
            <v>INF090I01TV1</v>
          </cell>
          <cell r="C837" t="str">
            <v>-</v>
          </cell>
          <cell r="D837" t="str">
            <v>Franklin India Dynamic Accrual Fund- Segregated Portfolio 2- 10.90% Vodafone Idea Ltd 02Sep2023-Growth Plan</v>
          </cell>
          <cell r="E837">
            <v>0</v>
          </cell>
        </row>
        <row r="838">
          <cell r="B838" t="str">
            <v>INF090I01WA9</v>
          </cell>
          <cell r="C838" t="str">
            <v>-</v>
          </cell>
          <cell r="D838" t="str">
            <v>Franklin India Dynamic Accrual Fund- Segregated Portfolio 3 (9.50% Yes Bank Ltd CO 23Dec21) - IDCW</v>
          </cell>
          <cell r="E838">
            <v>0</v>
          </cell>
        </row>
        <row r="839">
          <cell r="B839" t="str">
            <v>INF090I01BP1</v>
          </cell>
          <cell r="C839" t="str">
            <v>-</v>
          </cell>
          <cell r="D839" t="str">
            <v>Franklin India Dynamic Accrual Fund-Growth</v>
          </cell>
          <cell r="E839">
            <v>94.787999999999997</v>
          </cell>
        </row>
        <row r="840">
          <cell r="B840" t="str">
            <v>INF090I01TW9</v>
          </cell>
          <cell r="C840" t="str">
            <v>-</v>
          </cell>
          <cell r="D840" t="str">
            <v>Franklin India Dynamic Accrual Fund-Segregated Portfolio 2 - 10.90% Vodafone Idea Ltd (02-Sep-2023) - Direct IDCW</v>
          </cell>
          <cell r="E840">
            <v>0</v>
          </cell>
        </row>
        <row r="841">
          <cell r="B841" t="str">
            <v>INF090I01WC5</v>
          </cell>
          <cell r="C841" t="str">
            <v>-</v>
          </cell>
          <cell r="D841" t="str">
            <v>Franklin India Dynamic Accrual Fund-Segregated Portfolio 3 (9.50% Yes Bank Ltd CO 23Dec21) - Direct IDCW</v>
          </cell>
          <cell r="E841">
            <v>0</v>
          </cell>
        </row>
        <row r="842">
          <cell r="B842" t="str">
            <v/>
          </cell>
          <cell r="C842" t="str">
            <v/>
          </cell>
          <cell r="D842" t="str">
            <v/>
          </cell>
        </row>
        <row r="843">
          <cell r="B843" t="str">
            <v/>
          </cell>
          <cell r="C843" t="str">
            <v/>
          </cell>
          <cell r="D843" t="str">
            <v/>
          </cell>
        </row>
        <row r="844">
          <cell r="B844" t="str">
            <v/>
          </cell>
          <cell r="C844" t="str">
            <v/>
          </cell>
          <cell r="D844" t="str">
            <v/>
          </cell>
        </row>
        <row r="845">
          <cell r="B845" t="str">
            <v>INF666M01EK5</v>
          </cell>
          <cell r="C845" t="str">
            <v>-</v>
          </cell>
          <cell r="D845" t="str">
            <v>Groww Dynamic Term Fund (formerly known as Indiabulls Dynamic Bond Fund) - Direct Plan - Growth option</v>
          </cell>
          <cell r="E845">
            <v>1571.4532999999999</v>
          </cell>
        </row>
        <row r="846">
          <cell r="B846" t="str">
            <v>INF666M01ES8</v>
          </cell>
          <cell r="C846" t="str">
            <v>-</v>
          </cell>
          <cell r="D846" t="str">
            <v>Groww Dynamic Term Fund (formerly known as Indiabulls Dynamic Bond Fund) - Regular Plan - Growth option</v>
          </cell>
          <cell r="E846">
            <v>1492.0981999999999</v>
          </cell>
        </row>
        <row r="847">
          <cell r="B847" t="str">
            <v>-</v>
          </cell>
          <cell r="C847" t="str">
            <v>INF666M01EL3</v>
          </cell>
          <cell r="D847" t="str">
            <v>Groww Dynamic Term Fund (formerly known as Indiabulls Dynamic Bond Fund)- Direct Plan- - Income Distribution cum capital withdrawal Option ( Reinvestment)</v>
          </cell>
          <cell r="E847">
            <v>1018.03</v>
          </cell>
        </row>
        <row r="848">
          <cell r="B848" t="str">
            <v>INF666M01EO7</v>
          </cell>
          <cell r="C848" t="str">
            <v>INF666M01EP4</v>
          </cell>
          <cell r="D848" t="str">
            <v>Groww Dynamic Term Fund (formerly known as Indiabulls Dynamic Bond Fund)- Direct Plan- Fortnightly - Income Distribution cum capital withdrawal Option (Payout &amp; Reinvestment)</v>
          </cell>
          <cell r="E848">
            <v>1020.7586</v>
          </cell>
        </row>
        <row r="849">
          <cell r="B849" t="str">
            <v>INF666M01EQ2</v>
          </cell>
          <cell r="C849" t="str">
            <v>INF666M01ER0</v>
          </cell>
          <cell r="D849" t="str">
            <v>Groww Dynamic Term Fund (formerly known as Indiabulls Dynamic Bond Fund)- Direct Plan- Monthly - Income Distribution cum capital withdrawal Option (Payout &amp; Reinvestment)</v>
          </cell>
          <cell r="E849">
            <v>1013.0108</v>
          </cell>
        </row>
        <row r="850">
          <cell r="B850" t="str">
            <v>INF666M01EM1</v>
          </cell>
          <cell r="C850" t="str">
            <v>INF666M01EN9</v>
          </cell>
          <cell r="D850" t="str">
            <v>Groww Dynamic Term Fund (formerly known as Indiabulls Dynamic Bond Fund)- Direct Plan- Weekly - Income Distribution cum capital withdrawal Option (Payout &amp; Reinvestment)</v>
          </cell>
          <cell r="E850">
            <v>1016.6057</v>
          </cell>
        </row>
        <row r="851">
          <cell r="B851" t="str">
            <v>-</v>
          </cell>
          <cell r="C851" t="str">
            <v>INF666M01ET6</v>
          </cell>
          <cell r="D851" t="str">
            <v>Groww Dynamic Term Fund (formerly known as Indiabulls Dynamic Bond Fund)- Regular Plan- - Income Distribution cum capital withdrawal Option ( Reinvestment)</v>
          </cell>
          <cell r="E851">
            <v>1020.1503</v>
          </cell>
        </row>
        <row r="852">
          <cell r="B852" t="str">
            <v>INF666M01EW0</v>
          </cell>
          <cell r="C852" t="str">
            <v>INF666M01EX8</v>
          </cell>
          <cell r="D852" t="str">
            <v>Groww Dynamic Term Fund (formerly known as Indiabulls Dynamic Bond Fund)- Regular Plan- Fortnightly - Income Distribution cum capital withdrawal Option (Payout &amp; Reinvestment)</v>
          </cell>
          <cell r="E852">
            <v>1017.788</v>
          </cell>
        </row>
        <row r="853">
          <cell r="B853" t="str">
            <v>INF666M01EY6</v>
          </cell>
          <cell r="C853" t="str">
            <v>INF666M01EZ3</v>
          </cell>
          <cell r="D853" t="str">
            <v>Groww Dynamic Term Fund (formerly known as Indiabulls Dynamic Bond Fund)- Regular Plan- Monthly - Income Distribution cum capital withdrawal Option (Payout &amp; Reinvestment)</v>
          </cell>
          <cell r="E853">
            <v>1013.0008</v>
          </cell>
        </row>
        <row r="854">
          <cell r="B854" t="str">
            <v>INF666M01EU4</v>
          </cell>
          <cell r="C854" t="str">
            <v>INF666M01EV2</v>
          </cell>
          <cell r="D854" t="str">
            <v>Groww Dynamic Term Fund (formerly known as Indiabulls Dynamic Bond Fund)- Regular Plan- Weekly - Income Distribution cum capital withdrawal Option (Payout &amp; Reinvestment)</v>
          </cell>
          <cell r="E854">
            <v>1016.1564</v>
          </cell>
        </row>
        <row r="855">
          <cell r="B855" t="str">
            <v/>
          </cell>
          <cell r="C855" t="str">
            <v/>
          </cell>
          <cell r="D855" t="str">
            <v/>
          </cell>
        </row>
        <row r="856">
          <cell r="B856" t="str">
            <v/>
          </cell>
          <cell r="C856" t="str">
            <v/>
          </cell>
          <cell r="D856" t="str">
            <v/>
          </cell>
        </row>
        <row r="857">
          <cell r="B857" t="str">
            <v/>
          </cell>
          <cell r="C857" t="str">
            <v/>
          </cell>
          <cell r="D857" t="str">
            <v/>
          </cell>
        </row>
        <row r="858">
          <cell r="B858" t="str">
            <v>INF179K01848</v>
          </cell>
          <cell r="C858" t="str">
            <v>-</v>
          </cell>
          <cell r="D858" t="str">
            <v>HDFC Dynamic Debt Fund - Growth Option</v>
          </cell>
          <cell r="E858">
            <v>92.957899999999995</v>
          </cell>
        </row>
        <row r="859">
          <cell r="B859" t="str">
            <v>INF179K01WB4</v>
          </cell>
          <cell r="C859" t="str">
            <v>-</v>
          </cell>
          <cell r="D859" t="str">
            <v>HDFC Dynamic Debt Fund - Growth Option - Direct Plan</v>
          </cell>
          <cell r="E859">
            <v>103.3467</v>
          </cell>
        </row>
        <row r="860">
          <cell r="B860" t="str">
            <v>INF179K01WC2</v>
          </cell>
          <cell r="C860" t="str">
            <v>INF179K01WD0</v>
          </cell>
          <cell r="D860" t="str">
            <v>HDFC Dynamic Debt Fund - Half Yearly IDCW - Direct Plan</v>
          </cell>
          <cell r="E860">
            <v>14.0253</v>
          </cell>
        </row>
        <row r="861">
          <cell r="B861" t="str">
            <v>INF179K01855</v>
          </cell>
          <cell r="C861" t="str">
            <v>INF179K01863</v>
          </cell>
          <cell r="D861" t="str">
            <v>HDFC Dynamic Debt Fund - Half Yearly IDCW Option</v>
          </cell>
          <cell r="E861">
            <v>11.9163</v>
          </cell>
        </row>
        <row r="862">
          <cell r="B862" t="str">
            <v>INF179KA1Q95</v>
          </cell>
          <cell r="C862" t="str">
            <v>-</v>
          </cell>
          <cell r="D862" t="str">
            <v>HDFC Dynamic Debt Fund - Normal IDCW - Direct Plan</v>
          </cell>
          <cell r="E862">
            <v>21.760300000000001</v>
          </cell>
        </row>
        <row r="863">
          <cell r="B863" t="str">
            <v>INF179KA1R11</v>
          </cell>
          <cell r="C863" t="str">
            <v>-</v>
          </cell>
          <cell r="D863" t="str">
            <v>HDFC Dynamic Debt Fund - Normal IDCW Option</v>
          </cell>
          <cell r="E863">
            <v>19.915099999999999</v>
          </cell>
        </row>
        <row r="864">
          <cell r="B864" t="str">
            <v>INF179K01WE8</v>
          </cell>
          <cell r="C864" t="str">
            <v>INF179K01WF5</v>
          </cell>
          <cell r="D864" t="str">
            <v>HDFC Dynamic Debt Fund - Quarterly IDCW - Direct Plan</v>
          </cell>
          <cell r="E864">
            <v>14.2393</v>
          </cell>
        </row>
        <row r="865">
          <cell r="B865" t="str">
            <v>INF179K01871</v>
          </cell>
          <cell r="C865" t="str">
            <v>INF179K01889</v>
          </cell>
          <cell r="D865" t="str">
            <v>HDFC Dynamic Debt Fund - Quarterly IDCW Option</v>
          </cell>
          <cell r="E865">
            <v>12.718</v>
          </cell>
        </row>
        <row r="866">
          <cell r="B866" t="str">
            <v>INF179K01WG3</v>
          </cell>
          <cell r="C866" t="str">
            <v>INF179K01WH1</v>
          </cell>
          <cell r="D866" t="str">
            <v>HDFC Dynamic Debt Fund - Yearly IDCW - Direct Plan</v>
          </cell>
          <cell r="E866">
            <v>15.4091</v>
          </cell>
        </row>
        <row r="867">
          <cell r="B867" t="str">
            <v>INF179K01921</v>
          </cell>
          <cell r="C867" t="str">
            <v>INF179K01939</v>
          </cell>
          <cell r="D867" t="str">
            <v>HDFC Dynamic Debt Fund - Yearly IDCW Option</v>
          </cell>
          <cell r="E867">
            <v>13.758599999999999</v>
          </cell>
        </row>
        <row r="868">
          <cell r="B868" t="str">
            <v/>
          </cell>
          <cell r="C868" t="str">
            <v/>
          </cell>
          <cell r="D868" t="str">
            <v/>
          </cell>
        </row>
        <row r="869">
          <cell r="B869" t="str">
            <v/>
          </cell>
          <cell r="C869" t="str">
            <v/>
          </cell>
          <cell r="D869" t="str">
            <v/>
          </cell>
        </row>
        <row r="870">
          <cell r="B870" t="str">
            <v/>
          </cell>
          <cell r="C870" t="str">
            <v/>
          </cell>
          <cell r="D870" t="str">
            <v/>
          </cell>
        </row>
        <row r="871">
          <cell r="B871" t="str">
            <v>INF109K01GO7</v>
          </cell>
          <cell r="C871" t="str">
            <v>INF109K01GP4</v>
          </cell>
          <cell r="D871" t="str">
            <v>ICICI Prudential All Seasons Bond Fund - Annual IDCW</v>
          </cell>
          <cell r="E871">
            <v>11.4871</v>
          </cell>
        </row>
        <row r="872">
          <cell r="B872" t="str">
            <v>INF109KA1H36</v>
          </cell>
          <cell r="C872" t="str">
            <v>-</v>
          </cell>
          <cell r="D872" t="str">
            <v>ICICI Prudential All Seasons Bond Fund - Bonus</v>
          </cell>
          <cell r="E872">
            <v>17.024799999999999</v>
          </cell>
        </row>
        <row r="873">
          <cell r="B873" t="str">
            <v>INF109K012E4</v>
          </cell>
          <cell r="C873" t="str">
            <v>INF109K013E2</v>
          </cell>
          <cell r="D873" t="str">
            <v>ICICI Prudential All Seasons Bond Fund - Direct Plan - Annual IDCW</v>
          </cell>
          <cell r="E873">
            <v>11.520200000000001</v>
          </cell>
        </row>
        <row r="874">
          <cell r="B874" t="str">
            <v>INF109K016E5</v>
          </cell>
          <cell r="C874" t="str">
            <v>-</v>
          </cell>
          <cell r="D874" t="str">
            <v>ICICI Prudential All Seasons Bond Fund - Direct Plan - Growth</v>
          </cell>
          <cell r="E874">
            <v>42.441499999999998</v>
          </cell>
        </row>
        <row r="875">
          <cell r="B875" t="str">
            <v>INF109K014E0</v>
          </cell>
          <cell r="C875" t="str">
            <v>INF109K015E7</v>
          </cell>
          <cell r="D875" t="str">
            <v>ICICI Prudential All Seasons Bond Fund - Direct Plan - IDCW</v>
          </cell>
          <cell r="E875">
            <v>27.541499999999999</v>
          </cell>
        </row>
        <row r="876">
          <cell r="B876" t="str">
            <v>INF109K017E3</v>
          </cell>
          <cell r="C876" t="str">
            <v>INF109K018E1</v>
          </cell>
          <cell r="D876" t="str">
            <v>ICICI Prudential All Seasons Bond Fund - Direct Plan - Quarterly IDCW</v>
          </cell>
          <cell r="E876">
            <v>12.220800000000001</v>
          </cell>
        </row>
        <row r="877">
          <cell r="B877" t="str">
            <v>INF109K019E9</v>
          </cell>
          <cell r="C877" t="str">
            <v>INF109K010F5</v>
          </cell>
          <cell r="D877" t="str">
            <v>ICICI Prudential All Seasons Bond Fund - Direct Plan - Weekly IDCW</v>
          </cell>
          <cell r="E877">
            <v>10.5098</v>
          </cell>
        </row>
        <row r="878">
          <cell r="B878" t="str">
            <v>INF109KA1H28</v>
          </cell>
          <cell r="C878" t="str">
            <v>-</v>
          </cell>
          <cell r="D878" t="str">
            <v>ICICI Prudential All Seasons Bond Fund - Direct Plan Bonus</v>
          </cell>
          <cell r="E878">
            <v>17.8505</v>
          </cell>
        </row>
        <row r="879">
          <cell r="B879" t="str">
            <v>INF109K01GN9</v>
          </cell>
          <cell r="C879" t="str">
            <v>-</v>
          </cell>
          <cell r="D879" t="str">
            <v>ICICI Prudential All Seasons Bond Fund - Growth</v>
          </cell>
          <cell r="E879">
            <v>39.010300000000001</v>
          </cell>
        </row>
        <row r="880">
          <cell r="B880" t="str">
            <v>INF109K01GK5</v>
          </cell>
          <cell r="C880" t="str">
            <v>INF109K01GL3</v>
          </cell>
          <cell r="D880" t="str">
            <v>ICICI Prudential All Seasons Bond Fund - IDCW</v>
          </cell>
          <cell r="E880">
            <v>24.258800000000001</v>
          </cell>
        </row>
        <row r="881">
          <cell r="B881" t="str">
            <v>INF109K01GM1</v>
          </cell>
          <cell r="C881" t="str">
            <v>-</v>
          </cell>
          <cell r="D881" t="str">
            <v>ICICI Prudential All Seasons Bond Fund - Premium Growth Option</v>
          </cell>
          <cell r="E881">
            <v>25.753799999999998</v>
          </cell>
        </row>
        <row r="882">
          <cell r="B882" t="str">
            <v>INF109K01GE8</v>
          </cell>
          <cell r="C882" t="str">
            <v>INF109K01GF5</v>
          </cell>
          <cell r="D882" t="str">
            <v>ICICI Prudential All Seasons Bond Fund - Quarterly IDCW</v>
          </cell>
          <cell r="E882">
            <v>11.906700000000001</v>
          </cell>
        </row>
        <row r="883">
          <cell r="B883" t="str">
            <v>INF109K01FD2</v>
          </cell>
          <cell r="C883" t="str">
            <v>INF109K01704</v>
          </cell>
          <cell r="D883" t="str">
            <v>ICICI Prudential All Seasons Bond Fund - Weekly IDCW</v>
          </cell>
          <cell r="E883">
            <v>10.9192</v>
          </cell>
        </row>
        <row r="884">
          <cell r="B884" t="str">
            <v>INF109K01GI9</v>
          </cell>
          <cell r="C884" t="str">
            <v>INF109K01GJ7</v>
          </cell>
          <cell r="D884" t="str">
            <v>ICICI Prudential All Seasons Bond Fund Retail - Annual Dividend</v>
          </cell>
          <cell r="E884">
            <v>10.8538</v>
          </cell>
        </row>
        <row r="885">
          <cell r="B885" t="str">
            <v>INF109K01712</v>
          </cell>
          <cell r="C885" t="str">
            <v>-</v>
          </cell>
          <cell r="D885" t="str">
            <v>ICICI Prudential All Seasons Bond Fund Retail - Cumulative</v>
          </cell>
          <cell r="E885">
            <v>49.321599999999997</v>
          </cell>
        </row>
        <row r="886">
          <cell r="B886" t="str">
            <v>INF109K01GG3</v>
          </cell>
          <cell r="C886" t="str">
            <v>INF109K01GH1</v>
          </cell>
          <cell r="D886" t="str">
            <v>ICICI Prudential All Seasons Bond Fund Retail - Quarterly Dividend</v>
          </cell>
          <cell r="E886">
            <v>11.6831</v>
          </cell>
        </row>
        <row r="887">
          <cell r="B887" t="str">
            <v/>
          </cell>
          <cell r="C887" t="str">
            <v/>
          </cell>
          <cell r="D887" t="str">
            <v/>
          </cell>
        </row>
        <row r="888">
          <cell r="B888" t="str">
            <v/>
          </cell>
          <cell r="C888" t="str">
            <v/>
          </cell>
          <cell r="D888" t="str">
            <v/>
          </cell>
        </row>
        <row r="889">
          <cell r="B889" t="str">
            <v/>
          </cell>
          <cell r="C889" t="str">
            <v/>
          </cell>
          <cell r="D889" t="str">
            <v/>
          </cell>
        </row>
        <row r="890">
          <cell r="B890" t="str">
            <v>-</v>
          </cell>
          <cell r="C890" t="str">
            <v>INF192K01CZ8</v>
          </cell>
          <cell r="D890" t="str">
            <v>JM Dynamic Bond Fund (Direct) - Daily IDCW</v>
          </cell>
          <cell r="E890">
            <v>10.094799999999999</v>
          </cell>
        </row>
        <row r="891">
          <cell r="B891" t="str">
            <v>INF192K01DB7</v>
          </cell>
          <cell r="C891" t="str">
            <v>INF192K01DC5</v>
          </cell>
          <cell r="D891" t="str">
            <v>JM Dynamic Bond Fund (Direct) - IDCW</v>
          </cell>
          <cell r="E891">
            <v>46.594000000000001</v>
          </cell>
        </row>
        <row r="892">
          <cell r="B892" t="str">
            <v>INF192K01IL5</v>
          </cell>
          <cell r="C892" t="str">
            <v>INF192K01IM3</v>
          </cell>
          <cell r="D892" t="str">
            <v>JM Dynamic Bond Fund (Direct) - Monthly IDCW</v>
          </cell>
          <cell r="E892">
            <v>46.951099999999997</v>
          </cell>
        </row>
        <row r="893">
          <cell r="B893" t="str">
            <v>-</v>
          </cell>
          <cell r="C893" t="str">
            <v>INF192K01DA9</v>
          </cell>
          <cell r="D893" t="str">
            <v>JM Dynamic Bond Fund (Direct) - Weekly IDCW</v>
          </cell>
          <cell r="E893">
            <v>10.543900000000001</v>
          </cell>
        </row>
        <row r="894">
          <cell r="B894" t="str">
            <v>INF192K01EX9</v>
          </cell>
          <cell r="C894" t="str">
            <v>-</v>
          </cell>
          <cell r="D894" t="str">
            <v>JM Dynamic Bond Fund (Regular) - Bonus Option - Principal Units</v>
          </cell>
          <cell r="E894">
            <v>40.072499999999998</v>
          </cell>
        </row>
        <row r="895">
          <cell r="B895" t="str">
            <v>-</v>
          </cell>
          <cell r="C895" t="str">
            <v>INF192K01668</v>
          </cell>
          <cell r="D895" t="str">
            <v>JM Dynamic Bond Fund (Regular) - Daily IDCW</v>
          </cell>
          <cell r="E895">
            <v>10.038</v>
          </cell>
        </row>
        <row r="896">
          <cell r="B896" t="str">
            <v>INF192K01700</v>
          </cell>
          <cell r="C896" t="str">
            <v>-</v>
          </cell>
          <cell r="D896" t="str">
            <v>JM Dynamic Bond Fund (Regular) - Growth Option</v>
          </cell>
          <cell r="E896">
            <v>43.199199999999998</v>
          </cell>
        </row>
        <row r="897">
          <cell r="B897" t="str">
            <v>INF192K01IN1</v>
          </cell>
          <cell r="C897" t="str">
            <v>-</v>
          </cell>
          <cell r="D897" t="str">
            <v>JM Dynamic Bond Fund (Regular) - Half Yearly Bonus Option - Principal Units</v>
          </cell>
          <cell r="E897">
            <v>40.403100000000002</v>
          </cell>
        </row>
        <row r="898">
          <cell r="B898" t="str">
            <v>INF192K01684</v>
          </cell>
          <cell r="C898" t="str">
            <v>INF192K01692</v>
          </cell>
          <cell r="D898" t="str">
            <v>JM Dynamic Bond Fund (Regular) - IDCW</v>
          </cell>
          <cell r="E898">
            <v>43.334800000000001</v>
          </cell>
        </row>
        <row r="899">
          <cell r="B899" t="str">
            <v>INF192K01IJ9</v>
          </cell>
          <cell r="C899" t="str">
            <v>INF192K01IK7</v>
          </cell>
          <cell r="D899" t="str">
            <v>JM Dynamic Bond Fund (Regular) - Monthly IDCW</v>
          </cell>
          <cell r="E899">
            <v>43.540399999999998</v>
          </cell>
        </row>
        <row r="900">
          <cell r="B900" t="str">
            <v>-</v>
          </cell>
          <cell r="C900" t="str">
            <v>INF192K01676</v>
          </cell>
          <cell r="D900" t="str">
            <v>JM Dynamic Bond Fund (Regular) - Weekly IDCW</v>
          </cell>
          <cell r="E900">
            <v>10.532999999999999</v>
          </cell>
        </row>
        <row r="901">
          <cell r="B901" t="str">
            <v>INF192K01734</v>
          </cell>
          <cell r="C901" t="str">
            <v>INF192K01742</v>
          </cell>
          <cell r="D901" t="str">
            <v>JM Dynamic Bond Fund (Regular)- Premium Plan IDCW</v>
          </cell>
          <cell r="E901">
            <v>10.245799999999999</v>
          </cell>
        </row>
        <row r="902">
          <cell r="B902" t="str">
            <v>INF192K01EZ4</v>
          </cell>
          <cell r="C902" t="str">
            <v>-</v>
          </cell>
          <cell r="D902" t="str">
            <v>JM Dynamic Bond Fund - (Direct) - Bonus Option-Principal Units</v>
          </cell>
          <cell r="E902">
            <v>42.496299999999998</v>
          </cell>
        </row>
        <row r="903">
          <cell r="B903" t="str">
            <v>INF192K01DD3</v>
          </cell>
          <cell r="C903" t="str">
            <v>-</v>
          </cell>
          <cell r="D903" t="str">
            <v>JM Dynamic Bond Fund - (Direct) - Growth Option</v>
          </cell>
          <cell r="E903">
            <v>46.344900000000003</v>
          </cell>
        </row>
        <row r="904">
          <cell r="B904" t="str">
            <v>INF192K01IP6</v>
          </cell>
          <cell r="C904" t="str">
            <v>-</v>
          </cell>
          <cell r="D904" t="str">
            <v>JM Dynamic Bond Fund - (Direct) - Half Yearly Bonus Option - Principal Units</v>
          </cell>
          <cell r="E904">
            <v>42.922800000000002</v>
          </cell>
        </row>
        <row r="905">
          <cell r="B905" t="str">
            <v>-</v>
          </cell>
          <cell r="C905" t="str">
            <v>INF192K01718</v>
          </cell>
          <cell r="D905" t="str">
            <v>JM Dynamic Bond Fund - Premium Plan - Daily Dividend Option</v>
          </cell>
          <cell r="E905">
            <v>10.047000000000001</v>
          </cell>
        </row>
        <row r="906">
          <cell r="B906" t="str">
            <v>INF192K01759</v>
          </cell>
          <cell r="C906" t="str">
            <v>-</v>
          </cell>
          <cell r="D906" t="str">
            <v>JM Dynamic Bond Fund - Premium Plan - Growth Option</v>
          </cell>
          <cell r="E906">
            <v>29.152000000000001</v>
          </cell>
        </row>
        <row r="907">
          <cell r="B907" t="str">
            <v/>
          </cell>
          <cell r="C907" t="str">
            <v/>
          </cell>
          <cell r="D907" t="str">
            <v/>
          </cell>
        </row>
        <row r="908">
          <cell r="B908" t="str">
            <v/>
          </cell>
          <cell r="C908" t="str">
            <v/>
          </cell>
          <cell r="D908" t="str">
            <v/>
          </cell>
        </row>
        <row r="909">
          <cell r="B909" t="str">
            <v/>
          </cell>
          <cell r="C909" t="str">
            <v/>
          </cell>
          <cell r="D909" t="str">
            <v/>
          </cell>
        </row>
        <row r="910">
          <cell r="B910" t="str">
            <v>INF174K01JX6</v>
          </cell>
          <cell r="C910" t="str">
            <v>-</v>
          </cell>
          <cell r="D910" t="str">
            <v>Kotak Dynamic Bond Fund - Direct Plan - Standard Income Distribution cum capital withdrawal option</v>
          </cell>
          <cell r="E910">
            <v>15.2341</v>
          </cell>
        </row>
        <row r="911">
          <cell r="B911" t="str">
            <v>INF174K01JU2</v>
          </cell>
          <cell r="C911" t="str">
            <v>-</v>
          </cell>
          <cell r="D911" t="str">
            <v>Kotak Dynamic Bond Fund - Growth - Direct</v>
          </cell>
          <cell r="E911">
            <v>43.407499999999999</v>
          </cell>
        </row>
        <row r="912">
          <cell r="B912" t="str">
            <v>INF174K01IY6</v>
          </cell>
          <cell r="C912" t="str">
            <v>INF174K01IZ3</v>
          </cell>
          <cell r="D912" t="str">
            <v>Kotak Dynamic Bond Fund Regular Plan - Standard Income Distribution cum capital withdrawal option</v>
          </cell>
          <cell r="E912">
            <v>14.874000000000001</v>
          </cell>
        </row>
        <row r="913">
          <cell r="B913" t="str">
            <v>INF174K01FA2</v>
          </cell>
          <cell r="C913" t="str">
            <v>-</v>
          </cell>
          <cell r="D913" t="str">
            <v>Kotak Dynamic Bond Fund Regular Plan Growth</v>
          </cell>
          <cell r="E913">
            <v>39.480400000000003</v>
          </cell>
        </row>
        <row r="914">
          <cell r="B914" t="str">
            <v/>
          </cell>
          <cell r="C914" t="str">
            <v/>
          </cell>
          <cell r="D914" t="str">
            <v/>
          </cell>
        </row>
        <row r="915">
          <cell r="B915" t="str">
            <v/>
          </cell>
          <cell r="C915" t="str">
            <v/>
          </cell>
          <cell r="D915" t="str">
            <v/>
          </cell>
        </row>
        <row r="916">
          <cell r="B916" t="str">
            <v/>
          </cell>
          <cell r="C916" t="str">
            <v/>
          </cell>
          <cell r="D916" t="str">
            <v/>
          </cell>
        </row>
        <row r="917">
          <cell r="B917" t="str">
            <v>INF174V01580</v>
          </cell>
          <cell r="C917" t="str">
            <v>-</v>
          </cell>
          <cell r="D917" t="str">
            <v>Mahindra Manulife Dynamic Bond Fund - Direct Plan - Growth</v>
          </cell>
          <cell r="E917">
            <v>16.351600000000001</v>
          </cell>
        </row>
        <row r="918">
          <cell r="B918" t="str">
            <v>INF174V01606</v>
          </cell>
          <cell r="C918" t="str">
            <v>INF174V01598</v>
          </cell>
          <cell r="D918" t="str">
            <v>Mahindra Manulife Dynamic Bond Fund - Direct Plan - IDCW</v>
          </cell>
          <cell r="E918">
            <v>12.876200000000001</v>
          </cell>
        </row>
        <row r="919">
          <cell r="B919" t="str">
            <v>INF174V01622</v>
          </cell>
          <cell r="C919" t="str">
            <v>INF174V01614</v>
          </cell>
          <cell r="D919" t="str">
            <v>Mahindra Manulife Dynamic Bond Fund - Direct Plan - Quarterly IDCW</v>
          </cell>
          <cell r="E919">
            <v>11.5404</v>
          </cell>
        </row>
        <row r="920">
          <cell r="B920" t="str">
            <v>INF174V01531</v>
          </cell>
          <cell r="C920" t="str">
            <v>-</v>
          </cell>
          <cell r="D920" t="str">
            <v>Mahindra Manulife Dynamic Bond Fund - Regular Plan - Growth</v>
          </cell>
          <cell r="E920">
            <v>14.956099999999999</v>
          </cell>
        </row>
        <row r="921">
          <cell r="B921" t="str">
            <v>INF174V01556</v>
          </cell>
          <cell r="C921" t="str">
            <v>INF174V01549</v>
          </cell>
          <cell r="D921" t="str">
            <v>Mahindra Manulife Dynamic Bond Fund - Regular Plan - IDCW</v>
          </cell>
          <cell r="E921">
            <v>11.5914</v>
          </cell>
        </row>
        <row r="922">
          <cell r="B922" t="str">
            <v>INF174V01572</v>
          </cell>
          <cell r="C922" t="str">
            <v>INF174V01564</v>
          </cell>
          <cell r="D922" t="str">
            <v>Mahindra Manulife Dynamic Bond Fund - Regular Plan - Quarterly IDCW</v>
          </cell>
          <cell r="E922">
            <v>10.3461</v>
          </cell>
        </row>
        <row r="923">
          <cell r="B923" t="str">
            <v/>
          </cell>
          <cell r="C923" t="str">
            <v/>
          </cell>
          <cell r="D923" t="str">
            <v/>
          </cell>
        </row>
        <row r="924">
          <cell r="B924" t="str">
            <v/>
          </cell>
          <cell r="C924" t="str">
            <v/>
          </cell>
          <cell r="D924" t="str">
            <v/>
          </cell>
        </row>
        <row r="925">
          <cell r="B925" t="str">
            <v/>
          </cell>
          <cell r="C925" t="str">
            <v/>
          </cell>
          <cell r="D925" t="str">
            <v/>
          </cell>
        </row>
        <row r="926">
          <cell r="B926" t="str">
            <v>INF769K01DR8</v>
          </cell>
          <cell r="C926" t="str">
            <v>-</v>
          </cell>
          <cell r="D926" t="str">
            <v>Mirae Asset Dynamic Bond Fund -Direct Plan -Growth</v>
          </cell>
          <cell r="E926">
            <v>18.779199999999999</v>
          </cell>
        </row>
        <row r="927">
          <cell r="B927" t="str">
            <v>INF769K01DS6</v>
          </cell>
          <cell r="C927" t="str">
            <v>INF769K01DT4</v>
          </cell>
          <cell r="D927" t="str">
            <v>Mirae Asset Dynamic Bond Fund Direct IDCW</v>
          </cell>
          <cell r="E927">
            <v>18.756</v>
          </cell>
        </row>
        <row r="928">
          <cell r="B928" t="str">
            <v>INF769K01DP2</v>
          </cell>
          <cell r="C928" t="str">
            <v>INF769K01DQ0</v>
          </cell>
          <cell r="D928" t="str">
            <v>Mirae Asset Dynamic Bond Fund Regular IDCW</v>
          </cell>
          <cell r="E928">
            <v>17.023599999999998</v>
          </cell>
        </row>
        <row r="929">
          <cell r="B929" t="str">
            <v>INF769K01DO5</v>
          </cell>
          <cell r="C929" t="str">
            <v>-</v>
          </cell>
          <cell r="D929" t="str">
            <v>Mirae Asset Dynamic Bond Fund-Regular Plan Growth</v>
          </cell>
          <cell r="E929">
            <v>17.023199999999999</v>
          </cell>
        </row>
        <row r="930">
          <cell r="B930" t="str">
            <v/>
          </cell>
          <cell r="C930" t="str">
            <v/>
          </cell>
          <cell r="D930" t="str">
            <v/>
          </cell>
        </row>
        <row r="931">
          <cell r="B931" t="str">
            <v/>
          </cell>
          <cell r="C931" t="str">
            <v/>
          </cell>
          <cell r="D931" t="str">
            <v/>
          </cell>
        </row>
        <row r="932">
          <cell r="B932" t="str">
            <v/>
          </cell>
          <cell r="C932" t="str">
            <v/>
          </cell>
          <cell r="D932" t="str">
            <v/>
          </cell>
        </row>
        <row r="933">
          <cell r="B933" t="str">
            <v>INF204K01A33</v>
          </cell>
          <cell r="C933" t="str">
            <v>INF204K01A41</v>
          </cell>
          <cell r="D933" t="str">
            <v>NIPPON INDIA DYNAMIC BOND FUND - Direct Plan - IDCW Option</v>
          </cell>
          <cell r="E933">
            <v>30.6005</v>
          </cell>
        </row>
        <row r="934">
          <cell r="B934" t="str">
            <v>INF204K01A58</v>
          </cell>
          <cell r="C934" t="str">
            <v>INF204K01A66</v>
          </cell>
          <cell r="D934" t="str">
            <v>NIPPON INDIA DYNAMIC BOND FUND - Direct Plan - QUARTERLY IDCW Option</v>
          </cell>
          <cell r="E934">
            <v>10.451499999999999</v>
          </cell>
        </row>
        <row r="935">
          <cell r="B935" t="str">
            <v>INF204K01A25</v>
          </cell>
          <cell r="C935" t="str">
            <v>-</v>
          </cell>
          <cell r="D935" t="str">
            <v>Nippon India Dynamic Bond Fund - Direct Plan Growth Plan - Growth Option</v>
          </cell>
          <cell r="E935">
            <v>42.3551</v>
          </cell>
        </row>
        <row r="936">
          <cell r="B936" t="str">
            <v>INF204K01FJ8</v>
          </cell>
          <cell r="C936" t="str">
            <v>INF204K01FK6</v>
          </cell>
          <cell r="D936" t="str">
            <v>NIPPON INDIA DYNAMIC BOND FUND - IDCW Option</v>
          </cell>
          <cell r="E936">
            <v>26.444099999999999</v>
          </cell>
        </row>
        <row r="937">
          <cell r="B937" t="str">
            <v>INF204K01XB8</v>
          </cell>
          <cell r="C937" t="str">
            <v>INF204K01XC6</v>
          </cell>
          <cell r="D937" t="str">
            <v>NIPPON INDIA DYNAMIC BOND FUND - QUARTERLY IDCW Option</v>
          </cell>
          <cell r="E937">
            <v>10.3484</v>
          </cell>
        </row>
        <row r="938">
          <cell r="B938" t="str">
            <v>INF204K01FI0</v>
          </cell>
          <cell r="C938" t="str">
            <v>-</v>
          </cell>
          <cell r="D938" t="str">
            <v>Nippon India Dynamic Bond Fund-Growth Plan-Growth Option</v>
          </cell>
          <cell r="E938">
            <v>39.314999999999998</v>
          </cell>
        </row>
        <row r="939">
          <cell r="B939" t="str">
            <v/>
          </cell>
          <cell r="C939" t="str">
            <v/>
          </cell>
          <cell r="D939" t="str">
            <v/>
          </cell>
        </row>
        <row r="940">
          <cell r="B940" t="str">
            <v/>
          </cell>
          <cell r="C940" t="str">
            <v/>
          </cell>
          <cell r="D940" t="str">
            <v/>
          </cell>
        </row>
        <row r="941">
          <cell r="B941" t="str">
            <v/>
          </cell>
          <cell r="C941" t="str">
            <v/>
          </cell>
          <cell r="D941" t="str">
            <v/>
          </cell>
        </row>
        <row r="942">
          <cell r="B942" t="str">
            <v>INF663L01AD7</v>
          </cell>
          <cell r="C942" t="str">
            <v>-</v>
          </cell>
          <cell r="D942" t="str">
            <v>PGIM India Dynamic Bond Fund - Direct Plan-Growth Option</v>
          </cell>
          <cell r="E942">
            <v>3109.6518000000001</v>
          </cell>
        </row>
        <row r="943">
          <cell r="B943" t="str">
            <v>INF663L01AF2</v>
          </cell>
          <cell r="C943" t="str">
            <v>INF663L01AE5</v>
          </cell>
          <cell r="D943" t="str">
            <v>PGIM India Dynamic Bond Fund - Direct Plan-Monthly Dividend Option</v>
          </cell>
          <cell r="E943">
            <v>1564.4811</v>
          </cell>
        </row>
        <row r="944">
          <cell r="B944" t="str">
            <v>INF663L01AI6</v>
          </cell>
          <cell r="C944" t="str">
            <v>INF663L01AH8</v>
          </cell>
          <cell r="D944" t="str">
            <v>PGIM India Dynamic Bond Fund - Direct Plan-Quarterly Dividend Option</v>
          </cell>
          <cell r="E944">
            <v>1162.8954000000001</v>
          </cell>
        </row>
        <row r="945">
          <cell r="B945" t="str">
            <v>INF663L01492</v>
          </cell>
          <cell r="C945" t="str">
            <v>INF663L01500</v>
          </cell>
          <cell r="D945" t="str">
            <v>PGIM India Dynamic Bond Fund - Dividend Option - Monthly</v>
          </cell>
          <cell r="E945">
            <v>1075.7507000000001</v>
          </cell>
        </row>
        <row r="946">
          <cell r="B946" t="str">
            <v>INF663L01526</v>
          </cell>
          <cell r="C946" t="str">
            <v>INF663L01534</v>
          </cell>
          <cell r="D946" t="str">
            <v>PGIM India Dynamic Bond Fund - Dividend Option - Quarterly</v>
          </cell>
          <cell r="E946">
            <v>1043.43</v>
          </cell>
        </row>
        <row r="947">
          <cell r="B947" t="str">
            <v>INF663L01484</v>
          </cell>
          <cell r="C947" t="str">
            <v>-</v>
          </cell>
          <cell r="D947" t="str">
            <v>PGIM India Dynamic Bond Fund - Growth Option</v>
          </cell>
          <cell r="E947">
            <v>2702.9104000000002</v>
          </cell>
        </row>
        <row r="948">
          <cell r="B948" t="str">
            <v>INF663L01BF0</v>
          </cell>
          <cell r="C948" t="str">
            <v>-</v>
          </cell>
          <cell r="D948" t="str">
            <v>PGIM India Dynamic Bond Fund-Bonus Option</v>
          </cell>
          <cell r="E948">
            <v>1631.8015</v>
          </cell>
        </row>
        <row r="949">
          <cell r="B949" t="str">
            <v/>
          </cell>
          <cell r="C949" t="str">
            <v/>
          </cell>
          <cell r="D949" t="str">
            <v/>
          </cell>
        </row>
        <row r="950">
          <cell r="B950" t="str">
            <v/>
          </cell>
          <cell r="C950" t="str">
            <v/>
          </cell>
          <cell r="D950" t="str">
            <v/>
          </cell>
        </row>
        <row r="951">
          <cell r="B951" t="str">
            <v/>
          </cell>
          <cell r="C951" t="str">
            <v/>
          </cell>
          <cell r="D951" t="str">
            <v/>
          </cell>
        </row>
        <row r="952">
          <cell r="B952" t="str">
            <v>INF082J01176</v>
          </cell>
          <cell r="C952" t="str">
            <v>-</v>
          </cell>
          <cell r="D952" t="str">
            <v>Quantum Dynamic Term Fund - Direct Plan Growth Option</v>
          </cell>
          <cell r="E952">
            <v>22.786100000000001</v>
          </cell>
        </row>
        <row r="953">
          <cell r="B953" t="str">
            <v>INF082J01184</v>
          </cell>
          <cell r="C953" t="str">
            <v>INF082J01192</v>
          </cell>
          <cell r="D953" t="str">
            <v>Quantum Dynamic Term Fund - Direct Plan Monthly IDCW</v>
          </cell>
          <cell r="E953">
            <v>10.4137</v>
          </cell>
        </row>
        <row r="954">
          <cell r="B954" t="str">
            <v>INF082J01218</v>
          </cell>
          <cell r="C954" t="str">
            <v>-</v>
          </cell>
          <cell r="D954" t="str">
            <v>Quantum Dynamic Term Fund - Regular Plan Growth Option</v>
          </cell>
          <cell r="E954">
            <v>22.3065</v>
          </cell>
        </row>
        <row r="955">
          <cell r="B955" t="str">
            <v>INF082J01226</v>
          </cell>
          <cell r="C955" t="str">
            <v>INF082J01234</v>
          </cell>
          <cell r="D955" t="str">
            <v>Quantum Dynamic Term Fund - Regular Plan Monthly IDCW</v>
          </cell>
          <cell r="E955">
            <v>10.467700000000001</v>
          </cell>
        </row>
        <row r="956">
          <cell r="B956" t="str">
            <v/>
          </cell>
          <cell r="C956" t="str">
            <v/>
          </cell>
          <cell r="D956" t="str">
            <v/>
          </cell>
        </row>
        <row r="957">
          <cell r="B957" t="str">
            <v/>
          </cell>
          <cell r="C957" t="str">
            <v/>
          </cell>
          <cell r="D957" t="str">
            <v/>
          </cell>
        </row>
        <row r="958">
          <cell r="B958" t="str">
            <v/>
          </cell>
          <cell r="C958" t="str">
            <v/>
          </cell>
          <cell r="D958" t="str">
            <v/>
          </cell>
        </row>
        <row r="959">
          <cell r="B959" t="str">
            <v>INF200K01RD4</v>
          </cell>
          <cell r="C959" t="str">
            <v>-</v>
          </cell>
          <cell r="D959" t="str">
            <v>SBI Dynamic Bond Fund - DIRECT PLAN - Growth</v>
          </cell>
          <cell r="E959">
            <v>41.379199999999997</v>
          </cell>
        </row>
        <row r="960">
          <cell r="B960" t="str">
            <v>INF200K01RB8</v>
          </cell>
          <cell r="C960" t="str">
            <v>INF200K01RC6</v>
          </cell>
          <cell r="D960" t="str">
            <v>SBI Dynamic Bond Fund - Direct Plan - Income Distribution cum Capital Withdrawal Option (IDCW)</v>
          </cell>
          <cell r="E960">
            <v>23.1128</v>
          </cell>
        </row>
        <row r="961">
          <cell r="B961" t="str">
            <v>INF200K01958</v>
          </cell>
          <cell r="C961" t="str">
            <v>-</v>
          </cell>
          <cell r="D961" t="str">
            <v>SBI Dynamic Bond Fund - REGULAR PLAN - Growth</v>
          </cell>
          <cell r="E961">
            <v>37.522500000000001</v>
          </cell>
        </row>
        <row r="962">
          <cell r="B962" t="str">
            <v>INF200K01966</v>
          </cell>
          <cell r="C962" t="str">
            <v>INF200K01974</v>
          </cell>
          <cell r="D962" t="str">
            <v>SBI Dynamic Bond Fund - Regular Plan - Income Distribution cum Capital Withdrawal Option (IDCW)</v>
          </cell>
          <cell r="E962">
            <v>19.671399999999998</v>
          </cell>
        </row>
        <row r="963">
          <cell r="B963" t="str">
            <v/>
          </cell>
          <cell r="C963" t="str">
            <v/>
          </cell>
          <cell r="D963" t="str">
            <v/>
          </cell>
        </row>
        <row r="964">
          <cell r="B964" t="str">
            <v/>
          </cell>
          <cell r="C964" t="str">
            <v/>
          </cell>
          <cell r="D964" t="str">
            <v/>
          </cell>
        </row>
        <row r="965">
          <cell r="B965" t="str">
            <v/>
          </cell>
          <cell r="C965" t="str">
            <v/>
          </cell>
          <cell r="D965" t="str">
            <v/>
          </cell>
        </row>
        <row r="966">
          <cell r="B966" t="str">
            <v>INF277K01MV5</v>
          </cell>
          <cell r="C966" t="str">
            <v>-</v>
          </cell>
          <cell r="D966" t="str">
            <v>Tata Dynamic Bond Fund- Direct Plan-Growth Option</v>
          </cell>
          <cell r="E966">
            <v>38.236600000000003</v>
          </cell>
        </row>
        <row r="967">
          <cell r="B967" t="str">
            <v>INF277K01360</v>
          </cell>
          <cell r="C967" t="str">
            <v>-</v>
          </cell>
          <cell r="D967" t="str">
            <v>Tata Dynamic Bond Fund- Regular Plan - Growth Option</v>
          </cell>
          <cell r="E967">
            <v>34.921700000000001</v>
          </cell>
        </row>
        <row r="968">
          <cell r="B968" t="str">
            <v>INF277K01DE0</v>
          </cell>
          <cell r="C968" t="str">
            <v>INF277K01352</v>
          </cell>
          <cell r="D968" t="str">
            <v>Tata Dynamic Bond Fund- Regular Plan - Payout of IDCW Option</v>
          </cell>
          <cell r="E968">
            <v>20.111599999999999</v>
          </cell>
        </row>
        <row r="969">
          <cell r="B969" t="str">
            <v>INF277K01MT9</v>
          </cell>
          <cell r="C969" t="str">
            <v>INF277K01MU7</v>
          </cell>
          <cell r="D969" t="str">
            <v>Tata Dynamic Bond- Direct Plan - Payout of IDCW Option</v>
          </cell>
          <cell r="E969">
            <v>22.6907</v>
          </cell>
        </row>
        <row r="970">
          <cell r="B970" t="str">
            <v/>
          </cell>
          <cell r="C970" t="str">
            <v/>
          </cell>
          <cell r="D970" t="str">
            <v/>
          </cell>
        </row>
        <row r="971">
          <cell r="B971" t="str">
            <v/>
          </cell>
          <cell r="C971" t="str">
            <v/>
          </cell>
          <cell r="D971" t="str">
            <v/>
          </cell>
        </row>
        <row r="972">
          <cell r="B972" t="str">
            <v/>
          </cell>
          <cell r="C972" t="str">
            <v/>
          </cell>
          <cell r="D972" t="str">
            <v/>
          </cell>
        </row>
        <row r="973">
          <cell r="B973" t="str">
            <v>INF582M01799</v>
          </cell>
          <cell r="C973" t="str">
            <v>-</v>
          </cell>
          <cell r="D973" t="str">
            <v>Union Dynamic Bond Fund - Direct Plan - Growth Option</v>
          </cell>
          <cell r="E973">
            <v>24.9573</v>
          </cell>
        </row>
        <row r="974">
          <cell r="B974" t="str">
            <v>INF582M01815</v>
          </cell>
          <cell r="C974" t="str">
            <v>INF582M01807</v>
          </cell>
          <cell r="D974" t="str">
            <v>Union Dynamic Bond Fund - Direct Plan - IDCW Option</v>
          </cell>
          <cell r="E974">
            <v>16.717199999999998</v>
          </cell>
        </row>
        <row r="975">
          <cell r="B975" t="str">
            <v>INF582M01336</v>
          </cell>
          <cell r="C975" t="str">
            <v>-</v>
          </cell>
          <cell r="D975" t="str">
            <v>Union Dynamic Bond Fund - Growth Option</v>
          </cell>
          <cell r="E975">
            <v>23.556100000000001</v>
          </cell>
        </row>
        <row r="976">
          <cell r="B976" t="str">
            <v>INF582M01351</v>
          </cell>
          <cell r="C976" t="str">
            <v>INF582M01344</v>
          </cell>
          <cell r="D976" t="str">
            <v>Union Dynamic Bond Fund - IDCW Option</v>
          </cell>
          <cell r="E976">
            <v>15.704800000000001</v>
          </cell>
        </row>
        <row r="977">
          <cell r="B977" t="str">
            <v/>
          </cell>
          <cell r="C977" t="str">
            <v/>
          </cell>
          <cell r="D977" t="str">
            <v/>
          </cell>
        </row>
        <row r="978">
          <cell r="B978" t="str">
            <v/>
          </cell>
          <cell r="C978" t="str">
            <v/>
          </cell>
          <cell r="D978" t="str">
            <v/>
          </cell>
        </row>
        <row r="979">
          <cell r="B979" t="str">
            <v/>
          </cell>
          <cell r="C979" t="str">
            <v/>
          </cell>
          <cell r="D979" t="str">
            <v/>
          </cell>
        </row>
        <row r="980">
          <cell r="B980" t="str">
            <v>INF789F1APX7</v>
          </cell>
          <cell r="C980" t="str">
            <v>-</v>
          </cell>
          <cell r="D980" t="str">
            <v>UTI - Dynamic Bond Fund (Segregated - 17022020) - Direct Plan - Growth Option</v>
          </cell>
          <cell r="E980">
            <v>1.3472999999999999</v>
          </cell>
        </row>
        <row r="981">
          <cell r="B981" t="str">
            <v>INF789F1APO6</v>
          </cell>
          <cell r="C981" t="str">
            <v>-</v>
          </cell>
          <cell r="D981" t="str">
            <v>UTI - Dynamic Bond Fund (Segregated - 17022020) - Regular Plan - Growth Option</v>
          </cell>
          <cell r="E981">
            <v>1.2707999999999999</v>
          </cell>
        </row>
        <row r="982">
          <cell r="B982" t="str">
            <v>INF789F1AQC9</v>
          </cell>
          <cell r="C982" t="str">
            <v>INF789F1AQD7</v>
          </cell>
          <cell r="D982" t="str">
            <v>UTI Dynamic Bond Fund ( Segregated - 17022020 ) - Direct Plan - Annual IDCW</v>
          </cell>
          <cell r="E982">
            <v>0.7238</v>
          </cell>
        </row>
        <row r="983">
          <cell r="B983" t="str">
            <v>INF789F1AQE5</v>
          </cell>
          <cell r="C983" t="str">
            <v>INF789F1AQF2</v>
          </cell>
          <cell r="D983" t="str">
            <v>UTI Dynamic Bond Fund ( Segregated - 17022020 ) - Direct Plan - Flexi IDCW</v>
          </cell>
          <cell r="E983">
            <v>0.7329</v>
          </cell>
        </row>
        <row r="984">
          <cell r="B984" t="str">
            <v>INF789F1AQA3</v>
          </cell>
          <cell r="C984" t="str">
            <v>INF789F1AQB1</v>
          </cell>
          <cell r="D984" t="str">
            <v>UTI Dynamic Bond Fund ( Segregated - 17022020 ) - Direct Plan - Half-Yearly IDCW</v>
          </cell>
          <cell r="E984">
            <v>0.7258</v>
          </cell>
        </row>
        <row r="985">
          <cell r="B985" t="str">
            <v>INF789F1APY5</v>
          </cell>
          <cell r="C985" t="str">
            <v>INF789F1APZ2</v>
          </cell>
          <cell r="D985" t="str">
            <v>UTI Dynamic Bond Fund ( Segregated - 17022020 ) - Direct Plan - Quarterly IDCW</v>
          </cell>
          <cell r="E985">
            <v>1.0368999999999999</v>
          </cell>
        </row>
        <row r="986">
          <cell r="B986" t="str">
            <v>INF789F1APT5</v>
          </cell>
          <cell r="C986" t="str">
            <v>INF789F1APU3</v>
          </cell>
          <cell r="D986" t="str">
            <v>UTI Dynamic Bond Fund ( Segregated - 17022020 ) - Regular Plan - Annual IDCW</v>
          </cell>
          <cell r="E986">
            <v>0.69889999999999997</v>
          </cell>
        </row>
        <row r="987">
          <cell r="B987" t="str">
            <v>INF789F1APV1</v>
          </cell>
          <cell r="C987" t="str">
            <v>INF789F1APW9</v>
          </cell>
          <cell r="D987" t="str">
            <v>UTI Dynamic Bond Fund ( Segregated - 17022020 ) - Regular Plan - Flexi IDCW</v>
          </cell>
          <cell r="E987">
            <v>0.7036</v>
          </cell>
        </row>
        <row r="988">
          <cell r="B988" t="str">
            <v>INF789F1APR9</v>
          </cell>
          <cell r="C988" t="str">
            <v>INF789F1APS7</v>
          </cell>
          <cell r="D988" t="str">
            <v>UTI Dynamic Bond Fund ( Segregated - 17022020 ) - Regular Plan - Half-Yearly IDCW</v>
          </cell>
          <cell r="E988">
            <v>0.68959999999999999</v>
          </cell>
        </row>
        <row r="989">
          <cell r="B989" t="str">
            <v>INF789F1APP3</v>
          </cell>
          <cell r="C989" t="str">
            <v>INF789F1APQ1</v>
          </cell>
          <cell r="D989" t="str">
            <v>UTI Dynamic Bond Fund ( Segregated - 17022020 ) - Regular Plan - Quarterly IDCW</v>
          </cell>
          <cell r="E989">
            <v>0.75270000000000004</v>
          </cell>
        </row>
        <row r="990">
          <cell r="B990" t="str">
            <v>INF789FA1S65</v>
          </cell>
          <cell r="C990" t="str">
            <v>INF789FA1S73</v>
          </cell>
          <cell r="D990" t="str">
            <v>UTI Dynamic Bond Fund - Direct Plan - Annual IDCW</v>
          </cell>
          <cell r="E990">
            <v>15.052099999999999</v>
          </cell>
        </row>
        <row r="991">
          <cell r="B991" t="str">
            <v>INF789FA1S81</v>
          </cell>
          <cell r="C991" t="str">
            <v>INF789FA1S99</v>
          </cell>
          <cell r="D991" t="str">
            <v>UTI Dynamic Bond Fund - Direct Plan - Flexi IDCW</v>
          </cell>
          <cell r="E991">
            <v>17.805399999999999</v>
          </cell>
        </row>
        <row r="992">
          <cell r="B992" t="str">
            <v>INF789F01XD4</v>
          </cell>
          <cell r="C992" t="str">
            <v>-</v>
          </cell>
          <cell r="D992" t="str">
            <v>UTI Dynamic Bond Fund - Direct Plan - Growth Option</v>
          </cell>
          <cell r="E992">
            <v>35.479799999999997</v>
          </cell>
        </row>
        <row r="993">
          <cell r="B993" t="str">
            <v>INF789FA1S40</v>
          </cell>
          <cell r="C993" t="str">
            <v>INF789FA1S57</v>
          </cell>
          <cell r="D993" t="str">
            <v>UTI Dynamic Bond Fund - Direct Plan - Half-Yearly IDCW</v>
          </cell>
          <cell r="E993">
            <v>17.464700000000001</v>
          </cell>
        </row>
        <row r="994">
          <cell r="B994" t="str">
            <v>INF789F01XB8</v>
          </cell>
          <cell r="C994" t="str">
            <v>INF789F01XC6</v>
          </cell>
          <cell r="D994" t="str">
            <v>UTI Dynamic Bond Fund - Direct Plan - Quarterly IDCW</v>
          </cell>
          <cell r="E994">
            <v>27.303100000000001</v>
          </cell>
        </row>
        <row r="995">
          <cell r="B995" t="str">
            <v>INF789FA1S08</v>
          </cell>
          <cell r="C995" t="str">
            <v>INF789FA1S16</v>
          </cell>
          <cell r="D995" t="str">
            <v>UTI Dynamic Bond Fund - Regular Plan - Annual IDCW</v>
          </cell>
          <cell r="E995">
            <v>13.885</v>
          </cell>
        </row>
        <row r="996">
          <cell r="B996" t="str">
            <v>INF789FA1S24</v>
          </cell>
          <cell r="C996" t="str">
            <v>INF789FA1S32</v>
          </cell>
          <cell r="D996" t="str">
            <v>UTI Dynamic Bond Fund - Regular Plan - Flexi IDCW</v>
          </cell>
          <cell r="E996">
            <v>17.152200000000001</v>
          </cell>
        </row>
        <row r="997">
          <cell r="B997" t="str">
            <v>INF789F01JQ5</v>
          </cell>
          <cell r="C997" t="str">
            <v>-</v>
          </cell>
          <cell r="D997" t="str">
            <v>UTI Dynamic Bond Fund - Regular Plan - Growth Option</v>
          </cell>
          <cell r="E997">
            <v>32.360199999999999</v>
          </cell>
        </row>
        <row r="998">
          <cell r="B998" t="str">
            <v>INF789FA1R82</v>
          </cell>
          <cell r="C998" t="str">
            <v>INF789FA1R90</v>
          </cell>
          <cell r="D998" t="str">
            <v>UTI Dynamic Bond Fund - Regular Plan - Half-Yearly IDCW</v>
          </cell>
          <cell r="E998">
            <v>15.946300000000001</v>
          </cell>
        </row>
        <row r="999">
          <cell r="B999" t="str">
            <v>INF789F01JO0</v>
          </cell>
          <cell r="C999" t="str">
            <v>INF789F01JP7</v>
          </cell>
          <cell r="D999" t="str">
            <v>UTI Dynamic Bond Fund - Regular Plan - Quarterly IDCW</v>
          </cell>
          <cell r="E999">
            <v>17.619800000000001</v>
          </cell>
        </row>
        <row r="1000">
          <cell r="B1000" t="str">
            <v/>
          </cell>
          <cell r="C1000" t="str">
            <v/>
          </cell>
          <cell r="D1000" t="str">
            <v/>
          </cell>
        </row>
        <row r="1001">
          <cell r="B1001" t="str">
            <v/>
          </cell>
          <cell r="C1001" t="str">
            <v/>
          </cell>
          <cell r="D1001" t="str">
            <v/>
          </cell>
        </row>
        <row r="1002">
          <cell r="B1002" t="str">
            <v/>
          </cell>
          <cell r="C1002" t="str">
            <v/>
          </cell>
          <cell r="D1002" t="str">
            <v/>
          </cell>
        </row>
        <row r="1003">
          <cell r="B1003" t="str">
            <v/>
          </cell>
          <cell r="C1003" t="str">
            <v/>
          </cell>
          <cell r="D1003" t="str">
            <v/>
          </cell>
        </row>
        <row r="1004">
          <cell r="B1004" t="str">
            <v/>
          </cell>
          <cell r="C1004" t="str">
            <v/>
          </cell>
          <cell r="D1004" t="str">
            <v/>
          </cell>
        </row>
        <row r="1005">
          <cell r="B1005" t="str">
            <v>INF209K01UW9</v>
          </cell>
          <cell r="C1005" t="str">
            <v>-</v>
          </cell>
          <cell r="D1005" t="str">
            <v>Aditya Birla Sun Life Floating Rate Fund-Direct - daily IDCW</v>
          </cell>
          <cell r="E1005">
            <v>100.1026</v>
          </cell>
        </row>
        <row r="1006">
          <cell r="B1006" t="str">
            <v>INF209K01UY5</v>
          </cell>
          <cell r="C1006" t="str">
            <v>-</v>
          </cell>
          <cell r="D1006" t="str">
            <v>Aditya Birla Sun Life Floating Rate Fund-Direct - weekly IDCW</v>
          </cell>
          <cell r="E1006">
            <v>100.8176</v>
          </cell>
        </row>
        <row r="1007">
          <cell r="B1007" t="str">
            <v>INF209K01UX7</v>
          </cell>
          <cell r="C1007" t="str">
            <v>-</v>
          </cell>
          <cell r="D1007" t="str">
            <v>Aditya Birla Sun Life Floating Rate Fund-Direct Plan-Growth</v>
          </cell>
          <cell r="E1007">
            <v>382.03559999999999</v>
          </cell>
        </row>
        <row r="1008">
          <cell r="B1008" t="str">
            <v>-</v>
          </cell>
          <cell r="C1008" t="str">
            <v>INF209KA1LN1</v>
          </cell>
          <cell r="D1008" t="str">
            <v>Aditya Birla Sun Life Floating Rate Fund-Regular - DAILY IDCW</v>
          </cell>
          <cell r="E1008">
            <v>100.0912</v>
          </cell>
        </row>
        <row r="1009">
          <cell r="B1009" t="str">
            <v>-</v>
          </cell>
          <cell r="C1009" t="str">
            <v>INF209K01MH7</v>
          </cell>
          <cell r="D1009" t="str">
            <v>Aditya Birla Sun Life Floating Rate Fund-REGULAR - WEEKLY IDCW</v>
          </cell>
          <cell r="E1009">
            <v>100.7394</v>
          </cell>
        </row>
        <row r="1010">
          <cell r="B1010" t="str">
            <v>INF209K01MG9</v>
          </cell>
          <cell r="C1010" t="str">
            <v>-</v>
          </cell>
          <cell r="D1010" t="str">
            <v>Aditya Birla Sun Life Floating Rate Fund-Regular Plan-Growth</v>
          </cell>
          <cell r="E1010">
            <v>370.94670000000002</v>
          </cell>
        </row>
        <row r="1011">
          <cell r="B1011" t="str">
            <v/>
          </cell>
          <cell r="C1011" t="str">
            <v/>
          </cell>
          <cell r="D1011" t="str">
            <v/>
          </cell>
        </row>
        <row r="1012">
          <cell r="B1012" t="str">
            <v/>
          </cell>
          <cell r="C1012" t="str">
            <v/>
          </cell>
          <cell r="D1012" t="str">
            <v/>
          </cell>
        </row>
        <row r="1013">
          <cell r="B1013" t="str">
            <v/>
          </cell>
          <cell r="C1013" t="str">
            <v/>
          </cell>
          <cell r="D1013" t="str">
            <v/>
          </cell>
        </row>
        <row r="1014">
          <cell r="B1014" t="str">
            <v>INF846K016A1</v>
          </cell>
          <cell r="C1014" t="str">
            <v>INF846K015A3</v>
          </cell>
          <cell r="D1014" t="str">
            <v>Axis Floater Fund - Direct Plan - Annual IDCW</v>
          </cell>
          <cell r="E1014">
            <v>1378.0832</v>
          </cell>
        </row>
        <row r="1015">
          <cell r="B1015" t="str">
            <v>-</v>
          </cell>
          <cell r="C1015" t="str">
            <v>INF846K011B0</v>
          </cell>
          <cell r="D1015" t="str">
            <v>Axis Floater Fund - Direct Plan - Daily IDCW</v>
          </cell>
          <cell r="E1015">
            <v>1001.7006</v>
          </cell>
        </row>
        <row r="1016">
          <cell r="B1016" t="str">
            <v>INF846K014A6</v>
          </cell>
          <cell r="C1016" t="str">
            <v>-</v>
          </cell>
          <cell r="D1016" t="str">
            <v>Axis Floater Fund - Direct Plan - Growth</v>
          </cell>
          <cell r="E1016">
            <v>1416.2561000000001</v>
          </cell>
        </row>
        <row r="1017">
          <cell r="B1017" t="str">
            <v>INF846K018A7</v>
          </cell>
          <cell r="C1017" t="str">
            <v>INF846K017A9</v>
          </cell>
          <cell r="D1017" t="str">
            <v>Axis Floater Fund - Direct Plan - Monthly IDCW</v>
          </cell>
          <cell r="E1017">
            <v>1018.2852</v>
          </cell>
        </row>
        <row r="1018">
          <cell r="B1018" t="str">
            <v>INF846K019A5</v>
          </cell>
          <cell r="C1018" t="str">
            <v>INF846K010B2</v>
          </cell>
          <cell r="D1018" t="str">
            <v>Axis Floater Fund - Direct Plan - Quarterly IDCW</v>
          </cell>
          <cell r="E1018">
            <v>1335.8190999999999</v>
          </cell>
        </row>
        <row r="1019">
          <cell r="B1019" t="str">
            <v>INF846K014B4</v>
          </cell>
          <cell r="C1019" t="str">
            <v>INF846K013B6</v>
          </cell>
          <cell r="D1019" t="str">
            <v>Axis Floater Fund - Regular Plan - Annual IDCW</v>
          </cell>
          <cell r="E1019">
            <v>1355.6051</v>
          </cell>
        </row>
        <row r="1020">
          <cell r="B1020" t="str">
            <v>-</v>
          </cell>
          <cell r="C1020" t="str">
            <v>INF846K019B3</v>
          </cell>
          <cell r="D1020" t="str">
            <v>Axis Floater Fund - Regular Plan - Daily IDCW</v>
          </cell>
          <cell r="E1020">
            <v>1013.3518</v>
          </cell>
        </row>
        <row r="1021">
          <cell r="B1021" t="str">
            <v>INF846K012B8</v>
          </cell>
          <cell r="C1021" t="str">
            <v>-</v>
          </cell>
          <cell r="D1021" t="str">
            <v>Axis Floater Fund - Regular Plan - Growth</v>
          </cell>
          <cell r="E1021">
            <v>1391.5849000000001</v>
          </cell>
        </row>
        <row r="1022">
          <cell r="B1022" t="str">
            <v>INF846K016B9</v>
          </cell>
          <cell r="C1022" t="str">
            <v>INF846K015B1</v>
          </cell>
          <cell r="D1022" t="str">
            <v>Axis Floater Fund - Regular Plan - Monthly IDCW</v>
          </cell>
          <cell r="E1022">
            <v>1017.4327</v>
          </cell>
        </row>
        <row r="1023">
          <cell r="B1023" t="str">
            <v>INF846K018B5</v>
          </cell>
          <cell r="C1023" t="str">
            <v>INF846K017B7</v>
          </cell>
          <cell r="D1023" t="str">
            <v>Axis Floater Fund - Regular Plan - Quarterly IDCW</v>
          </cell>
          <cell r="E1023">
            <v>1313.6285</v>
          </cell>
        </row>
        <row r="1024">
          <cell r="B1024" t="str">
            <v/>
          </cell>
          <cell r="C1024" t="str">
            <v/>
          </cell>
          <cell r="D1024" t="str">
            <v/>
          </cell>
        </row>
        <row r="1025">
          <cell r="B1025" t="str">
            <v/>
          </cell>
          <cell r="C1025" t="str">
            <v/>
          </cell>
          <cell r="D1025" t="str">
            <v/>
          </cell>
        </row>
        <row r="1026">
          <cell r="B1026" t="str">
            <v/>
          </cell>
          <cell r="C1026" t="str">
            <v/>
          </cell>
          <cell r="D1026" t="str">
            <v/>
          </cell>
        </row>
        <row r="1027">
          <cell r="B1027" t="str">
            <v>-</v>
          </cell>
          <cell r="C1027" t="str">
            <v>INF194KB1BB3</v>
          </cell>
          <cell r="D1027" t="str">
            <v>BANDHAN FLOATER FUND  - DIRECT PLAN DAILY IDCW</v>
          </cell>
          <cell r="E1027">
            <v>10.1218</v>
          </cell>
        </row>
        <row r="1028">
          <cell r="B1028" t="str">
            <v>INF194KB1BA5</v>
          </cell>
          <cell r="C1028" t="str">
            <v>-</v>
          </cell>
          <cell r="D1028" t="str">
            <v>BANDHAN FLOATER FUND  - DIRECT PLAN GROWTH</v>
          </cell>
          <cell r="E1028">
            <v>14.1396</v>
          </cell>
        </row>
        <row r="1029">
          <cell r="B1029" t="str">
            <v>INF194KB1BD9</v>
          </cell>
          <cell r="C1029" t="str">
            <v>INF194KB1BE7</v>
          </cell>
          <cell r="D1029" t="str">
            <v>BANDHAN FLOATER FUND  - DIRECT PLAN MONTHLY IDCW</v>
          </cell>
          <cell r="E1029">
            <v>10.1548</v>
          </cell>
        </row>
        <row r="1030">
          <cell r="B1030" t="str">
            <v>INF194KB1BH0</v>
          </cell>
          <cell r="C1030" t="str">
            <v>INF194KB1BI8</v>
          </cell>
          <cell r="D1030" t="str">
            <v>BANDHAN FLOATER FUND  - DIRECT PLAN PERIODIC IDCW</v>
          </cell>
          <cell r="E1030">
            <v>13.828799999999999</v>
          </cell>
        </row>
        <row r="1031">
          <cell r="B1031" t="str">
            <v>INF194KB1BF4</v>
          </cell>
          <cell r="C1031" t="str">
            <v>INF194KB1BG2</v>
          </cell>
          <cell r="D1031" t="str">
            <v>BANDHAN FLOATER FUND  - DIRECT PLAN QUARTERLY IDCW</v>
          </cell>
          <cell r="E1031">
            <v>10.4552</v>
          </cell>
        </row>
        <row r="1032">
          <cell r="B1032" t="str">
            <v>-</v>
          </cell>
          <cell r="C1032" t="str">
            <v>INF194KB1BC1</v>
          </cell>
          <cell r="D1032" t="str">
            <v>BANDHAN FLOATER FUND  - DIRECT PLAN WEEKLY IDCW</v>
          </cell>
          <cell r="E1032">
            <v>10.125400000000001</v>
          </cell>
        </row>
        <row r="1033">
          <cell r="B1033" t="str">
            <v>INF194KB1AY7</v>
          </cell>
          <cell r="C1033" t="str">
            <v>INF194KB1AZ4</v>
          </cell>
          <cell r="D1033" t="str">
            <v>BANDHAN FLOATER FUND  - REGULAR PLAN ANNUAL IDCW</v>
          </cell>
          <cell r="E1033">
            <v>10.418100000000001</v>
          </cell>
        </row>
        <row r="1034">
          <cell r="B1034" t="str">
            <v>-</v>
          </cell>
          <cell r="C1034" t="str">
            <v>INF194KB1AQ3</v>
          </cell>
          <cell r="D1034" t="str">
            <v>BANDHAN FLOATER FUND  - REGULAR PLAN DAILY IDCW</v>
          </cell>
          <cell r="E1034">
            <v>10.119199999999999</v>
          </cell>
        </row>
        <row r="1035">
          <cell r="B1035" t="str">
            <v>INF194KB1AP5</v>
          </cell>
          <cell r="C1035" t="str">
            <v>-</v>
          </cell>
          <cell r="D1035" t="str">
            <v>BANDHAN FLOATER FUND  - REGULAR PLAN GROWTH</v>
          </cell>
          <cell r="E1035">
            <v>13.75</v>
          </cell>
        </row>
        <row r="1036">
          <cell r="B1036" t="str">
            <v>INF194KB1AS9</v>
          </cell>
          <cell r="C1036" t="str">
            <v>INF194KB1AT7</v>
          </cell>
          <cell r="D1036" t="str">
            <v>BANDHAN FLOATER FUND  - REGULAR PLAN MONTHLY IDCW</v>
          </cell>
          <cell r="E1036">
            <v>10.150600000000001</v>
          </cell>
        </row>
        <row r="1037">
          <cell r="B1037" t="str">
            <v>INF194KB1AW1</v>
          </cell>
          <cell r="C1037" t="str">
            <v>INF194KB1AX9</v>
          </cell>
          <cell r="D1037" t="str">
            <v>BANDHAN FLOATER FUND  - REGULAR PLAN PERIODIC IDCW</v>
          </cell>
          <cell r="E1037">
            <v>13.7516</v>
          </cell>
        </row>
        <row r="1038">
          <cell r="B1038" t="str">
            <v>INF194KB1AU5</v>
          </cell>
          <cell r="C1038" t="str">
            <v>INF194KB1AV3</v>
          </cell>
          <cell r="D1038" t="str">
            <v>BANDHAN FLOATER FUND  - REGULAR PLAN QUARTERLY IDCW</v>
          </cell>
          <cell r="E1038">
            <v>10.420999999999999</v>
          </cell>
        </row>
        <row r="1039">
          <cell r="B1039" t="str">
            <v>-</v>
          </cell>
          <cell r="C1039" t="str">
            <v>INF194KB1AR1</v>
          </cell>
          <cell r="D1039" t="str">
            <v>BANDHAN FLOATER FUND  - REGULAR PLAN WEEKLY IDCW</v>
          </cell>
          <cell r="E1039">
            <v>10.122199999999999</v>
          </cell>
        </row>
        <row r="1040">
          <cell r="B1040" t="str">
            <v>INF194KB1BJ6</v>
          </cell>
          <cell r="C1040" t="str">
            <v>INF194KB1BK4</v>
          </cell>
          <cell r="D1040" t="str">
            <v>BANDHAN FLOATER FUND- DIRECT PLAN ANNUAL IDCW</v>
          </cell>
          <cell r="E1040">
            <v>10.450799999999999</v>
          </cell>
        </row>
        <row r="1041">
          <cell r="B1041" t="str">
            <v/>
          </cell>
          <cell r="C1041" t="str">
            <v/>
          </cell>
          <cell r="D1041" t="str">
            <v/>
          </cell>
        </row>
        <row r="1042">
          <cell r="B1042" t="str">
            <v/>
          </cell>
          <cell r="C1042" t="str">
            <v/>
          </cell>
          <cell r="D1042" t="str">
            <v/>
          </cell>
        </row>
        <row r="1043">
          <cell r="B1043" t="str">
            <v/>
          </cell>
          <cell r="C1043" t="str">
            <v/>
          </cell>
          <cell r="D1043" t="str">
            <v/>
          </cell>
        </row>
        <row r="1044">
          <cell r="B1044" t="str">
            <v>INF740KA1PV1</v>
          </cell>
          <cell r="C1044" t="str">
            <v>-</v>
          </cell>
          <cell r="D1044" t="str">
            <v>DSP Floater Fund - Direct Plan - Growth</v>
          </cell>
          <cell r="E1044">
            <v>14.237500000000001</v>
          </cell>
        </row>
        <row r="1045">
          <cell r="B1045" t="str">
            <v>INF740KA1PW9</v>
          </cell>
          <cell r="C1045" t="str">
            <v>INF740KA1PX7</v>
          </cell>
          <cell r="D1045" t="str">
            <v>DSP Floater Fund - Direct Plan - IDCW</v>
          </cell>
          <cell r="E1045">
            <v>14.237500000000001</v>
          </cell>
        </row>
        <row r="1046">
          <cell r="B1046" t="str">
            <v>INF740KA1PS7</v>
          </cell>
          <cell r="C1046" t="str">
            <v>-</v>
          </cell>
          <cell r="D1046" t="str">
            <v>DSP Floater Fund - Regular Plan - Growth</v>
          </cell>
          <cell r="E1046">
            <v>14.0288</v>
          </cell>
        </row>
        <row r="1047">
          <cell r="B1047" t="str">
            <v>INF740KA1PT5</v>
          </cell>
          <cell r="C1047" t="str">
            <v>INF740KA1PU3</v>
          </cell>
          <cell r="D1047" t="str">
            <v>DSP Floater Fund - Regular Plan - IDCW</v>
          </cell>
          <cell r="E1047">
            <v>14.0288</v>
          </cell>
        </row>
        <row r="1048">
          <cell r="B1048" t="str">
            <v/>
          </cell>
          <cell r="C1048" t="str">
            <v/>
          </cell>
          <cell r="D1048" t="str">
            <v/>
          </cell>
        </row>
        <row r="1049">
          <cell r="B1049" t="str">
            <v/>
          </cell>
          <cell r="C1049" t="str">
            <v/>
          </cell>
          <cell r="D1049" t="str">
            <v/>
          </cell>
        </row>
        <row r="1050">
          <cell r="B1050" t="str">
            <v/>
          </cell>
          <cell r="C1050" t="str">
            <v/>
          </cell>
          <cell r="D1050" t="str">
            <v/>
          </cell>
        </row>
        <row r="1051">
          <cell r="B1051" t="str">
            <v>INF090I01LK1</v>
          </cell>
          <cell r="C1051" t="str">
            <v>-</v>
          </cell>
          <cell r="D1051" t="str">
            <v>Franklin India Floating Rate Fund - Direct - Growth</v>
          </cell>
          <cell r="E1051">
            <v>47.845700000000001</v>
          </cell>
        </row>
        <row r="1052">
          <cell r="B1052" t="str">
            <v>INF090I01LL9</v>
          </cell>
          <cell r="C1052" t="str">
            <v>-</v>
          </cell>
          <cell r="D1052" t="str">
            <v xml:space="preserve">Franklin India Floating Rate Fund - Direct - IDCW </v>
          </cell>
          <cell r="E1052">
            <v>10.071199999999999</v>
          </cell>
        </row>
        <row r="1053">
          <cell r="B1053" t="str">
            <v>INF090I01LM7</v>
          </cell>
          <cell r="C1053" t="str">
            <v>-</v>
          </cell>
          <cell r="D1053" t="str">
            <v>Franklin India Floating Rate Fund - Growth Plan</v>
          </cell>
          <cell r="E1053">
            <v>43.502899999999997</v>
          </cell>
        </row>
        <row r="1054">
          <cell r="B1054" t="str">
            <v>INF090I01LN5</v>
          </cell>
          <cell r="C1054" t="str">
            <v>-</v>
          </cell>
          <cell r="D1054" t="str">
            <v xml:space="preserve">Franklin India Floating Rate Fund - IDCW </v>
          </cell>
          <cell r="E1054">
            <v>10.172499999999999</v>
          </cell>
        </row>
        <row r="1055">
          <cell r="B1055" t="str">
            <v/>
          </cell>
          <cell r="C1055" t="str">
            <v/>
          </cell>
          <cell r="D1055" t="str">
            <v/>
          </cell>
        </row>
        <row r="1056">
          <cell r="B1056" t="str">
            <v/>
          </cell>
          <cell r="C1056" t="str">
            <v/>
          </cell>
          <cell r="D1056" t="str">
            <v/>
          </cell>
        </row>
        <row r="1057">
          <cell r="B1057" t="str">
            <v/>
          </cell>
          <cell r="C1057" t="str">
            <v/>
          </cell>
          <cell r="D1057" t="str">
            <v/>
          </cell>
        </row>
        <row r="1058">
          <cell r="B1058" t="str">
            <v>-</v>
          </cell>
          <cell r="C1058" t="str">
            <v>INF179K01699</v>
          </cell>
          <cell r="D1058" t="str">
            <v>HDFC Floating Rate Debt Fund - Daily IDCW Option</v>
          </cell>
          <cell r="E1058">
            <v>10.0692</v>
          </cell>
        </row>
        <row r="1059">
          <cell r="B1059" t="str">
            <v>-</v>
          </cell>
          <cell r="C1059" t="str">
            <v>INF179KC1IU6</v>
          </cell>
          <cell r="D1059" t="str">
            <v>HDFC Floating Rate Debt Fund - Direct Plan - Daily IDCW</v>
          </cell>
          <cell r="E1059">
            <v>10.0702</v>
          </cell>
        </row>
        <row r="1060">
          <cell r="B1060" t="str">
            <v>INF179K01VQ4</v>
          </cell>
          <cell r="C1060" t="str">
            <v>-</v>
          </cell>
          <cell r="D1060" t="str">
            <v>HDFC Floating Rate Debt Fund - Direct Plan - Growth Option</v>
          </cell>
          <cell r="E1060">
            <v>54.5152</v>
          </cell>
        </row>
        <row r="1061">
          <cell r="B1061" t="str">
            <v>INF179K01VO9</v>
          </cell>
          <cell r="C1061" t="str">
            <v>INF179K01VP6</v>
          </cell>
          <cell r="D1061" t="str">
            <v>HDFC Floating Rate Debt Fund - Direct Plan - Monthly IDCW</v>
          </cell>
          <cell r="E1061">
            <v>10.163600000000001</v>
          </cell>
        </row>
        <row r="1062">
          <cell r="B1062" t="str">
            <v>INF179KC1IW2</v>
          </cell>
          <cell r="C1062" t="str">
            <v>-</v>
          </cell>
          <cell r="D1062" t="str">
            <v>HDFC Floating Rate Debt Fund - Direct Plan - Weekly IDCW</v>
          </cell>
          <cell r="E1062">
            <v>10.029299999999999</v>
          </cell>
        </row>
        <row r="1063">
          <cell r="B1063" t="str">
            <v>INF179K01707</v>
          </cell>
          <cell r="C1063" t="str">
            <v>-</v>
          </cell>
          <cell r="D1063" t="str">
            <v>HDFC Floating Rate Debt Fund - Growth Option</v>
          </cell>
          <cell r="E1063">
            <v>53.310600000000001</v>
          </cell>
        </row>
        <row r="1064">
          <cell r="B1064" t="str">
            <v>INF179K01715</v>
          </cell>
          <cell r="C1064" t="str">
            <v>INF179K01723</v>
          </cell>
          <cell r="D1064" t="str">
            <v>HDFC Floating Rate Debt Fund - Monthly IDCW Option</v>
          </cell>
          <cell r="E1064">
            <v>10.162100000000001</v>
          </cell>
        </row>
        <row r="1065">
          <cell r="B1065" t="str">
            <v>INF179K01731</v>
          </cell>
          <cell r="C1065" t="str">
            <v>INF179KC1IV4</v>
          </cell>
          <cell r="D1065" t="str">
            <v>HDFC Floating Rate Debt Fund - Weekly IDCW Option</v>
          </cell>
          <cell r="E1065">
            <v>10.0283</v>
          </cell>
        </row>
        <row r="1066">
          <cell r="B1066" t="str">
            <v/>
          </cell>
          <cell r="C1066" t="str">
            <v/>
          </cell>
          <cell r="D1066" t="str">
            <v/>
          </cell>
        </row>
        <row r="1067">
          <cell r="B1067" t="str">
            <v/>
          </cell>
          <cell r="C1067" t="str">
            <v/>
          </cell>
          <cell r="D1067" t="str">
            <v/>
          </cell>
        </row>
        <row r="1068">
          <cell r="B1068" t="str">
            <v/>
          </cell>
          <cell r="C1068" t="str">
            <v/>
          </cell>
          <cell r="D1068" t="str">
            <v/>
          </cell>
        </row>
        <row r="1069">
          <cell r="B1069" t="str">
            <v>INF109KA1I43</v>
          </cell>
          <cell r="C1069" t="str">
            <v>-</v>
          </cell>
          <cell r="D1069" t="str">
            <v>ICICI Prudential Floating Interest Fund - Bonus</v>
          </cell>
          <cell r="E1069">
            <v>151.7062</v>
          </cell>
        </row>
        <row r="1070">
          <cell r="B1070" t="str">
            <v>INF109K01AW3</v>
          </cell>
          <cell r="C1070" t="str">
            <v>-</v>
          </cell>
          <cell r="D1070" t="str">
            <v>ICICI Prudential Floating Interest Fund - Daily IDCW</v>
          </cell>
          <cell r="E1070">
            <v>100.79510000000001</v>
          </cell>
        </row>
        <row r="1071">
          <cell r="B1071" t="str">
            <v>-</v>
          </cell>
          <cell r="C1071" t="str">
            <v>INF109K01P24</v>
          </cell>
          <cell r="D1071" t="str">
            <v>ICICI Prudential Floating Interest Fund - Direct Plan - Daily IDCW</v>
          </cell>
          <cell r="E1071">
            <v>100.1305</v>
          </cell>
        </row>
        <row r="1072">
          <cell r="B1072" t="str">
            <v>INF109K01P40</v>
          </cell>
          <cell r="C1072" t="str">
            <v>-</v>
          </cell>
          <cell r="D1072" t="str">
            <v>ICICI Prudential Floating Interest Fund - Direct Plan - Fortnightly IDCW</v>
          </cell>
          <cell r="E1072">
            <v>101.9935</v>
          </cell>
        </row>
        <row r="1073">
          <cell r="B1073" t="str">
            <v>INF109K01P57</v>
          </cell>
          <cell r="C1073" t="str">
            <v>-</v>
          </cell>
          <cell r="D1073" t="str">
            <v>ICICI Prudential Floating Interest Fund - Direct Plan - Growth</v>
          </cell>
          <cell r="E1073">
            <v>498.36610000000002</v>
          </cell>
        </row>
        <row r="1074">
          <cell r="B1074" t="str">
            <v>INF109K01P65</v>
          </cell>
          <cell r="C1074" t="str">
            <v>INF109K01P32</v>
          </cell>
          <cell r="D1074" t="str">
            <v>ICICI Prudential Floating Interest Fund - Direct Plan - IDCW Others</v>
          </cell>
          <cell r="E1074">
            <v>213.0685</v>
          </cell>
        </row>
        <row r="1075">
          <cell r="B1075" t="str">
            <v>INF109K018Z6</v>
          </cell>
          <cell r="C1075" t="str">
            <v>INF109K017Z8</v>
          </cell>
          <cell r="D1075" t="str">
            <v>ICICI Prudential Floating Interest Fund - Direct Plan - Monthly IDCW</v>
          </cell>
          <cell r="E1075">
            <v>102.65649999999999</v>
          </cell>
        </row>
        <row r="1076">
          <cell r="B1076" t="str">
            <v>INF109KA1012</v>
          </cell>
          <cell r="C1076" t="str">
            <v>INF109K019Z4</v>
          </cell>
          <cell r="D1076" t="str">
            <v>ICICI Prudential Floating Interest Fund - Direct Plan - Quarterly IDCW</v>
          </cell>
          <cell r="E1076">
            <v>108.6397</v>
          </cell>
        </row>
        <row r="1077">
          <cell r="B1077" t="str">
            <v>INF109K01P73</v>
          </cell>
          <cell r="C1077" t="str">
            <v>INF109K01P81</v>
          </cell>
          <cell r="D1077" t="str">
            <v>ICICI Prudential Floating Interest Fund - Direct Plan - Weekly IDCW</v>
          </cell>
          <cell r="E1077">
            <v>102.2187</v>
          </cell>
        </row>
        <row r="1078">
          <cell r="B1078" t="str">
            <v>INF109K01AZ6</v>
          </cell>
          <cell r="C1078" t="str">
            <v>-</v>
          </cell>
          <cell r="D1078" t="str">
            <v>ICICI Prudential Floating Interest Fund - Fortnightly IDCW</v>
          </cell>
          <cell r="E1078">
            <v>101.99079999999999</v>
          </cell>
        </row>
        <row r="1079">
          <cell r="B1079" t="str">
            <v>INF109K01AX1</v>
          </cell>
          <cell r="C1079" t="str">
            <v>-</v>
          </cell>
          <cell r="D1079" t="str">
            <v>ICICI Prudential Floating Interest Fund - Growth</v>
          </cell>
          <cell r="E1079">
            <v>453.4486</v>
          </cell>
        </row>
        <row r="1080">
          <cell r="B1080" t="str">
            <v>INF109K01WQ9</v>
          </cell>
          <cell r="C1080" t="str">
            <v>INF109K01WP1</v>
          </cell>
          <cell r="D1080" t="str">
            <v>ICICI Prudential Floating Interest Fund - IDCW Others</v>
          </cell>
          <cell r="E1080">
            <v>200.16419999999999</v>
          </cell>
        </row>
        <row r="1081">
          <cell r="B1081" t="str">
            <v>INF109KA1038</v>
          </cell>
          <cell r="C1081" t="str">
            <v>INF109KA1020</v>
          </cell>
          <cell r="D1081" t="str">
            <v>ICICI Prudential Floating Interest Fund - Monthly IDCW</v>
          </cell>
          <cell r="E1081">
            <v>103.1015</v>
          </cell>
        </row>
        <row r="1082">
          <cell r="B1082" t="str">
            <v>INF109KA1053</v>
          </cell>
          <cell r="C1082" t="str">
            <v>INF109KA1046</v>
          </cell>
          <cell r="D1082" t="str">
            <v>ICICI Prudential Floating Interest Fund - Quarterly IDCW</v>
          </cell>
          <cell r="E1082">
            <v>107.1895</v>
          </cell>
        </row>
        <row r="1083">
          <cell r="B1083" t="str">
            <v>INF109K01EN4</v>
          </cell>
          <cell r="C1083" t="str">
            <v>INF109K01AY9</v>
          </cell>
          <cell r="D1083" t="str">
            <v>ICICI Prudential Floating Interest Fund - Weekly IDCW</v>
          </cell>
          <cell r="E1083">
            <v>102.1939</v>
          </cell>
        </row>
        <row r="1084">
          <cell r="B1084" t="str">
            <v>INF109K01928</v>
          </cell>
          <cell r="C1084" t="str">
            <v>-</v>
          </cell>
          <cell r="D1084" t="str">
            <v>ICICI Prudential Floating Interest Fund Plan A - Dividend Daily</v>
          </cell>
          <cell r="E1084">
            <v>100.02509999999999</v>
          </cell>
        </row>
        <row r="1085">
          <cell r="B1085" t="str">
            <v>INF109K01910</v>
          </cell>
          <cell r="C1085" t="str">
            <v>-</v>
          </cell>
          <cell r="D1085" t="str">
            <v>ICICI Prudential Floating Interest Fund Plan A - Fortnightly Dividend</v>
          </cell>
          <cell r="E1085">
            <v>101.39879999999999</v>
          </cell>
        </row>
        <row r="1086">
          <cell r="B1086" t="str">
            <v>INF109K01936</v>
          </cell>
          <cell r="C1086" t="str">
            <v>-</v>
          </cell>
          <cell r="D1086" t="str">
            <v>ICICI Prudential Floating Interest Fund Plan A - Growth</v>
          </cell>
          <cell r="E1086">
            <v>300.7518</v>
          </cell>
        </row>
        <row r="1087">
          <cell r="B1087" t="str">
            <v>INF109K01EK0</v>
          </cell>
          <cell r="C1087" t="str">
            <v>INF109K01944</v>
          </cell>
          <cell r="D1087" t="str">
            <v>ICICI Prudential Floating Interest Fund Plan A - Weekly Dividend Option</v>
          </cell>
          <cell r="E1087">
            <v>101.18210000000001</v>
          </cell>
        </row>
        <row r="1088">
          <cell r="B1088" t="str">
            <v>INF109K01951</v>
          </cell>
          <cell r="C1088" t="str">
            <v>-</v>
          </cell>
          <cell r="D1088" t="str">
            <v>ICICI Prudential Floating Interest Fund Plan B - Dividend Daily</v>
          </cell>
          <cell r="E1088">
            <v>100.02500000000001</v>
          </cell>
        </row>
        <row r="1089">
          <cell r="B1089" t="str">
            <v>INF109K01969</v>
          </cell>
          <cell r="C1089" t="str">
            <v>-</v>
          </cell>
          <cell r="D1089" t="str">
            <v>ICICI Prudential Floating Interest Fund Plan B - Fortnightly Dividend</v>
          </cell>
          <cell r="E1089">
            <v>101.39700000000001</v>
          </cell>
        </row>
        <row r="1090">
          <cell r="B1090" t="str">
            <v>INF109K01977</v>
          </cell>
          <cell r="C1090" t="str">
            <v>-</v>
          </cell>
          <cell r="D1090" t="str">
            <v>ICICI Prudential Floating Interest Fund Plan B - Growth</v>
          </cell>
          <cell r="E1090">
            <v>324.74009999999998</v>
          </cell>
        </row>
        <row r="1091">
          <cell r="B1091" t="str">
            <v>INF109K01EL8</v>
          </cell>
          <cell r="C1091" t="str">
            <v>INF109K01985</v>
          </cell>
          <cell r="D1091" t="str">
            <v>ICICI Prudential Floating Interest Fund Plan B - Weekly Dividend Option</v>
          </cell>
          <cell r="E1091">
            <v>101.18219999999999</v>
          </cell>
        </row>
        <row r="1092">
          <cell r="B1092" t="str">
            <v>INF109K01AA9</v>
          </cell>
          <cell r="C1092" t="str">
            <v>-</v>
          </cell>
          <cell r="D1092" t="str">
            <v>ICICI Prudential Floating Interest Fund Plan C - Dividend Daily</v>
          </cell>
          <cell r="E1092">
            <v>100.94029999999999</v>
          </cell>
        </row>
        <row r="1093">
          <cell r="B1093" t="str">
            <v>INF109K01993</v>
          </cell>
          <cell r="C1093" t="str">
            <v>-</v>
          </cell>
          <cell r="D1093" t="str">
            <v>ICICI Prudential Floating Interest Fund Plan C - Fortnightly Dividend</v>
          </cell>
          <cell r="E1093">
            <v>101.39660000000001</v>
          </cell>
        </row>
        <row r="1094">
          <cell r="B1094" t="str">
            <v>INF109K01AB7</v>
          </cell>
          <cell r="C1094" t="str">
            <v>-</v>
          </cell>
          <cell r="D1094" t="str">
            <v>ICICI Prudential Savings Fund Plan C - Growth</v>
          </cell>
          <cell r="E1094">
            <v>218.16319999999999</v>
          </cell>
        </row>
        <row r="1095">
          <cell r="B1095" t="str">
            <v>INF109K01EM6</v>
          </cell>
          <cell r="C1095" t="str">
            <v>INF109K01AC5</v>
          </cell>
          <cell r="D1095" t="str">
            <v>ICICI Prudential Savings Fund Plan C - Weekly Dividend Option</v>
          </cell>
          <cell r="E1095">
            <v>101.3043</v>
          </cell>
        </row>
        <row r="1096">
          <cell r="B1096" t="str">
            <v/>
          </cell>
          <cell r="C1096" t="str">
            <v/>
          </cell>
          <cell r="D1096" t="str">
            <v/>
          </cell>
        </row>
        <row r="1097">
          <cell r="B1097" t="str">
            <v/>
          </cell>
          <cell r="C1097" t="str">
            <v/>
          </cell>
          <cell r="D1097" t="str">
            <v/>
          </cell>
        </row>
        <row r="1098">
          <cell r="B1098" t="str">
            <v/>
          </cell>
          <cell r="C1098" t="str">
            <v/>
          </cell>
          <cell r="D1098" t="str">
            <v/>
          </cell>
        </row>
        <row r="1099">
          <cell r="B1099" t="str">
            <v>INF174KA1EC0</v>
          </cell>
          <cell r="C1099" t="str">
            <v>-</v>
          </cell>
          <cell r="D1099" t="str">
            <v>KOTAK FLOATING RATE FUND-DIRECT PLAN-GROWTH OPTION</v>
          </cell>
          <cell r="E1099">
            <v>1657.3181999999999</v>
          </cell>
        </row>
        <row r="1100">
          <cell r="B1100" t="str">
            <v>-</v>
          </cell>
          <cell r="C1100" t="str">
            <v>INF174KA1EF3</v>
          </cell>
          <cell r="D1100" t="str">
            <v>KOTAK FLOATING RATE FUND-DIRECT PLAN-Standard Reinvestment of Income Distribution cum capital withdrawal option</v>
          </cell>
          <cell r="E1100">
            <v>1443.7799</v>
          </cell>
        </row>
        <row r="1101">
          <cell r="B1101" t="str">
            <v>INF174KA1DY6</v>
          </cell>
          <cell r="C1101" t="str">
            <v>-</v>
          </cell>
          <cell r="D1101" t="str">
            <v>KOTAK FLOATING RATE FUND-REGULAR PLAN-GROWTH OPTION</v>
          </cell>
          <cell r="E1101">
            <v>1612.3101999999999</v>
          </cell>
        </row>
        <row r="1102">
          <cell r="B1102" t="str">
            <v>-</v>
          </cell>
          <cell r="C1102" t="str">
            <v>INF174KA1EB2</v>
          </cell>
          <cell r="D1102" t="str">
            <v>KOTAK FLOATING RATE FUND-REGULAR PLAN-STANDARD Reinvestment of Income Distribution cum capital withdrawal option</v>
          </cell>
          <cell r="E1102">
            <v>1436.9146000000001</v>
          </cell>
        </row>
        <row r="1103">
          <cell r="B1103" t="str">
            <v/>
          </cell>
          <cell r="C1103" t="str">
            <v/>
          </cell>
          <cell r="D1103" t="str">
            <v/>
          </cell>
        </row>
        <row r="1104">
          <cell r="B1104" t="str">
            <v/>
          </cell>
          <cell r="C1104" t="str">
            <v/>
          </cell>
          <cell r="D1104" t="str">
            <v/>
          </cell>
        </row>
        <row r="1105">
          <cell r="B1105" t="str">
            <v/>
          </cell>
          <cell r="C1105" t="str">
            <v/>
          </cell>
          <cell r="D1105" t="str">
            <v/>
          </cell>
        </row>
        <row r="1106">
          <cell r="B1106" t="str">
            <v>INF204K01D14</v>
          </cell>
          <cell r="C1106" t="str">
            <v>INF204K01E13</v>
          </cell>
          <cell r="D1106" t="str">
            <v>NIPPON INDIA FLOATER  FUND - DIRECT Plan - WEEKLY IDCW Option</v>
          </cell>
          <cell r="E1106">
            <v>10.250400000000001</v>
          </cell>
        </row>
        <row r="1107">
          <cell r="B1107" t="str">
            <v>INF204K01E05</v>
          </cell>
          <cell r="C1107" t="str">
            <v>-</v>
          </cell>
          <cell r="D1107" t="str">
            <v>Nippon India Floater Fund  - Direct Plan Growth Plan - Growth Option</v>
          </cell>
          <cell r="E1107">
            <v>50.684600000000003</v>
          </cell>
        </row>
        <row r="1108">
          <cell r="B1108" t="str">
            <v>-</v>
          </cell>
          <cell r="C1108" t="str">
            <v>INF204K01CI7</v>
          </cell>
          <cell r="D1108" t="str">
            <v>NIPPON INDIA FLOATER FUND - DAILY IDCW REINVESTMENT Option</v>
          </cell>
          <cell r="E1108">
            <v>10.2441</v>
          </cell>
        </row>
        <row r="1109">
          <cell r="B1109" t="str">
            <v>-</v>
          </cell>
          <cell r="C1109" t="str">
            <v>INF204K01D71</v>
          </cell>
          <cell r="D1109" t="str">
            <v>NIPPON INDIA FLOATER FUND - DIRECT Plan - DAILY IDCW Option</v>
          </cell>
          <cell r="E1109">
            <v>10.2659</v>
          </cell>
        </row>
        <row r="1110">
          <cell r="B1110" t="str">
            <v>INF204KA1DU8</v>
          </cell>
          <cell r="C1110" t="str">
            <v>INF204KA1DV6</v>
          </cell>
          <cell r="D1110" t="str">
            <v>NIPPON INDIA FLOATER FUND - DIRECT Plan - IDCW Option</v>
          </cell>
          <cell r="E1110">
            <v>22.613099999999999</v>
          </cell>
        </row>
        <row r="1111">
          <cell r="B1111" t="str">
            <v>INF204K01D89</v>
          </cell>
          <cell r="C1111" t="str">
            <v>INF204K01D97</v>
          </cell>
          <cell r="D1111" t="str">
            <v>NIPPON INDIA FLOATER FUND - DIRECT Plan - MONTHLY IDCW Option</v>
          </cell>
          <cell r="E1111">
            <v>11.318</v>
          </cell>
        </row>
        <row r="1112">
          <cell r="B1112" t="str">
            <v>INF204K01C98</v>
          </cell>
          <cell r="C1112" t="str">
            <v>INF204K01D06</v>
          </cell>
          <cell r="D1112" t="str">
            <v>NIPPON INDIA FLOATER FUND - DIRECT Plan - QUARTERLY IDCW Option</v>
          </cell>
          <cell r="E1112">
            <v>10.9291</v>
          </cell>
        </row>
        <row r="1113">
          <cell r="B1113" t="str">
            <v>INF204K01CG1</v>
          </cell>
          <cell r="C1113" t="str">
            <v>-</v>
          </cell>
          <cell r="D1113" t="str">
            <v>Nippon India Floater Fund - Growth Plan-Growth Option</v>
          </cell>
          <cell r="E1113">
            <v>48.020699999999998</v>
          </cell>
        </row>
        <row r="1114">
          <cell r="B1114" t="str">
            <v>INF204KA1DS2</v>
          </cell>
          <cell r="C1114" t="str">
            <v>INF204KA1DT0</v>
          </cell>
          <cell r="D1114" t="str">
            <v>NIPPON INDIA FLOATER FUND - IDCW Option</v>
          </cell>
          <cell r="E1114">
            <v>21.682400000000001</v>
          </cell>
        </row>
        <row r="1115">
          <cell r="B1115" t="str">
            <v>INF204K01CH9</v>
          </cell>
          <cell r="C1115" t="str">
            <v>INF204K01CK3</v>
          </cell>
          <cell r="D1115" t="str">
            <v>NIPPON INDIA FLOATER FUND - MONTHLY IDCW Option</v>
          </cell>
          <cell r="E1115">
            <v>11.116899999999999</v>
          </cell>
        </row>
        <row r="1116">
          <cell r="B1116" t="str">
            <v>INF204K01HK2</v>
          </cell>
          <cell r="C1116" t="str">
            <v>INF204K01HL0</v>
          </cell>
          <cell r="D1116" t="str">
            <v>NIPPON INDIA FLOATER FUND - QUARTERLY IDCW Option</v>
          </cell>
          <cell r="E1116">
            <v>11.0289</v>
          </cell>
        </row>
        <row r="1117">
          <cell r="B1117" t="str">
            <v>INF204K01OQ5</v>
          </cell>
          <cell r="C1117" t="str">
            <v>INF204K01CJ5</v>
          </cell>
          <cell r="D1117" t="str">
            <v>NIPPON INDIA FLOATER FUND - WEEKLY IDCW Option</v>
          </cell>
          <cell r="E1117">
            <v>10.247</v>
          </cell>
        </row>
        <row r="1118">
          <cell r="B1118" t="str">
            <v/>
          </cell>
          <cell r="C1118" t="str">
            <v/>
          </cell>
          <cell r="D1118" t="str">
            <v/>
          </cell>
        </row>
        <row r="1119">
          <cell r="B1119" t="str">
            <v/>
          </cell>
          <cell r="C1119" t="str">
            <v/>
          </cell>
          <cell r="D1119" t="str">
            <v/>
          </cell>
        </row>
        <row r="1120">
          <cell r="B1120" t="str">
            <v/>
          </cell>
          <cell r="C1120" t="str">
            <v/>
          </cell>
          <cell r="D1120" t="str">
            <v/>
          </cell>
        </row>
        <row r="1121">
          <cell r="B1121" t="str">
            <v>INF200KA1R64</v>
          </cell>
          <cell r="C1121" t="str">
            <v>-</v>
          </cell>
          <cell r="D1121" t="str">
            <v>SBI Floating Rate Debt Fund - Direct Plan - Growth</v>
          </cell>
          <cell r="E1121">
            <v>14.416</v>
          </cell>
        </row>
        <row r="1122">
          <cell r="B1122" t="str">
            <v>INF200KA1R72</v>
          </cell>
          <cell r="C1122" t="str">
            <v>INF200KA1R80</v>
          </cell>
          <cell r="D1122" t="str">
            <v>SBI Floating Rate DEBT Fund - Direct Plan - Monthly Income Distribution cum Capital Withdrawal Option (IDCW)</v>
          </cell>
          <cell r="E1122">
            <v>14.415100000000001</v>
          </cell>
        </row>
        <row r="1123">
          <cell r="B1123" t="str">
            <v>INF200KA1R98</v>
          </cell>
          <cell r="C1123" t="str">
            <v>INF200KA1S06</v>
          </cell>
          <cell r="D1123" t="str">
            <v>SBI Floating Rate DEBT Fund - Direct Plan - Quarterly Income Distribution cum Capital Withdrawal Option (IDCW)</v>
          </cell>
          <cell r="E1123">
            <v>14.416499999999999</v>
          </cell>
        </row>
        <row r="1124">
          <cell r="B1124" t="str">
            <v>INF200KA1R15</v>
          </cell>
          <cell r="C1124" t="str">
            <v>-</v>
          </cell>
          <cell r="D1124" t="str">
            <v>SBI Floating Rate Debt Fund - Regular Plan - Growth</v>
          </cell>
          <cell r="E1124">
            <v>14.262</v>
          </cell>
        </row>
        <row r="1125">
          <cell r="B1125" t="str">
            <v>INF200KA1R23</v>
          </cell>
          <cell r="C1125" t="str">
            <v>INF200KA1R31</v>
          </cell>
          <cell r="D1125" t="str">
            <v>SBI Floating Rate DEBT Fund - Regular Plan - Monthly Income Distribution cum Capital Withdrawal Option (IDCW)</v>
          </cell>
          <cell r="E1125">
            <v>14.265700000000001</v>
          </cell>
        </row>
        <row r="1126">
          <cell r="B1126" t="str">
            <v>INF200KA1R49</v>
          </cell>
          <cell r="C1126" t="str">
            <v>INF200KA1R56</v>
          </cell>
          <cell r="D1126" t="str">
            <v>SBI Floating Rate DEBT Fund - Regular Plan - Quarterly Income Distribution cum Capital Withdrawal Option (IDCW)</v>
          </cell>
          <cell r="E1126">
            <v>14.2631</v>
          </cell>
        </row>
        <row r="1127">
          <cell r="B1127" t="str">
            <v/>
          </cell>
          <cell r="C1127" t="str">
            <v/>
          </cell>
          <cell r="D1127" t="str">
            <v/>
          </cell>
        </row>
        <row r="1128">
          <cell r="B1128" t="str">
            <v/>
          </cell>
          <cell r="C1128" t="str">
            <v/>
          </cell>
          <cell r="D1128" t="str">
            <v/>
          </cell>
        </row>
        <row r="1129">
          <cell r="B1129" t="str">
            <v/>
          </cell>
          <cell r="C1129" t="str">
            <v/>
          </cell>
          <cell r="D1129" t="str">
            <v/>
          </cell>
        </row>
        <row r="1130">
          <cell r="B1130" t="str">
            <v>INF277KA1026</v>
          </cell>
          <cell r="C1130" t="str">
            <v>-</v>
          </cell>
          <cell r="D1130" t="str">
            <v>Tata Floating Rate Fund -Direct Plan-Growth</v>
          </cell>
          <cell r="E1130">
            <v>13.8735</v>
          </cell>
        </row>
        <row r="1131">
          <cell r="B1131" t="str">
            <v>-</v>
          </cell>
          <cell r="C1131" t="str">
            <v>INF277KA1075</v>
          </cell>
          <cell r="D1131" t="str">
            <v>Tata Floating Rate Fund-Direct Plan-IDCW Monthly Dividend Reinvestment</v>
          </cell>
          <cell r="E1131">
            <v>13.8735</v>
          </cell>
        </row>
        <row r="1132">
          <cell r="B1132" t="str">
            <v>INF277KA1042</v>
          </cell>
          <cell r="C1132" t="str">
            <v>-</v>
          </cell>
          <cell r="D1132" t="str">
            <v>Tata Floating Rate Fund-Direct Plan-IDCW Monthly Payout</v>
          </cell>
          <cell r="E1132">
            <v>13.8735</v>
          </cell>
        </row>
        <row r="1133">
          <cell r="B1133" t="str">
            <v>-</v>
          </cell>
          <cell r="C1133" t="str">
            <v>INF277KA1067</v>
          </cell>
          <cell r="D1133" t="str">
            <v>Tata Floating Rate Fund-Direct Plan-IDCW Periodic Dividend Reinvestment</v>
          </cell>
          <cell r="E1133">
            <v>13.8735</v>
          </cell>
        </row>
        <row r="1134">
          <cell r="B1134" t="str">
            <v>INF277KA1034</v>
          </cell>
          <cell r="C1134" t="str">
            <v>-</v>
          </cell>
          <cell r="D1134" t="str">
            <v>Tata Floating Rate Fund-Direct Plan-IDCW Periodic Payout</v>
          </cell>
          <cell r="E1134">
            <v>13.8735</v>
          </cell>
        </row>
        <row r="1135">
          <cell r="B1135" t="str">
            <v>-</v>
          </cell>
          <cell r="C1135" t="str">
            <v>INF277KA1083</v>
          </cell>
          <cell r="D1135" t="str">
            <v>Tata Floating Rate Fund-Direct Plan-IDCW Quarterly Dividend Reinvestment</v>
          </cell>
          <cell r="E1135">
            <v>13.8735</v>
          </cell>
        </row>
        <row r="1136">
          <cell r="B1136" t="str">
            <v>INF277KA1059</v>
          </cell>
          <cell r="C1136" t="str">
            <v>-</v>
          </cell>
          <cell r="D1136" t="str">
            <v>Tata Floating Rate Fund-Direct Plan-IDCW Quarterly Payout</v>
          </cell>
          <cell r="E1136">
            <v>13.8735</v>
          </cell>
        </row>
        <row r="1137">
          <cell r="B1137" t="str">
            <v>INF277KA1091</v>
          </cell>
          <cell r="C1137" t="str">
            <v>-</v>
          </cell>
          <cell r="D1137" t="str">
            <v>Tata Floating Rate Fund-Regular Plan-Growth</v>
          </cell>
          <cell r="E1137">
            <v>13.574999999999999</v>
          </cell>
        </row>
        <row r="1138">
          <cell r="B1138" t="str">
            <v>-</v>
          </cell>
          <cell r="C1138" t="str">
            <v>INF277KA1141</v>
          </cell>
          <cell r="D1138" t="str">
            <v>Tata Floating Rate Fund-Regular Plan-IDCW Monthly Dividend Reinvestment</v>
          </cell>
          <cell r="E1138">
            <v>13.574999999999999</v>
          </cell>
        </row>
        <row r="1139">
          <cell r="B1139" t="str">
            <v>INF277KA1117</v>
          </cell>
          <cell r="C1139" t="str">
            <v>-</v>
          </cell>
          <cell r="D1139" t="str">
            <v>Tata Floating Rate Fund-Regular Plan-IDCW Monthly Payout</v>
          </cell>
          <cell r="E1139">
            <v>13.574999999999999</v>
          </cell>
        </row>
        <row r="1140">
          <cell r="B1140" t="str">
            <v>-</v>
          </cell>
          <cell r="C1140" t="str">
            <v>INF277KA1133</v>
          </cell>
          <cell r="D1140" t="str">
            <v>Tata Floating Rate Fund-Regular Plan-IDCW Periodic Dividend Reinvestment</v>
          </cell>
          <cell r="E1140">
            <v>13.574999999999999</v>
          </cell>
        </row>
        <row r="1141">
          <cell r="B1141" t="str">
            <v>INF277KA1109</v>
          </cell>
          <cell r="C1141" t="str">
            <v>-</v>
          </cell>
          <cell r="D1141" t="str">
            <v>Tata Floating Rate Fund-Regular Plan-IDCW Periodic Payout</v>
          </cell>
          <cell r="E1141">
            <v>13.574999999999999</v>
          </cell>
        </row>
        <row r="1142">
          <cell r="B1142" t="str">
            <v>-</v>
          </cell>
          <cell r="C1142" t="str">
            <v>INF277KA1158</v>
          </cell>
          <cell r="D1142" t="str">
            <v>Tata Floating Rate Fund-Regular Plan-IDCW Quarterly Dividend Reinvestment</v>
          </cell>
          <cell r="E1142">
            <v>13.574999999999999</v>
          </cell>
        </row>
        <row r="1143">
          <cell r="B1143" t="str">
            <v>INF277KA1125</v>
          </cell>
          <cell r="C1143" t="str">
            <v>-</v>
          </cell>
          <cell r="D1143" t="str">
            <v>Tata Floating Rate Fund-Regular Plan-IDCW Quarterly Payout</v>
          </cell>
          <cell r="E1143">
            <v>13.574999999999999</v>
          </cell>
        </row>
        <row r="1144">
          <cell r="B1144" t="str">
            <v/>
          </cell>
          <cell r="C1144" t="str">
            <v/>
          </cell>
          <cell r="D1144" t="str">
            <v/>
          </cell>
        </row>
        <row r="1145">
          <cell r="B1145" t="str">
            <v/>
          </cell>
          <cell r="C1145" t="str">
            <v/>
          </cell>
          <cell r="D1145" t="str">
            <v/>
          </cell>
        </row>
        <row r="1146">
          <cell r="B1146" t="str">
            <v/>
          </cell>
          <cell r="C1146" t="str">
            <v/>
          </cell>
          <cell r="D1146" t="str">
            <v/>
          </cell>
        </row>
        <row r="1147">
          <cell r="B1147" t="str">
            <v>INF789F1ACX5</v>
          </cell>
          <cell r="C1147" t="str">
            <v>-</v>
          </cell>
          <cell r="D1147" t="str">
            <v>UTI - Floater Fund - Direct Plan - Growth Option</v>
          </cell>
          <cell r="E1147">
            <v>1671.0555999999999</v>
          </cell>
        </row>
        <row r="1148">
          <cell r="B1148" t="str">
            <v>INF789F1ACO4</v>
          </cell>
          <cell r="C1148" t="str">
            <v>-</v>
          </cell>
          <cell r="D1148" t="str">
            <v>UTI - Floater Fund - Regular Plan  - Growth Option</v>
          </cell>
          <cell r="E1148">
            <v>1589.7446</v>
          </cell>
        </row>
        <row r="1149">
          <cell r="B1149" t="str">
            <v>INF789F1ADA1</v>
          </cell>
          <cell r="C1149" t="str">
            <v>INF789F1ADB9</v>
          </cell>
          <cell r="D1149" t="str">
            <v>UTI Floater Fund - Direct Plan - Annual IDCW</v>
          </cell>
          <cell r="E1149">
            <v>1529.7179000000001</v>
          </cell>
        </row>
        <row r="1150">
          <cell r="B1150" t="str">
            <v>INF789F1ADE3</v>
          </cell>
          <cell r="C1150" t="str">
            <v>INF789F1ADF0</v>
          </cell>
          <cell r="D1150" t="str">
            <v>UTI Floater Fund - Direct Plan - Flexi IDCW</v>
          </cell>
          <cell r="E1150">
            <v>1574.2618</v>
          </cell>
        </row>
        <row r="1151">
          <cell r="B1151" t="str">
            <v>INF789F1ADC7</v>
          </cell>
          <cell r="C1151" t="str">
            <v>INF789F1ADD5</v>
          </cell>
          <cell r="D1151" t="str">
            <v>UTI Floater Fund - Direct Plan - Half-Yearly IDCW</v>
          </cell>
          <cell r="E1151">
            <v>1523.1697999999999</v>
          </cell>
        </row>
        <row r="1152">
          <cell r="B1152" t="str">
            <v>INF789F1ACY3</v>
          </cell>
          <cell r="C1152" t="str">
            <v>INF789F1ACZ0</v>
          </cell>
          <cell r="D1152" t="str">
            <v>UTI Floater Fund - Direct Plan - Quarterly IDCW</v>
          </cell>
          <cell r="E1152">
            <v>1423.0827999999999</v>
          </cell>
        </row>
        <row r="1153">
          <cell r="B1153" t="str">
            <v>INF789F1ACR7</v>
          </cell>
          <cell r="C1153" t="str">
            <v>INF789F1ACS5</v>
          </cell>
          <cell r="D1153" t="str">
            <v>UTI Floater Fund - Regular Plan - Annual IDCW</v>
          </cell>
          <cell r="E1153">
            <v>1509.7662</v>
          </cell>
        </row>
        <row r="1154">
          <cell r="B1154" t="str">
            <v>INF789F1ACV9</v>
          </cell>
          <cell r="C1154" t="str">
            <v>INF789F1ACW7</v>
          </cell>
          <cell r="D1154" t="str">
            <v>UTI Floater Fund - Regular Plan - Flexi IDCW</v>
          </cell>
          <cell r="E1154">
            <v>1453.3076000000001</v>
          </cell>
        </row>
        <row r="1155">
          <cell r="B1155" t="str">
            <v>INF789F1ACT3</v>
          </cell>
          <cell r="C1155" t="str">
            <v>INF789F1ACU1</v>
          </cell>
          <cell r="D1155" t="str">
            <v>UTI Floater Fund - Regular Plan - Half-Yearly IDCW</v>
          </cell>
          <cell r="E1155">
            <v>1403.9872</v>
          </cell>
        </row>
        <row r="1156">
          <cell r="B1156" t="str">
            <v>INF789F1ACP1</v>
          </cell>
          <cell r="C1156" t="str">
            <v>INF789F1ACQ9</v>
          </cell>
          <cell r="D1156" t="str">
            <v>UTI Floater Fund - Regular Plan - Quarterly IDCW</v>
          </cell>
          <cell r="E1156">
            <v>1287.7815000000001</v>
          </cell>
        </row>
        <row r="1157">
          <cell r="B1157" t="str">
            <v/>
          </cell>
          <cell r="C1157" t="str">
            <v/>
          </cell>
          <cell r="D1157" t="str">
            <v/>
          </cell>
        </row>
        <row r="1158">
          <cell r="B1158" t="str">
            <v/>
          </cell>
          <cell r="C1158" t="str">
            <v/>
          </cell>
          <cell r="D1158" t="str">
            <v/>
          </cell>
        </row>
        <row r="1159">
          <cell r="B1159" t="str">
            <v/>
          </cell>
          <cell r="C1159" t="str">
            <v/>
          </cell>
          <cell r="D1159" t="str">
            <v/>
          </cell>
        </row>
        <row r="1160">
          <cell r="B1160" t="str">
            <v/>
          </cell>
          <cell r="C1160" t="str">
            <v/>
          </cell>
          <cell r="D1160" t="str">
            <v/>
          </cell>
        </row>
        <row r="1161">
          <cell r="B1161" t="str">
            <v/>
          </cell>
          <cell r="C1161" t="str">
            <v/>
          </cell>
          <cell r="D1161" t="str">
            <v/>
          </cell>
        </row>
        <row r="1162">
          <cell r="B1162" t="str">
            <v>INF209KA1LC4</v>
          </cell>
          <cell r="C1162" t="str">
            <v>INF209K01XR3</v>
          </cell>
          <cell r="D1162" t="str">
            <v>Aditya Birla Sun Life Govenment Securities Fund -DIRECT - Quarterly IDCW</v>
          </cell>
          <cell r="E1162">
            <v>11.5997</v>
          </cell>
        </row>
        <row r="1163">
          <cell r="B1163" t="str">
            <v>INF209K01AF6</v>
          </cell>
          <cell r="C1163" t="str">
            <v>INF209K01DP9</v>
          </cell>
          <cell r="D1163" t="str">
            <v>Aditya Birla Sun Life Govenment Securities Fund -Regular - Quarterly IDCW</v>
          </cell>
          <cell r="E1163">
            <v>10.803800000000001</v>
          </cell>
        </row>
        <row r="1164">
          <cell r="B1164" t="str">
            <v>INF209K01AC3</v>
          </cell>
          <cell r="C1164" t="str">
            <v>INF209K01AD1</v>
          </cell>
          <cell r="D1164" t="str">
            <v>Aditya Birla Sun Life Government Securities Fund  - Growth - Regular Plan</v>
          </cell>
          <cell r="E1164">
            <v>81.8904</v>
          </cell>
        </row>
        <row r="1165">
          <cell r="B1165" t="str">
            <v>INF209K01XP7</v>
          </cell>
          <cell r="C1165" t="str">
            <v>-</v>
          </cell>
          <cell r="D1165" t="str">
            <v>Aditya Birla Sun Life Government Securities Fund - Growth - Direct Plan</v>
          </cell>
          <cell r="E1165">
            <v>88.579599999999999</v>
          </cell>
        </row>
        <row r="1166">
          <cell r="B1166" t="str">
            <v/>
          </cell>
          <cell r="C1166" t="str">
            <v/>
          </cell>
          <cell r="D1166" t="str">
            <v/>
          </cell>
        </row>
        <row r="1167">
          <cell r="B1167" t="str">
            <v/>
          </cell>
          <cell r="C1167" t="str">
            <v/>
          </cell>
          <cell r="D1167" t="str">
            <v/>
          </cell>
        </row>
        <row r="1168">
          <cell r="B1168" t="str">
            <v/>
          </cell>
          <cell r="C1168" t="str">
            <v/>
          </cell>
          <cell r="D1168" t="str">
            <v/>
          </cell>
        </row>
        <row r="1169">
          <cell r="B1169" t="str">
            <v>INF846K01NJ0</v>
          </cell>
          <cell r="C1169" t="str">
            <v>-</v>
          </cell>
          <cell r="D1169" t="str">
            <v>Axis Gilt Fund - Direct Plan - Bonus Option</v>
          </cell>
          <cell r="E1169">
            <v>14.735200000000001</v>
          </cell>
        </row>
        <row r="1170">
          <cell r="B1170" t="str">
            <v>INF846K01DD4</v>
          </cell>
          <cell r="C1170" t="str">
            <v>-</v>
          </cell>
          <cell r="D1170" t="str">
            <v>Axis Gilt Fund - Direct Plan - Growth Option</v>
          </cell>
          <cell r="E1170">
            <v>28.521100000000001</v>
          </cell>
        </row>
        <row r="1171">
          <cell r="B1171" t="str">
            <v>INF846K01DF9</v>
          </cell>
          <cell r="C1171" t="str">
            <v>INF846K01DE2</v>
          </cell>
          <cell r="D1171" t="str">
            <v>Axis Gilt Fund - Direct Plan - Half Yearly IDCW</v>
          </cell>
          <cell r="E1171">
            <v>12.617000000000001</v>
          </cell>
        </row>
        <row r="1172">
          <cell r="B1172" t="str">
            <v>INF846K01DG7</v>
          </cell>
          <cell r="C1172" t="str">
            <v>INF846K01DH5</v>
          </cell>
          <cell r="D1172" t="str">
            <v>Axis Gilt Fund - Direct Plan - Regular IDCW</v>
          </cell>
          <cell r="E1172">
            <v>10.079800000000001</v>
          </cell>
        </row>
        <row r="1173">
          <cell r="B1173" t="str">
            <v>INF846K01AX8</v>
          </cell>
          <cell r="C1173" t="str">
            <v>-</v>
          </cell>
          <cell r="D1173" t="str">
            <v>Axis Gilt Fund - Regular Plan - Growth Option</v>
          </cell>
          <cell r="E1173">
            <v>26.657900000000001</v>
          </cell>
        </row>
        <row r="1174">
          <cell r="B1174" t="str">
            <v>INF846K01AZ3</v>
          </cell>
          <cell r="C1174" t="str">
            <v>INF846K01BB2</v>
          </cell>
          <cell r="D1174" t="str">
            <v>Axis Gilt Fund - Regular Plan - Half Yearly IDCW</v>
          </cell>
          <cell r="E1174">
            <v>12.0656</v>
          </cell>
        </row>
        <row r="1175">
          <cell r="B1175" t="str">
            <v>INF846K01CK1</v>
          </cell>
          <cell r="C1175" t="str">
            <v>INF846K01CL9</v>
          </cell>
          <cell r="D1175" t="str">
            <v>Axis Gilt Fund - Regular Plan - Regular IDCW</v>
          </cell>
          <cell r="E1175">
            <v>10.0749</v>
          </cell>
        </row>
        <row r="1176">
          <cell r="B1176" t="str">
            <v/>
          </cell>
          <cell r="C1176" t="str">
            <v/>
          </cell>
          <cell r="D1176" t="str">
            <v/>
          </cell>
        </row>
        <row r="1177">
          <cell r="B1177" t="str">
            <v/>
          </cell>
          <cell r="C1177" t="str">
            <v/>
          </cell>
          <cell r="D1177" t="str">
            <v/>
          </cell>
        </row>
        <row r="1178">
          <cell r="B1178" t="str">
            <v/>
          </cell>
          <cell r="C1178" t="str">
            <v/>
          </cell>
          <cell r="D1178" t="str">
            <v/>
          </cell>
        </row>
        <row r="1179">
          <cell r="B1179" t="str">
            <v>INF0QA701AP9</v>
          </cell>
          <cell r="C1179" t="str">
            <v>-</v>
          </cell>
          <cell r="D1179" t="str">
            <v>Bajaj Finserv Gilt Fund - Direct - Growth</v>
          </cell>
          <cell r="E1179">
            <v>1073.8440000000001</v>
          </cell>
        </row>
        <row r="1180">
          <cell r="B1180" t="str">
            <v>INF0QA701AQ7</v>
          </cell>
          <cell r="C1180" t="str">
            <v>INF0QA701AR5</v>
          </cell>
          <cell r="D1180" t="str">
            <v>Bajaj Finserv Gilt Fund - Direct - IDCW</v>
          </cell>
          <cell r="E1180">
            <v>1073.8440000000001</v>
          </cell>
        </row>
        <row r="1181">
          <cell r="B1181" t="str">
            <v>INF0QA701AM6</v>
          </cell>
          <cell r="C1181" t="str">
            <v>-</v>
          </cell>
          <cell r="D1181" t="str">
            <v>Bajaj Finserv Gilt Fund - Regular - Growth</v>
          </cell>
          <cell r="E1181">
            <v>1060.6428000000001</v>
          </cell>
        </row>
        <row r="1182">
          <cell r="B1182" t="str">
            <v>INF0QA701AN4</v>
          </cell>
          <cell r="C1182" t="str">
            <v>INF0QA701AO2</v>
          </cell>
          <cell r="D1182" t="str">
            <v>Bajaj Finserv Gilt Fund - Regular - IDCW</v>
          </cell>
          <cell r="E1182">
            <v>1060.6428000000001</v>
          </cell>
        </row>
        <row r="1183">
          <cell r="B1183" t="str">
            <v/>
          </cell>
          <cell r="C1183" t="str">
            <v/>
          </cell>
          <cell r="D1183" t="str">
            <v/>
          </cell>
        </row>
        <row r="1184">
          <cell r="B1184" t="str">
            <v/>
          </cell>
          <cell r="C1184" t="str">
            <v/>
          </cell>
          <cell r="D1184" t="str">
            <v/>
          </cell>
        </row>
        <row r="1185">
          <cell r="B1185" t="str">
            <v/>
          </cell>
          <cell r="C1185" t="str">
            <v/>
          </cell>
          <cell r="D1185" t="str">
            <v/>
          </cell>
        </row>
        <row r="1186">
          <cell r="B1186" t="str">
            <v>INF194K01EH8</v>
          </cell>
          <cell r="C1186" t="str">
            <v>INF194K01EG0</v>
          </cell>
          <cell r="D1186" t="str">
            <v>Bandhan Gilt Fund - Regular Plan - Quarterly IDCW</v>
          </cell>
          <cell r="E1186">
            <v>11.9512</v>
          </cell>
        </row>
        <row r="1187">
          <cell r="B1187" t="str">
            <v>INF194K01Q78</v>
          </cell>
          <cell r="C1187" t="str">
            <v>INF194K01Q60</v>
          </cell>
          <cell r="D1187" t="str">
            <v>Bandhan Gilt Fund - Direct Plan - Annual IDCW</v>
          </cell>
          <cell r="E1187">
            <v>12.6829</v>
          </cell>
        </row>
        <row r="1188">
          <cell r="B1188" t="str">
            <v>INF194K01Q29</v>
          </cell>
          <cell r="C1188" t="str">
            <v>-</v>
          </cell>
          <cell r="D1188" t="str">
            <v>Bandhan Gilt Fund - Direct Plan - Growth</v>
          </cell>
          <cell r="E1188">
            <v>40.755699999999997</v>
          </cell>
        </row>
        <row r="1189">
          <cell r="B1189" t="str">
            <v>INF194K01Q45</v>
          </cell>
          <cell r="C1189" t="str">
            <v>INF194K01Q37</v>
          </cell>
          <cell r="D1189" t="str">
            <v>Bandhan Gilt Fund - Direct Plan - Half Yearly IDCW</v>
          </cell>
          <cell r="E1189">
            <v>12.6822</v>
          </cell>
        </row>
        <row r="1190">
          <cell r="B1190" t="str">
            <v>INF194K01R36</v>
          </cell>
          <cell r="C1190" t="str">
            <v>INF194K01R28</v>
          </cell>
          <cell r="D1190" t="str">
            <v>Bandhan Gilt Fund - Direct Plan - IDCW</v>
          </cell>
          <cell r="E1190">
            <v>15.7141</v>
          </cell>
        </row>
        <row r="1191">
          <cell r="B1191" t="str">
            <v>INF194KA1RZ9</v>
          </cell>
          <cell r="C1191" t="str">
            <v>INF194KA1SA0</v>
          </cell>
          <cell r="D1191" t="str">
            <v>Bandhan Gilt Fund - Direct Plan - Periodic IDCW</v>
          </cell>
          <cell r="E1191">
            <v>19.290600000000001</v>
          </cell>
        </row>
        <row r="1192">
          <cell r="B1192" t="str">
            <v>INF194K01R02</v>
          </cell>
          <cell r="C1192" t="str">
            <v>INF194K01Q94</v>
          </cell>
          <cell r="D1192" t="str">
            <v>Bandhan Gilt Fund - Direct Plan - Quarterly IDCW</v>
          </cell>
          <cell r="E1192">
            <v>11.656599999999999</v>
          </cell>
        </row>
        <row r="1193">
          <cell r="B1193" t="str">
            <v>INF194K01DZ2</v>
          </cell>
          <cell r="C1193" t="str">
            <v>-</v>
          </cell>
          <cell r="D1193" t="str">
            <v>Bandhan Gilt Fund - Regular Plan - Growth</v>
          </cell>
          <cell r="E1193">
            <v>37.453499999999998</v>
          </cell>
        </row>
        <row r="1194">
          <cell r="B1194" t="str">
            <v>INF194K01EK2</v>
          </cell>
          <cell r="C1194" t="str">
            <v>INF194K01EJ4</v>
          </cell>
          <cell r="D1194" t="str">
            <v>Bandhan Gilt Fund - Regular Plan - IDCW</v>
          </cell>
          <cell r="E1194">
            <v>14.1145</v>
          </cell>
        </row>
        <row r="1195">
          <cell r="B1195" t="str">
            <v>INF194KA1RW6</v>
          </cell>
          <cell r="C1195" t="str">
            <v>INF194KA1RX4</v>
          </cell>
          <cell r="D1195" t="str">
            <v>Bandhan Gilt Fund - Regular Plan B - Periodic IDCW</v>
          </cell>
          <cell r="E1195">
            <v>17.593399999999999</v>
          </cell>
        </row>
        <row r="1196">
          <cell r="B1196" t="str">
            <v>INF194K01EE5</v>
          </cell>
          <cell r="C1196" t="str">
            <v>INF194K01ED7</v>
          </cell>
          <cell r="D1196" t="str">
            <v>Bandhan Gilt Fund - Regular Plan - Annual IDCW</v>
          </cell>
          <cell r="E1196">
            <v>11.557399999999999</v>
          </cell>
        </row>
        <row r="1197">
          <cell r="B1197" t="str">
            <v>INF194K01EB1</v>
          </cell>
          <cell r="C1197" t="str">
            <v>INF194K01EA3</v>
          </cell>
          <cell r="D1197" t="str">
            <v>Bandhan Gilt Fund - Regular - Plan B - Half Yearly IDCW</v>
          </cell>
          <cell r="E1197">
            <v>11.673500000000001</v>
          </cell>
        </row>
        <row r="1198">
          <cell r="B1198" t="str">
            <v/>
          </cell>
          <cell r="C1198" t="str">
            <v/>
          </cell>
          <cell r="D1198" t="str">
            <v/>
          </cell>
        </row>
        <row r="1199">
          <cell r="B1199" t="str">
            <v/>
          </cell>
          <cell r="C1199" t="str">
            <v/>
          </cell>
          <cell r="D1199" t="str">
            <v/>
          </cell>
        </row>
        <row r="1200">
          <cell r="B1200" t="str">
            <v/>
          </cell>
          <cell r="C1200" t="str">
            <v/>
          </cell>
          <cell r="D1200" t="str">
            <v/>
          </cell>
        </row>
        <row r="1201">
          <cell r="B1201" t="str">
            <v>INF955L01AD7</v>
          </cell>
          <cell r="C1201" t="str">
            <v>-</v>
          </cell>
          <cell r="D1201" t="str">
            <v>Baroda BNP Paribas GILT FUND - Direct Plan - Growth Option</v>
          </cell>
          <cell r="E1201">
            <v>48.363100000000003</v>
          </cell>
        </row>
        <row r="1202">
          <cell r="B1202" t="str">
            <v>INF955L01AB1</v>
          </cell>
          <cell r="C1202" t="str">
            <v>INF955L01AC9</v>
          </cell>
          <cell r="D1202" t="str">
            <v>Baroda BNP Paribas GILT FUND - Direct Plan - IDCW Option</v>
          </cell>
          <cell r="E1202">
            <v>35.503900000000002</v>
          </cell>
        </row>
        <row r="1203">
          <cell r="B1203" t="str">
            <v>INF955L01450</v>
          </cell>
          <cell r="C1203" t="str">
            <v>-</v>
          </cell>
          <cell r="D1203" t="str">
            <v>Baroda BNP Paribas GILT FUND - Regular Plan - Growth Option</v>
          </cell>
          <cell r="E1203">
            <v>43.9373</v>
          </cell>
        </row>
        <row r="1204">
          <cell r="B1204" t="str">
            <v>INF955L01435</v>
          </cell>
          <cell r="C1204" t="str">
            <v>INF955L01443</v>
          </cell>
          <cell r="D1204" t="str">
            <v>Baroda BNP Paribas GILT FUND - Regular Plan - IDCW Option</v>
          </cell>
          <cell r="E1204">
            <v>26.079000000000001</v>
          </cell>
        </row>
        <row r="1205">
          <cell r="B1205" t="str">
            <v/>
          </cell>
          <cell r="C1205" t="str">
            <v/>
          </cell>
          <cell r="D1205" t="str">
            <v/>
          </cell>
        </row>
        <row r="1206">
          <cell r="B1206" t="str">
            <v/>
          </cell>
          <cell r="C1206" t="str">
            <v/>
          </cell>
          <cell r="D1206" t="str">
            <v/>
          </cell>
        </row>
        <row r="1207">
          <cell r="B1207" t="str">
            <v/>
          </cell>
          <cell r="C1207" t="str">
            <v/>
          </cell>
          <cell r="D1207" t="str">
            <v/>
          </cell>
        </row>
        <row r="1208">
          <cell r="B1208" t="str">
            <v>INF760K01FC4</v>
          </cell>
          <cell r="C1208" t="str">
            <v>-</v>
          </cell>
          <cell r="D1208" t="str">
            <v>CANARA ROBECO GILT FUND - DIRECT PLAN - GROWTH OPTION</v>
          </cell>
          <cell r="E1208">
            <v>83.353700000000003</v>
          </cell>
        </row>
        <row r="1209">
          <cell r="B1209" t="str">
            <v>INF760K01FA8</v>
          </cell>
          <cell r="C1209" t="str">
            <v>INF760K01FB6</v>
          </cell>
          <cell r="D1209" t="str">
            <v>CANARA ROBECO GILT FUND - DIRECT PLAN - IDCW (Payout/Reinvestment)</v>
          </cell>
          <cell r="E1209">
            <v>16.212900000000001</v>
          </cell>
        </row>
        <row r="1210">
          <cell r="B1210" t="str">
            <v>INF760K01AE1</v>
          </cell>
          <cell r="C1210" t="str">
            <v>-</v>
          </cell>
          <cell r="D1210" t="str">
            <v>CANARA ROBECO GILT FUND - REGULAR PLAN - GROWTH OPTION</v>
          </cell>
          <cell r="E1210">
            <v>76.796099999999996</v>
          </cell>
        </row>
        <row r="1211">
          <cell r="B1211" t="str">
            <v>INF760K01AB7</v>
          </cell>
          <cell r="C1211" t="str">
            <v>INF760K01AC5</v>
          </cell>
          <cell r="D1211" t="str">
            <v>CANARA ROBECO GILT FUND - REGULAR PLAN - IDCW (Payout/Reinvestment)</v>
          </cell>
          <cell r="E1211">
            <v>14.7498</v>
          </cell>
        </row>
        <row r="1212">
          <cell r="B1212" t="str">
            <v/>
          </cell>
          <cell r="C1212" t="str">
            <v/>
          </cell>
          <cell r="D1212" t="str">
            <v/>
          </cell>
        </row>
        <row r="1213">
          <cell r="B1213" t="str">
            <v/>
          </cell>
          <cell r="C1213" t="str">
            <v/>
          </cell>
          <cell r="D1213" t="str">
            <v/>
          </cell>
        </row>
        <row r="1214">
          <cell r="B1214" t="str">
            <v/>
          </cell>
          <cell r="C1214" t="str">
            <v/>
          </cell>
          <cell r="D1214" t="str">
            <v/>
          </cell>
        </row>
        <row r="1215">
          <cell r="B1215" t="str">
            <v>INF740K01NF3</v>
          </cell>
          <cell r="C1215" t="str">
            <v>-</v>
          </cell>
          <cell r="D1215" t="str">
            <v>DSP Gilt Fund - Direct Plan - Growth</v>
          </cell>
          <cell r="E1215">
            <v>105.8396</v>
          </cell>
        </row>
        <row r="1216">
          <cell r="B1216" t="str">
            <v>INF740K01NG1</v>
          </cell>
          <cell r="C1216" t="str">
            <v>INF740K01NI7</v>
          </cell>
          <cell r="D1216" t="str">
            <v>DSP Gilt Fund - Direct Plan - IDCW</v>
          </cell>
          <cell r="E1216">
            <v>12.934799999999999</v>
          </cell>
        </row>
        <row r="1217">
          <cell r="B1217" t="str">
            <v>INF740K01NE6</v>
          </cell>
          <cell r="C1217" t="str">
            <v>INF740K01NH9</v>
          </cell>
          <cell r="D1217" t="str">
            <v>DSP Gilt Fund - Direct Plan - IDCW - Monthly</v>
          </cell>
          <cell r="E1217">
            <v>10.847300000000001</v>
          </cell>
        </row>
        <row r="1218">
          <cell r="B1218" t="str">
            <v>INF740K01615</v>
          </cell>
          <cell r="C1218" t="str">
            <v>-</v>
          </cell>
          <cell r="D1218" t="str">
            <v>DSP Gilt Fund - Regular Plan - Growth</v>
          </cell>
          <cell r="E1218">
            <v>98.713700000000003</v>
          </cell>
        </row>
        <row r="1219">
          <cell r="B1219" t="str">
            <v>INF740K01607</v>
          </cell>
          <cell r="C1219" t="str">
            <v>INF740K01AD5</v>
          </cell>
          <cell r="D1219" t="str">
            <v>DSP Gilt Fund - Regular Plan - IDCW</v>
          </cell>
          <cell r="E1219">
            <v>12.7936</v>
          </cell>
        </row>
        <row r="1220">
          <cell r="B1220" t="str">
            <v>INF740K01623</v>
          </cell>
          <cell r="C1220" t="str">
            <v>INF740K01AE3</v>
          </cell>
          <cell r="D1220" t="str">
            <v>DSP Gilt Fund - Regular Plan - IDCW - Monthly</v>
          </cell>
          <cell r="E1220">
            <v>10.798400000000001</v>
          </cell>
        </row>
        <row r="1221">
          <cell r="B1221" t="str">
            <v/>
          </cell>
          <cell r="C1221" t="str">
            <v/>
          </cell>
          <cell r="D1221" t="str">
            <v/>
          </cell>
        </row>
        <row r="1222">
          <cell r="B1222" t="str">
            <v/>
          </cell>
          <cell r="C1222" t="str">
            <v/>
          </cell>
          <cell r="D1222" t="str">
            <v/>
          </cell>
        </row>
        <row r="1223">
          <cell r="B1223" t="str">
            <v/>
          </cell>
          <cell r="C1223" t="str">
            <v/>
          </cell>
          <cell r="D1223" t="str">
            <v/>
          </cell>
        </row>
        <row r="1224">
          <cell r="B1224" t="str">
            <v>INF843K01HB6</v>
          </cell>
          <cell r="C1224" t="str">
            <v>INF843K01HA8</v>
          </cell>
          <cell r="D1224" t="str">
            <v>Edelweiss Government Securities Fund - Direct Plan - Annual Dividend Option</v>
          </cell>
          <cell r="E1224">
            <v>26.819199999999999</v>
          </cell>
        </row>
        <row r="1225">
          <cell r="B1225" t="str">
            <v>INF843K01GS2</v>
          </cell>
          <cell r="C1225" t="str">
            <v>-</v>
          </cell>
          <cell r="D1225" t="str">
            <v>Edelweiss Government Securities Fund - Direct Plan - Growth Option</v>
          </cell>
          <cell r="E1225">
            <v>26.808199999999999</v>
          </cell>
        </row>
        <row r="1226">
          <cell r="B1226" t="str">
            <v>INF843K01GU8</v>
          </cell>
          <cell r="C1226" t="str">
            <v>INF843K01GV6</v>
          </cell>
          <cell r="D1226" t="str">
            <v>Edelweiss Government Securities Fund - Direct Plan - IDCW Option</v>
          </cell>
          <cell r="E1226">
            <v>26.7012</v>
          </cell>
        </row>
        <row r="1227">
          <cell r="B1227" t="str">
            <v>INF843K01GX2</v>
          </cell>
          <cell r="C1227" t="str">
            <v>-</v>
          </cell>
          <cell r="D1227" t="str">
            <v>Edelweiss Government Securities Fund - Direct Plan Fortnightly - IDCW Option</v>
          </cell>
          <cell r="E1227">
            <v>22.295400000000001</v>
          </cell>
        </row>
        <row r="1228">
          <cell r="B1228" t="str">
            <v>INF843K01GZ7</v>
          </cell>
          <cell r="C1228" t="str">
            <v>INF843K01GY0</v>
          </cell>
          <cell r="D1228" t="str">
            <v>Edelweiss Government Securities Fund - Direct Plan Monthly - IDCW Option</v>
          </cell>
          <cell r="E1228">
            <v>16.590299999999999</v>
          </cell>
        </row>
        <row r="1229">
          <cell r="B1229" t="str">
            <v>INF843K01GW4</v>
          </cell>
          <cell r="C1229" t="str">
            <v>-</v>
          </cell>
          <cell r="D1229" t="str">
            <v>Edelweiss Government Securities Fund - Direct Plan weekly - IDCW Option</v>
          </cell>
          <cell r="E1229">
            <v>13.6509</v>
          </cell>
        </row>
        <row r="1230">
          <cell r="B1230" t="str">
            <v>INF843K01HL5</v>
          </cell>
          <cell r="C1230" t="str">
            <v>INF843K01HK7</v>
          </cell>
          <cell r="D1230" t="str">
            <v>Edelweiss Government Securities Fund - Regular Plan - Annual - IDCW Option</v>
          </cell>
          <cell r="E1230">
            <v>25.036200000000001</v>
          </cell>
        </row>
        <row r="1231">
          <cell r="B1231" t="str">
            <v>INF843K01HC4</v>
          </cell>
          <cell r="C1231" t="str">
            <v>-</v>
          </cell>
          <cell r="D1231" t="str">
            <v>Edelweiss Government Securities Fund - Regular Plan - Growth Option</v>
          </cell>
          <cell r="E1231">
            <v>25.025200000000002</v>
          </cell>
        </row>
        <row r="1232">
          <cell r="B1232" t="str">
            <v>INF843K01HE0</v>
          </cell>
          <cell r="C1232" t="str">
            <v>INF843K01HF7</v>
          </cell>
          <cell r="D1232" t="str">
            <v>Edelweiss Government Securities Fund - Regular Plan - IDCW Option</v>
          </cell>
          <cell r="E1232">
            <v>25.041699999999999</v>
          </cell>
        </row>
        <row r="1233">
          <cell r="B1233" t="str">
            <v>INF843K01HH3</v>
          </cell>
          <cell r="C1233" t="str">
            <v>-</v>
          </cell>
          <cell r="D1233" t="str">
            <v>Edelweiss Government Securities Fund - Regular Plan Fortnightly - IDCW Option</v>
          </cell>
          <cell r="E1233">
            <v>23.6724</v>
          </cell>
        </row>
        <row r="1234">
          <cell r="B1234" t="str">
            <v>INF843K01HJ9</v>
          </cell>
          <cell r="C1234" t="str">
            <v>INF843K01HI1</v>
          </cell>
          <cell r="D1234" t="str">
            <v>Edelweiss Government Securities Fund - Regular Plan Monthly - IDCW Option</v>
          </cell>
          <cell r="E1234">
            <v>10.417999999999999</v>
          </cell>
        </row>
        <row r="1235">
          <cell r="B1235" t="str">
            <v>INF843K01HG5</v>
          </cell>
          <cell r="C1235" t="str">
            <v>-</v>
          </cell>
          <cell r="D1235" t="str">
            <v>Edelweiss Government Securities Fund - Regular Plan Weekly - IDCW Option</v>
          </cell>
          <cell r="E1235">
            <v>10.333399999999999</v>
          </cell>
        </row>
        <row r="1236">
          <cell r="B1236" t="str">
            <v/>
          </cell>
          <cell r="C1236" t="str">
            <v/>
          </cell>
          <cell r="D1236" t="str">
            <v/>
          </cell>
        </row>
        <row r="1237">
          <cell r="B1237" t="str">
            <v/>
          </cell>
          <cell r="C1237" t="str">
            <v/>
          </cell>
          <cell r="D1237" t="str">
            <v/>
          </cell>
        </row>
        <row r="1238">
          <cell r="B1238" t="str">
            <v/>
          </cell>
          <cell r="C1238" t="str">
            <v/>
          </cell>
          <cell r="D1238" t="str">
            <v/>
          </cell>
        </row>
        <row r="1239">
          <cell r="B1239" t="str">
            <v>INF090I01HS2</v>
          </cell>
          <cell r="C1239" t="str">
            <v>-</v>
          </cell>
          <cell r="D1239" t="str">
            <v>Franklin India Government Securities Fund - Direct - Growth</v>
          </cell>
          <cell r="E1239">
            <v>67.710400000000007</v>
          </cell>
        </row>
        <row r="1240">
          <cell r="B1240" t="str">
            <v>INF090I01HQ6</v>
          </cell>
          <cell r="C1240" t="str">
            <v>INF090I01HR4</v>
          </cell>
          <cell r="D1240" t="str">
            <v xml:space="preserve">Franklin India Government Securities Fund - Direct - IDCW </v>
          </cell>
          <cell r="E1240">
            <v>11.920299999999999</v>
          </cell>
        </row>
        <row r="1241">
          <cell r="B1241" t="str">
            <v>INF090I01CU9</v>
          </cell>
          <cell r="C1241" t="str">
            <v>-</v>
          </cell>
          <cell r="D1241" t="str">
            <v>Franklin India Government Securities Fund - Growth</v>
          </cell>
          <cell r="E1241">
            <v>61.433999999999997</v>
          </cell>
        </row>
        <row r="1242">
          <cell r="B1242" t="str">
            <v>INF090I01CS3</v>
          </cell>
          <cell r="C1242" t="str">
            <v>INF090I01CT1</v>
          </cell>
          <cell r="D1242" t="str">
            <v xml:space="preserve">Franklin India Government Securities Fund - IDCW </v>
          </cell>
          <cell r="E1242">
            <v>10.752700000000001</v>
          </cell>
        </row>
        <row r="1243">
          <cell r="B1243" t="str">
            <v/>
          </cell>
          <cell r="C1243" t="str">
            <v/>
          </cell>
          <cell r="D1243" t="str">
            <v/>
          </cell>
        </row>
        <row r="1244">
          <cell r="B1244" t="str">
            <v/>
          </cell>
          <cell r="C1244" t="str">
            <v/>
          </cell>
          <cell r="D1244" t="str">
            <v/>
          </cell>
        </row>
        <row r="1245">
          <cell r="B1245" t="str">
            <v/>
          </cell>
          <cell r="C1245" t="str">
            <v/>
          </cell>
          <cell r="D1245" t="str">
            <v/>
          </cell>
        </row>
        <row r="1246">
          <cell r="B1246" t="str">
            <v>INF666M01KK2</v>
          </cell>
          <cell r="C1246" t="str">
            <v>-</v>
          </cell>
          <cell r="D1246" t="str">
            <v>Groww Gilt Fund - Direct - Growth</v>
          </cell>
          <cell r="E1246">
            <v>10.0017</v>
          </cell>
        </row>
        <row r="1247">
          <cell r="B1247" t="str">
            <v>INF666M01KL0</v>
          </cell>
          <cell r="C1247" t="str">
            <v>INF666M01KM8</v>
          </cell>
          <cell r="D1247" t="str">
            <v>Groww Gilt Fund - Direct - IDCW</v>
          </cell>
          <cell r="E1247">
            <v>9.9995999999999992</v>
          </cell>
        </row>
        <row r="1248">
          <cell r="B1248" t="str">
            <v>INF666M01KN6</v>
          </cell>
          <cell r="C1248" t="str">
            <v>-</v>
          </cell>
          <cell r="D1248" t="str">
            <v>Groww Gilt Fund - Regular - Growth</v>
          </cell>
          <cell r="E1248">
            <v>9.8779000000000003</v>
          </cell>
        </row>
        <row r="1249">
          <cell r="B1249" t="str">
            <v>INF666M01KO4</v>
          </cell>
          <cell r="C1249" t="str">
            <v>INF666M01KP1</v>
          </cell>
          <cell r="D1249" t="str">
            <v>Groww Gilt Fund - Regular - IDCW</v>
          </cell>
          <cell r="E1249">
            <v>9.8780000000000001</v>
          </cell>
        </row>
        <row r="1250">
          <cell r="B1250" t="str">
            <v/>
          </cell>
          <cell r="C1250" t="str">
            <v/>
          </cell>
          <cell r="D1250" t="str">
            <v/>
          </cell>
        </row>
        <row r="1251">
          <cell r="B1251" t="str">
            <v/>
          </cell>
          <cell r="C1251" t="str">
            <v/>
          </cell>
          <cell r="D1251" t="str">
            <v/>
          </cell>
        </row>
        <row r="1252">
          <cell r="B1252" t="str">
            <v/>
          </cell>
          <cell r="C1252" t="str">
            <v/>
          </cell>
          <cell r="D1252" t="str">
            <v/>
          </cell>
        </row>
        <row r="1253">
          <cell r="B1253" t="str">
            <v>INF179K01VS0</v>
          </cell>
          <cell r="C1253" t="str">
            <v>-</v>
          </cell>
          <cell r="D1253" t="str">
            <v>HDFC Gilt Fund - Growth Option - Direct Plan</v>
          </cell>
          <cell r="E1253">
            <v>60.5548</v>
          </cell>
        </row>
        <row r="1254">
          <cell r="B1254" t="str">
            <v>INF179K01756</v>
          </cell>
          <cell r="C1254" t="str">
            <v>-</v>
          </cell>
          <cell r="D1254" t="str">
            <v>HDFC Gilt Fund - Growth Plan</v>
          </cell>
          <cell r="E1254">
            <v>57.261299999999999</v>
          </cell>
        </row>
        <row r="1255">
          <cell r="B1255" t="str">
            <v>INF179K01VR2</v>
          </cell>
          <cell r="C1255" t="str">
            <v>INF179K01VT8</v>
          </cell>
          <cell r="D1255" t="str">
            <v>HDFC Gilt Fund - IDCW Option - Direct Plan</v>
          </cell>
          <cell r="E1255">
            <v>13.0572</v>
          </cell>
        </row>
        <row r="1256">
          <cell r="B1256" t="str">
            <v>INF179K01772</v>
          </cell>
          <cell r="C1256" t="str">
            <v>INF179K01764</v>
          </cell>
          <cell r="D1256" t="str">
            <v>HDFC Gilt Fund - IDCW Plan</v>
          </cell>
          <cell r="E1256">
            <v>12.232699999999999</v>
          </cell>
        </row>
        <row r="1257">
          <cell r="B1257" t="str">
            <v/>
          </cell>
          <cell r="C1257" t="str">
            <v/>
          </cell>
          <cell r="D1257" t="str">
            <v/>
          </cell>
        </row>
        <row r="1258">
          <cell r="B1258" t="str">
            <v/>
          </cell>
          <cell r="C1258" t="str">
            <v/>
          </cell>
          <cell r="D1258" t="str">
            <v/>
          </cell>
        </row>
        <row r="1259">
          <cell r="B1259" t="str">
            <v/>
          </cell>
          <cell r="C1259" t="str">
            <v/>
          </cell>
          <cell r="D1259" t="str">
            <v/>
          </cell>
        </row>
        <row r="1260">
          <cell r="B1260" t="str">
            <v>INF917K01FI7</v>
          </cell>
          <cell r="C1260" t="str">
            <v>-</v>
          </cell>
          <cell r="D1260" t="str">
            <v>HSBC Gilt Fund - Direct Growth</v>
          </cell>
          <cell r="E1260">
            <v>77.561800000000005</v>
          </cell>
        </row>
        <row r="1261">
          <cell r="B1261" t="str">
            <v>INF917K01FK3</v>
          </cell>
          <cell r="C1261" t="str">
            <v>INF917K01FJ5</v>
          </cell>
          <cell r="D1261" t="str">
            <v>HSBC Gilt Fund - Direct Quarterly IDCW</v>
          </cell>
          <cell r="E1261">
            <v>11.9747</v>
          </cell>
        </row>
        <row r="1262">
          <cell r="B1262" t="str">
            <v>INF917K01BP1</v>
          </cell>
          <cell r="C1262" t="str">
            <v>-</v>
          </cell>
          <cell r="D1262" t="str">
            <v>HSBC Gilt Fund - Regular Growth</v>
          </cell>
          <cell r="E1262">
            <v>66.856499999999997</v>
          </cell>
        </row>
        <row r="1263">
          <cell r="B1263" t="str">
            <v>INF917K01BN6</v>
          </cell>
          <cell r="C1263" t="str">
            <v>INF917K01BO4</v>
          </cell>
          <cell r="D1263" t="str">
            <v>HSBC Gilt Fund - Regular Quarterly IDCW</v>
          </cell>
          <cell r="E1263">
            <v>10.222099999999999</v>
          </cell>
        </row>
        <row r="1264">
          <cell r="B1264" t="str">
            <v/>
          </cell>
          <cell r="C1264" t="str">
            <v/>
          </cell>
          <cell r="D1264" t="str">
            <v/>
          </cell>
        </row>
        <row r="1265">
          <cell r="B1265" t="str">
            <v/>
          </cell>
          <cell r="C1265" t="str">
            <v/>
          </cell>
          <cell r="D1265" t="str">
            <v/>
          </cell>
        </row>
        <row r="1266">
          <cell r="B1266" t="str">
            <v/>
          </cell>
          <cell r="C1266" t="str">
            <v/>
          </cell>
          <cell r="D1266" t="str">
            <v/>
          </cell>
        </row>
        <row r="1267">
          <cell r="B1267" t="str">
            <v>INF109KA1H10</v>
          </cell>
          <cell r="C1267" t="str">
            <v>-</v>
          </cell>
          <cell r="D1267" t="str">
            <v>ICICI Prudential Gilt Fund - Bonus</v>
          </cell>
          <cell r="E1267">
            <v>12.8414</v>
          </cell>
        </row>
        <row r="1268">
          <cell r="B1268" t="str">
            <v>INF109K018C5</v>
          </cell>
          <cell r="C1268" t="str">
            <v>-</v>
          </cell>
          <cell r="D1268" t="str">
            <v>ICICI Prudential Gilt Fund - Direct Plan - Growth</v>
          </cell>
          <cell r="E1268">
            <v>116.9542</v>
          </cell>
        </row>
        <row r="1269">
          <cell r="B1269" t="str">
            <v>INF109K016C9</v>
          </cell>
          <cell r="C1269" t="str">
            <v>INF109K017C7</v>
          </cell>
          <cell r="D1269" t="str">
            <v>ICICI Prudential Gilt Fund - Direct Plan - IDCW</v>
          </cell>
          <cell r="E1269">
            <v>18.663900000000002</v>
          </cell>
        </row>
        <row r="1270">
          <cell r="B1270" t="str">
            <v>INF109KA1H02</v>
          </cell>
          <cell r="C1270" t="str">
            <v>-</v>
          </cell>
          <cell r="D1270" t="str">
            <v>ICICI Prudential Gilt Fund - Direct Plan Bonus</v>
          </cell>
          <cell r="E1270">
            <v>18.0717</v>
          </cell>
        </row>
        <row r="1271">
          <cell r="B1271" t="str">
            <v>INF109K01JR4</v>
          </cell>
          <cell r="C1271" t="str">
            <v>-</v>
          </cell>
          <cell r="D1271" t="str">
            <v>ICICI Prudential Gilt Fund - Growth</v>
          </cell>
          <cell r="E1271">
            <v>107.9532</v>
          </cell>
        </row>
        <row r="1272">
          <cell r="B1272" t="str">
            <v>INF109K01JQ6</v>
          </cell>
          <cell r="C1272" t="str">
            <v>INF109K01JP8</v>
          </cell>
          <cell r="D1272" t="str">
            <v>ICICI Prudential Gilt Fund - IDCW</v>
          </cell>
          <cell r="E1272">
            <v>17.685199999999998</v>
          </cell>
        </row>
        <row r="1273">
          <cell r="B1273" t="str">
            <v>INF109KA1I68</v>
          </cell>
          <cell r="C1273" t="str">
            <v>-</v>
          </cell>
          <cell r="D1273" t="str">
            <v>ICICI Prudential Short Term Gilt Fund - Bonus</v>
          </cell>
          <cell r="E1273">
            <v>10.0481</v>
          </cell>
        </row>
        <row r="1274">
          <cell r="B1274" t="str">
            <v>INF109K012D6</v>
          </cell>
          <cell r="C1274" t="str">
            <v>INF109K013D4</v>
          </cell>
          <cell r="D1274" t="str">
            <v>ICICI Prudential Short Term Gilt Fund - Direct Plan -  Dividend</v>
          </cell>
          <cell r="E1274">
            <v>12.296200000000001</v>
          </cell>
        </row>
        <row r="1275">
          <cell r="B1275" t="str">
            <v>INF109K014D2</v>
          </cell>
          <cell r="C1275" t="str">
            <v>-</v>
          </cell>
          <cell r="D1275" t="str">
            <v>ICICI Prudential Short Term Gilt Fund - Direct Plan -  Growth</v>
          </cell>
          <cell r="E1275">
            <v>44.688000000000002</v>
          </cell>
        </row>
        <row r="1276">
          <cell r="B1276" t="str">
            <v>INF109K015D9</v>
          </cell>
          <cell r="C1276" t="str">
            <v>INF109K016D7</v>
          </cell>
          <cell r="D1276" t="str">
            <v>ICICI Prudential Short Term Gilt Fund - Direct Plan -  Half Yearly Dividend</v>
          </cell>
          <cell r="E1276">
            <v>10.7239</v>
          </cell>
        </row>
        <row r="1277">
          <cell r="B1277" t="str">
            <v>INF109KA1I50</v>
          </cell>
          <cell r="C1277" t="str">
            <v>-</v>
          </cell>
          <cell r="D1277" t="str">
            <v>ICICI Prudential Short Term Gilt Fund - Direct Plan Bonus</v>
          </cell>
          <cell r="E1277">
            <v>12.861499999999999</v>
          </cell>
        </row>
        <row r="1278">
          <cell r="B1278" t="str">
            <v>INF109K01JW4</v>
          </cell>
          <cell r="C1278" t="str">
            <v>INF109K01JV6</v>
          </cell>
          <cell r="D1278" t="str">
            <v>ICICI Prudential Short Term Gilt Fund - Dividend</v>
          </cell>
          <cell r="E1278">
            <v>12.1349</v>
          </cell>
        </row>
        <row r="1279">
          <cell r="B1279" t="str">
            <v>INF109K01JX2</v>
          </cell>
          <cell r="C1279" t="str">
            <v>-</v>
          </cell>
          <cell r="D1279" t="str">
            <v>ICICI Prudential Short Term Gilt Fund - Growth</v>
          </cell>
          <cell r="E1279">
            <v>43.634999999999998</v>
          </cell>
        </row>
        <row r="1280">
          <cell r="B1280" t="str">
            <v>INF109K01JZ7</v>
          </cell>
          <cell r="C1280" t="str">
            <v>INF109K01JY0</v>
          </cell>
          <cell r="D1280" t="str">
            <v>ICICI Prudential Short Term Gilt Fund - Half Yearly Dividend</v>
          </cell>
          <cell r="E1280">
            <v>11.258900000000001</v>
          </cell>
        </row>
        <row r="1281">
          <cell r="B1281" t="str">
            <v/>
          </cell>
          <cell r="C1281" t="str">
            <v/>
          </cell>
          <cell r="D1281" t="str">
            <v/>
          </cell>
        </row>
        <row r="1282">
          <cell r="B1282" t="str">
            <v/>
          </cell>
          <cell r="C1282" t="str">
            <v/>
          </cell>
          <cell r="D1282" t="str">
            <v/>
          </cell>
        </row>
        <row r="1283">
          <cell r="B1283" t="str">
            <v/>
          </cell>
          <cell r="C1283" t="str">
            <v/>
          </cell>
          <cell r="D1283" t="str">
            <v/>
          </cell>
        </row>
        <row r="1284">
          <cell r="B1284" t="str">
            <v>INF205K01SN0</v>
          </cell>
          <cell r="C1284" t="str">
            <v>-</v>
          </cell>
          <cell r="D1284" t="str">
            <v>Invesco India Gilt Fund - Direct  Plan - Growth</v>
          </cell>
          <cell r="E1284">
            <v>3248.6107000000002</v>
          </cell>
        </row>
        <row r="1285">
          <cell r="B1285" t="str">
            <v>INF205K01SL4</v>
          </cell>
          <cell r="C1285" t="str">
            <v>INF205K01SM2</v>
          </cell>
          <cell r="D1285" t="str">
            <v>Invesco India Gilt Fund - Direct Plan - Annual IDCW (Payout / Reinvestment)</v>
          </cell>
          <cell r="E1285">
            <v>1216.5754999999999</v>
          </cell>
        </row>
        <row r="1286">
          <cell r="B1286" t="str">
            <v>-</v>
          </cell>
          <cell r="C1286" t="str">
            <v>INF205K01SO8</v>
          </cell>
          <cell r="D1286" t="str">
            <v>Invesco India Gilt Fund - Direct Plan - Monthly IDCW (Reinvestment)</v>
          </cell>
          <cell r="E1286">
            <v>2535.0160999999998</v>
          </cell>
        </row>
        <row r="1287">
          <cell r="B1287" t="str">
            <v>INF205K01SP5</v>
          </cell>
          <cell r="C1287" t="str">
            <v>INF205K01SQ3</v>
          </cell>
          <cell r="D1287" t="str">
            <v>Invesco India Gilt Fund - Direct Plan - Quarterly IDCW (Payout / Reinvestment)</v>
          </cell>
          <cell r="E1287">
            <v>1125.7642000000001</v>
          </cell>
        </row>
        <row r="1288">
          <cell r="B1288" t="str">
            <v>INF205K01SJ8</v>
          </cell>
          <cell r="C1288" t="str">
            <v>INF205K01SK6</v>
          </cell>
          <cell r="D1288" t="str">
            <v>Invesco India Gilt Fund - Regular Plan - Annual IDCW (Payout / Reinvestment)</v>
          </cell>
          <cell r="E1288">
            <v>1173.6753000000001</v>
          </cell>
        </row>
        <row r="1289">
          <cell r="B1289" t="str">
            <v>INF205K01SR1</v>
          </cell>
          <cell r="C1289" t="str">
            <v>-</v>
          </cell>
          <cell r="D1289" t="str">
            <v>Invesco India Gilt Fund - Regular Plan - Growth</v>
          </cell>
          <cell r="E1289">
            <v>2915.4265</v>
          </cell>
        </row>
        <row r="1290">
          <cell r="B1290" t="str">
            <v>-</v>
          </cell>
          <cell r="C1290" t="str">
            <v>INF205K01SS9</v>
          </cell>
          <cell r="D1290" t="str">
            <v>Invesco India Gilt Fund - Regular Plan - Monthly IDCW (Reinvestment)</v>
          </cell>
          <cell r="E1290">
            <v>1642.1759999999999</v>
          </cell>
        </row>
        <row r="1291">
          <cell r="B1291" t="str">
            <v>INF205K01ST7</v>
          </cell>
          <cell r="C1291" t="str">
            <v>INF205K01SU5</v>
          </cell>
          <cell r="D1291" t="str">
            <v>Invesco India Gilt Fund - Regular Plan - Quarterly IDCW (Payout / Reinvestment)</v>
          </cell>
          <cell r="E1291">
            <v>1329.2401</v>
          </cell>
        </row>
        <row r="1292">
          <cell r="B1292" t="str">
            <v/>
          </cell>
          <cell r="C1292" t="str">
            <v/>
          </cell>
          <cell r="D1292" t="str">
            <v/>
          </cell>
        </row>
        <row r="1293">
          <cell r="B1293" t="str">
            <v/>
          </cell>
          <cell r="C1293" t="str">
            <v/>
          </cell>
          <cell r="D1293" t="str">
            <v/>
          </cell>
        </row>
        <row r="1294">
          <cell r="B1294" t="str">
            <v/>
          </cell>
          <cell r="C1294" t="str">
            <v/>
          </cell>
          <cell r="D1294" t="str">
            <v/>
          </cell>
        </row>
        <row r="1295">
          <cell r="B1295" t="str">
            <v>INF174K01FL9</v>
          </cell>
          <cell r="C1295" t="str">
            <v>-</v>
          </cell>
          <cell r="D1295" t="str">
            <v>Kotak Gilt-Investment  Provident Fund and Trust-Growth</v>
          </cell>
          <cell r="E1295">
            <v>99.489199999999997</v>
          </cell>
        </row>
        <row r="1296">
          <cell r="B1296" t="str">
            <v>INF174K01KM7</v>
          </cell>
          <cell r="C1296" t="str">
            <v>-</v>
          </cell>
          <cell r="D1296" t="str">
            <v>Kotak Gilt-Investment  Provident Fund and Trust-Growth - Direct</v>
          </cell>
          <cell r="E1296">
            <v>114.2516</v>
          </cell>
        </row>
        <row r="1297">
          <cell r="B1297" t="str">
            <v>INF174K01FM7</v>
          </cell>
          <cell r="C1297" t="str">
            <v>-</v>
          </cell>
          <cell r="D1297" t="str">
            <v>Kotak Gilt-Investment  Provident Fund and Trust-Payout of Income Distribution cum capital withdrawal option</v>
          </cell>
          <cell r="E1297">
            <v>11.8156</v>
          </cell>
        </row>
        <row r="1298">
          <cell r="B1298" t="str">
            <v>INF174K01FI5</v>
          </cell>
          <cell r="C1298" t="str">
            <v>-</v>
          </cell>
          <cell r="D1298" t="str">
            <v>Kotak Gilt-Investment Regular-Growth</v>
          </cell>
          <cell r="E1298">
            <v>97.245699999999999</v>
          </cell>
        </row>
        <row r="1299">
          <cell r="B1299" t="str">
            <v>INF174K01KE4</v>
          </cell>
          <cell r="C1299" t="str">
            <v>-</v>
          </cell>
          <cell r="D1299" t="str">
            <v>Kotak Gilt-Investment Regular-Growth - Direct</v>
          </cell>
          <cell r="E1299">
            <v>111.54819999999999</v>
          </cell>
        </row>
        <row r="1300">
          <cell r="B1300" t="str">
            <v>INF174K01FK1</v>
          </cell>
          <cell r="C1300" t="str">
            <v>INF174K01FJ3</v>
          </cell>
          <cell r="D1300" t="str">
            <v>Kotak Gilt-Investment Regular-Payout of Income Distribution cum capital withdrawal option</v>
          </cell>
          <cell r="E1300">
            <v>19.002099999999999</v>
          </cell>
        </row>
        <row r="1301">
          <cell r="B1301" t="str">
            <v>INF174K01KF1</v>
          </cell>
          <cell r="C1301" t="str">
            <v>-</v>
          </cell>
          <cell r="D1301" t="str">
            <v>Kotak Gilt-Investment Regular-Payout of Income Distribution cum capital withdrawal option - Direct</v>
          </cell>
          <cell r="E1301">
            <v>24.546399999999998</v>
          </cell>
        </row>
        <row r="1302">
          <cell r="B1302" t="str">
            <v/>
          </cell>
          <cell r="C1302" t="str">
            <v/>
          </cell>
          <cell r="D1302" t="str">
            <v/>
          </cell>
        </row>
        <row r="1303">
          <cell r="B1303" t="str">
            <v/>
          </cell>
          <cell r="C1303" t="str">
            <v/>
          </cell>
          <cell r="D1303" t="str">
            <v/>
          </cell>
        </row>
        <row r="1304">
          <cell r="B1304" t="str">
            <v/>
          </cell>
          <cell r="C1304" t="str">
            <v/>
          </cell>
          <cell r="D1304" t="str">
            <v/>
          </cell>
        </row>
        <row r="1305">
          <cell r="B1305" t="str">
            <v>INF767K01EZ3</v>
          </cell>
          <cell r="C1305" t="str">
            <v>-</v>
          </cell>
          <cell r="D1305" t="str">
            <v>LIC MF Gilt Fund-Direct Plan-Growth</v>
          </cell>
          <cell r="E1305">
            <v>66.783900000000003</v>
          </cell>
        </row>
        <row r="1306">
          <cell r="B1306" t="str">
            <v>INF767K01EY6</v>
          </cell>
          <cell r="C1306" t="str">
            <v>INF767K01FA3</v>
          </cell>
          <cell r="D1306" t="str">
            <v>LIC MF Gilt Fund-Direct Plan-IDCW</v>
          </cell>
          <cell r="E1306">
            <v>19.2379</v>
          </cell>
        </row>
        <row r="1307">
          <cell r="B1307" t="str">
            <v>INF767K01733</v>
          </cell>
          <cell r="C1307" t="str">
            <v>-</v>
          </cell>
          <cell r="D1307" t="str">
            <v>LIC MF Gilt Fund-PF Plan-Growth</v>
          </cell>
          <cell r="E1307">
            <v>34.788800000000002</v>
          </cell>
        </row>
        <row r="1308">
          <cell r="B1308" t="str">
            <v>INF767K01717</v>
          </cell>
          <cell r="C1308" t="str">
            <v>INF767K01725</v>
          </cell>
          <cell r="D1308" t="str">
            <v>LIC MF Gilt Fund-PF Plan-IDCW</v>
          </cell>
          <cell r="E1308">
            <v>22.511900000000001</v>
          </cell>
        </row>
        <row r="1309">
          <cell r="B1309" t="str">
            <v>INF767K01709</v>
          </cell>
          <cell r="C1309" t="str">
            <v>-</v>
          </cell>
          <cell r="D1309" t="str">
            <v>LIC MF Gilt Fund-Regular Plan-Growth</v>
          </cell>
          <cell r="E1309">
            <v>60.233600000000003</v>
          </cell>
        </row>
        <row r="1310">
          <cell r="B1310" t="str">
            <v>INF767K01683</v>
          </cell>
          <cell r="C1310" t="str">
            <v>INF767K01691</v>
          </cell>
          <cell r="D1310" t="str">
            <v>LIC MF Gilt Fund-Regular Plan-IDCW</v>
          </cell>
          <cell r="E1310">
            <v>17.362400000000001</v>
          </cell>
        </row>
        <row r="1311">
          <cell r="B1311" t="str">
            <v/>
          </cell>
          <cell r="C1311" t="str">
            <v/>
          </cell>
          <cell r="D1311" t="str">
            <v/>
          </cell>
        </row>
        <row r="1312">
          <cell r="B1312" t="str">
            <v/>
          </cell>
          <cell r="C1312" t="str">
            <v/>
          </cell>
          <cell r="D1312" t="str">
            <v/>
          </cell>
        </row>
        <row r="1313">
          <cell r="B1313" t="str">
            <v/>
          </cell>
          <cell r="C1313" t="str">
            <v/>
          </cell>
          <cell r="D1313" t="str">
            <v/>
          </cell>
        </row>
        <row r="1314">
          <cell r="B1314" t="str">
            <v>INF204K01XQ6</v>
          </cell>
          <cell r="C1314" t="str">
            <v>INF204K01XR4</v>
          </cell>
          <cell r="D1314" t="str">
            <v>NIPPON INDIA GILT  FUND - Direct Plan - MONTHLY IDCW Option</v>
          </cell>
          <cell r="E1314">
            <v>11.6875</v>
          </cell>
        </row>
        <row r="1315">
          <cell r="B1315" t="str">
            <v>INF204K01E70</v>
          </cell>
          <cell r="C1315" t="str">
            <v>-</v>
          </cell>
          <cell r="D1315" t="str">
            <v>Nippon India Gilt  Fund - Direct Plan - P F Option - Automatic Capital Appreciation Payout Option</v>
          </cell>
          <cell r="E1315">
            <v>44.247399999999999</v>
          </cell>
        </row>
        <row r="1316">
          <cell r="B1316" t="str">
            <v>INF204K01E88</v>
          </cell>
          <cell r="C1316" t="str">
            <v>-</v>
          </cell>
          <cell r="D1316" t="str">
            <v>Nippon India Gilt  Fund - Direct Plan - P F Option - Defined Maturity Date Option</v>
          </cell>
          <cell r="E1316">
            <v>44.482300000000002</v>
          </cell>
        </row>
        <row r="1317">
          <cell r="B1317" t="str">
            <v>INF204K01XP8</v>
          </cell>
          <cell r="C1317" t="str">
            <v>-</v>
          </cell>
          <cell r="D1317" t="str">
            <v>Nippon India Gilt  Fund - Direct Plan Growth Plan - Growth Option</v>
          </cell>
          <cell r="E1317">
            <v>44.362400000000001</v>
          </cell>
        </row>
        <row r="1318">
          <cell r="B1318" t="str">
            <v>INF204K01BX8</v>
          </cell>
          <cell r="C1318" t="str">
            <v>-</v>
          </cell>
          <cell r="D1318" t="str">
            <v>Nippon India Gilt  Fund - Institutional Plan-Growth Plan -Growth Option</v>
          </cell>
          <cell r="E1318">
            <v>39.793300000000002</v>
          </cell>
        </row>
        <row r="1319">
          <cell r="B1319" t="str">
            <v>INF204K01BV2</v>
          </cell>
          <cell r="C1319" t="str">
            <v>INF204K01BW0</v>
          </cell>
          <cell r="D1319" t="str">
            <v>NIPPON INDIA GILT  FUND - MONTHLY IDCW Option</v>
          </cell>
          <cell r="E1319">
            <v>10.7232</v>
          </cell>
        </row>
        <row r="1320">
          <cell r="B1320" t="str">
            <v>INF204K01BU4</v>
          </cell>
          <cell r="C1320" t="str">
            <v>-</v>
          </cell>
          <cell r="D1320" t="str">
            <v>Nippon India Gilt  Fund -Growth Plan - Growth Option</v>
          </cell>
          <cell r="E1320">
            <v>39.029400000000003</v>
          </cell>
        </row>
        <row r="1321">
          <cell r="B1321" t="str">
            <v>INF204K01CA4</v>
          </cell>
          <cell r="C1321" t="str">
            <v>-</v>
          </cell>
          <cell r="D1321" t="str">
            <v>Nippon India Gilt  Fund -P F Option-Automatic Annual Reinvest Option</v>
          </cell>
          <cell r="E1321">
            <v>32.728499999999997</v>
          </cell>
        </row>
        <row r="1322">
          <cell r="B1322" t="str">
            <v>INF204K01CB2</v>
          </cell>
          <cell r="C1322" t="str">
            <v>-</v>
          </cell>
          <cell r="D1322" t="str">
            <v>Nippon India Gilt  Fund -P F Option-Defined Maturity Date Option</v>
          </cell>
          <cell r="E1322">
            <v>39.029400000000003</v>
          </cell>
        </row>
        <row r="1323">
          <cell r="B1323" t="str">
            <v>INF204KA1YV2</v>
          </cell>
          <cell r="C1323" t="str">
            <v>-</v>
          </cell>
          <cell r="D1323" t="str">
            <v>Nippon India Gilt  Fund- Direct Plan- Growth Plan- Bonus Option</v>
          </cell>
          <cell r="E1323">
            <v>24.7942</v>
          </cell>
        </row>
        <row r="1324">
          <cell r="B1324" t="str">
            <v>INF204KA1YU4</v>
          </cell>
          <cell r="C1324" t="str">
            <v>-</v>
          </cell>
          <cell r="D1324" t="str">
            <v>Nippon India Gilt  Fund- Growth Plan- Bonus Option</v>
          </cell>
          <cell r="E1324">
            <v>13.052199999999999</v>
          </cell>
        </row>
        <row r="1325">
          <cell r="B1325" t="str">
            <v>INF204K01CD8</v>
          </cell>
          <cell r="C1325" t="str">
            <v>-</v>
          </cell>
          <cell r="D1325" t="str">
            <v>Nippon India Gilt  Fund-Institutional Plan-P F Option-Automatic Capital Appreciation Payout Option</v>
          </cell>
          <cell r="E1325">
            <v>23.078499999999998</v>
          </cell>
        </row>
        <row r="1326">
          <cell r="B1326" t="str">
            <v>INF204K01CC0</v>
          </cell>
          <cell r="C1326" t="str">
            <v>-</v>
          </cell>
          <cell r="D1326" t="str">
            <v>Nippon India Gilt  Fund-P F Option-Automatic Capital Appreciation Payout Option</v>
          </cell>
          <cell r="E1326">
            <v>39.029400000000003</v>
          </cell>
        </row>
        <row r="1327">
          <cell r="B1327" t="str">
            <v>-</v>
          </cell>
          <cell r="C1327" t="str">
            <v>INF204K01E62</v>
          </cell>
          <cell r="D1327" t="str">
            <v>Nippon India Gilt Fund - Direct Plan - P F Option - Automatic Annual Reinvest Option</v>
          </cell>
          <cell r="E1327">
            <v>24.011600000000001</v>
          </cell>
        </row>
        <row r="1328">
          <cell r="B1328" t="str">
            <v/>
          </cell>
          <cell r="C1328" t="str">
            <v/>
          </cell>
          <cell r="D1328" t="str">
            <v/>
          </cell>
        </row>
        <row r="1329">
          <cell r="B1329" t="str">
            <v/>
          </cell>
          <cell r="C1329" t="str">
            <v/>
          </cell>
          <cell r="D1329" t="str">
            <v/>
          </cell>
        </row>
        <row r="1330">
          <cell r="B1330" t="str">
            <v/>
          </cell>
          <cell r="C1330" t="str">
            <v/>
          </cell>
          <cell r="D1330" t="str">
            <v/>
          </cell>
        </row>
        <row r="1331">
          <cell r="B1331" t="str">
            <v>INF223J01AR4</v>
          </cell>
          <cell r="C1331" t="str">
            <v>-</v>
          </cell>
          <cell r="D1331" t="str">
            <v>PGIM India Gilt Fund - Bonus</v>
          </cell>
          <cell r="E1331">
            <v>13.866199999999999</v>
          </cell>
        </row>
        <row r="1332">
          <cell r="B1332" t="str">
            <v>INF223J01ND7</v>
          </cell>
          <cell r="C1332" t="str">
            <v>-</v>
          </cell>
          <cell r="D1332" t="str">
            <v>PGIM India Gilt Fund - Direct Plan - Growth</v>
          </cell>
          <cell r="E1332">
            <v>33.571599999999997</v>
          </cell>
        </row>
        <row r="1333">
          <cell r="B1333" t="str">
            <v>INF223J01VM1</v>
          </cell>
          <cell r="C1333" t="str">
            <v>-</v>
          </cell>
          <cell r="D1333" t="str">
            <v>PGIM India Gilt Fund - Direct Plan - Half Yearly Bonus</v>
          </cell>
          <cell r="E1333">
            <v>12.887700000000001</v>
          </cell>
        </row>
        <row r="1334">
          <cell r="B1334" t="str">
            <v>INF223J01NB1</v>
          </cell>
          <cell r="C1334" t="str">
            <v>-</v>
          </cell>
          <cell r="D1334" t="str">
            <v>PGIM India Gilt Fund - Direct Plan - Quarterly Dividend</v>
          </cell>
          <cell r="E1334">
            <v>13.9733</v>
          </cell>
        </row>
        <row r="1335">
          <cell r="B1335" t="str">
            <v>INF223J01AQ6</v>
          </cell>
          <cell r="C1335" t="str">
            <v>-</v>
          </cell>
          <cell r="D1335" t="str">
            <v>PGIM India Gilt Fund - Growth</v>
          </cell>
          <cell r="E1335">
            <v>30.753599999999999</v>
          </cell>
        </row>
        <row r="1336">
          <cell r="B1336" t="str">
            <v>INF223J01VL3</v>
          </cell>
          <cell r="C1336" t="str">
            <v>-</v>
          </cell>
          <cell r="D1336" t="str">
            <v>PGIM India Gilt Fund - Half Yearly Bonus</v>
          </cell>
          <cell r="E1336">
            <v>12.617800000000001</v>
          </cell>
        </row>
        <row r="1337">
          <cell r="B1337" t="str">
            <v>INF223J01AO1</v>
          </cell>
          <cell r="C1337" t="str">
            <v>INF223J01AP8</v>
          </cell>
          <cell r="D1337" t="str">
            <v>PGIM India Gilt Fund - Quarterly Dividend</v>
          </cell>
          <cell r="E1337">
            <v>13.105600000000001</v>
          </cell>
        </row>
        <row r="1338">
          <cell r="B1338" t="str">
            <v/>
          </cell>
          <cell r="C1338" t="str">
            <v/>
          </cell>
          <cell r="D1338" t="str">
            <v/>
          </cell>
        </row>
        <row r="1339">
          <cell r="B1339" t="str">
            <v/>
          </cell>
          <cell r="C1339" t="str">
            <v/>
          </cell>
          <cell r="D1339" t="str">
            <v/>
          </cell>
        </row>
        <row r="1340">
          <cell r="B1340" t="str">
            <v/>
          </cell>
          <cell r="C1340" t="str">
            <v/>
          </cell>
          <cell r="D1340" t="str">
            <v/>
          </cell>
        </row>
        <row r="1341">
          <cell r="B1341" t="str">
            <v>INF966L01BF7</v>
          </cell>
          <cell r="C1341" t="str">
            <v>-</v>
          </cell>
          <cell r="D1341" t="str">
            <v>quant Gilt Fund - Growth Option - Direct Plan</v>
          </cell>
          <cell r="E1341">
            <v>12.5578</v>
          </cell>
        </row>
        <row r="1342">
          <cell r="B1342" t="str">
            <v>INF966L01BI1</v>
          </cell>
          <cell r="C1342" t="str">
            <v>-</v>
          </cell>
          <cell r="D1342" t="str">
            <v>quant Gilt Fund - Growth Option - Regular Plan</v>
          </cell>
          <cell r="E1342">
            <v>12.135300000000001</v>
          </cell>
        </row>
        <row r="1343">
          <cell r="B1343" t="str">
            <v>INF966L01BG5</v>
          </cell>
          <cell r="C1343" t="str">
            <v>INF966L01BH3</v>
          </cell>
          <cell r="D1343" t="str">
            <v>quant Gilt Fund - IDCW Option - Direct Plan</v>
          </cell>
          <cell r="E1343">
            <v>12.546799999999999</v>
          </cell>
        </row>
        <row r="1344">
          <cell r="B1344" t="str">
            <v>INF966L01BJ9</v>
          </cell>
          <cell r="C1344" t="str">
            <v>INF966L01BK7</v>
          </cell>
          <cell r="D1344" t="str">
            <v>quant Gilt Fund - IDCW Option - Regular Plan</v>
          </cell>
          <cell r="E1344">
            <v>12.145899999999999</v>
          </cell>
        </row>
        <row r="1345">
          <cell r="B1345" t="str">
            <v/>
          </cell>
          <cell r="C1345" t="str">
            <v/>
          </cell>
          <cell r="D1345" t="str">
            <v/>
          </cell>
        </row>
        <row r="1346">
          <cell r="B1346" t="str">
            <v/>
          </cell>
          <cell r="C1346" t="str">
            <v/>
          </cell>
          <cell r="D1346" t="str">
            <v/>
          </cell>
        </row>
        <row r="1347">
          <cell r="B1347" t="str">
            <v/>
          </cell>
          <cell r="C1347" t="str">
            <v/>
          </cell>
          <cell r="D1347" t="str">
            <v/>
          </cell>
        </row>
        <row r="1348">
          <cell r="B1348" t="str">
            <v>INF200K01AH1</v>
          </cell>
          <cell r="C1348" t="str">
            <v>-</v>
          </cell>
          <cell r="D1348" t="str">
            <v>SBI GILT FUND -  GROWTH - PF (Fixed Period - 3 Yrs) Option</v>
          </cell>
          <cell r="E1348">
            <v>41.066499999999998</v>
          </cell>
        </row>
        <row r="1349">
          <cell r="B1349" t="str">
            <v>INF200K01AK5</v>
          </cell>
          <cell r="C1349" t="str">
            <v>-</v>
          </cell>
          <cell r="D1349" t="str">
            <v>SBI GILT FUND -  GROWTH - PF (Regular) Option</v>
          </cell>
          <cell r="E1349">
            <v>43.963299999999997</v>
          </cell>
        </row>
        <row r="1350">
          <cell r="B1350" t="str">
            <v>INF200K01SH3</v>
          </cell>
          <cell r="C1350" t="str">
            <v>-</v>
          </cell>
          <cell r="D1350" t="str">
            <v>SBI GILT FUND - DIRECT PLAN - GROWTH</v>
          </cell>
          <cell r="E1350">
            <v>72.883799999999994</v>
          </cell>
        </row>
        <row r="1351">
          <cell r="B1351" t="str">
            <v>INF200K01SF7</v>
          </cell>
          <cell r="C1351" t="str">
            <v>INF200K01SG5</v>
          </cell>
          <cell r="D1351" t="str">
            <v>SBI Gilt Fund - Direct Plan - Income Distribution cum Capital Withdrawal Option (IDCW)</v>
          </cell>
          <cell r="E1351">
            <v>23.261299999999999</v>
          </cell>
        </row>
        <row r="1352">
          <cell r="B1352" t="str">
            <v>INF200K01AC2</v>
          </cell>
          <cell r="C1352" t="str">
            <v>INF200K01AD0</v>
          </cell>
          <cell r="D1352" t="str">
            <v>SBI Gilt Fund - Income Distribution cum Capital Withdrawal Option (IDCW) - PF (Fixed Period - 1 Yr)</v>
          </cell>
          <cell r="E1352">
            <v>21.151599999999998</v>
          </cell>
        </row>
        <row r="1353">
          <cell r="B1353" t="str">
            <v>INF200K01AF5</v>
          </cell>
          <cell r="C1353" t="str">
            <v>INF200K01AG3</v>
          </cell>
          <cell r="D1353" t="str">
            <v>SBI Gilt Fund - Income Distribution cum Capital Withdrawal Option (IDCW) - PF (Fixed Period - 2 Yrs)</v>
          </cell>
          <cell r="E1353">
            <v>21.405200000000001</v>
          </cell>
        </row>
        <row r="1354">
          <cell r="B1354" t="str">
            <v>INF200K01AI9</v>
          </cell>
          <cell r="C1354" t="str">
            <v>INF200K01AJ7</v>
          </cell>
          <cell r="D1354" t="str">
            <v>SBI Gilt Fund - Income Distribution cum Capital Withdrawal Option (IDCW) - PF (Fixed Period - 3 Yrs)</v>
          </cell>
          <cell r="E1354">
            <v>20.754100000000001</v>
          </cell>
        </row>
        <row r="1355">
          <cell r="B1355" t="str">
            <v>INF200K01982</v>
          </cell>
          <cell r="C1355" t="str">
            <v>-</v>
          </cell>
          <cell r="D1355" t="str">
            <v>SBI GILT FUND - REGULAR PLAN - GROWTH</v>
          </cell>
          <cell r="E1355">
            <v>68.465199999999996</v>
          </cell>
        </row>
        <row r="1356">
          <cell r="B1356" t="str">
            <v>INF200K01990</v>
          </cell>
          <cell r="C1356" t="str">
            <v>INF200K01AA6</v>
          </cell>
          <cell r="D1356" t="str">
            <v>SBI Gilt Fund - Regular Plan - Income Distribution cum Capital Withdrawal Option (IDCW)</v>
          </cell>
          <cell r="E1356">
            <v>21.052800000000001</v>
          </cell>
        </row>
        <row r="1357">
          <cell r="B1357" t="str">
            <v/>
          </cell>
          <cell r="C1357" t="str">
            <v/>
          </cell>
          <cell r="D1357" t="str">
            <v/>
          </cell>
        </row>
        <row r="1358">
          <cell r="B1358" t="str">
            <v/>
          </cell>
          <cell r="C1358" t="str">
            <v/>
          </cell>
          <cell r="D1358" t="str">
            <v/>
          </cell>
        </row>
        <row r="1359">
          <cell r="B1359" t="str">
            <v/>
          </cell>
          <cell r="C1359" t="str">
            <v/>
          </cell>
          <cell r="D1359" t="str">
            <v/>
          </cell>
        </row>
        <row r="1360">
          <cell r="B1360" t="str">
            <v>-</v>
          </cell>
          <cell r="C1360" t="str">
            <v>-</v>
          </cell>
          <cell r="D1360" t="str">
            <v>Tata Gilt Retirement Plan (28/2/25) - Payout of IDCW Option</v>
          </cell>
          <cell r="E1360">
            <v>34.174700000000001</v>
          </cell>
        </row>
        <row r="1361">
          <cell r="B1361" t="str">
            <v>-</v>
          </cell>
          <cell r="C1361" t="str">
            <v>-</v>
          </cell>
          <cell r="D1361" t="str">
            <v>Tata Gilt Retirement Plan- 28/2/25 Growth Option</v>
          </cell>
          <cell r="E1361">
            <v>34.233400000000003</v>
          </cell>
        </row>
        <row r="1362">
          <cell r="B1362" t="str">
            <v>INF277K01OV1</v>
          </cell>
          <cell r="C1362" t="str">
            <v>INF277K01OW9</v>
          </cell>
          <cell r="D1362" t="str">
            <v>Tata Gilt Securities Fund - Direct Plan - Payout of IDCW Option</v>
          </cell>
          <cell r="E1362">
            <v>25.591999999999999</v>
          </cell>
        </row>
        <row r="1363">
          <cell r="B1363" t="str">
            <v>INF277K01DN1</v>
          </cell>
          <cell r="C1363" t="str">
            <v>INF277K01535</v>
          </cell>
          <cell r="D1363" t="str">
            <v>Tata Gilt Securities Fund - Regular Plan - Payout of IDCW Option</v>
          </cell>
          <cell r="E1363">
            <v>22.245699999999999</v>
          </cell>
        </row>
        <row r="1364">
          <cell r="B1364" t="str">
            <v>INF277K01519</v>
          </cell>
          <cell r="C1364" t="str">
            <v>-</v>
          </cell>
          <cell r="D1364" t="str">
            <v>Tata Gilt Securities Fund -Regular Plan- Growth Option</v>
          </cell>
          <cell r="E1364">
            <v>80.248999999999995</v>
          </cell>
        </row>
        <row r="1365">
          <cell r="B1365" t="str">
            <v>INF277K01OX7</v>
          </cell>
          <cell r="C1365" t="str">
            <v>-</v>
          </cell>
          <cell r="D1365" t="str">
            <v>Tata Gilt Securities Fund- Direct Plan - Growth Option</v>
          </cell>
          <cell r="E1365">
            <v>90.886099999999999</v>
          </cell>
        </row>
        <row r="1366">
          <cell r="B1366" t="str">
            <v/>
          </cell>
          <cell r="C1366" t="str">
            <v/>
          </cell>
          <cell r="D1366" t="str">
            <v/>
          </cell>
        </row>
        <row r="1367">
          <cell r="B1367" t="str">
            <v/>
          </cell>
          <cell r="C1367" t="str">
            <v/>
          </cell>
          <cell r="D1367" t="str">
            <v/>
          </cell>
        </row>
        <row r="1368">
          <cell r="B1368" t="str">
            <v/>
          </cell>
          <cell r="C1368" t="str">
            <v/>
          </cell>
          <cell r="D1368" t="str">
            <v/>
          </cell>
        </row>
        <row r="1369">
          <cell r="B1369" t="str">
            <v>INF582M01IA6</v>
          </cell>
          <cell r="C1369" t="str">
            <v>INF582M01IB4</v>
          </cell>
          <cell r="D1369" t="str">
            <v>Union Gilt Fund - Direct Plan - Annual IDCW Option</v>
          </cell>
          <cell r="E1369">
            <v>12.4954</v>
          </cell>
        </row>
        <row r="1370">
          <cell r="B1370" t="str">
            <v>INF582M01HW2</v>
          </cell>
          <cell r="C1370" t="str">
            <v>-</v>
          </cell>
          <cell r="D1370" t="str">
            <v>Union Gilt Fund - Direct Plan - Growth Option</v>
          </cell>
          <cell r="E1370">
            <v>12.4954</v>
          </cell>
        </row>
        <row r="1371">
          <cell r="B1371" t="str">
            <v>INF582M01HX0</v>
          </cell>
          <cell r="C1371" t="str">
            <v>INF582M01HY8</v>
          </cell>
          <cell r="D1371" t="str">
            <v>Union Gilt Fund - Direct Plan - Half-yearly IDCW Option</v>
          </cell>
          <cell r="E1371">
            <v>12.4954</v>
          </cell>
        </row>
        <row r="1372">
          <cell r="B1372" t="str">
            <v>INF582M01IH1</v>
          </cell>
          <cell r="C1372" t="str">
            <v>INF582M01II9</v>
          </cell>
          <cell r="D1372" t="str">
            <v>Union Gilt Fund - Regular Plan - Annual IDCW Option</v>
          </cell>
          <cell r="E1372">
            <v>12.257099999999999</v>
          </cell>
        </row>
        <row r="1373">
          <cell r="B1373" t="str">
            <v>INF582M01ID0</v>
          </cell>
          <cell r="C1373" t="str">
            <v>-</v>
          </cell>
          <cell r="D1373" t="str">
            <v>Union Gilt Fund - Regular Plan - Growth Option</v>
          </cell>
          <cell r="E1373">
            <v>12.257099999999999</v>
          </cell>
        </row>
        <row r="1374">
          <cell r="B1374" t="str">
            <v>INF582M01IE8</v>
          </cell>
          <cell r="C1374" t="str">
            <v>INF582M01IF5</v>
          </cell>
          <cell r="D1374" t="str">
            <v>Union Gilt Fund - Regular Plan - Half-yearly IDCW Option</v>
          </cell>
          <cell r="E1374">
            <v>12.257099999999999</v>
          </cell>
        </row>
        <row r="1375">
          <cell r="B1375" t="str">
            <v/>
          </cell>
          <cell r="C1375" t="str">
            <v/>
          </cell>
          <cell r="D1375" t="str">
            <v/>
          </cell>
        </row>
        <row r="1376">
          <cell r="B1376" t="str">
            <v/>
          </cell>
          <cell r="C1376" t="str">
            <v/>
          </cell>
          <cell r="D1376" t="str">
            <v/>
          </cell>
        </row>
        <row r="1377">
          <cell r="B1377" t="str">
            <v/>
          </cell>
          <cell r="C1377" t="str">
            <v/>
          </cell>
          <cell r="D1377" t="str">
            <v/>
          </cell>
        </row>
        <row r="1378">
          <cell r="B1378" t="str">
            <v>INF789F01TL5</v>
          </cell>
          <cell r="C1378" t="str">
            <v>-</v>
          </cell>
          <cell r="D1378" t="str">
            <v>UTI - GILT FUND - Direct Plan - Growth Option</v>
          </cell>
          <cell r="E1378">
            <v>68.3018</v>
          </cell>
        </row>
        <row r="1379">
          <cell r="B1379" t="str">
            <v>INF789F01PT6</v>
          </cell>
          <cell r="C1379" t="str">
            <v>-</v>
          </cell>
          <cell r="D1379" t="str">
            <v>UTI - GILT FUND - Discontinued PF Plan - Growth Option</v>
          </cell>
          <cell r="E1379">
            <v>48.876300000000001</v>
          </cell>
        </row>
        <row r="1380">
          <cell r="B1380" t="str">
            <v>INF789F01PU4</v>
          </cell>
          <cell r="C1380" t="str">
            <v>-</v>
          </cell>
          <cell r="D1380" t="str">
            <v>UTI - GILT FUND - Discontinued PF Plan Prescribed Date Auto Redemption Option</v>
          </cell>
          <cell r="E1380">
            <v>48.903399999999998</v>
          </cell>
        </row>
        <row r="1381">
          <cell r="B1381" t="str">
            <v>INF789F01661</v>
          </cell>
          <cell r="C1381" t="str">
            <v>-</v>
          </cell>
          <cell r="D1381" t="str">
            <v>UTI - GILT FUND - Regular Plan - Growth Option</v>
          </cell>
          <cell r="E1381">
            <v>65.735200000000006</v>
          </cell>
        </row>
        <row r="1382">
          <cell r="B1382" t="str">
            <v>INF789F01PR0</v>
          </cell>
          <cell r="C1382" t="str">
            <v>INF789F01PS8</v>
          </cell>
          <cell r="D1382" t="str">
            <v>UTI - GILT FUND -Discontinued PF Plan -Dividend Option</v>
          </cell>
          <cell r="E1382">
            <v>26.901599999999998</v>
          </cell>
        </row>
        <row r="1383">
          <cell r="B1383" t="str">
            <v>INF789F01TJ9</v>
          </cell>
          <cell r="C1383" t="str">
            <v>INF789F01TK7</v>
          </cell>
          <cell r="D1383" t="str">
            <v>UTI Gilt Fund - Direct Plan - IDCW</v>
          </cell>
          <cell r="E1383">
            <v>31.609100000000002</v>
          </cell>
        </row>
        <row r="1384">
          <cell r="B1384" t="str">
            <v>INF789F01646</v>
          </cell>
          <cell r="C1384" t="str">
            <v>INF789F01653</v>
          </cell>
          <cell r="D1384" t="str">
            <v>UTI Gilt Fund - Regular Plan - IDCW</v>
          </cell>
          <cell r="E1384">
            <v>39.408000000000001</v>
          </cell>
        </row>
        <row r="1385">
          <cell r="B1385" t="str">
            <v/>
          </cell>
          <cell r="C1385" t="str">
            <v/>
          </cell>
          <cell r="D1385" t="str">
            <v/>
          </cell>
        </row>
        <row r="1386">
          <cell r="B1386" t="str">
            <v/>
          </cell>
          <cell r="C1386" t="str">
            <v/>
          </cell>
          <cell r="D1386" t="str">
            <v/>
          </cell>
        </row>
        <row r="1387">
          <cell r="B1387" t="str">
            <v/>
          </cell>
          <cell r="C1387" t="str">
            <v/>
          </cell>
          <cell r="D1387" t="str">
            <v/>
          </cell>
        </row>
        <row r="1388">
          <cell r="B1388" t="str">
            <v/>
          </cell>
          <cell r="C1388" t="str">
            <v/>
          </cell>
          <cell r="D1388" t="str">
            <v/>
          </cell>
        </row>
        <row r="1389">
          <cell r="B1389" t="str">
            <v/>
          </cell>
          <cell r="C1389" t="str">
            <v/>
          </cell>
          <cell r="D1389" t="str">
            <v/>
          </cell>
        </row>
        <row r="1390">
          <cell r="B1390" t="str">
            <v>INF194K01P38</v>
          </cell>
          <cell r="C1390" t="str">
            <v>-</v>
          </cell>
          <cell r="D1390" t="str">
            <v>Bandhan Gilt Fund with 10 year constant duration Fund - Direct Plan - Growth</v>
          </cell>
          <cell r="E1390">
            <v>49.289700000000003</v>
          </cell>
        </row>
        <row r="1391">
          <cell r="B1391" t="str">
            <v>INF194K01P53</v>
          </cell>
          <cell r="C1391" t="str">
            <v>INF194K01P46</v>
          </cell>
          <cell r="D1391" t="str">
            <v>Bandhan Gilt Fund with 10 year constant duration Fund - Direct Plan - Monthly IDCW</v>
          </cell>
          <cell r="E1391">
            <v>10.4655</v>
          </cell>
        </row>
        <row r="1392">
          <cell r="B1392" t="str">
            <v>INF194KA1SL7</v>
          </cell>
          <cell r="C1392" t="str">
            <v>INF194KA1SM5</v>
          </cell>
          <cell r="D1392" t="str">
            <v>Bandhan Gilt Fund with 10 year constant duration Fund - Direct Plan - Periodic IDCW</v>
          </cell>
          <cell r="E1392">
            <v>14.682399999999999</v>
          </cell>
        </row>
        <row r="1393">
          <cell r="B1393" t="str">
            <v>INF194K01P87</v>
          </cell>
          <cell r="C1393" t="str">
            <v>INF194K01P79</v>
          </cell>
          <cell r="D1393" t="str">
            <v>Bandhan Gilt Fund with 10 year constant duration Fund - Direct Plan - Quarterly IDCW</v>
          </cell>
          <cell r="E1393">
            <v>11.8881</v>
          </cell>
        </row>
        <row r="1394">
          <cell r="B1394" t="str">
            <v>-</v>
          </cell>
          <cell r="C1394" t="str">
            <v>INF194K01Q03</v>
          </cell>
          <cell r="D1394" t="str">
            <v>Bandhan Gilt Fund with 10 year constant duration Fund - Direct Plan - Weekly IDCW</v>
          </cell>
          <cell r="E1394">
            <v>17.879100000000001</v>
          </cell>
        </row>
        <row r="1395">
          <cell r="B1395" t="str">
            <v>INF194K01FC6</v>
          </cell>
          <cell r="C1395" t="str">
            <v>INF194K01FB8</v>
          </cell>
          <cell r="D1395" t="str">
            <v>Bandhan Gilt Fund with 10 year constant duration Fund - Regular Plan - Monthly IDCW</v>
          </cell>
          <cell r="E1395">
            <v>10.424799999999999</v>
          </cell>
        </row>
        <row r="1396">
          <cell r="B1396" t="str">
            <v>INF194KA1SI3</v>
          </cell>
          <cell r="C1396" t="str">
            <v>INF194KA1SJ1</v>
          </cell>
          <cell r="D1396" t="str">
            <v>Bandhan Gilt Fund with 10 year constant duration Fund - Regular Plan - Periodic IDCW</v>
          </cell>
          <cell r="E1396">
            <v>17.3142</v>
          </cell>
        </row>
        <row r="1397">
          <cell r="B1397" t="str">
            <v>INF194K01FA0</v>
          </cell>
          <cell r="C1397" t="str">
            <v>-</v>
          </cell>
          <cell r="D1397" t="str">
            <v>Bandhan Gilt Fund with 10 year constant duration Fund - Regular Plan - Growth</v>
          </cell>
          <cell r="E1397">
            <v>48.366900000000001</v>
          </cell>
        </row>
        <row r="1398">
          <cell r="B1398" t="str">
            <v>INF194K01FI3</v>
          </cell>
          <cell r="C1398" t="str">
            <v>INF194K01FH5</v>
          </cell>
          <cell r="D1398" t="str">
            <v>Bandhan Gilt Fund with 10 year constant duration Fund - Regular Plan - Weekly IDCW</v>
          </cell>
          <cell r="E1398">
            <v>10.2751</v>
          </cell>
        </row>
        <row r="1399">
          <cell r="B1399" t="str">
            <v>INF194K01FF9</v>
          </cell>
          <cell r="C1399" t="str">
            <v>INF194K01FE2</v>
          </cell>
          <cell r="D1399" t="str">
            <v>Bandhan Gilt Fund with 10 year constant duration Fund - Regular Plan - Quarterly IDCW</v>
          </cell>
          <cell r="E1399">
            <v>11.5867</v>
          </cell>
        </row>
        <row r="1400">
          <cell r="B1400" t="str">
            <v/>
          </cell>
          <cell r="C1400" t="str">
            <v/>
          </cell>
          <cell r="D1400" t="str">
            <v/>
          </cell>
        </row>
        <row r="1401">
          <cell r="B1401" t="str">
            <v/>
          </cell>
          <cell r="C1401" t="str">
            <v/>
          </cell>
          <cell r="D1401" t="str">
            <v/>
          </cell>
        </row>
        <row r="1402">
          <cell r="B1402" t="str">
            <v/>
          </cell>
          <cell r="C1402" t="str">
            <v/>
          </cell>
          <cell r="D1402" t="str">
            <v/>
          </cell>
        </row>
        <row r="1403">
          <cell r="B1403" t="str">
            <v>INF740K019I5</v>
          </cell>
          <cell r="C1403" t="str">
            <v>-</v>
          </cell>
          <cell r="D1403" t="str">
            <v>DSP 10Y G-Sec Fund - Direct Plan - Growth</v>
          </cell>
          <cell r="E1403">
            <v>23.110199999999999</v>
          </cell>
        </row>
        <row r="1404">
          <cell r="B1404" t="str">
            <v>INF740K010J2</v>
          </cell>
          <cell r="C1404" t="str">
            <v>INF740K011J0</v>
          </cell>
          <cell r="D1404" t="str">
            <v>DSP 10Y G-Sec Fund - Direct Plan - IDCW</v>
          </cell>
          <cell r="E1404">
            <v>10.834300000000001</v>
          </cell>
        </row>
        <row r="1405">
          <cell r="B1405" t="str">
            <v>INF740K012J8</v>
          </cell>
          <cell r="C1405" t="str">
            <v>INF740K013J6</v>
          </cell>
          <cell r="D1405" t="str">
            <v>DSP 10Y G-Sec Fund - Direct Plan - IDCW - Monthly</v>
          </cell>
          <cell r="E1405">
            <v>10.605499999999999</v>
          </cell>
        </row>
        <row r="1406">
          <cell r="B1406" t="str">
            <v>INF740K014J4</v>
          </cell>
          <cell r="C1406" t="str">
            <v>INF740K015J1</v>
          </cell>
          <cell r="D1406" t="str">
            <v>DSP 10Y G-Sec Fund - Direct Plan - IDCW - Quarterly</v>
          </cell>
          <cell r="E1406">
            <v>10.825799999999999</v>
          </cell>
        </row>
        <row r="1407">
          <cell r="B1407" t="str">
            <v>INF740K012I0</v>
          </cell>
          <cell r="C1407" t="str">
            <v>-</v>
          </cell>
          <cell r="D1407" t="str">
            <v>DSP 10Y G-Sec Fund - Regular Plan - Growth</v>
          </cell>
          <cell r="E1407">
            <v>22.507999999999999</v>
          </cell>
        </row>
        <row r="1408">
          <cell r="B1408" t="str">
            <v>INF740K013I8</v>
          </cell>
          <cell r="C1408" t="str">
            <v>INF740K014I6</v>
          </cell>
          <cell r="D1408" t="str">
            <v>DSP 10Y G-Sec Fund - Regular Plan - IDCW</v>
          </cell>
          <cell r="E1408">
            <v>10.626200000000001</v>
          </cell>
        </row>
        <row r="1409">
          <cell r="B1409" t="str">
            <v>INF740K015I3</v>
          </cell>
          <cell r="C1409" t="str">
            <v>INF740K016I1</v>
          </cell>
          <cell r="D1409" t="str">
            <v>DSP 10Y G-Sec Fund - Regular Plan - IDCW - Monthly</v>
          </cell>
          <cell r="E1409">
            <v>10.758699999999999</v>
          </cell>
        </row>
        <row r="1410">
          <cell r="B1410" t="str">
            <v>INF740K017I9</v>
          </cell>
          <cell r="C1410" t="str">
            <v>INF740K018I7</v>
          </cell>
          <cell r="D1410" t="str">
            <v xml:space="preserve">DSP 10Y G-Sec Fund - Regular Plan - IDCW - Quarterly </v>
          </cell>
          <cell r="E1410">
            <v>10.8782</v>
          </cell>
        </row>
        <row r="1411">
          <cell r="B1411" t="str">
            <v/>
          </cell>
          <cell r="C1411" t="str">
            <v/>
          </cell>
          <cell r="D1411" t="str">
            <v/>
          </cell>
        </row>
        <row r="1412">
          <cell r="B1412" t="str">
            <v/>
          </cell>
          <cell r="C1412" t="str">
            <v/>
          </cell>
          <cell r="D1412" t="str">
            <v/>
          </cell>
        </row>
        <row r="1413">
          <cell r="B1413" t="str">
            <v/>
          </cell>
          <cell r="C1413" t="str">
            <v/>
          </cell>
          <cell r="D1413" t="str">
            <v/>
          </cell>
        </row>
        <row r="1414">
          <cell r="B1414" t="str">
            <v>INF109KA1N87</v>
          </cell>
          <cell r="C1414" t="str">
            <v>INF109KA1O29</v>
          </cell>
          <cell r="D1414" t="str">
            <v>ICICI Prudential Constant Maturity Gilt Fund - Annual IDCW</v>
          </cell>
          <cell r="E1414">
            <v>10.488899999999999</v>
          </cell>
        </row>
        <row r="1415">
          <cell r="B1415" t="str">
            <v>INF109KA1O78</v>
          </cell>
          <cell r="C1415" t="str">
            <v>INF109KA1P10</v>
          </cell>
          <cell r="D1415" t="str">
            <v>ICICI Prudential Constant Maturity Gilt Fund - Direct Plan - Annual IDCW</v>
          </cell>
          <cell r="E1415">
            <v>10.6928</v>
          </cell>
        </row>
        <row r="1416">
          <cell r="B1416" t="str">
            <v>INF109KA1O37</v>
          </cell>
          <cell r="C1416" t="str">
            <v>-</v>
          </cell>
          <cell r="D1416" t="str">
            <v>ICICI Prudential Constant Maturity Gilt Fund - Direct Plan - Growth</v>
          </cell>
          <cell r="E1416">
            <v>26.683499999999999</v>
          </cell>
        </row>
        <row r="1417">
          <cell r="B1417" t="str">
            <v>INF109KA1O60</v>
          </cell>
          <cell r="C1417" t="str">
            <v>INF109KA1P02</v>
          </cell>
          <cell r="D1417" t="str">
            <v>ICICI Prudential Constant Maturity Gilt Fund - Direct Plan - Half Yearly IDCW</v>
          </cell>
          <cell r="E1417">
            <v>10.679</v>
          </cell>
        </row>
        <row r="1418">
          <cell r="B1418" t="str">
            <v>INF109KA1O45</v>
          </cell>
          <cell r="C1418" t="str">
            <v>INF109KA1O86</v>
          </cell>
          <cell r="D1418" t="str">
            <v>ICICI Prudential Constant Maturity Gilt Fund - Direct Plan - Monthly IDCW</v>
          </cell>
          <cell r="E1418">
            <v>11.387</v>
          </cell>
        </row>
        <row r="1419">
          <cell r="B1419" t="str">
            <v>INF109KA1O52</v>
          </cell>
          <cell r="C1419" t="str">
            <v>INF109KA1O94</v>
          </cell>
          <cell r="D1419" t="str">
            <v>ICICI Prudential Constant Maturity Gilt Fund - Direct Plan - Quarterly IDCW</v>
          </cell>
          <cell r="E1419">
            <v>11.8789</v>
          </cell>
        </row>
        <row r="1420">
          <cell r="B1420" t="str">
            <v>INF109KA1N46</v>
          </cell>
          <cell r="C1420" t="str">
            <v>-</v>
          </cell>
          <cell r="D1420" t="str">
            <v>ICICI Prudential Constant Maturity Gilt Fund - Growth</v>
          </cell>
          <cell r="E1420">
            <v>26.0624</v>
          </cell>
        </row>
        <row r="1421">
          <cell r="B1421" t="str">
            <v>INF109KA1N79</v>
          </cell>
          <cell r="C1421" t="str">
            <v>INF109KA1O11</v>
          </cell>
          <cell r="D1421" t="str">
            <v>ICICI Prudential Constant Maturity Gilt Fund - Half Yearly IDCW</v>
          </cell>
          <cell r="E1421">
            <v>10.381600000000001</v>
          </cell>
        </row>
        <row r="1422">
          <cell r="B1422" t="str">
            <v>INF109KA1N53</v>
          </cell>
          <cell r="C1422" t="str">
            <v>INF109KA1N95</v>
          </cell>
          <cell r="D1422" t="str">
            <v>ICICI Prudential Constant Maturity Gilt Fund - Monthly IDCW</v>
          </cell>
          <cell r="E1422">
            <v>11.1867</v>
          </cell>
        </row>
        <row r="1423">
          <cell r="B1423" t="str">
            <v>INF109KA1N61</v>
          </cell>
          <cell r="C1423" t="str">
            <v>INF109KA1O03</v>
          </cell>
          <cell r="D1423" t="str">
            <v>ICICI Prudential Constant Maturity Gilt Fund - quarterly IDCW</v>
          </cell>
          <cell r="E1423">
            <v>11.6082</v>
          </cell>
        </row>
        <row r="1424">
          <cell r="B1424" t="str">
            <v/>
          </cell>
          <cell r="C1424" t="str">
            <v/>
          </cell>
          <cell r="D1424" t="str">
            <v/>
          </cell>
        </row>
        <row r="1425">
          <cell r="B1425" t="str">
            <v/>
          </cell>
          <cell r="C1425" t="str">
            <v/>
          </cell>
          <cell r="D1425" t="str">
            <v/>
          </cell>
        </row>
        <row r="1426">
          <cell r="B1426" t="str">
            <v/>
          </cell>
          <cell r="C1426" t="str">
            <v/>
          </cell>
          <cell r="D1426" t="str">
            <v/>
          </cell>
        </row>
        <row r="1427">
          <cell r="B1427" t="str">
            <v>INF200K01SK7</v>
          </cell>
          <cell r="C1427" t="str">
            <v>-</v>
          </cell>
          <cell r="D1427" t="str">
            <v>SBI CONSTANT MATURITY 10 YEAR GILT FUND - DIRECT PLAN - GROWTH</v>
          </cell>
          <cell r="E1427">
            <v>69.467799999999997</v>
          </cell>
        </row>
        <row r="1428">
          <cell r="B1428" t="str">
            <v>INF200K01SI1</v>
          </cell>
          <cell r="C1428" t="str">
            <v>INF200K01SJ9</v>
          </cell>
          <cell r="D1428" t="str">
            <v>SBI Constant Maturity 10 Year Gilt Fund - Direct Plan - Income Distribution cum Capital Withdrawal Option (IDCW)</v>
          </cell>
          <cell r="E1428">
            <v>22.596800000000002</v>
          </cell>
        </row>
        <row r="1429">
          <cell r="B1429" t="str">
            <v>INF200K01AN9</v>
          </cell>
          <cell r="C1429" t="str">
            <v>-</v>
          </cell>
          <cell r="D1429" t="str">
            <v>SBI CONSTANT MATURITY 10 Year GILT FUND - REGULAR PLAN - GROWTH</v>
          </cell>
          <cell r="E1429">
            <v>66.588800000000006</v>
          </cell>
        </row>
        <row r="1430">
          <cell r="B1430" t="str">
            <v>INF200K01AO7</v>
          </cell>
          <cell r="C1430" t="str">
            <v>INF200K01AP4</v>
          </cell>
          <cell r="D1430" t="str">
            <v>SBI Constant Maturity 10 Year Gilt Fund - Regular Plan - Income Distribution cum Capital Withdrawal Option (IDCW)</v>
          </cell>
          <cell r="E1430">
            <v>21.6569</v>
          </cell>
        </row>
        <row r="1431">
          <cell r="B1431" t="str">
            <v/>
          </cell>
          <cell r="C1431" t="str">
            <v/>
          </cell>
          <cell r="D1431" t="str">
            <v/>
          </cell>
        </row>
        <row r="1432">
          <cell r="B1432" t="str">
            <v/>
          </cell>
          <cell r="C1432" t="str">
            <v/>
          </cell>
          <cell r="D1432" t="str">
            <v/>
          </cell>
        </row>
        <row r="1433">
          <cell r="B1433" t="str">
            <v/>
          </cell>
          <cell r="C1433" t="str">
            <v/>
          </cell>
          <cell r="D1433" t="str">
            <v/>
          </cell>
        </row>
        <row r="1434">
          <cell r="B1434" t="str">
            <v>INF789F1AVW7</v>
          </cell>
          <cell r="C1434" t="str">
            <v>INF789F1AVX5</v>
          </cell>
          <cell r="D1434" t="str">
            <v>UTI Gilt Fund with 10 year Constant Duration - Direct Plan - Annual IDCW Option</v>
          </cell>
          <cell r="E1434">
            <v>11.6694</v>
          </cell>
        </row>
        <row r="1435">
          <cell r="B1435" t="str">
            <v>INF789F1AVY3</v>
          </cell>
          <cell r="C1435" t="str">
            <v>INF789F1AVZ0</v>
          </cell>
          <cell r="D1435" t="str">
            <v>UTI Gilt Fund with 10 year Constant Duration - Direct Plan - Flexi IDCW Option</v>
          </cell>
          <cell r="E1435">
            <v>13.385300000000001</v>
          </cell>
        </row>
        <row r="1436">
          <cell r="B1436" t="str">
            <v>INF789F1AVR7</v>
          </cell>
          <cell r="C1436" t="str">
            <v>-</v>
          </cell>
          <cell r="D1436" t="str">
            <v>UTI Gilt Fund with 10 year Constant Duration - Direct Plan - Growth Option</v>
          </cell>
          <cell r="E1436">
            <v>13.385199999999999</v>
          </cell>
        </row>
        <row r="1437">
          <cell r="B1437" t="str">
            <v>INF789F1AVU1</v>
          </cell>
          <cell r="C1437" t="str">
            <v>INF789F1AVV9</v>
          </cell>
          <cell r="D1437" t="str">
            <v>UTI Gilt Fund with 10 year Constant Duration - Direct Plan - Half Yearly IDCW Option</v>
          </cell>
          <cell r="E1437">
            <v>13.2531</v>
          </cell>
        </row>
        <row r="1438">
          <cell r="B1438" t="str">
            <v>INF789F1AVS5</v>
          </cell>
          <cell r="C1438" t="str">
            <v>INF789F1AVT3</v>
          </cell>
          <cell r="D1438" t="str">
            <v>UTI Gilt Fund with 10 year Constant Duration - Direct Plan - Quarterly IDCW Option</v>
          </cell>
          <cell r="E1438">
            <v>13.385400000000001</v>
          </cell>
        </row>
        <row r="1439">
          <cell r="B1439" t="str">
            <v>INF789F1AVN6</v>
          </cell>
          <cell r="C1439" t="str">
            <v>INF789F1AVO4</v>
          </cell>
          <cell r="D1439" t="str">
            <v>UTI Gilt Fund with 10 year Constant Duration - Regular Plan - Annual IDCW Option</v>
          </cell>
          <cell r="E1439">
            <v>11.430300000000001</v>
          </cell>
        </row>
        <row r="1440">
          <cell r="B1440" t="str">
            <v>INF789F1AVP1</v>
          </cell>
          <cell r="C1440" t="str">
            <v>INF789F1AVQ9</v>
          </cell>
          <cell r="D1440" t="str">
            <v>UTI Gilt Fund with 10 year Constant Duration - Regular Plan - Flexi IDCW Option</v>
          </cell>
          <cell r="E1440">
            <v>13.1317</v>
          </cell>
        </row>
        <row r="1441">
          <cell r="B1441" t="str">
            <v>INF789F1AVI6</v>
          </cell>
          <cell r="C1441" t="str">
            <v>-</v>
          </cell>
          <cell r="D1441" t="str">
            <v>UTI Gilt Fund with 10 year Constant Duration - Regular Plan - Growth Option</v>
          </cell>
          <cell r="E1441">
            <v>13.132199999999999</v>
          </cell>
        </row>
        <row r="1442">
          <cell r="B1442" t="str">
            <v>INF789F1AVL0</v>
          </cell>
          <cell r="C1442" t="str">
            <v>INF789F1AVM8</v>
          </cell>
          <cell r="D1442" t="str">
            <v>UTI Gilt Fund with 10 year Constant Duration - Regular Plan - Half Yearly IDCW Option</v>
          </cell>
          <cell r="E1442">
            <v>13.1319</v>
          </cell>
        </row>
        <row r="1443">
          <cell r="B1443" t="str">
            <v>INF789F1AVJ4</v>
          </cell>
          <cell r="C1443" t="str">
            <v>INF789F1AVK2</v>
          </cell>
          <cell r="D1443" t="str">
            <v>UTI Gilt Fund with 10 year Constant Duration - Regular Plan - Quarterly IDCW Option</v>
          </cell>
          <cell r="E1443">
            <v>13.132300000000001</v>
          </cell>
        </row>
        <row r="1444">
          <cell r="B1444" t="str">
            <v/>
          </cell>
          <cell r="C1444" t="str">
            <v/>
          </cell>
          <cell r="D1444" t="str">
            <v/>
          </cell>
        </row>
        <row r="1445">
          <cell r="B1445" t="str">
            <v/>
          </cell>
          <cell r="C1445" t="str">
            <v/>
          </cell>
          <cell r="D1445" t="str">
            <v/>
          </cell>
        </row>
        <row r="1446">
          <cell r="B1446" t="str">
            <v/>
          </cell>
          <cell r="C1446" t="str">
            <v/>
          </cell>
          <cell r="D1446" t="str">
            <v/>
          </cell>
        </row>
        <row r="1447">
          <cell r="B1447" t="str">
            <v/>
          </cell>
          <cell r="C1447" t="str">
            <v/>
          </cell>
          <cell r="D1447" t="str">
            <v/>
          </cell>
        </row>
        <row r="1448">
          <cell r="B1448" t="str">
            <v/>
          </cell>
          <cell r="C1448" t="str">
            <v/>
          </cell>
          <cell r="D1448" t="str">
            <v/>
          </cell>
        </row>
        <row r="1449">
          <cell r="B1449" t="str">
            <v>-</v>
          </cell>
          <cell r="C1449" t="str">
            <v>INF579M01688</v>
          </cell>
          <cell r="D1449" t="str">
            <v>360 ONE LIQUID FUND DIRECT PLAN  DAILY DIVIDEND REINVESTMENT</v>
          </cell>
          <cell r="E1449">
            <v>1000.5271</v>
          </cell>
        </row>
        <row r="1450">
          <cell r="B1450" t="str">
            <v>INF579M01621</v>
          </cell>
          <cell r="C1450" t="str">
            <v>-</v>
          </cell>
          <cell r="D1450" t="str">
            <v>360 ONE LIQUID FUND DIRECT PLAN  GROWTH</v>
          </cell>
          <cell r="E1450">
            <v>2154.3598999999999</v>
          </cell>
        </row>
        <row r="1451">
          <cell r="B1451" t="str">
            <v>INF579M01639</v>
          </cell>
          <cell r="C1451" t="str">
            <v>INF579M01696</v>
          </cell>
          <cell r="D1451" t="str">
            <v>360 ONE LIQUID FUND DIRECT PLAN  WEEKLY DIVIDEND</v>
          </cell>
          <cell r="E1451">
            <v>1005.0634</v>
          </cell>
        </row>
        <row r="1452">
          <cell r="B1452" t="str">
            <v>-</v>
          </cell>
          <cell r="C1452" t="str">
            <v>INF579M01563</v>
          </cell>
          <cell r="D1452" t="str">
            <v>360 ONE LIQUID FUND REGULAR PLAN  DAILY DIVIDEND REINVESTMENT</v>
          </cell>
          <cell r="E1452">
            <v>1000.5271</v>
          </cell>
        </row>
        <row r="1453">
          <cell r="B1453" t="str">
            <v>INF579M01506</v>
          </cell>
          <cell r="C1453" t="str">
            <v>-</v>
          </cell>
          <cell r="D1453" t="str">
            <v>360 ONE LIQUID FUND REGULAR PLAN  GROWTH</v>
          </cell>
          <cell r="E1453">
            <v>2138.6482000000001</v>
          </cell>
        </row>
        <row r="1454">
          <cell r="B1454" t="str">
            <v>INF579M01514</v>
          </cell>
          <cell r="C1454" t="str">
            <v>INF579M01571</v>
          </cell>
          <cell r="D1454" t="str">
            <v>360 ONE LIQUID FUND REGULAR PLAN  WEEKLY DIVIDEND</v>
          </cell>
          <cell r="E1454">
            <v>1005.0667999999999</v>
          </cell>
        </row>
        <row r="1455">
          <cell r="B1455" t="str">
            <v/>
          </cell>
          <cell r="C1455" t="str">
            <v/>
          </cell>
          <cell r="D1455" t="str">
            <v/>
          </cell>
        </row>
        <row r="1456">
          <cell r="B1456" t="str">
            <v/>
          </cell>
          <cell r="C1456" t="str">
            <v/>
          </cell>
          <cell r="D1456" t="str">
            <v/>
          </cell>
        </row>
        <row r="1457">
          <cell r="B1457" t="str">
            <v/>
          </cell>
          <cell r="C1457" t="str">
            <v/>
          </cell>
          <cell r="D1457" t="str">
            <v/>
          </cell>
        </row>
        <row r="1458">
          <cell r="B1458" t="str">
            <v>INF209K01RU9</v>
          </cell>
          <cell r="C1458" t="str">
            <v>-</v>
          </cell>
          <cell r="D1458" t="str">
            <v>Aditya Birla Sun Life Liquid Fund - Growth</v>
          </cell>
          <cell r="E1458">
            <v>448.82870000000003</v>
          </cell>
        </row>
        <row r="1459">
          <cell r="B1459" t="str">
            <v>INF209K01VA3</v>
          </cell>
          <cell r="C1459" t="str">
            <v>-</v>
          </cell>
          <cell r="D1459" t="str">
            <v>Aditya Birla Sun Life Liquid Fund - Growth - Direct Plan</v>
          </cell>
          <cell r="E1459">
            <v>454.89069999999998</v>
          </cell>
        </row>
        <row r="1460">
          <cell r="B1460" t="str">
            <v>INF209K01KQ2</v>
          </cell>
          <cell r="C1460" t="str">
            <v>INF209K01SQ5</v>
          </cell>
          <cell r="D1460" t="str">
            <v>Aditya Birla Sun Life Liquid Fund -Daily IDCW</v>
          </cell>
          <cell r="E1460">
            <v>100.19499999999999</v>
          </cell>
        </row>
        <row r="1461">
          <cell r="B1461" t="str">
            <v>INF209K01UZ2</v>
          </cell>
          <cell r="C1461" t="str">
            <v>-</v>
          </cell>
          <cell r="D1461" t="str">
            <v>Aditya Birla Sun Life Liquid Fund -Direct - daily IDCW</v>
          </cell>
          <cell r="E1461">
            <v>100.19499999999999</v>
          </cell>
        </row>
        <row r="1462">
          <cell r="B1462" t="str">
            <v>INF209K01VD7</v>
          </cell>
          <cell r="C1462" t="str">
            <v>-</v>
          </cell>
          <cell r="D1462" t="str">
            <v>Aditya Birla Sun Life Liquid Fund -DIRECT - IDCW</v>
          </cell>
          <cell r="E1462">
            <v>136.8143</v>
          </cell>
        </row>
        <row r="1463">
          <cell r="B1463" t="str">
            <v>INF209K01VC9</v>
          </cell>
          <cell r="C1463" t="str">
            <v>-</v>
          </cell>
          <cell r="D1463" t="str">
            <v>Aditya Birla Sun Life Liquid Fund -Direct - weekly IDCW</v>
          </cell>
          <cell r="E1463">
            <v>100.2967</v>
          </cell>
        </row>
        <row r="1464">
          <cell r="B1464" t="str">
            <v>-</v>
          </cell>
          <cell r="C1464" t="str">
            <v>INF209K01KN9</v>
          </cell>
          <cell r="D1464" t="str">
            <v>Aditya Birla Sun Life Liquid Fund -Institutional - IDCW</v>
          </cell>
          <cell r="E1464">
            <v>108.023</v>
          </cell>
        </row>
        <row r="1465">
          <cell r="B1465" t="str">
            <v>INF209KA1LK7</v>
          </cell>
          <cell r="C1465" t="str">
            <v>INF209K01KY6</v>
          </cell>
          <cell r="D1465" t="str">
            <v>Aditya Birla Sun Life Liquid Fund -Institutional - weekly  IDCW</v>
          </cell>
          <cell r="E1465">
            <v>108.068</v>
          </cell>
        </row>
        <row r="1466">
          <cell r="B1466" t="str">
            <v>INF209KA1LI1</v>
          </cell>
          <cell r="C1466" t="str">
            <v>-</v>
          </cell>
          <cell r="D1466" t="str">
            <v>Aditya Birla Sun Life Liquid Fund -Regular - IDCW</v>
          </cell>
          <cell r="E1466">
            <v>104.0534</v>
          </cell>
        </row>
        <row r="1467">
          <cell r="B1467" t="str">
            <v>-</v>
          </cell>
          <cell r="C1467" t="str">
            <v>INF209K01KP4</v>
          </cell>
          <cell r="D1467" t="str">
            <v>Aditya Birla Sun Life Liquid Fund -Retail - IDCW</v>
          </cell>
          <cell r="E1467">
            <v>163.69399999999999</v>
          </cell>
        </row>
        <row r="1468">
          <cell r="B1468" t="str">
            <v>INF209K01KU4</v>
          </cell>
          <cell r="C1468" t="str">
            <v>INF209KA1LJ9</v>
          </cell>
          <cell r="D1468" t="str">
            <v>Aditya Birla Sun Life Liquid Fund -weekly IDCW</v>
          </cell>
          <cell r="E1468">
            <v>100.29470000000001</v>
          </cell>
        </row>
        <row r="1469">
          <cell r="B1469" t="str">
            <v/>
          </cell>
          <cell r="C1469" t="str">
            <v/>
          </cell>
          <cell r="D1469" t="str">
            <v/>
          </cell>
        </row>
        <row r="1470">
          <cell r="B1470" t="str">
            <v/>
          </cell>
          <cell r="C1470" t="str">
            <v/>
          </cell>
          <cell r="D1470" t="str">
            <v/>
          </cell>
        </row>
        <row r="1471">
          <cell r="B1471" t="str">
            <v/>
          </cell>
          <cell r="C1471" t="str">
            <v/>
          </cell>
          <cell r="D1471" t="str">
            <v/>
          </cell>
        </row>
        <row r="1472">
          <cell r="B1472" t="str">
            <v>INF846K01NH4</v>
          </cell>
          <cell r="C1472" t="str">
            <v>-</v>
          </cell>
          <cell r="D1472" t="str">
            <v>Axis Liquid Fund - Direct plan - Bonus Option</v>
          </cell>
          <cell r="E1472">
            <v>2215.5704999999998</v>
          </cell>
        </row>
        <row r="1473">
          <cell r="B1473" t="str">
            <v>-</v>
          </cell>
          <cell r="C1473" t="str">
            <v>INF846K01DA0</v>
          </cell>
          <cell r="D1473" t="str">
            <v>Axis Liquid Fund - Direct Plan - Daily IDCW</v>
          </cell>
          <cell r="E1473">
            <v>1000.956</v>
          </cell>
        </row>
        <row r="1474">
          <cell r="B1474" t="str">
            <v>INF846K01CX4</v>
          </cell>
          <cell r="C1474" t="str">
            <v>-</v>
          </cell>
          <cell r="D1474" t="str">
            <v>Axis Liquid Fund - Direct Plan - Growth Option</v>
          </cell>
          <cell r="E1474">
            <v>3132.5241999999998</v>
          </cell>
        </row>
        <row r="1475">
          <cell r="B1475" t="str">
            <v>INF846K01CY2</v>
          </cell>
          <cell r="C1475" t="str">
            <v>INF846K01CZ9</v>
          </cell>
          <cell r="D1475" t="str">
            <v>Axis Liquid Fund - Direct Plan - Monthly IDCW</v>
          </cell>
          <cell r="E1475">
            <v>1005.6922</v>
          </cell>
        </row>
        <row r="1476">
          <cell r="B1476" t="str">
            <v>INF846K01DB8</v>
          </cell>
          <cell r="C1476" t="str">
            <v>INF846K01DC6</v>
          </cell>
          <cell r="D1476" t="str">
            <v>Axis Liquid Fund - Direct Plan - Weekly IDCW</v>
          </cell>
          <cell r="E1476">
            <v>1002.3471</v>
          </cell>
        </row>
        <row r="1477">
          <cell r="B1477" t="str">
            <v>-</v>
          </cell>
          <cell r="C1477" t="str">
            <v>INF846K01420</v>
          </cell>
          <cell r="D1477" t="str">
            <v>Axis Liquid Fund - Regular Plan - Daily IDCW</v>
          </cell>
          <cell r="E1477">
            <v>1001.3998</v>
          </cell>
        </row>
        <row r="1478">
          <cell r="B1478" t="str">
            <v>INF846K01412</v>
          </cell>
          <cell r="C1478" t="str">
            <v>-</v>
          </cell>
          <cell r="D1478" t="str">
            <v>Axis Liquid Fund - Regular Plan - Growth Option</v>
          </cell>
          <cell r="E1478">
            <v>3102.7698999999998</v>
          </cell>
        </row>
        <row r="1479">
          <cell r="B1479" t="str">
            <v>INF846K01453</v>
          </cell>
          <cell r="C1479" t="str">
            <v>INF846K01461</v>
          </cell>
          <cell r="D1479" t="str">
            <v>Axis Liquid Fund - Regular Plan - Monthly IDCW</v>
          </cell>
          <cell r="E1479">
            <v>1006.0342000000001</v>
          </cell>
        </row>
        <row r="1480">
          <cell r="B1480" t="str">
            <v>INF846K01438</v>
          </cell>
          <cell r="C1480" t="str">
            <v>INF846K01446</v>
          </cell>
          <cell r="D1480" t="str">
            <v>Axis Liquid Fund - Regular Plan - Weekly IDCW</v>
          </cell>
          <cell r="E1480">
            <v>1002.3416999999999</v>
          </cell>
        </row>
        <row r="1481">
          <cell r="B1481" t="str">
            <v>-</v>
          </cell>
          <cell r="C1481" t="str">
            <v>INF846K01362</v>
          </cell>
          <cell r="D1481" t="str">
            <v>Axis Liquid Fund - Retail Plan - Daily IDCW</v>
          </cell>
          <cell r="E1481">
            <v>1000.9559</v>
          </cell>
        </row>
        <row r="1482">
          <cell r="B1482" t="str">
            <v>INF846K01354</v>
          </cell>
          <cell r="C1482" t="str">
            <v>-</v>
          </cell>
          <cell r="D1482" t="str">
            <v>Axis Liquid Fund - Retail Plan - Growth Option</v>
          </cell>
          <cell r="E1482">
            <v>2826.4252999999999</v>
          </cell>
        </row>
        <row r="1483">
          <cell r="B1483" t="str">
            <v>INF846K01396</v>
          </cell>
          <cell r="C1483" t="str">
            <v>INF846K01404</v>
          </cell>
          <cell r="D1483" t="str">
            <v>Axis Liquid Fund - Retail Plan - Monthly IDCW</v>
          </cell>
          <cell r="E1483">
            <v>1005.2815000000001</v>
          </cell>
        </row>
        <row r="1484">
          <cell r="B1484" t="str">
            <v>INF846K01370</v>
          </cell>
          <cell r="C1484" t="str">
            <v>INF846K01388</v>
          </cell>
          <cell r="D1484" t="str">
            <v>Axis Liquid Fund - Retail Plan - Weekly IDCW</v>
          </cell>
          <cell r="E1484">
            <v>1000.9804</v>
          </cell>
        </row>
        <row r="1485">
          <cell r="B1485" t="str">
            <v/>
          </cell>
          <cell r="C1485" t="str">
            <v/>
          </cell>
          <cell r="D1485" t="str">
            <v/>
          </cell>
        </row>
        <row r="1486">
          <cell r="B1486" t="str">
            <v/>
          </cell>
          <cell r="C1486" t="str">
            <v/>
          </cell>
          <cell r="D1486" t="str">
            <v/>
          </cell>
        </row>
        <row r="1487">
          <cell r="B1487" t="str">
            <v/>
          </cell>
          <cell r="C1487" t="str">
            <v/>
          </cell>
          <cell r="D1487" t="str">
            <v/>
          </cell>
        </row>
        <row r="1488">
          <cell r="B1488" t="str">
            <v>-</v>
          </cell>
          <cell r="C1488" t="str">
            <v>INF0QA701029</v>
          </cell>
          <cell r="D1488" t="str">
            <v>Bajaj Finserv Liquid Fund - Direct Plan - Daily - IDCW</v>
          </cell>
          <cell r="E1488">
            <v>1034.6939</v>
          </cell>
        </row>
        <row r="1489">
          <cell r="B1489" t="str">
            <v>INF0QA701078</v>
          </cell>
          <cell r="C1489" t="str">
            <v>INF0QA701045</v>
          </cell>
          <cell r="D1489" t="str">
            <v>Bajaj Finserv Liquid Fund - Direct Plan - Fortnightly - IDCW</v>
          </cell>
          <cell r="E1489">
            <v>1036.1206999999999</v>
          </cell>
        </row>
        <row r="1490">
          <cell r="B1490" t="str">
            <v>INF0QA701011</v>
          </cell>
          <cell r="C1490" t="str">
            <v>-</v>
          </cell>
          <cell r="D1490" t="str">
            <v>Bajaj Finserv Liquid Fund - Direct Plan - Growth</v>
          </cell>
          <cell r="E1490">
            <v>1228.777</v>
          </cell>
        </row>
        <row r="1491">
          <cell r="B1491" t="str">
            <v>INF0QA701086</v>
          </cell>
          <cell r="C1491" t="str">
            <v>INF0QA701052</v>
          </cell>
          <cell r="D1491" t="str">
            <v>Bajaj Finserv Liquid Fund - Direct Plan - Monthly - IDCW</v>
          </cell>
          <cell r="E1491">
            <v>1035.9445000000001</v>
          </cell>
        </row>
        <row r="1492">
          <cell r="B1492" t="str">
            <v>INF0QA701060</v>
          </cell>
          <cell r="C1492" t="str">
            <v>INF0QA701037</v>
          </cell>
          <cell r="D1492" t="str">
            <v>Bajaj Finserv Liquid Fund - Direct Plan - Weekly - IDCW</v>
          </cell>
          <cell r="E1492">
            <v>1034.9766</v>
          </cell>
        </row>
        <row r="1493">
          <cell r="B1493" t="str">
            <v>-</v>
          </cell>
          <cell r="C1493" t="str">
            <v>INF0QA701136</v>
          </cell>
          <cell r="D1493" t="str">
            <v>Bajaj Finserv Liquid Fund - Regular Plan - Daily - IDCW</v>
          </cell>
          <cell r="E1493">
            <v>1033.8241</v>
          </cell>
        </row>
        <row r="1494">
          <cell r="B1494" t="str">
            <v>INF0QA701151</v>
          </cell>
          <cell r="C1494" t="str">
            <v>INF0QA701110</v>
          </cell>
          <cell r="D1494" t="str">
            <v>Bajaj Finserv Liquid Fund - Regular Plan - Fortnightly - IDCW</v>
          </cell>
          <cell r="E1494">
            <v>1035.2004999999999</v>
          </cell>
        </row>
        <row r="1495">
          <cell r="B1495" t="str">
            <v>INF0QA701094</v>
          </cell>
          <cell r="C1495" t="str">
            <v>-</v>
          </cell>
          <cell r="D1495" t="str">
            <v>Bajaj Finserv Liquid Fund - Regular Plan - Growth</v>
          </cell>
          <cell r="E1495">
            <v>1222.1926000000001</v>
          </cell>
        </row>
        <row r="1496">
          <cell r="B1496" t="str">
            <v>INF0QA701169</v>
          </cell>
          <cell r="C1496" t="str">
            <v>INF0QA701128</v>
          </cell>
          <cell r="D1496" t="str">
            <v>Bajaj Finserv Liquid Fund - Regular Plan - Monthly - IDCW</v>
          </cell>
          <cell r="E1496">
            <v>1035.0349000000001</v>
          </cell>
        </row>
        <row r="1497">
          <cell r="B1497" t="str">
            <v>INF0QA701144</v>
          </cell>
          <cell r="C1497" t="str">
            <v>INF0QA701102</v>
          </cell>
          <cell r="D1497" t="str">
            <v>Bajaj Finserv Liquid Fund - Regular Plan - Weekly - IDCW</v>
          </cell>
          <cell r="E1497">
            <v>1034.0999999999999</v>
          </cell>
        </row>
        <row r="1498">
          <cell r="B1498" t="str">
            <v/>
          </cell>
          <cell r="C1498" t="str">
            <v/>
          </cell>
          <cell r="D1498" t="str">
            <v/>
          </cell>
        </row>
        <row r="1499">
          <cell r="B1499" t="str">
            <v/>
          </cell>
          <cell r="C1499" t="str">
            <v/>
          </cell>
          <cell r="D1499" t="str">
            <v/>
          </cell>
        </row>
        <row r="1500">
          <cell r="B1500" t="str">
            <v/>
          </cell>
          <cell r="C1500" t="str">
            <v/>
          </cell>
          <cell r="D1500" t="str">
            <v/>
          </cell>
        </row>
        <row r="1501">
          <cell r="B1501" t="str">
            <v>INF194K01VP5</v>
          </cell>
          <cell r="C1501" t="str">
            <v>INF194K01VO8</v>
          </cell>
          <cell r="D1501" t="str">
            <v>BANDHAN LIQUID FUND - Inst Plan B - Periodic Div</v>
          </cell>
          <cell r="E1501">
            <v>0</v>
          </cell>
        </row>
        <row r="1502">
          <cell r="B1502" t="str">
            <v>INF194K01VZ4</v>
          </cell>
          <cell r="C1502" t="str">
            <v>INF194K01VY7</v>
          </cell>
          <cell r="D1502" t="str">
            <v>BANDHAN LIQUID Fund - Regular Plan - Daily IDCW</v>
          </cell>
          <cell r="E1502">
            <v>1001.4161</v>
          </cell>
        </row>
        <row r="1503">
          <cell r="B1503" t="str">
            <v>INF194K01VX9</v>
          </cell>
          <cell r="C1503" t="str">
            <v>-</v>
          </cell>
          <cell r="D1503" t="str">
            <v>BANDHAN LIQUID Fund - Regular Plan - Growth</v>
          </cell>
          <cell r="E1503">
            <v>3361.4567000000002</v>
          </cell>
        </row>
        <row r="1504">
          <cell r="B1504" t="str">
            <v>INF194K01WF4</v>
          </cell>
          <cell r="C1504" t="str">
            <v>INF194K01WE7</v>
          </cell>
          <cell r="D1504" t="str">
            <v>BANDHAN LIQUID Fund - Regular Plan - Monthly IDCW</v>
          </cell>
          <cell r="E1504">
            <v>1004.9022</v>
          </cell>
        </row>
        <row r="1505">
          <cell r="B1505" t="str">
            <v>INF194K01WC1</v>
          </cell>
          <cell r="C1505" t="str">
            <v>INF194K01WB3</v>
          </cell>
          <cell r="D1505" t="str">
            <v>BANDHAN LIQUID Fund - Regular Plan - Periodic IDCW</v>
          </cell>
          <cell r="E1505">
            <v>1451.2729999999999</v>
          </cell>
        </row>
        <row r="1506">
          <cell r="B1506" t="str">
            <v>INF194K01WI8</v>
          </cell>
          <cell r="C1506" t="str">
            <v>INF194K01WH0</v>
          </cell>
          <cell r="D1506" t="str">
            <v>BANDHAN LIQUID Fund - Regular Plan - Weekly IDCW</v>
          </cell>
          <cell r="E1506">
            <v>1002.0549999999999</v>
          </cell>
        </row>
        <row r="1507">
          <cell r="B1507" t="str">
            <v>INF194KA14C0</v>
          </cell>
          <cell r="C1507" t="str">
            <v>-</v>
          </cell>
          <cell r="D1507" t="str">
            <v>BANDHAN LIQUID Fund - Unclaimed IDCW Less than 3 years</v>
          </cell>
          <cell r="E1507">
            <v>1.8105</v>
          </cell>
        </row>
        <row r="1508">
          <cell r="B1508" t="str">
            <v>INF194KA15C7</v>
          </cell>
          <cell r="C1508" t="str">
            <v>-</v>
          </cell>
          <cell r="D1508" t="str">
            <v>BANDHAN LIQUID Fund - Unclaimed IDCW More than 3 years</v>
          </cell>
          <cell r="E1508">
            <v>1</v>
          </cell>
        </row>
        <row r="1509">
          <cell r="B1509" t="str">
            <v>INF194KA12C4</v>
          </cell>
          <cell r="C1509" t="str">
            <v>-</v>
          </cell>
          <cell r="D1509" t="str">
            <v>BANDHAN LIQUID Fund - Unclaimed Redemption Less than 3 years</v>
          </cell>
          <cell r="E1509">
            <v>1.8105</v>
          </cell>
        </row>
        <row r="1510">
          <cell r="B1510" t="str">
            <v>INF194KA13C2</v>
          </cell>
          <cell r="C1510" t="str">
            <v>-</v>
          </cell>
          <cell r="D1510" t="str">
            <v>BANDHAN LIQUID Fund - Unclaimed Redemption More than 3 years</v>
          </cell>
          <cell r="E1510">
            <v>1</v>
          </cell>
        </row>
        <row r="1511">
          <cell r="B1511" t="str">
            <v>INF194K01J36</v>
          </cell>
          <cell r="C1511" t="str">
            <v>INF194K01J28</v>
          </cell>
          <cell r="D1511" t="str">
            <v>BANDHAN LIQUID Fund -Direct Plan -Monthly IDCW</v>
          </cell>
          <cell r="E1511">
            <v>1011.181</v>
          </cell>
        </row>
        <row r="1512">
          <cell r="B1512" t="str">
            <v>INF194KB1JT8</v>
          </cell>
          <cell r="C1512" t="str">
            <v>INF194K01J51</v>
          </cell>
          <cell r="D1512" t="str">
            <v>BANDHAN LIQUID Fund -Direct Plan -Weekly IDCW</v>
          </cell>
          <cell r="E1512">
            <v>1007.8171</v>
          </cell>
        </row>
        <row r="1513">
          <cell r="B1513" t="str">
            <v>-</v>
          </cell>
          <cell r="C1513" t="str">
            <v>INF194K01I78</v>
          </cell>
          <cell r="D1513" t="str">
            <v>BANDHAN LIQUID Fund -Direct Plan-Daily IDCW</v>
          </cell>
          <cell r="E1513">
            <v>1001.6663</v>
          </cell>
        </row>
        <row r="1514">
          <cell r="B1514" t="str">
            <v>INF194K01I60</v>
          </cell>
          <cell r="C1514" t="str">
            <v>-</v>
          </cell>
          <cell r="D1514" t="str">
            <v>BANDHAN LIQUID Fund -Direct Plan-Growth</v>
          </cell>
          <cell r="E1514">
            <v>3399.3917000000001</v>
          </cell>
        </row>
        <row r="1515">
          <cell r="B1515" t="str">
            <v>INF194K01J02</v>
          </cell>
          <cell r="C1515" t="str">
            <v>INF194K01I94</v>
          </cell>
          <cell r="D1515" t="str">
            <v>BANDHAN LIQUID Fund -Direct Plan-Periodic IDCW</v>
          </cell>
          <cell r="E1515">
            <v>1369.5002999999999</v>
          </cell>
        </row>
        <row r="1516">
          <cell r="B1516" t="str">
            <v/>
          </cell>
          <cell r="C1516" t="str">
            <v/>
          </cell>
          <cell r="D1516" t="str">
            <v/>
          </cell>
        </row>
        <row r="1517">
          <cell r="B1517" t="str">
            <v/>
          </cell>
          <cell r="C1517" t="str">
            <v/>
          </cell>
          <cell r="D1517" t="str">
            <v/>
          </cell>
        </row>
        <row r="1518">
          <cell r="B1518" t="str">
            <v/>
          </cell>
          <cell r="C1518" t="str">
            <v/>
          </cell>
          <cell r="D1518" t="str">
            <v/>
          </cell>
        </row>
        <row r="1519">
          <cell r="B1519" t="str">
            <v>-</v>
          </cell>
          <cell r="C1519" t="str">
            <v>-</v>
          </cell>
          <cell r="D1519" t="str">
            <v>BANK OF INDIA Liquid Fund  Unclaimed Dividend greater than  3 years</v>
          </cell>
          <cell r="E1519">
            <v>1000</v>
          </cell>
        </row>
        <row r="1520">
          <cell r="B1520" t="str">
            <v>-</v>
          </cell>
          <cell r="C1520" t="str">
            <v>-</v>
          </cell>
          <cell r="D1520" t="str">
            <v>BANK OF INDIA Liquid Fund  Unclaimed Dividend Upto 3 years</v>
          </cell>
          <cell r="E1520">
            <v>1226.9964</v>
          </cell>
        </row>
        <row r="1521">
          <cell r="B1521" t="str">
            <v>-</v>
          </cell>
          <cell r="C1521" t="str">
            <v>-</v>
          </cell>
          <cell r="D1521" t="str">
            <v>BANK OF INDIA Liquid Fund  Unclaimed Redemption greater than  3 years</v>
          </cell>
          <cell r="E1521">
            <v>1000</v>
          </cell>
        </row>
        <row r="1522">
          <cell r="B1522" t="str">
            <v>-</v>
          </cell>
          <cell r="C1522" t="str">
            <v>-</v>
          </cell>
          <cell r="D1522" t="str">
            <v>BANK OF INDIA Liquid Fund  Unclaimed Redemption Upto 3 years</v>
          </cell>
          <cell r="E1522">
            <v>1226.8681999999999</v>
          </cell>
        </row>
        <row r="1523">
          <cell r="B1523" t="str">
            <v>-</v>
          </cell>
          <cell r="C1523" t="str">
            <v>INF761K01CL0</v>
          </cell>
          <cell r="D1523" t="str">
            <v>BANK OF INDIA Liquid Fund- Direct Plan- Daily IDCW</v>
          </cell>
          <cell r="E1523">
            <v>1005</v>
          </cell>
        </row>
        <row r="1524">
          <cell r="B1524" t="str">
            <v>INF761K01785</v>
          </cell>
          <cell r="C1524" t="str">
            <v>-</v>
          </cell>
          <cell r="D1524" t="str">
            <v>BANK OF INDIA Liquid Fund- Direct Plan- Growth</v>
          </cell>
          <cell r="E1524">
            <v>3241.9566</v>
          </cell>
        </row>
        <row r="1525">
          <cell r="B1525" t="str">
            <v>-</v>
          </cell>
          <cell r="C1525" t="str">
            <v>INF761K01CM8</v>
          </cell>
          <cell r="D1525" t="str">
            <v>BANK OF INDIA Liquid Fund- Direct Plan- Weekly IDCW</v>
          </cell>
          <cell r="E1525">
            <v>1005.247</v>
          </cell>
        </row>
        <row r="1526">
          <cell r="B1526" t="str">
            <v>-</v>
          </cell>
          <cell r="C1526" t="str">
            <v>INF761K01CO4</v>
          </cell>
          <cell r="D1526" t="str">
            <v>BANK OF INDIA Liquid Fund- Regular Plan- Daily IDCW</v>
          </cell>
          <cell r="E1526">
            <v>1005</v>
          </cell>
        </row>
        <row r="1527">
          <cell r="B1527" t="str">
            <v>INF761K01306</v>
          </cell>
          <cell r="C1527" t="str">
            <v>-</v>
          </cell>
          <cell r="D1527" t="str">
            <v>BANK OF INDIA Liquid Fund- Regular Plan- Growth</v>
          </cell>
          <cell r="E1527">
            <v>3208.6014</v>
          </cell>
        </row>
        <row r="1528">
          <cell r="B1528" t="str">
            <v>-</v>
          </cell>
          <cell r="C1528" t="str">
            <v>INF761K01CP1</v>
          </cell>
          <cell r="D1528" t="str">
            <v>BANK OF INDIA Liquid Fund- Regular Plan- Weekly IDCW</v>
          </cell>
          <cell r="E1528">
            <v>1005.2438</v>
          </cell>
        </row>
        <row r="1529">
          <cell r="B1529" t="str">
            <v/>
          </cell>
          <cell r="C1529" t="str">
            <v/>
          </cell>
          <cell r="D1529" t="str">
            <v/>
          </cell>
        </row>
        <row r="1530">
          <cell r="B1530" t="str">
            <v/>
          </cell>
          <cell r="C1530" t="str">
            <v/>
          </cell>
          <cell r="D1530" t="str">
            <v/>
          </cell>
        </row>
        <row r="1531">
          <cell r="B1531" t="str">
            <v/>
          </cell>
          <cell r="C1531" t="str">
            <v/>
          </cell>
          <cell r="D1531" t="str">
            <v/>
          </cell>
        </row>
        <row r="1532">
          <cell r="B1532" t="str">
            <v>INF955L01AK2</v>
          </cell>
          <cell r="C1532" t="str">
            <v>-</v>
          </cell>
          <cell r="D1532" t="str">
            <v>Baroda BNP Paribas LIQUID FUND - DIRECT PLAN - DAILY IDCW OPTION</v>
          </cell>
          <cell r="E1532">
            <v>1002.0848999999999</v>
          </cell>
        </row>
        <row r="1533">
          <cell r="B1533" t="str">
            <v>INF955L01AL0</v>
          </cell>
          <cell r="C1533" t="str">
            <v>-</v>
          </cell>
          <cell r="D1533" t="str">
            <v>Baroda BNP Paribas LIQUID FUND - DIRECT PLAN - GROWTH OPTION</v>
          </cell>
          <cell r="E1533">
            <v>3244.0882999999999</v>
          </cell>
        </row>
        <row r="1534">
          <cell r="B1534" t="str">
            <v>INF251K01SL8</v>
          </cell>
          <cell r="C1534" t="str">
            <v>-</v>
          </cell>
          <cell r="D1534" t="str">
            <v>Baroda BNP Paribas LIQUID FUND - DIRECT PLAN - WEEKLY IDCW OPTION</v>
          </cell>
          <cell r="E1534">
            <v>1220.6423</v>
          </cell>
        </row>
        <row r="1535">
          <cell r="B1535" t="str">
            <v>INF955L01GR4</v>
          </cell>
          <cell r="C1535" t="str">
            <v>-</v>
          </cell>
          <cell r="D1535" t="str">
            <v>Baroda BNP Paribas Liquid Fund - Plan C</v>
          </cell>
          <cell r="E1535">
            <v>1422.9738</v>
          </cell>
        </row>
        <row r="1536">
          <cell r="B1536" t="str">
            <v>INF955L01534</v>
          </cell>
          <cell r="C1536" t="str">
            <v>INF955L01542</v>
          </cell>
          <cell r="D1536" t="str">
            <v>Baroda BNP Paribas Liquid Fund - Regular - Weekly IDCW Option</v>
          </cell>
          <cell r="E1536">
            <v>0</v>
          </cell>
        </row>
        <row r="1537">
          <cell r="B1537" t="str">
            <v>INF955L01468</v>
          </cell>
          <cell r="C1537" t="str">
            <v>INF955L01476</v>
          </cell>
          <cell r="D1537" t="str">
            <v>Baroda BNP Paribas LIQUID FUND - Regular Plan - DAILY IDCW OPTION</v>
          </cell>
          <cell r="E1537">
            <v>1001.1996</v>
          </cell>
        </row>
        <row r="1538">
          <cell r="B1538" t="str">
            <v>INF955L01484</v>
          </cell>
          <cell r="C1538" t="str">
            <v>-</v>
          </cell>
          <cell r="D1538" t="str">
            <v>Baroda BNP Paribas LIQUID FUND - Regular Plan - GROWTH OPTION</v>
          </cell>
          <cell r="E1538">
            <v>3199.8843999999999</v>
          </cell>
        </row>
        <row r="1539">
          <cell r="B1539" t="str">
            <v>INF251K01SK0</v>
          </cell>
          <cell r="C1539" t="str">
            <v>INF955L01500</v>
          </cell>
          <cell r="D1539" t="str">
            <v>Baroda BNP Paribas LIQUID FUND - Regular Plan - WEEKLY IDCW OPTION</v>
          </cell>
          <cell r="E1539">
            <v>1000.5866</v>
          </cell>
        </row>
        <row r="1540">
          <cell r="B1540" t="str">
            <v>-</v>
          </cell>
          <cell r="C1540" t="str">
            <v>-</v>
          </cell>
          <cell r="D1540" t="str">
            <v>BARODA BNP PARIBAS LIQUID FUND PLAN C IDCW ABOVE 3 YRS</v>
          </cell>
          <cell r="E1540">
            <v>1000</v>
          </cell>
        </row>
        <row r="1541">
          <cell r="B1541" t="str">
            <v>-</v>
          </cell>
          <cell r="C1541" t="str">
            <v>-</v>
          </cell>
          <cell r="D1541" t="str">
            <v>BARODA BNP PARIBAS LIQUID FUND PLAN C IDCW UPTO 3YRS</v>
          </cell>
          <cell r="E1541">
            <v>1391.4327000000001</v>
          </cell>
        </row>
        <row r="1542">
          <cell r="B1542" t="str">
            <v>-</v>
          </cell>
          <cell r="C1542" t="str">
            <v>-</v>
          </cell>
          <cell r="D1542" t="str">
            <v>BARODA BNP PARIBAS LIQUID FUND PLAN C REDEMPTION ABOVE 3 YRS</v>
          </cell>
          <cell r="E1542">
            <v>1000</v>
          </cell>
        </row>
        <row r="1543">
          <cell r="B1543" t="str">
            <v>-</v>
          </cell>
          <cell r="C1543" t="str">
            <v>-</v>
          </cell>
          <cell r="D1543" t="str">
            <v>BARODA BNP PARIBAS LIQUID FUND PLAN C REDEMPTION UPTO 3YRS</v>
          </cell>
          <cell r="E1543">
            <v>1387.3652</v>
          </cell>
        </row>
        <row r="1544">
          <cell r="B1544" t="str">
            <v>INF955L01575</v>
          </cell>
          <cell r="C1544" t="str">
            <v>-</v>
          </cell>
          <cell r="D1544" t="str">
            <v>Baroda BNP Paribas LIQUID FUND- Defunct Plan -Growth Option</v>
          </cell>
          <cell r="E1544">
            <v>4710.9759000000004</v>
          </cell>
        </row>
        <row r="1545">
          <cell r="B1545" t="str">
            <v>INF955L01559</v>
          </cell>
          <cell r="C1545" t="str">
            <v>INF955L01567</v>
          </cell>
          <cell r="D1545" t="str">
            <v>Baroda BNP Paribas LIQUID FUND-Defunct Plan- IDCW Option</v>
          </cell>
          <cell r="E1545">
            <v>3886.9648000000002</v>
          </cell>
        </row>
        <row r="1546">
          <cell r="B1546" t="str">
            <v>INF955L01518</v>
          </cell>
          <cell r="C1546" t="str">
            <v>INF955L01526</v>
          </cell>
          <cell r="D1546" t="str">
            <v>Baroda BNP Paribas LIQUID FUND-Defunct Plan-Daily IDCW Option</v>
          </cell>
          <cell r="E1546">
            <v>1006.0602</v>
          </cell>
        </row>
        <row r="1547">
          <cell r="B1547" t="str">
            <v/>
          </cell>
          <cell r="C1547" t="str">
            <v/>
          </cell>
          <cell r="D1547" t="str">
            <v/>
          </cell>
        </row>
        <row r="1548">
          <cell r="B1548" t="str">
            <v/>
          </cell>
          <cell r="C1548" t="str">
            <v/>
          </cell>
          <cell r="D1548" t="str">
            <v/>
          </cell>
        </row>
        <row r="1549">
          <cell r="B1549" t="str">
            <v/>
          </cell>
          <cell r="C1549" t="str">
            <v/>
          </cell>
          <cell r="D1549" t="str">
            <v/>
          </cell>
        </row>
        <row r="1550">
          <cell r="B1550" t="str">
            <v>-</v>
          </cell>
          <cell r="C1550" t="str">
            <v>INF760K01FS0</v>
          </cell>
          <cell r="D1550" t="str">
            <v>CANARA ROBECO LIQUID FUND - DIRECT PLAN - DAILY IDCW (Reinvestment)</v>
          </cell>
          <cell r="E1550">
            <v>1005.5</v>
          </cell>
        </row>
        <row r="1551">
          <cell r="B1551" t="str">
            <v>INF760K01FU6</v>
          </cell>
          <cell r="C1551" t="str">
            <v>-</v>
          </cell>
          <cell r="D1551" t="str">
            <v>CANARA ROBECO LIQUID FUND - DIRECT PLAN - GROWTH OPTION</v>
          </cell>
          <cell r="E1551">
            <v>3373.7298999999998</v>
          </cell>
        </row>
        <row r="1552">
          <cell r="B1552" t="str">
            <v>INF760K01FT8</v>
          </cell>
          <cell r="C1552" t="str">
            <v>-</v>
          </cell>
          <cell r="D1552" t="str">
            <v>CANARA ROBECO LIQUID FUND - DIRECT PLAN - IDCW (Payout/Reinvestment)</v>
          </cell>
          <cell r="E1552">
            <v>2245.5189999999998</v>
          </cell>
        </row>
        <row r="1553">
          <cell r="B1553" t="str">
            <v>INF760K01FV4</v>
          </cell>
          <cell r="C1553" t="str">
            <v>INF760K01FW2</v>
          </cell>
          <cell r="D1553" t="str">
            <v>CANARA ROBECO LIQUID FUND - DIRECT PLAN - MONTHLY IDCW (Payout/Reinvestment)</v>
          </cell>
          <cell r="E1553">
            <v>1005.8277</v>
          </cell>
        </row>
        <row r="1554">
          <cell r="B1554" t="str">
            <v>INF760K01FY8</v>
          </cell>
          <cell r="C1554" t="str">
            <v>INF760K01FX0</v>
          </cell>
          <cell r="D1554" t="str">
            <v>CANARA ROBECO LIQUID FUND - DIRECT PLAN - WEEKLY IDCW (Payout/Reinvestment)</v>
          </cell>
          <cell r="E1554">
            <v>1000.3561</v>
          </cell>
        </row>
        <row r="1555">
          <cell r="B1555" t="str">
            <v>-</v>
          </cell>
          <cell r="C1555" t="str">
            <v>INF760K01CU3</v>
          </cell>
          <cell r="D1555" t="str">
            <v>CANARA ROBECO LIQUID FUND - REGULAR PLAN - DAILY IDCW (Reinvestment)</v>
          </cell>
          <cell r="E1555">
            <v>1005.5</v>
          </cell>
        </row>
        <row r="1556">
          <cell r="B1556" t="str">
            <v>INF760K01CW9</v>
          </cell>
          <cell r="C1556" t="str">
            <v>-</v>
          </cell>
          <cell r="D1556" t="str">
            <v>CANARA ROBECO LIQUID FUND - REGULAR PLAN - GROWTH OPTION</v>
          </cell>
          <cell r="E1556">
            <v>3351.6849000000002</v>
          </cell>
        </row>
        <row r="1557">
          <cell r="B1557" t="str">
            <v>INF760K01CX7</v>
          </cell>
          <cell r="C1557" t="str">
            <v>INF760K01CY5</v>
          </cell>
          <cell r="D1557" t="str">
            <v>CANARA ROBECO LIQUID FUND - REGULAR PLAN - MONTHLY IDCW (Payout/Reinvestment)</v>
          </cell>
          <cell r="E1557">
            <v>1005.6303</v>
          </cell>
        </row>
        <row r="1558">
          <cell r="B1558" t="str">
            <v>INF760K01BZ4</v>
          </cell>
          <cell r="C1558" t="str">
            <v>INF760K01CZ2</v>
          </cell>
          <cell r="D1558" t="str">
            <v>CANARA ROBECO LIQUID FUND - REGULAR PLAN - WEEKLY IDCW (Payout/Reinvestment)</v>
          </cell>
          <cell r="E1558">
            <v>1000.3561</v>
          </cell>
        </row>
        <row r="1559">
          <cell r="B1559" t="str">
            <v>INF760K01IC8</v>
          </cell>
          <cell r="C1559" t="str">
            <v>-</v>
          </cell>
          <cell r="D1559" t="str">
            <v>Canara Robeco Liquid Fund -Unclaimed Redemption and Dividend Plan -Direct Growth Option</v>
          </cell>
          <cell r="E1559">
            <v>1841.1927000000001</v>
          </cell>
        </row>
        <row r="1560">
          <cell r="B1560" t="str">
            <v/>
          </cell>
          <cell r="C1560" t="str">
            <v/>
          </cell>
          <cell r="D1560" t="str">
            <v/>
          </cell>
        </row>
        <row r="1561">
          <cell r="B1561" t="str">
            <v/>
          </cell>
          <cell r="C1561" t="str">
            <v/>
          </cell>
          <cell r="D1561" t="str">
            <v/>
          </cell>
        </row>
        <row r="1562">
          <cell r="B1562" t="str">
            <v/>
          </cell>
          <cell r="C1562" t="str">
            <v/>
          </cell>
          <cell r="D1562" t="str">
            <v/>
          </cell>
        </row>
        <row r="1563">
          <cell r="B1563" t="str">
            <v>INF226401034</v>
          </cell>
          <cell r="C1563" t="str">
            <v>-</v>
          </cell>
          <cell r="D1563" t="str">
            <v>Capitalmind Liquid Fund - Direct-Growth</v>
          </cell>
          <cell r="E1563">
            <v>1043.6808000000001</v>
          </cell>
        </row>
        <row r="1564">
          <cell r="B1564" t="str">
            <v>INF226401042</v>
          </cell>
          <cell r="C1564" t="str">
            <v>-</v>
          </cell>
          <cell r="D1564" t="str">
            <v>Capitalmind Liquid Fund - Regular-Growth</v>
          </cell>
          <cell r="E1564">
            <v>1042.3154</v>
          </cell>
        </row>
        <row r="1565">
          <cell r="B1565" t="str">
            <v/>
          </cell>
          <cell r="C1565" t="str">
            <v/>
          </cell>
          <cell r="D1565" t="str">
            <v/>
          </cell>
        </row>
        <row r="1566">
          <cell r="B1566" t="str">
            <v/>
          </cell>
          <cell r="C1566" t="str">
            <v/>
          </cell>
          <cell r="D1566" t="str">
            <v/>
          </cell>
        </row>
        <row r="1567">
          <cell r="B1567" t="str">
            <v/>
          </cell>
          <cell r="C1567" t="str">
            <v/>
          </cell>
          <cell r="D1567" t="str">
            <v/>
          </cell>
        </row>
        <row r="1568">
          <cell r="B1568" t="str">
            <v>INF740K01QL4</v>
          </cell>
          <cell r="C1568" t="str">
            <v>-</v>
          </cell>
          <cell r="D1568" t="str">
            <v>DSP Liquidity Fund - Direct Plan - Growth</v>
          </cell>
          <cell r="E1568">
            <v>4026.6774</v>
          </cell>
        </row>
        <row r="1569">
          <cell r="B1569" t="str">
            <v>-</v>
          </cell>
          <cell r="C1569" t="str">
            <v>INF740KA1OB6</v>
          </cell>
          <cell r="D1569" t="str">
            <v>DSP Liquidity Fund - Direct Plan - IDCW - Daily</v>
          </cell>
          <cell r="E1569">
            <v>1001.4663</v>
          </cell>
        </row>
        <row r="1570">
          <cell r="B1570" t="str">
            <v>INF740KA1OC4</v>
          </cell>
          <cell r="C1570" t="str">
            <v>INF740KA1OD2</v>
          </cell>
          <cell r="D1570" t="str">
            <v>DSP Liquidity Fund - Direct Plan - IDCW - Weekly</v>
          </cell>
          <cell r="E1570">
            <v>1002.4543</v>
          </cell>
        </row>
        <row r="1571">
          <cell r="B1571" t="str">
            <v>INF740K01FK9</v>
          </cell>
          <cell r="C1571" t="str">
            <v>-</v>
          </cell>
          <cell r="D1571" t="str">
            <v>DSP Liquidity Fund - Regular Plan - Growth</v>
          </cell>
          <cell r="E1571">
            <v>3977.1282999999999</v>
          </cell>
        </row>
        <row r="1572">
          <cell r="B1572" t="str">
            <v>INF740K01FM5</v>
          </cell>
          <cell r="C1572" t="str">
            <v>INF740K01FL7</v>
          </cell>
          <cell r="D1572" t="str">
            <v>DSP Liquidity Fund - Regular Plan - IDCW - Weekly</v>
          </cell>
          <cell r="E1572">
            <v>1002.4397</v>
          </cell>
        </row>
        <row r="1573">
          <cell r="B1573" t="str">
            <v>-</v>
          </cell>
          <cell r="C1573" t="str">
            <v>INF740KA1OE0</v>
          </cell>
          <cell r="D1573" t="str">
            <v>DSP Liquidity Fund- Regular Plan - IDCW - Daily</v>
          </cell>
          <cell r="E1573">
            <v>1001.4663</v>
          </cell>
        </row>
        <row r="1574">
          <cell r="B1574" t="str">
            <v/>
          </cell>
          <cell r="C1574" t="str">
            <v/>
          </cell>
          <cell r="D1574" t="str">
            <v/>
          </cell>
        </row>
        <row r="1575">
          <cell r="B1575" t="str">
            <v/>
          </cell>
          <cell r="C1575" t="str">
            <v/>
          </cell>
          <cell r="D1575" t="str">
            <v/>
          </cell>
        </row>
        <row r="1576">
          <cell r="B1576" t="str">
            <v/>
          </cell>
          <cell r="C1576" t="str">
            <v/>
          </cell>
          <cell r="D1576" t="str">
            <v/>
          </cell>
        </row>
        <row r="1577">
          <cell r="B1577" t="str">
            <v>INF754K01GY9</v>
          </cell>
          <cell r="C1577" t="str">
            <v>-</v>
          </cell>
          <cell r="D1577" t="str">
            <v>Edelweiss Liquid Fund - Direct Plan - Bonus Option</v>
          </cell>
          <cell r="E1577">
            <v>2117.3953000000001</v>
          </cell>
        </row>
        <row r="1578">
          <cell r="B1578" t="str">
            <v>INF754K01GM4</v>
          </cell>
          <cell r="C1578" t="str">
            <v>-</v>
          </cell>
          <cell r="D1578" t="str">
            <v>Edelweiss Liquid Fund - Direct Plan - Growth Option</v>
          </cell>
          <cell r="E1578">
            <v>3639.5070999999998</v>
          </cell>
        </row>
        <row r="1579">
          <cell r="B1579" t="str">
            <v>INF754K01GO0</v>
          </cell>
          <cell r="C1579" t="str">
            <v>INF754K01GN2</v>
          </cell>
          <cell r="D1579" t="str">
            <v>Edelweiss Liquid Fund - Direct Plan - IDCW Option</v>
          </cell>
          <cell r="E1579">
            <v>3639.5203000000001</v>
          </cell>
        </row>
        <row r="1580">
          <cell r="B1580" t="str">
            <v>INF754K01GX1</v>
          </cell>
          <cell r="C1580" t="str">
            <v>INF754K01GT9</v>
          </cell>
          <cell r="D1580" t="str">
            <v>Edelweiss Liquid Fund - Direct Plan Annual - IDCW Option</v>
          </cell>
          <cell r="E1580">
            <v>3639.4810000000002</v>
          </cell>
        </row>
        <row r="1581">
          <cell r="B1581" t="str">
            <v>-</v>
          </cell>
          <cell r="C1581" t="str">
            <v>INF754K01GP7</v>
          </cell>
          <cell r="D1581" t="str">
            <v>Edelweiss Liquid Fund - Direct Plan daily - IDCW Option</v>
          </cell>
          <cell r="E1581">
            <v>1194.3847000000001</v>
          </cell>
        </row>
        <row r="1582">
          <cell r="B1582" t="str">
            <v>INF754K01GV5</v>
          </cell>
          <cell r="C1582" t="str">
            <v>INF754K01GR3</v>
          </cell>
          <cell r="D1582" t="str">
            <v>Edelweiss Liquid Fund - Direct Plan Fortnightly - IDCW Option</v>
          </cell>
          <cell r="E1582">
            <v>2476.2653</v>
          </cell>
        </row>
        <row r="1583">
          <cell r="B1583" t="str">
            <v>INF754K01GW3</v>
          </cell>
          <cell r="C1583" t="str">
            <v>INF754K01GS1</v>
          </cell>
          <cell r="D1583" t="str">
            <v>Edelweiss Liquid Fund - Direct Plan Monthly - IDCW Option</v>
          </cell>
          <cell r="E1583">
            <v>1009.1091</v>
          </cell>
        </row>
        <row r="1584">
          <cell r="B1584" t="str">
            <v>INF754K01GU7</v>
          </cell>
          <cell r="C1584" t="str">
            <v>INF754K01GQ5</v>
          </cell>
          <cell r="D1584" t="str">
            <v>Edelweiss Liquid Fund - Direct Plan weekly - IDCW Option</v>
          </cell>
          <cell r="E1584">
            <v>2173.2338</v>
          </cell>
        </row>
        <row r="1585">
          <cell r="B1585" t="str">
            <v>INF754K01HR1</v>
          </cell>
          <cell r="C1585" t="str">
            <v>-</v>
          </cell>
          <cell r="D1585" t="str">
            <v>Edelweiss Liquid Fund - Regular Plan - Bonus Option</v>
          </cell>
          <cell r="E1585">
            <v>2075.6967</v>
          </cell>
        </row>
        <row r="1586">
          <cell r="B1586" t="str">
            <v>INF754K01GZ6</v>
          </cell>
          <cell r="C1586" t="str">
            <v>-</v>
          </cell>
          <cell r="D1586" t="str">
            <v>Edelweiss Liquid Fund - Regular Plan - Growth Option</v>
          </cell>
          <cell r="E1586">
            <v>3563.2051000000001</v>
          </cell>
        </row>
        <row r="1587">
          <cell r="B1587" t="str">
            <v>INF754K01GK8</v>
          </cell>
          <cell r="C1587" t="str">
            <v>INF754K01GL6</v>
          </cell>
          <cell r="D1587" t="str">
            <v>Edelweiss Liquid Fund - Regular Plan - IDCW Option</v>
          </cell>
          <cell r="E1587">
            <v>3563.2084</v>
          </cell>
        </row>
        <row r="1588">
          <cell r="B1588" t="str">
            <v>INF754K01HQ3</v>
          </cell>
          <cell r="C1588" t="str">
            <v>INF754K01HP5</v>
          </cell>
          <cell r="D1588" t="str">
            <v>Edelweiss Liquid Fund - Regular Plan Annual - IDCW Option</v>
          </cell>
          <cell r="E1588">
            <v>2465.431</v>
          </cell>
        </row>
        <row r="1589">
          <cell r="B1589" t="str">
            <v>-</v>
          </cell>
          <cell r="C1589" t="str">
            <v>INF754K01HA7</v>
          </cell>
          <cell r="D1589" t="str">
            <v>Edelweiss Liquid Fund - Regular Plan Daily - IDCW Option</v>
          </cell>
          <cell r="E1589">
            <v>1319.3524</v>
          </cell>
        </row>
        <row r="1590">
          <cell r="B1590" t="str">
            <v>INF754K01HK6</v>
          </cell>
          <cell r="C1590" t="str">
            <v>INF754K01HC3</v>
          </cell>
          <cell r="D1590" t="str">
            <v>Edelweiss Liquid Fund - Regular Plan Fortnightly - IDCW Option</v>
          </cell>
          <cell r="E1590">
            <v>2155.502</v>
          </cell>
        </row>
        <row r="1591">
          <cell r="B1591" t="str">
            <v>INF754K01HL4</v>
          </cell>
          <cell r="C1591" t="str">
            <v>INF754K01HD1</v>
          </cell>
          <cell r="D1591" t="str">
            <v>Edelweiss Liquid Fund - Regular Plan Monthly - IDCW Option</v>
          </cell>
          <cell r="E1591">
            <v>1087.5773999999999</v>
          </cell>
        </row>
        <row r="1592">
          <cell r="B1592" t="str">
            <v>INF754K01HJ8</v>
          </cell>
          <cell r="C1592" t="str">
            <v>INF754K01HB5</v>
          </cell>
          <cell r="D1592" t="str">
            <v>Edelweiss Liquid Fund - Regular Plan Weekly - IDCW Option</v>
          </cell>
          <cell r="E1592">
            <v>1215.3014000000001</v>
          </cell>
        </row>
        <row r="1593">
          <cell r="B1593" t="str">
            <v>INF754K01HE9</v>
          </cell>
          <cell r="C1593" t="str">
            <v>-</v>
          </cell>
          <cell r="D1593" t="str">
            <v>Edelweiss Liquid Fund - Retail Plan - Growth Option</v>
          </cell>
          <cell r="E1593">
            <v>3240.4468999999999</v>
          </cell>
        </row>
        <row r="1594">
          <cell r="B1594" t="str">
            <v>-</v>
          </cell>
          <cell r="C1594" t="str">
            <v>INF754K01HG4</v>
          </cell>
          <cell r="D1594" t="str">
            <v>Edelweiss Liquid Fund - Retail Plan - Weekly Dividend Option</v>
          </cell>
          <cell r="E1594">
            <v>1231.0633</v>
          </cell>
        </row>
        <row r="1595">
          <cell r="B1595" t="str">
            <v>-</v>
          </cell>
          <cell r="C1595" t="str">
            <v>INF754K01HF6</v>
          </cell>
          <cell r="D1595" t="str">
            <v>Edelweiss Liquid Fund - Retail Plan Daily - IDCW Option</v>
          </cell>
          <cell r="E1595">
            <v>1161.2568000000001</v>
          </cell>
        </row>
        <row r="1596">
          <cell r="B1596" t="str">
            <v>-</v>
          </cell>
          <cell r="C1596" t="str">
            <v>INF754K01HI0</v>
          </cell>
          <cell r="D1596" t="str">
            <v>Edelweiss Liquid Fund - Retail Plan Monthly - IDCW Option</v>
          </cell>
          <cell r="E1596">
            <v>1249.5055</v>
          </cell>
        </row>
        <row r="1597">
          <cell r="B1597" t="str">
            <v/>
          </cell>
          <cell r="C1597" t="str">
            <v/>
          </cell>
          <cell r="D1597" t="str">
            <v/>
          </cell>
        </row>
        <row r="1598">
          <cell r="B1598" t="str">
            <v/>
          </cell>
          <cell r="C1598" t="str">
            <v/>
          </cell>
          <cell r="D1598" t="str">
            <v/>
          </cell>
        </row>
        <row r="1599">
          <cell r="B1599" t="str">
            <v/>
          </cell>
          <cell r="C1599" t="str">
            <v/>
          </cell>
          <cell r="D1599" t="str">
            <v/>
          </cell>
        </row>
        <row r="1600">
          <cell r="B1600" t="str">
            <v>-</v>
          </cell>
          <cell r="C1600" t="str">
            <v>INF090I01BA3</v>
          </cell>
          <cell r="D1600" t="str">
            <v>Franklin India Liquid Fund - Regular Plan - Daily - IDCW</v>
          </cell>
          <cell r="E1600">
            <v>1508.9894999999999</v>
          </cell>
        </row>
        <row r="1601">
          <cell r="B1601" t="str">
            <v>INF090I01BB1</v>
          </cell>
          <cell r="C1601" t="str">
            <v>-</v>
          </cell>
          <cell r="D1601" t="str">
            <v>Franklin India Liquid Fund - Regular Plan - Growth</v>
          </cell>
          <cell r="E1601">
            <v>6265.7389999999996</v>
          </cell>
        </row>
        <row r="1602">
          <cell r="B1602" t="str">
            <v>INF090I01BL0</v>
          </cell>
          <cell r="C1602" t="str">
            <v>INF090I01BI6</v>
          </cell>
          <cell r="D1602" t="str">
            <v>Franklin India Liquid Fund - Regular Plan - Weekly - IDCW</v>
          </cell>
          <cell r="E1602">
            <v>1244.7546</v>
          </cell>
        </row>
        <row r="1603">
          <cell r="B1603" t="str">
            <v>INF090I01JV2</v>
          </cell>
          <cell r="C1603" t="str">
            <v>-</v>
          </cell>
          <cell r="D1603" t="str">
            <v>Franklin India Liquid Fund - Super Institutional - Direct - Growth</v>
          </cell>
          <cell r="E1603">
            <v>4232.7520000000004</v>
          </cell>
        </row>
        <row r="1604">
          <cell r="B1604" t="str">
            <v>-</v>
          </cell>
          <cell r="C1604" t="str">
            <v>INF090I01BF2</v>
          </cell>
          <cell r="D1604" t="str">
            <v>Franklin India Liquid Fund - Super Institutional Plan - Daily - IDCW</v>
          </cell>
          <cell r="E1604">
            <v>1000</v>
          </cell>
        </row>
        <row r="1605">
          <cell r="B1605" t="str">
            <v>INF090I01JW0</v>
          </cell>
          <cell r="C1605" t="str">
            <v>-</v>
          </cell>
          <cell r="D1605" t="str">
            <v>Franklin India Liquid Fund - Super Institutional Plan - Direct - Daily - IDCW</v>
          </cell>
          <cell r="E1605">
            <v>1002.8152</v>
          </cell>
        </row>
        <row r="1606">
          <cell r="B1606" t="str">
            <v>INF090I01JX8</v>
          </cell>
          <cell r="C1606" t="str">
            <v>INF090I01JY6</v>
          </cell>
          <cell r="D1606" t="str">
            <v>Franklin India Liquid Fund - Super Institutional Plan - Direct - Weekly - IDCW</v>
          </cell>
          <cell r="E1606">
            <v>1022.4067</v>
          </cell>
        </row>
        <row r="1607">
          <cell r="B1607" t="str">
            <v>INF090I01BG0</v>
          </cell>
          <cell r="C1607" t="str">
            <v>-</v>
          </cell>
          <cell r="D1607" t="str">
            <v>Franklin India Liquid Fund - Super Institutional Plan - Growth</v>
          </cell>
          <cell r="E1607">
            <v>4195.2156999999997</v>
          </cell>
        </row>
        <row r="1608">
          <cell r="B1608" t="str">
            <v>INF090I01BM8</v>
          </cell>
          <cell r="C1608" t="str">
            <v>INF090I01BH8</v>
          </cell>
          <cell r="D1608" t="str">
            <v>Franklin India Liquid Fund - Super Institutional Plan - Weekly - IDCW</v>
          </cell>
          <cell r="E1608">
            <v>1038.2329</v>
          </cell>
        </row>
        <row r="1609">
          <cell r="B1609" t="str">
            <v>INF090I01LR6</v>
          </cell>
          <cell r="C1609" t="str">
            <v>-</v>
          </cell>
          <cell r="D1609" t="str">
            <v>Franklin India Liquid Fund - Unclaimed IDCW Investor Education Plan - Growth</v>
          </cell>
          <cell r="E1609">
            <v>10</v>
          </cell>
        </row>
        <row r="1610">
          <cell r="B1610" t="str">
            <v>INF090I01LP0</v>
          </cell>
          <cell r="C1610" t="str">
            <v>-</v>
          </cell>
          <cell r="D1610" t="str">
            <v>Franklin India Liquid Fund - Unclaimed IDCW Plan - Growth</v>
          </cell>
          <cell r="E1610">
            <v>17.8611</v>
          </cell>
        </row>
        <row r="1611">
          <cell r="B1611" t="str">
            <v>INF090I01LQ8</v>
          </cell>
          <cell r="C1611" t="str">
            <v>-</v>
          </cell>
          <cell r="D1611" t="str">
            <v>Franklin India Liquid Fund - Unclaimed Redemption Investor Education Plan - Growth</v>
          </cell>
          <cell r="E1611">
            <v>10</v>
          </cell>
        </row>
        <row r="1612">
          <cell r="B1612" t="str">
            <v>INF090I01LO3</v>
          </cell>
          <cell r="C1612" t="str">
            <v>-</v>
          </cell>
          <cell r="D1612" t="str">
            <v>Franklin India Liquid Fund - Unclaimed Redemption Plan - Growth</v>
          </cell>
          <cell r="E1612">
            <v>17.8611</v>
          </cell>
        </row>
        <row r="1613">
          <cell r="B1613" t="str">
            <v>INF090I01BD7</v>
          </cell>
          <cell r="C1613" t="str">
            <v>-</v>
          </cell>
          <cell r="D1613" t="str">
            <v>Franklin India Liquid Fund - Institution-Growth</v>
          </cell>
          <cell r="E1613">
            <v>0</v>
          </cell>
        </row>
        <row r="1614">
          <cell r="B1614" t="str">
            <v>-</v>
          </cell>
          <cell r="C1614" t="str">
            <v>INF090I01BC9</v>
          </cell>
          <cell r="D1614" t="str">
            <v>Franklin India Liquid Fund - Institutional Plan - Daily - IDCW</v>
          </cell>
          <cell r="E1614">
            <v>1000</v>
          </cell>
        </row>
        <row r="1615">
          <cell r="B1615" t="str">
            <v>INF090I01BJ4</v>
          </cell>
          <cell r="C1615" t="str">
            <v>INF090I01BE5</v>
          </cell>
          <cell r="D1615" t="str">
            <v>Franklin India Liquid Fund - Institutional Plan - Weekly - IDCW</v>
          </cell>
          <cell r="E1615">
            <v>1055.1293000000001</v>
          </cell>
        </row>
        <row r="1616">
          <cell r="B1616" t="str">
            <v/>
          </cell>
          <cell r="C1616" t="str">
            <v/>
          </cell>
          <cell r="D1616" t="str">
            <v/>
          </cell>
        </row>
        <row r="1617">
          <cell r="B1617" t="str">
            <v/>
          </cell>
          <cell r="C1617" t="str">
            <v/>
          </cell>
          <cell r="D1617" t="str">
            <v/>
          </cell>
        </row>
        <row r="1618">
          <cell r="B1618" t="str">
            <v/>
          </cell>
          <cell r="C1618" t="str">
            <v/>
          </cell>
          <cell r="D1618" t="str">
            <v/>
          </cell>
        </row>
        <row r="1619">
          <cell r="B1619" t="str">
            <v>INF666M01451</v>
          </cell>
          <cell r="C1619" t="str">
            <v>-</v>
          </cell>
          <cell r="D1619" t="str">
            <v>Groww Liquid Fund ( formerly known as Indiabulls Liquid )Fund - Direct Plan - Growth Option</v>
          </cell>
          <cell r="E1619">
            <v>2728.8395999999998</v>
          </cell>
        </row>
        <row r="1620">
          <cell r="B1620" t="str">
            <v>-</v>
          </cell>
          <cell r="C1620" t="str">
            <v>INF666M01469</v>
          </cell>
          <cell r="D1620" t="str">
            <v>Groww Liquid Fund (formerly known as Indiabulls Liquid Fund) - Direct Plan- - Income Distribution cum capital withdrawal Option ( Reinvestment)</v>
          </cell>
          <cell r="E1620">
            <v>1002.0907</v>
          </cell>
        </row>
        <row r="1621">
          <cell r="B1621" t="str">
            <v>INF666M01014</v>
          </cell>
          <cell r="C1621" t="str">
            <v>-</v>
          </cell>
          <cell r="D1621" t="str">
            <v>Groww Liquid Fund (formerly known as Indiabulls Liquid Fund) - Regular Plan - Growth Option</v>
          </cell>
          <cell r="E1621">
            <v>2692.9902999999999</v>
          </cell>
        </row>
        <row r="1622">
          <cell r="B1622" t="str">
            <v>INF666M01501</v>
          </cell>
          <cell r="C1622" t="str">
            <v>INF666M01485</v>
          </cell>
          <cell r="D1622" t="str">
            <v>Groww Liquid Fund (formerly known as Indiabulls Liquid Fund)- Direct Plan- Fortnightly - Income Distribution cum capital withdrawal Option (Payout &amp; Reinvestment)</v>
          </cell>
          <cell r="E1622">
            <v>1003.5701</v>
          </cell>
        </row>
        <row r="1623">
          <cell r="B1623" t="str">
            <v>INF666M01519</v>
          </cell>
          <cell r="C1623" t="str">
            <v>INF666M01493</v>
          </cell>
          <cell r="D1623" t="str">
            <v>Groww Liquid Fund (formerly known as Indiabulls Liquid Fund)- Direct Plan- Monthly - Income Distribution cum capital withdrawal Option (Payout &amp; Reinvestment)</v>
          </cell>
          <cell r="E1623">
            <v>1032.51</v>
          </cell>
        </row>
        <row r="1624">
          <cell r="B1624" t="str">
            <v>INF666M01527</v>
          </cell>
          <cell r="C1624" t="str">
            <v>INF666M01477</v>
          </cell>
          <cell r="D1624" t="str">
            <v>Groww Liquid Fund (formerly known as Indiabulls Liquid Fund)- Direct Plan- Weekly - Income Distribution cum capital withdrawal Option (Payout &amp; Reinvestment)</v>
          </cell>
          <cell r="E1624">
            <v>1002.0214999999999</v>
          </cell>
        </row>
        <row r="1625">
          <cell r="B1625" t="str">
            <v>-</v>
          </cell>
          <cell r="C1625" t="str">
            <v>INF666M01022</v>
          </cell>
          <cell r="D1625" t="str">
            <v>Groww Liquid Fund (formerly known as Indiabulls Liquid Fund)- Regular Plan- - Income Distribution cum capital withdrawal Option (Reinvestment)</v>
          </cell>
          <cell r="E1625">
            <v>1002.0894</v>
          </cell>
        </row>
        <row r="1626">
          <cell r="B1626" t="str">
            <v>INF666M01071</v>
          </cell>
          <cell r="C1626" t="str">
            <v>INF666M01055</v>
          </cell>
          <cell r="D1626" t="str">
            <v>Groww Liquid Fund (formerly known as Indiabulls Liquid Fund)- Regular Plan- Monthly - Income Distribution cum capital withdrawal Option (Payout &amp; Reinvestment)</v>
          </cell>
          <cell r="E1626">
            <v>1004.7333</v>
          </cell>
        </row>
        <row r="1627">
          <cell r="B1627" t="str">
            <v>INF666M01089</v>
          </cell>
          <cell r="C1627" t="str">
            <v>INF666M01030</v>
          </cell>
          <cell r="D1627" t="str">
            <v>Groww Liquid Fund (formerly known as Indiabulls Liquid Fund)- Regular Plan- Weekly - Income Distribution cum capital withdrawal Option (Payout &amp; Reinvestment)</v>
          </cell>
          <cell r="E1627">
            <v>1002.0167</v>
          </cell>
        </row>
        <row r="1628">
          <cell r="B1628" t="str">
            <v>INF666M01063</v>
          </cell>
          <cell r="C1628" t="str">
            <v>INF666M01048</v>
          </cell>
          <cell r="D1628" t="str">
            <v>Groww Liquid Fund (formerly known as Indiabulls Liquid) Fund- Regular Plan- Fortnightly - Income Distribution cum capital withdrawal Option (Payout &amp; Reinvestment)</v>
          </cell>
          <cell r="E1628">
            <v>1003.544</v>
          </cell>
        </row>
        <row r="1629">
          <cell r="B1629" t="str">
            <v/>
          </cell>
          <cell r="C1629" t="str">
            <v/>
          </cell>
          <cell r="D1629" t="str">
            <v/>
          </cell>
        </row>
        <row r="1630">
          <cell r="B1630" t="str">
            <v/>
          </cell>
          <cell r="C1630" t="str">
            <v/>
          </cell>
          <cell r="D1630" t="str">
            <v/>
          </cell>
        </row>
        <row r="1631">
          <cell r="B1631" t="str">
            <v/>
          </cell>
          <cell r="C1631" t="str">
            <v/>
          </cell>
          <cell r="D1631" t="str">
            <v/>
          </cell>
        </row>
        <row r="1632">
          <cell r="B1632" t="str">
            <v>INF179KB1HP9</v>
          </cell>
          <cell r="C1632" t="str">
            <v>-</v>
          </cell>
          <cell r="D1632" t="str">
            <v>HDFC Liquid Fund - Growth Option - Direct Plan</v>
          </cell>
          <cell r="E1632">
            <v>5527.2919000000002</v>
          </cell>
        </row>
        <row r="1633">
          <cell r="B1633" t="str">
            <v>INF179KB1HK0</v>
          </cell>
          <cell r="C1633" t="str">
            <v>-</v>
          </cell>
          <cell r="D1633" t="str">
            <v>HDFC Liquid Fund - Growth Plan</v>
          </cell>
          <cell r="E1633">
            <v>5462.9243999999999</v>
          </cell>
        </row>
        <row r="1634">
          <cell r="B1634" t="str">
            <v>-</v>
          </cell>
          <cell r="C1634" t="str">
            <v>INF179KB1IC5</v>
          </cell>
          <cell r="D1634" t="str">
            <v>HDFC Liquid Fund - IDCW Daily</v>
          </cell>
          <cell r="E1634">
            <v>1019.82</v>
          </cell>
        </row>
        <row r="1635">
          <cell r="B1635" t="str">
            <v>-</v>
          </cell>
          <cell r="C1635" t="str">
            <v>INF179KB1HV7</v>
          </cell>
          <cell r="D1635" t="str">
            <v>HDFC Liquid Fund - IDCW Daily - Direct Plan</v>
          </cell>
          <cell r="E1635">
            <v>1019.82</v>
          </cell>
        </row>
        <row r="1636">
          <cell r="B1636" t="str">
            <v>INF179KB1HM6</v>
          </cell>
          <cell r="C1636" t="str">
            <v>INF179KB1HL8</v>
          </cell>
          <cell r="D1636" t="str">
            <v>HDFC Liquid Fund - IDCW Monthly</v>
          </cell>
          <cell r="E1636">
            <v>1030.4105999999999</v>
          </cell>
        </row>
        <row r="1637">
          <cell r="B1637" t="str">
            <v>INF179KB1HO2</v>
          </cell>
          <cell r="C1637" t="str">
            <v>INF179KB1HQ7</v>
          </cell>
          <cell r="D1637" t="str">
            <v>HDFC Liquid Fund - IDCW Monthly - Direct Plan</v>
          </cell>
          <cell r="E1637">
            <v>1030.4775999999999</v>
          </cell>
        </row>
        <row r="1638">
          <cell r="B1638" t="str">
            <v>INF179KB1ID3</v>
          </cell>
          <cell r="C1638" t="str">
            <v>-</v>
          </cell>
          <cell r="D1638" t="str">
            <v>HDFC Liquid Fund - IDCW Plan Weekly</v>
          </cell>
          <cell r="E1638">
            <v>1031.2524000000001</v>
          </cell>
        </row>
        <row r="1639">
          <cell r="B1639" t="str">
            <v>-</v>
          </cell>
          <cell r="C1639" t="str">
            <v>-</v>
          </cell>
          <cell r="D1639" t="str">
            <v>HDFC Liquid Fund - IDCW Weekly - Direct Plan</v>
          </cell>
          <cell r="E1639">
            <v>1031.2606000000001</v>
          </cell>
        </row>
        <row r="1640">
          <cell r="B1640" t="str">
            <v>INF179K01KP9</v>
          </cell>
          <cell r="C1640" t="str">
            <v>-</v>
          </cell>
          <cell r="D1640" t="str">
            <v>HDFC Liquid Fund-Premium Plan - Dividend-Weekly</v>
          </cell>
          <cell r="E1640">
            <v>10</v>
          </cell>
        </row>
        <row r="1641">
          <cell r="B1641" t="str">
            <v>INF179K01KS3</v>
          </cell>
          <cell r="C1641" t="str">
            <v>-</v>
          </cell>
          <cell r="D1641" t="str">
            <v>HDFC Liquid Fund-Premium Plus Plan - Dividend-Weekly</v>
          </cell>
          <cell r="E1641">
            <v>10</v>
          </cell>
        </row>
        <row r="1642">
          <cell r="B1642" t="str">
            <v>INF179K01KQ7</v>
          </cell>
          <cell r="C1642" t="str">
            <v>-</v>
          </cell>
          <cell r="D1642" t="str">
            <v>HDFC Liquid Fund-PREMIUM PLUS- Growth</v>
          </cell>
          <cell r="E1642">
            <v>10</v>
          </cell>
        </row>
        <row r="1643">
          <cell r="B1643" t="str">
            <v/>
          </cell>
          <cell r="C1643" t="str">
            <v/>
          </cell>
          <cell r="D1643" t="str">
            <v/>
          </cell>
        </row>
        <row r="1644">
          <cell r="B1644" t="str">
            <v/>
          </cell>
          <cell r="C1644" t="str">
            <v/>
          </cell>
          <cell r="D1644" t="str">
            <v/>
          </cell>
        </row>
        <row r="1645">
          <cell r="B1645" t="str">
            <v/>
          </cell>
          <cell r="C1645" t="str">
            <v/>
          </cell>
          <cell r="D1645" t="str">
            <v/>
          </cell>
        </row>
        <row r="1646">
          <cell r="B1646" t="str">
            <v>INF336L01CC8</v>
          </cell>
          <cell r="C1646" t="str">
            <v>-</v>
          </cell>
          <cell r="D1646" t="str">
            <v>HSBC Liquid Fund -  Growth Direct</v>
          </cell>
          <cell r="E1646">
            <v>2804.7546000000002</v>
          </cell>
        </row>
        <row r="1647">
          <cell r="B1647" t="str">
            <v>-</v>
          </cell>
          <cell r="C1647" t="str">
            <v>INF336L01CB0</v>
          </cell>
          <cell r="D1647" t="str">
            <v>HSBC Liquid Fund - Direct Daily IDCW</v>
          </cell>
          <cell r="E1647">
            <v>1001.576</v>
          </cell>
        </row>
        <row r="1648">
          <cell r="B1648" t="str">
            <v>INF336L01BZ1</v>
          </cell>
          <cell r="C1648" t="str">
            <v>INF336L01CA2</v>
          </cell>
          <cell r="D1648" t="str">
            <v>HSBC Liquid Fund - Direct Monthly IDCW</v>
          </cell>
          <cell r="E1648">
            <v>1042.8061</v>
          </cell>
        </row>
        <row r="1649">
          <cell r="B1649" t="str">
            <v>INF336L01LK2</v>
          </cell>
          <cell r="C1649" t="str">
            <v>INF336L01CD6</v>
          </cell>
          <cell r="D1649" t="str">
            <v>HSBC Liquid Fund - Direct Weekly IDCW</v>
          </cell>
          <cell r="E1649">
            <v>1195.2358999999999</v>
          </cell>
        </row>
        <row r="1650">
          <cell r="B1650" t="str">
            <v>INF336L01BL1</v>
          </cell>
          <cell r="C1650" t="str">
            <v>-</v>
          </cell>
          <cell r="D1650" t="str">
            <v>HSBC Liquid Fund - Growth</v>
          </cell>
          <cell r="E1650">
            <v>4005.4277000000002</v>
          </cell>
        </row>
        <row r="1651">
          <cell r="B1651" t="str">
            <v>-</v>
          </cell>
          <cell r="C1651" t="str">
            <v>INF336L01BK3</v>
          </cell>
          <cell r="D1651" t="str">
            <v>HSBC Liquid Fund - IDCW</v>
          </cell>
          <cell r="E1651">
            <v>1019.3</v>
          </cell>
        </row>
        <row r="1652">
          <cell r="B1652" t="str">
            <v>-</v>
          </cell>
          <cell r="C1652" t="str">
            <v>INF336L01BS6</v>
          </cell>
          <cell r="D1652" t="str">
            <v>HSBC Liquid Fund - Institutional Daily IDCW</v>
          </cell>
          <cell r="E1652">
            <v>1562.8262</v>
          </cell>
        </row>
        <row r="1653">
          <cell r="B1653" t="str">
            <v>-</v>
          </cell>
          <cell r="C1653" t="str">
            <v>INF336L01BM9</v>
          </cell>
          <cell r="D1653" t="str">
            <v>HSBC Liquid Fund - Regular Daily IDCW</v>
          </cell>
          <cell r="E1653">
            <v>1001.3789</v>
          </cell>
        </row>
        <row r="1654">
          <cell r="B1654" t="str">
            <v>INF336L01BN7</v>
          </cell>
          <cell r="C1654" t="str">
            <v>-</v>
          </cell>
          <cell r="D1654" t="str">
            <v>HSBC Liquid Fund - Regular Growth</v>
          </cell>
          <cell r="E1654">
            <v>2776.1406999999999</v>
          </cell>
        </row>
        <row r="1655">
          <cell r="B1655" t="str">
            <v>INF336L01BP2</v>
          </cell>
          <cell r="C1655" t="str">
            <v>INF336L01BO5</v>
          </cell>
          <cell r="D1655" t="str">
            <v>HSBC Liquid Fund - Regular Monthly IDCW</v>
          </cell>
          <cell r="E1655">
            <v>1006.9825</v>
          </cell>
        </row>
        <row r="1656">
          <cell r="B1656" t="str">
            <v>INF336L01LJ4</v>
          </cell>
          <cell r="C1656" t="str">
            <v>INF336L01BQ0</v>
          </cell>
          <cell r="D1656" t="str">
            <v>HSBC Liquid Fund - Regular Weekly IDCW</v>
          </cell>
          <cell r="E1656">
            <v>1107.5377000000001</v>
          </cell>
        </row>
        <row r="1657">
          <cell r="B1657" t="str">
            <v>-</v>
          </cell>
          <cell r="C1657" t="str">
            <v>INF336L01BR8</v>
          </cell>
          <cell r="D1657" t="str">
            <v>HSBC Liquid Fund - Weekly IDCW</v>
          </cell>
          <cell r="E1657">
            <v>1001.3696</v>
          </cell>
        </row>
        <row r="1658">
          <cell r="B1658" t="str">
            <v/>
          </cell>
          <cell r="C1658" t="str">
            <v/>
          </cell>
          <cell r="D1658" t="str">
            <v/>
          </cell>
        </row>
        <row r="1659">
          <cell r="B1659" t="str">
            <v/>
          </cell>
          <cell r="C1659" t="str">
            <v/>
          </cell>
          <cell r="D1659" t="str">
            <v/>
          </cell>
        </row>
        <row r="1660">
          <cell r="B1660" t="str">
            <v/>
          </cell>
          <cell r="C1660" t="str">
            <v/>
          </cell>
          <cell r="D1660" t="str">
            <v/>
          </cell>
        </row>
        <row r="1661">
          <cell r="B1661" t="str">
            <v>INF109K01UU5</v>
          </cell>
          <cell r="C1661" t="str">
            <v>INF109K01UT7</v>
          </cell>
          <cell r="D1661" t="str">
            <v>ICICI Prudential Liquid Fund -Quarterly IDCW</v>
          </cell>
          <cell r="E1661">
            <v>101.4288</v>
          </cell>
        </row>
        <row r="1662">
          <cell r="B1662" t="str">
            <v>INF109K01VJ6</v>
          </cell>
          <cell r="C1662" t="str">
            <v>-</v>
          </cell>
          <cell r="D1662" t="str">
            <v>ICICI Prudential Liquid Institutional Plus Fund - Div - Daily</v>
          </cell>
          <cell r="E1662">
            <v>118.51519999999999</v>
          </cell>
        </row>
        <row r="1663">
          <cell r="B1663" t="str">
            <v>INF109KA1G94</v>
          </cell>
          <cell r="C1663" t="str">
            <v>-</v>
          </cell>
          <cell r="D1663" t="str">
            <v>ICICI Prudential Liquid Fund - Bonus</v>
          </cell>
          <cell r="E1663">
            <v>121.07040000000001</v>
          </cell>
        </row>
        <row r="1664">
          <cell r="B1664" t="str">
            <v>INF109K01VP3</v>
          </cell>
          <cell r="C1664" t="str">
            <v>-</v>
          </cell>
          <cell r="D1664" t="str">
            <v>ICICI Prudential Liquid Fund - Daily IDCW</v>
          </cell>
          <cell r="E1664">
            <v>100.1482</v>
          </cell>
        </row>
        <row r="1665">
          <cell r="B1665" t="str">
            <v>INF109K01P99</v>
          </cell>
          <cell r="C1665" t="str">
            <v>INF109K01Q07</v>
          </cell>
          <cell r="D1665" t="str">
            <v>ICICI Prudential Liquid Fund - Direct Plan -  Annual IDCW</v>
          </cell>
          <cell r="E1665">
            <v>103.985</v>
          </cell>
        </row>
        <row r="1666">
          <cell r="B1666" t="str">
            <v>INF109K01Q56</v>
          </cell>
          <cell r="C1666" t="str">
            <v>INF109K01Q64</v>
          </cell>
          <cell r="D1666" t="str">
            <v>ICICI Prudential Liquid Fund - Direct Plan -  Half Yearly IDCW</v>
          </cell>
          <cell r="E1666">
            <v>106.7325</v>
          </cell>
        </row>
        <row r="1667">
          <cell r="B1667" t="str">
            <v>INF109K01Q31</v>
          </cell>
          <cell r="C1667" t="str">
            <v>INF109K01Q23</v>
          </cell>
          <cell r="D1667" t="str">
            <v>ICICI Prudential Liquid Fund - Direct Plan -  IDCW Others</v>
          </cell>
          <cell r="E1667">
            <v>193.2012</v>
          </cell>
        </row>
        <row r="1668">
          <cell r="B1668" t="str">
            <v>-</v>
          </cell>
          <cell r="C1668" t="str">
            <v>INF109K01Q15</v>
          </cell>
          <cell r="D1668" t="str">
            <v>ICICI Prudential Liquid Fund - Direct Plan - Daily IDCW</v>
          </cell>
          <cell r="E1668">
            <v>100.1082</v>
          </cell>
        </row>
        <row r="1669">
          <cell r="B1669" t="str">
            <v>INF109K01Q49</v>
          </cell>
          <cell r="C1669" t="str">
            <v>-</v>
          </cell>
          <cell r="D1669" t="str">
            <v>ICICI Prudential Liquid Fund - Direct Plan - Growth</v>
          </cell>
          <cell r="E1669">
            <v>416.56310000000002</v>
          </cell>
        </row>
        <row r="1670">
          <cell r="B1670" t="str">
            <v>INF109K01R06</v>
          </cell>
          <cell r="C1670" t="str">
            <v>-</v>
          </cell>
          <cell r="D1670" t="str">
            <v>ICICI Prudential Liquid Fund - Direct Plan - Monthly IDCW</v>
          </cell>
          <cell r="E1670">
            <v>100.42870000000001</v>
          </cell>
        </row>
        <row r="1671">
          <cell r="B1671" t="str">
            <v>INF109K01Q72</v>
          </cell>
          <cell r="C1671" t="str">
            <v>INF109K01Q80</v>
          </cell>
          <cell r="D1671" t="str">
            <v>ICICI Prudential Liquid Fund - Direct Plan - Quarterly IDCW</v>
          </cell>
          <cell r="E1671">
            <v>102.2043</v>
          </cell>
        </row>
        <row r="1672">
          <cell r="B1672" t="str">
            <v>INF109K01Q98</v>
          </cell>
          <cell r="C1672" t="str">
            <v>-</v>
          </cell>
          <cell r="D1672" t="str">
            <v>ICICI Prudential Liquid Fund - Direct Plan - Weekly IDCW</v>
          </cell>
          <cell r="E1672">
            <v>100.20820000000001</v>
          </cell>
        </row>
        <row r="1673">
          <cell r="B1673" t="str">
            <v>INF109KA1G86</v>
          </cell>
          <cell r="C1673" t="str">
            <v>-</v>
          </cell>
          <cell r="D1673" t="str">
            <v>ICICI Prudential Liquid Fund - Direct Plan Bonus</v>
          </cell>
          <cell r="E1673">
            <v>149.19040000000001</v>
          </cell>
        </row>
        <row r="1674">
          <cell r="B1674" t="str">
            <v>INF109K01VQ1</v>
          </cell>
          <cell r="C1674" t="str">
            <v>-</v>
          </cell>
          <cell r="D1674" t="str">
            <v>ICICI Prudential Liquid Fund - Growth</v>
          </cell>
          <cell r="E1674">
            <v>412.11</v>
          </cell>
        </row>
        <row r="1675">
          <cell r="B1675" t="str">
            <v>INF109K01UX9</v>
          </cell>
          <cell r="C1675" t="str">
            <v>INF109K01UW1</v>
          </cell>
          <cell r="D1675" t="str">
            <v>ICICI Prudential Liquid Fund - Half Yearly IDCW</v>
          </cell>
          <cell r="E1675">
            <v>105.64749999999999</v>
          </cell>
        </row>
        <row r="1676">
          <cell r="B1676" t="str">
            <v>INF109K01VU3</v>
          </cell>
          <cell r="C1676" t="str">
            <v>INF109K01VT5</v>
          </cell>
          <cell r="D1676" t="str">
            <v>ICICI Prudential Liquid Fund - IDCW Others</v>
          </cell>
          <cell r="E1676">
            <v>191.52719999999999</v>
          </cell>
        </row>
        <row r="1677">
          <cell r="B1677" t="str">
            <v>INF109K01VH0</v>
          </cell>
          <cell r="C1677" t="str">
            <v>-</v>
          </cell>
          <cell r="D1677" t="str">
            <v>ICICI Prudential Liquid Fund - Institutional Option - I</v>
          </cell>
          <cell r="E1677">
            <v>275.61509999999998</v>
          </cell>
        </row>
        <row r="1678">
          <cell r="B1678" t="str">
            <v>INF109KB1WR9</v>
          </cell>
          <cell r="C1678" t="str">
            <v>-</v>
          </cell>
          <cell r="D1678" t="str">
            <v>ICICI Prudential Liquid Fund - Unclaimed IDCW</v>
          </cell>
          <cell r="E1678">
            <v>137.2884</v>
          </cell>
        </row>
        <row r="1679">
          <cell r="B1679" t="str">
            <v>INF109KB1WS7</v>
          </cell>
          <cell r="C1679" t="str">
            <v>-</v>
          </cell>
          <cell r="D1679" t="str">
            <v>ICICI Prudential Liquid Fund - Unclaimed IDCW Investor Education</v>
          </cell>
          <cell r="E1679">
            <v>100</v>
          </cell>
        </row>
        <row r="1680">
          <cell r="B1680" t="str">
            <v>INF109KB1WQ1</v>
          </cell>
          <cell r="C1680" t="str">
            <v>-</v>
          </cell>
          <cell r="D1680" t="str">
            <v>ICICI Prudential Liquid Fund - Unclaimed Redemption</v>
          </cell>
          <cell r="E1680">
            <v>137.2884</v>
          </cell>
        </row>
        <row r="1681">
          <cell r="B1681" t="str">
            <v>INF109KB1WT5</v>
          </cell>
          <cell r="C1681" t="str">
            <v>-</v>
          </cell>
          <cell r="D1681" t="str">
            <v>ICICI Prudential Liquid Fund - Unclaimed Redemption Investor Education</v>
          </cell>
          <cell r="E1681">
            <v>100</v>
          </cell>
        </row>
        <row r="1682">
          <cell r="B1682" t="str">
            <v>INF109K01VS7</v>
          </cell>
          <cell r="C1682" t="str">
            <v>-</v>
          </cell>
          <cell r="D1682" t="str">
            <v>ICICI Prudential Liquid Fund - Weekly IDCW</v>
          </cell>
          <cell r="E1682">
            <v>100.1825</v>
          </cell>
        </row>
        <row r="1683">
          <cell r="B1683" t="str">
            <v>INF109K01VR9</v>
          </cell>
          <cell r="C1683" t="str">
            <v>-</v>
          </cell>
          <cell r="D1683" t="str">
            <v>ICICI Prudential Liquid Fund -Monthly IDCW</v>
          </cell>
          <cell r="E1683">
            <v>100.3202</v>
          </cell>
        </row>
        <row r="1684">
          <cell r="B1684" t="str">
            <v>INF109K01VD9</v>
          </cell>
          <cell r="C1684" t="str">
            <v>INF109K01VC1</v>
          </cell>
          <cell r="D1684" t="str">
            <v>ICICI Prudential Liquid Fund-Annual IDCW</v>
          </cell>
          <cell r="E1684">
            <v>103.8506</v>
          </cell>
        </row>
        <row r="1685">
          <cell r="B1685" t="str">
            <v>INF109K01VE7</v>
          </cell>
          <cell r="C1685" t="str">
            <v>-</v>
          </cell>
          <cell r="D1685" t="str">
            <v>ICICI Prudential Liquid Fund - Institutional - Daily - Div</v>
          </cell>
          <cell r="E1685">
            <v>118.5022</v>
          </cell>
        </row>
        <row r="1686">
          <cell r="B1686" t="str">
            <v>INF109K01VI8</v>
          </cell>
          <cell r="C1686" t="str">
            <v>-</v>
          </cell>
          <cell r="D1686" t="str">
            <v>ICICI Prudential Liquid Fund - Institutional - Weekly - Div</v>
          </cell>
          <cell r="E1686">
            <v>118.6133</v>
          </cell>
        </row>
        <row r="1687">
          <cell r="B1687" t="str">
            <v>INF109K01UR1</v>
          </cell>
          <cell r="C1687" t="str">
            <v>-</v>
          </cell>
          <cell r="D1687" t="str">
            <v>ICICI Prudential Liquid Fund Retail Daily Dividend</v>
          </cell>
          <cell r="E1687">
            <v>118.5142</v>
          </cell>
        </row>
        <row r="1688">
          <cell r="B1688" t="str">
            <v>INF109K01UQ3</v>
          </cell>
          <cell r="C1688" t="str">
            <v>-</v>
          </cell>
          <cell r="D1688" t="str">
            <v>ICICI Prudential Liquid Fund Retail Growth</v>
          </cell>
          <cell r="E1688">
            <v>450.77969999999999</v>
          </cell>
        </row>
        <row r="1689">
          <cell r="B1689" t="str">
            <v>INF109K01US9</v>
          </cell>
          <cell r="C1689" t="str">
            <v>-</v>
          </cell>
          <cell r="D1689" t="str">
            <v>ICICI Prudential Liquid Fund Retail Monthly Dividend</v>
          </cell>
          <cell r="E1689">
            <v>100.5372</v>
          </cell>
        </row>
        <row r="1690">
          <cell r="B1690" t="str">
            <v>INF109K01UV3</v>
          </cell>
          <cell r="C1690" t="str">
            <v>-</v>
          </cell>
          <cell r="D1690" t="str">
            <v>ICICI Prudential Liquid Fund Retail Weekly Dividend</v>
          </cell>
          <cell r="E1690">
            <v>118.9171</v>
          </cell>
        </row>
        <row r="1691">
          <cell r="B1691" t="str">
            <v>INF109K01VF4</v>
          </cell>
          <cell r="C1691" t="str">
            <v>-</v>
          </cell>
          <cell r="D1691" t="str">
            <v>ICICI Prudential Liquid Institutional Fund - Growth</v>
          </cell>
          <cell r="E1691">
            <v>462.33</v>
          </cell>
        </row>
        <row r="1692">
          <cell r="B1692" t="str">
            <v/>
          </cell>
          <cell r="C1692" t="str">
            <v/>
          </cell>
          <cell r="D1692" t="str">
            <v/>
          </cell>
        </row>
        <row r="1693">
          <cell r="B1693" t="str">
            <v/>
          </cell>
          <cell r="C1693" t="str">
            <v/>
          </cell>
          <cell r="D1693" t="str">
            <v/>
          </cell>
        </row>
        <row r="1694">
          <cell r="B1694" t="str">
            <v/>
          </cell>
          <cell r="C1694" t="str">
            <v/>
          </cell>
          <cell r="D1694" t="str">
            <v/>
          </cell>
        </row>
        <row r="1695">
          <cell r="B1695" t="str">
            <v>-</v>
          </cell>
          <cell r="C1695" t="str">
            <v>INF205K01HN3</v>
          </cell>
          <cell r="D1695" t="str">
            <v>Invesco India Liquid Fund - Daily IDCW (Reinvestment)</v>
          </cell>
          <cell r="E1695">
            <v>1002.7594</v>
          </cell>
        </row>
        <row r="1696">
          <cell r="B1696" t="str">
            <v>INF205K01MF9</v>
          </cell>
          <cell r="C1696" t="str">
            <v>-</v>
          </cell>
          <cell r="D1696" t="str">
            <v>Invesco India Liquid Fund - Direct Plan - Growth</v>
          </cell>
          <cell r="E1696">
            <v>3863.5151000000001</v>
          </cell>
        </row>
        <row r="1697">
          <cell r="B1697" t="str">
            <v>INF205K01MG7</v>
          </cell>
          <cell r="C1697" t="str">
            <v>INF205K01MH5</v>
          </cell>
          <cell r="D1697" t="str">
            <v>Invesco India Liquid Fund - Direct Plan - Monthly IDCW (Payout / Reinvestment)</v>
          </cell>
          <cell r="E1697">
            <v>1086.5871999999999</v>
          </cell>
        </row>
        <row r="1698">
          <cell r="B1698" t="str">
            <v>INF205KA1BE5</v>
          </cell>
          <cell r="C1698" t="str">
            <v>INF205K01MI3</v>
          </cell>
          <cell r="D1698" t="str">
            <v>Invesco India Liquid Fund - Direct Plan - Weekly IDCW (Reinvestment)</v>
          </cell>
          <cell r="E1698">
            <v>1072.6379999999999</v>
          </cell>
        </row>
        <row r="1699">
          <cell r="B1699" t="str">
            <v>-</v>
          </cell>
          <cell r="C1699" t="str">
            <v>INF205K01ME2</v>
          </cell>
          <cell r="D1699" t="str">
            <v>Invesco India Liquid Fund - Direct Plan- Daily IDCW (Reinvestment)</v>
          </cell>
          <cell r="E1699">
            <v>1005.8604</v>
          </cell>
        </row>
        <row r="1700">
          <cell r="B1700" t="str">
            <v>INF205K01HM5</v>
          </cell>
          <cell r="C1700" t="str">
            <v>-</v>
          </cell>
          <cell r="D1700" t="str">
            <v>Invesco India Liquid Fund - Growth</v>
          </cell>
          <cell r="E1700">
            <v>3828.2471</v>
          </cell>
        </row>
        <row r="1701">
          <cell r="B1701" t="str">
            <v>INF205K01HQ6</v>
          </cell>
          <cell r="C1701" t="str">
            <v>INF205K01HP8</v>
          </cell>
          <cell r="D1701" t="str">
            <v>Invesco India Liquid Fund - Monthly IDCW (Payout / Reinvestment)</v>
          </cell>
          <cell r="E1701">
            <v>1007.252</v>
          </cell>
        </row>
        <row r="1702">
          <cell r="B1702" t="str">
            <v>INF205K01HG7</v>
          </cell>
          <cell r="C1702" t="str">
            <v>-</v>
          </cell>
          <cell r="D1702" t="str">
            <v>Invesco India Liquid Fund - Regular - Growth</v>
          </cell>
          <cell r="E1702">
            <v>3371.8589000000002</v>
          </cell>
        </row>
        <row r="1703">
          <cell r="B1703" t="str">
            <v>-</v>
          </cell>
          <cell r="C1703" t="str">
            <v>INF205K01HH5</v>
          </cell>
          <cell r="D1703" t="str">
            <v>Invesco India Liquid Fund - Regular - Weekly IDCW (Reinvestment)</v>
          </cell>
          <cell r="E1703">
            <v>1004.308</v>
          </cell>
        </row>
        <row r="1704">
          <cell r="B1704" t="str">
            <v>-</v>
          </cell>
          <cell r="C1704" t="str">
            <v>-</v>
          </cell>
          <cell r="D1704" t="str">
            <v>Invesco India Liquid Fund - Unclaimed Dividend Plan - Above 3 Years</v>
          </cell>
          <cell r="E1704">
            <v>1000</v>
          </cell>
        </row>
        <row r="1705">
          <cell r="B1705" t="str">
            <v>-</v>
          </cell>
          <cell r="C1705" t="str">
            <v>-</v>
          </cell>
          <cell r="D1705" t="str">
            <v>Invesco India Liquid Fund - Unclaimed Dividend Plan - Below 3 Years</v>
          </cell>
          <cell r="E1705">
            <v>1831.2295999999999</v>
          </cell>
        </row>
        <row r="1706">
          <cell r="B1706" t="str">
            <v>-</v>
          </cell>
          <cell r="C1706" t="str">
            <v>-</v>
          </cell>
          <cell r="D1706" t="str">
            <v>Invesco India Liquid Fund - Unclaimed Redemption Plan - Above 3 Years</v>
          </cell>
          <cell r="E1706">
            <v>1000</v>
          </cell>
        </row>
        <row r="1707">
          <cell r="B1707" t="str">
            <v>-</v>
          </cell>
          <cell r="C1707" t="str">
            <v>-</v>
          </cell>
          <cell r="D1707" t="str">
            <v>Invesco India Liquid Fund - Unclaimed Redemption Plan - Below 3 years</v>
          </cell>
          <cell r="E1707">
            <v>1830.8190999999999</v>
          </cell>
        </row>
        <row r="1708">
          <cell r="B1708" t="str">
            <v>INF205KA1BD7</v>
          </cell>
          <cell r="C1708" t="str">
            <v>INF205K01HO1</v>
          </cell>
          <cell r="D1708" t="str">
            <v>Invesco India Liquid Fund - Weekly IDCW (Reinvestment)</v>
          </cell>
          <cell r="E1708">
            <v>1018.8262999999999</v>
          </cell>
        </row>
        <row r="1709">
          <cell r="B1709" t="str">
            <v/>
          </cell>
          <cell r="C1709" t="str">
            <v/>
          </cell>
          <cell r="D1709" t="str">
            <v/>
          </cell>
        </row>
        <row r="1710">
          <cell r="B1710" t="str">
            <v/>
          </cell>
          <cell r="C1710" t="str">
            <v/>
          </cell>
          <cell r="D1710" t="str">
            <v/>
          </cell>
        </row>
        <row r="1711">
          <cell r="B1711" t="str">
            <v/>
          </cell>
          <cell r="C1711" t="str">
            <v/>
          </cell>
          <cell r="D1711" t="str">
            <v/>
          </cell>
        </row>
        <row r="1712">
          <cell r="B1712" t="str">
            <v>INF00XX01366</v>
          </cell>
          <cell r="C1712" t="str">
            <v>INF00XX01333</v>
          </cell>
          <cell r="D1712" t="str">
            <v>ITI Liquid Fund - Direct Plan - Annually IDCW Option</v>
          </cell>
          <cell r="E1712">
            <v>1463.3834999999999</v>
          </cell>
        </row>
        <row r="1713">
          <cell r="B1713" t="str">
            <v>-</v>
          </cell>
          <cell r="C1713" t="str">
            <v>INF00XX01291</v>
          </cell>
          <cell r="D1713" t="str">
            <v>ITI Liquid Fund - Direct Plan - Daily IDCW Option</v>
          </cell>
          <cell r="E1713">
            <v>1000.9924999999999</v>
          </cell>
        </row>
        <row r="1714">
          <cell r="B1714" t="str">
            <v>INF00XX01341</v>
          </cell>
          <cell r="C1714" t="str">
            <v>INF00XX01317</v>
          </cell>
          <cell r="D1714" t="str">
            <v>ITI Liquid Fund - Direct Plan - Fortnightly IDCW Option</v>
          </cell>
          <cell r="E1714">
            <v>1002.6579</v>
          </cell>
        </row>
        <row r="1715">
          <cell r="B1715" t="str">
            <v>INF00XX01283</v>
          </cell>
          <cell r="C1715" t="str">
            <v>-</v>
          </cell>
          <cell r="D1715" t="str">
            <v>ITI Liquid Fund - Direct Plan - Growth Option</v>
          </cell>
          <cell r="E1715">
            <v>1461.4438</v>
          </cell>
        </row>
        <row r="1716">
          <cell r="B1716" t="str">
            <v>INF00XX01358</v>
          </cell>
          <cell r="C1716" t="str">
            <v>INF00XX01325</v>
          </cell>
          <cell r="D1716" t="str">
            <v>ITI Liquid Fund - Direct Plan - Monthly IDCW Option</v>
          </cell>
          <cell r="E1716">
            <v>1005.4103</v>
          </cell>
        </row>
        <row r="1717">
          <cell r="B1717" t="str">
            <v>-</v>
          </cell>
          <cell r="C1717" t="str">
            <v>INF00XX01309</v>
          </cell>
          <cell r="D1717" t="str">
            <v>ITI Liquid Fund - Direct Plan - Weekly IDCW Option</v>
          </cell>
          <cell r="E1717">
            <v>1001.063</v>
          </cell>
        </row>
        <row r="1718">
          <cell r="B1718" t="str">
            <v>INF00XX01275</v>
          </cell>
          <cell r="C1718" t="str">
            <v>INF00XX01242</v>
          </cell>
          <cell r="D1718" t="str">
            <v>ITI Liquid Fund - Regular Plan - Annually IDCW Option</v>
          </cell>
          <cell r="E1718">
            <v>1456.4502</v>
          </cell>
        </row>
        <row r="1719">
          <cell r="B1719" t="str">
            <v>-</v>
          </cell>
          <cell r="C1719" t="str">
            <v>INF00XX01200</v>
          </cell>
          <cell r="D1719" t="str">
            <v>ITI Liquid Fund - Regular Plan - Daily IDCW Option</v>
          </cell>
          <cell r="E1719">
            <v>1001</v>
          </cell>
        </row>
        <row r="1720">
          <cell r="B1720" t="str">
            <v>INF00XX01259</v>
          </cell>
          <cell r="C1720" t="str">
            <v>INF00XX01226</v>
          </cell>
          <cell r="D1720" t="str">
            <v>ITI Liquid Fund - Regular Plan - Fortnightly Income Distribution cum capital withdrawal option Option</v>
          </cell>
          <cell r="E1720">
            <v>1003.0784</v>
          </cell>
        </row>
        <row r="1721">
          <cell r="B1721" t="str">
            <v>INF00XX01192</v>
          </cell>
          <cell r="C1721" t="str">
            <v>-</v>
          </cell>
          <cell r="D1721" t="str">
            <v>ITI Liquid Fund - Regular Plan - Growth Option</v>
          </cell>
          <cell r="E1721">
            <v>1447.0064</v>
          </cell>
        </row>
        <row r="1722">
          <cell r="B1722" t="str">
            <v>INF00XX01267</v>
          </cell>
          <cell r="C1722" t="str">
            <v>INF00XX01234</v>
          </cell>
          <cell r="D1722" t="str">
            <v>ITI Liquid Fund - Regular Plan - Monthly IDCW Option</v>
          </cell>
          <cell r="E1722">
            <v>1000.7692</v>
          </cell>
        </row>
        <row r="1723">
          <cell r="B1723" t="str">
            <v>-</v>
          </cell>
          <cell r="C1723" t="str">
            <v>INF00XX01218</v>
          </cell>
          <cell r="D1723" t="str">
            <v>ITI Liquid Fund - Regular Plan - Weekly IDCW Option</v>
          </cell>
          <cell r="E1723">
            <v>1001.1268</v>
          </cell>
        </row>
        <row r="1724">
          <cell r="B1724" t="str">
            <v/>
          </cell>
          <cell r="C1724" t="str">
            <v/>
          </cell>
          <cell r="D1724" t="str">
            <v/>
          </cell>
        </row>
        <row r="1725">
          <cell r="B1725" t="str">
            <v/>
          </cell>
          <cell r="C1725" t="str">
            <v/>
          </cell>
          <cell r="D1725" t="str">
            <v/>
          </cell>
        </row>
        <row r="1726">
          <cell r="B1726" t="str">
            <v/>
          </cell>
          <cell r="C1726" t="str">
            <v/>
          </cell>
          <cell r="D1726" t="str">
            <v/>
          </cell>
        </row>
        <row r="1727">
          <cell r="B1727" t="str">
            <v>INF22M001010</v>
          </cell>
          <cell r="C1727" t="str">
            <v>-</v>
          </cell>
          <cell r="D1727" t="str">
            <v>JioBlackRock Liquid Fund - Direct Plan - Growth Option</v>
          </cell>
          <cell r="E1727">
            <v>1067.5784000000001</v>
          </cell>
        </row>
        <row r="1728">
          <cell r="B1728" t="str">
            <v/>
          </cell>
          <cell r="C1728" t="str">
            <v/>
          </cell>
          <cell r="D1728" t="str">
            <v/>
          </cell>
        </row>
        <row r="1729">
          <cell r="B1729" t="str">
            <v/>
          </cell>
          <cell r="C1729" t="str">
            <v/>
          </cell>
          <cell r="D1729" t="str">
            <v/>
          </cell>
        </row>
        <row r="1730">
          <cell r="B1730" t="str">
            <v/>
          </cell>
          <cell r="C1730" t="str">
            <v/>
          </cell>
          <cell r="D1730" t="str">
            <v/>
          </cell>
        </row>
        <row r="1731">
          <cell r="B1731" t="str">
            <v>INF192K01CN4</v>
          </cell>
          <cell r="C1731" t="str">
            <v>-</v>
          </cell>
          <cell r="D1731" t="str">
            <v>JM Liquid Fund (Direct) - Bonus Option - Bonus Option - Principal units</v>
          </cell>
          <cell r="E1731">
            <v>22.489799999999999</v>
          </cell>
        </row>
        <row r="1732">
          <cell r="B1732" t="str">
            <v>-</v>
          </cell>
          <cell r="C1732" t="str">
            <v>INF192K01CH6</v>
          </cell>
          <cell r="D1732" t="str">
            <v>JM Liquid Fund (Direct) - Daily IDCW</v>
          </cell>
          <cell r="E1732">
            <v>10.430199999999999</v>
          </cell>
        </row>
        <row r="1733">
          <cell r="B1733" t="str">
            <v>INF192K01CM6</v>
          </cell>
          <cell r="C1733" t="str">
            <v>-</v>
          </cell>
          <cell r="D1733" t="str">
            <v>JM Liquid Fund (Direct) - Growth Option</v>
          </cell>
          <cell r="E1733">
            <v>76.788700000000006</v>
          </cell>
        </row>
        <row r="1734">
          <cell r="B1734" t="str">
            <v>INF192K01CK0</v>
          </cell>
          <cell r="C1734" t="str">
            <v>INF192K01CL8</v>
          </cell>
          <cell r="D1734" t="str">
            <v>JM Liquid Fund (Direct) - Quarterly IDCW</v>
          </cell>
          <cell r="E1734">
            <v>43.595999999999997</v>
          </cell>
        </row>
        <row r="1735">
          <cell r="B1735" t="str">
            <v>INF192K01CI4</v>
          </cell>
          <cell r="C1735" t="str">
            <v>INF192K01CJ2</v>
          </cell>
          <cell r="D1735" t="str">
            <v>JM Liquid Fund (Direct) - Weekly IDCW</v>
          </cell>
          <cell r="E1735">
            <v>11.007</v>
          </cell>
        </row>
        <row r="1736">
          <cell r="B1736" t="str">
            <v>INF192K01866</v>
          </cell>
          <cell r="C1736" t="str">
            <v>INF192K01874</v>
          </cell>
          <cell r="D1736" t="str">
            <v>JM Liquid Fund (Regular) - Quarterly IDCW</v>
          </cell>
          <cell r="E1736">
            <v>42.957500000000003</v>
          </cell>
        </row>
        <row r="1737">
          <cell r="B1737" t="str">
            <v>INF192K01981</v>
          </cell>
          <cell r="C1737" t="str">
            <v>-</v>
          </cell>
          <cell r="D1737" t="str">
            <v>JM Liquid Fund (Regular) - Super Institutional Plan - Growth Option</v>
          </cell>
          <cell r="E1737">
            <v>43.638399999999997</v>
          </cell>
        </row>
        <row r="1738">
          <cell r="B1738" t="str">
            <v>INF192K01841</v>
          </cell>
          <cell r="C1738" t="str">
            <v>INF192K01858</v>
          </cell>
          <cell r="D1738" t="str">
            <v>JM Liquid Fund (Regular) - Weekly IDCW</v>
          </cell>
          <cell r="E1738">
            <v>11.0044</v>
          </cell>
        </row>
        <row r="1739">
          <cell r="B1739" t="str">
            <v>INF192K01882</v>
          </cell>
          <cell r="C1739" t="str">
            <v>-</v>
          </cell>
          <cell r="D1739" t="str">
            <v>JM Liquid Fund - Growth Option</v>
          </cell>
          <cell r="E1739">
            <v>75.895200000000003</v>
          </cell>
        </row>
        <row r="1740">
          <cell r="B1740" t="str">
            <v>-</v>
          </cell>
          <cell r="C1740" t="str">
            <v>-</v>
          </cell>
          <cell r="D1740" t="str">
            <v>JM Liquid Fund - Unclaimed Application Refund Amount I.E.F. (Direct) - Growth Plan</v>
          </cell>
          <cell r="E1740">
            <v>41.4437</v>
          </cell>
        </row>
        <row r="1741">
          <cell r="B1741" t="str">
            <v>-</v>
          </cell>
          <cell r="C1741" t="str">
            <v>-</v>
          </cell>
          <cell r="D1741" t="str">
            <v>JM Liquid Fund - Unclaimed Brokerage I.E.F. (Direct) - Growth Plan</v>
          </cell>
          <cell r="E1741">
            <v>41.4437</v>
          </cell>
        </row>
        <row r="1742">
          <cell r="B1742" t="str">
            <v>-</v>
          </cell>
          <cell r="C1742" t="str">
            <v>-</v>
          </cell>
          <cell r="D1742" t="str">
            <v>JM Liquid Fund - Withheld Brokerage I.E.F. (Direct) - Growth Plan</v>
          </cell>
          <cell r="E1742">
            <v>41.4437</v>
          </cell>
        </row>
        <row r="1743">
          <cell r="B1743" t="str">
            <v>INF192K01LB0</v>
          </cell>
          <cell r="C1743" t="str">
            <v>-</v>
          </cell>
          <cell r="D1743" t="str">
            <v>JM Liquid Fund Unclaimed Dividend (Direct) Growth Plan</v>
          </cell>
          <cell r="E1743">
            <v>57.822899999999997</v>
          </cell>
        </row>
        <row r="1744">
          <cell r="B1744" t="str">
            <v>INF192K01LD6</v>
          </cell>
          <cell r="C1744" t="str">
            <v>-</v>
          </cell>
          <cell r="D1744" t="str">
            <v>JM Liquid Fund Unclaimed Dividend IEF (Direct) Growth Plan</v>
          </cell>
          <cell r="E1744">
            <v>41.4437</v>
          </cell>
        </row>
        <row r="1745">
          <cell r="B1745" t="str">
            <v>INF192K01LA2</v>
          </cell>
          <cell r="C1745" t="str">
            <v>-</v>
          </cell>
          <cell r="D1745" t="str">
            <v>JM Liquid Fund Unclaimed Redemption (Direct) Growth Plan</v>
          </cell>
          <cell r="E1745">
            <v>57.823</v>
          </cell>
        </row>
        <row r="1746">
          <cell r="B1746" t="str">
            <v>INF192K01LC8</v>
          </cell>
          <cell r="C1746" t="str">
            <v>-</v>
          </cell>
          <cell r="D1746" t="str">
            <v>JM Liquid Fund Unclaimed Redemption IEF (Direct) Growth Plan</v>
          </cell>
          <cell r="E1746">
            <v>41.4437</v>
          </cell>
        </row>
        <row r="1747">
          <cell r="B1747" t="str">
            <v>INF192K01890</v>
          </cell>
          <cell r="C1747" t="str">
            <v>-</v>
          </cell>
          <cell r="D1747" t="str">
            <v>JM Liquid Fund (Regular) - Bonus Option - Principal Units</v>
          </cell>
          <cell r="E1747">
            <v>24.3019</v>
          </cell>
        </row>
        <row r="1748">
          <cell r="B1748" t="str">
            <v>-</v>
          </cell>
          <cell r="C1748" t="str">
            <v>INF192K01833</v>
          </cell>
          <cell r="D1748" t="str">
            <v>JM Liquid Fund (Regular) - Daily IDCW</v>
          </cell>
          <cell r="E1748">
            <v>10.430199999999999</v>
          </cell>
        </row>
        <row r="1749">
          <cell r="B1749" t="str">
            <v/>
          </cell>
          <cell r="C1749" t="str">
            <v/>
          </cell>
          <cell r="D1749" t="str">
            <v/>
          </cell>
        </row>
        <row r="1750">
          <cell r="B1750" t="str">
            <v/>
          </cell>
          <cell r="C1750" t="str">
            <v/>
          </cell>
          <cell r="D1750" t="str">
            <v/>
          </cell>
        </row>
        <row r="1751">
          <cell r="B1751" t="str">
            <v/>
          </cell>
          <cell r="C1751" t="str">
            <v/>
          </cell>
          <cell r="D1751" t="str">
            <v/>
          </cell>
        </row>
        <row r="1752">
          <cell r="B1752" t="str">
            <v>-</v>
          </cell>
          <cell r="C1752" t="str">
            <v>INF174K01NH1</v>
          </cell>
          <cell r="D1752" t="str">
            <v>Kotak Liquid Fund - Direct Plan - Daily Reinvestment of Income Distribution cum capital withdrawal option</v>
          </cell>
          <cell r="E1752">
            <v>1222.81</v>
          </cell>
        </row>
        <row r="1753">
          <cell r="B1753" t="str">
            <v>INF174K01NE8</v>
          </cell>
          <cell r="C1753" t="str">
            <v>-</v>
          </cell>
          <cell r="D1753" t="str">
            <v>Kotak Liquid Fund - Direct Plan - Growth</v>
          </cell>
          <cell r="E1753">
            <v>5687.4512999999997</v>
          </cell>
        </row>
        <row r="1754">
          <cell r="B1754" t="str">
            <v>INF174KA1WL3</v>
          </cell>
          <cell r="C1754" t="str">
            <v>INF174KA1WJ7</v>
          </cell>
          <cell r="D1754" t="str">
            <v>Kotak Liquid Fund - Direct Plan - Weekly - Reinvestment &amp; Payout of Income Distribution cum capital withdrawal option</v>
          </cell>
          <cell r="E1754">
            <v>1007.725</v>
          </cell>
        </row>
        <row r="1755">
          <cell r="B1755" t="str">
            <v>-</v>
          </cell>
          <cell r="C1755" t="str">
            <v>INF174K01NL3</v>
          </cell>
          <cell r="D1755" t="str">
            <v>Kotak Liquid Fund - Regular  - Daily Reinvestment of Income Distribution cum capital withdrawal option</v>
          </cell>
          <cell r="E1755">
            <v>1273.9915000000001</v>
          </cell>
        </row>
        <row r="1756">
          <cell r="B1756" t="str">
            <v>INF174K01NI9</v>
          </cell>
          <cell r="C1756" t="str">
            <v>-</v>
          </cell>
          <cell r="D1756" t="str">
            <v>Kotak Liquid Fund - Regular Plan - Growth</v>
          </cell>
          <cell r="E1756">
            <v>5626.9461000000001</v>
          </cell>
        </row>
        <row r="1757">
          <cell r="B1757" t="str">
            <v>INF174KA1WK5</v>
          </cell>
          <cell r="C1757" t="str">
            <v>INF174KA1WM1</v>
          </cell>
          <cell r="D1757" t="str">
            <v>Kotak Liquid Fund - Regular Plan - Weekly - Reinvestment &amp; Payout of Income Distribution cum capital withdrawal option</v>
          </cell>
          <cell r="E1757">
            <v>1044.2454</v>
          </cell>
        </row>
        <row r="1758">
          <cell r="B1758" t="str">
            <v/>
          </cell>
          <cell r="C1758" t="str">
            <v/>
          </cell>
          <cell r="D1758" t="str">
            <v/>
          </cell>
        </row>
        <row r="1759">
          <cell r="B1759" t="str">
            <v/>
          </cell>
          <cell r="C1759" t="str">
            <v/>
          </cell>
          <cell r="D1759" t="str">
            <v/>
          </cell>
        </row>
        <row r="1760">
          <cell r="B1760" t="str">
            <v/>
          </cell>
          <cell r="C1760" t="str">
            <v/>
          </cell>
          <cell r="D1760" t="str">
            <v/>
          </cell>
        </row>
        <row r="1761">
          <cell r="B1761" t="str">
            <v>INF767K01DL5</v>
          </cell>
          <cell r="C1761" t="str">
            <v>INF767K01DM3</v>
          </cell>
          <cell r="D1761" t="str">
            <v>LIC MF Liquid Fund-Direct Plan-Daily IDCW</v>
          </cell>
          <cell r="E1761">
            <v>1035.2974999999999</v>
          </cell>
        </row>
        <row r="1762">
          <cell r="B1762" t="str">
            <v>INF767K01DN1</v>
          </cell>
          <cell r="C1762" t="str">
            <v>-</v>
          </cell>
          <cell r="D1762" t="str">
            <v>LIC MF Liquid Fund-Direct Plan-Growth</v>
          </cell>
          <cell r="E1762">
            <v>5110.7366000000002</v>
          </cell>
        </row>
        <row r="1763">
          <cell r="B1763" t="str">
            <v>INF397L01AK7</v>
          </cell>
          <cell r="C1763" t="str">
            <v>INF397L01AJ9</v>
          </cell>
          <cell r="D1763" t="str">
            <v>LIC MF Liquid Fund-Direct Plan-Monthly IDCW</v>
          </cell>
          <cell r="E1763">
            <v>1240.5066999999999</v>
          </cell>
        </row>
        <row r="1764">
          <cell r="B1764" t="str">
            <v>INF397L01AM3</v>
          </cell>
          <cell r="C1764" t="str">
            <v>INF397L01AL5</v>
          </cell>
          <cell r="D1764" t="str">
            <v>LIC MF Liquid Fund-Direct Plan-Weekly IDCW</v>
          </cell>
          <cell r="E1764">
            <v>1108.1257000000001</v>
          </cell>
        </row>
        <row r="1765">
          <cell r="B1765" t="str">
            <v>INF767K01IQ3</v>
          </cell>
          <cell r="C1765" t="str">
            <v>INF767K01IR1</v>
          </cell>
          <cell r="D1765" t="str">
            <v>LIC MF Liquid Fund-Regular Plan-Daily IDCW</v>
          </cell>
          <cell r="E1765">
            <v>1000.1751</v>
          </cell>
        </row>
        <row r="1766">
          <cell r="B1766" t="str">
            <v>INF767K01IS9</v>
          </cell>
          <cell r="C1766" t="str">
            <v>-</v>
          </cell>
          <cell r="D1766" t="str">
            <v>LIC MF Liquid Fund-Regular Plan-Growth</v>
          </cell>
          <cell r="E1766">
            <v>5033.6342999999997</v>
          </cell>
        </row>
        <row r="1767">
          <cell r="B1767" t="str">
            <v>INF397L01976</v>
          </cell>
          <cell r="C1767" t="str">
            <v>INF397L01968</v>
          </cell>
          <cell r="D1767" t="str">
            <v>LIC MF Liquid Fund-Regular Plan-Monthly IDCW</v>
          </cell>
          <cell r="E1767">
            <v>1219.3595</v>
          </cell>
        </row>
        <row r="1768">
          <cell r="B1768" t="str">
            <v>INF397L01950</v>
          </cell>
          <cell r="C1768" t="str">
            <v>INF397L01943</v>
          </cell>
          <cell r="D1768" t="str">
            <v>LIC MF Liquid Fund-Regular Plan-Weekly IDCW</v>
          </cell>
          <cell r="E1768">
            <v>1002.3248</v>
          </cell>
        </row>
        <row r="1769">
          <cell r="B1769" t="str">
            <v/>
          </cell>
          <cell r="C1769" t="str">
            <v/>
          </cell>
          <cell r="D1769" t="str">
            <v/>
          </cell>
        </row>
        <row r="1770">
          <cell r="B1770" t="str">
            <v/>
          </cell>
          <cell r="C1770" t="str">
            <v/>
          </cell>
          <cell r="D1770" t="str">
            <v/>
          </cell>
        </row>
        <row r="1771">
          <cell r="B1771" t="str">
            <v/>
          </cell>
          <cell r="C1771" t="str">
            <v/>
          </cell>
          <cell r="D1771" t="str">
            <v/>
          </cell>
        </row>
        <row r="1772">
          <cell r="B1772" t="str">
            <v>-</v>
          </cell>
          <cell r="C1772" t="str">
            <v>INF174V01051</v>
          </cell>
          <cell r="D1772" t="str">
            <v>Mahindra Manulife Liquid Fund - Direct Plan - Daily IDCW</v>
          </cell>
          <cell r="E1772">
            <v>1287.2688000000001</v>
          </cell>
        </row>
        <row r="1773">
          <cell r="B1773" t="str">
            <v>-</v>
          </cell>
          <cell r="C1773" t="str">
            <v>INF174V01069</v>
          </cell>
          <cell r="D1773" t="str">
            <v>Mahindra Manulife Liquid Fund - Direct Plan - Weekly IDCW</v>
          </cell>
          <cell r="E1773">
            <v>1003.896</v>
          </cell>
        </row>
        <row r="1774">
          <cell r="B1774" t="str">
            <v>INF174V01044</v>
          </cell>
          <cell r="C1774" t="str">
            <v>-</v>
          </cell>
          <cell r="D1774" t="str">
            <v>Mahindra Manulife Liquid Fund - Direct Plan -Growth</v>
          </cell>
          <cell r="E1774">
            <v>1833.3951999999999</v>
          </cell>
        </row>
        <row r="1775">
          <cell r="B1775" t="str">
            <v>-</v>
          </cell>
          <cell r="C1775" t="str">
            <v>INF174V01028</v>
          </cell>
          <cell r="D1775" t="str">
            <v>Mahindra Manulife Liquid Fund - Regular Plan - Daily IDCW</v>
          </cell>
          <cell r="E1775">
            <v>1001.6836</v>
          </cell>
        </row>
        <row r="1776">
          <cell r="B1776" t="str">
            <v>INF174V01010</v>
          </cell>
          <cell r="C1776" t="str">
            <v>-</v>
          </cell>
          <cell r="D1776" t="str">
            <v>Mahindra Manulife Liquid Fund - Regular Plan - Growth</v>
          </cell>
          <cell r="E1776">
            <v>1811.8332</v>
          </cell>
        </row>
        <row r="1777">
          <cell r="B1777" t="str">
            <v>-</v>
          </cell>
          <cell r="C1777" t="str">
            <v>INF174V01036</v>
          </cell>
          <cell r="D1777" t="str">
            <v>Mahindra Manulife Liquid Fund - Regular Plan - Weekly IDCW</v>
          </cell>
          <cell r="E1777">
            <v>1010.3034</v>
          </cell>
        </row>
        <row r="1778">
          <cell r="B1778" t="str">
            <v>-</v>
          </cell>
          <cell r="C1778" t="str">
            <v>-</v>
          </cell>
          <cell r="D1778" t="str">
            <v>Mahindra Manulife Liquid Fund - Unclaimed Redemption / IDCW Beyond 3 years</v>
          </cell>
          <cell r="E1778">
            <v>1000</v>
          </cell>
        </row>
        <row r="1779">
          <cell r="B1779" t="str">
            <v>-</v>
          </cell>
          <cell r="C1779" t="str">
            <v>-</v>
          </cell>
          <cell r="D1779" t="str">
            <v>Mahindra Manulife Liquid Fund - Unclaimed Redemption / IDCW Upto three years</v>
          </cell>
          <cell r="E1779">
            <v>1218.6342999999999</v>
          </cell>
        </row>
        <row r="1780">
          <cell r="B1780" t="str">
            <v/>
          </cell>
          <cell r="C1780" t="str">
            <v/>
          </cell>
          <cell r="D1780" t="str">
            <v/>
          </cell>
        </row>
        <row r="1781">
          <cell r="B1781" t="str">
            <v/>
          </cell>
          <cell r="C1781" t="str">
            <v/>
          </cell>
          <cell r="D1781" t="str">
            <v/>
          </cell>
        </row>
        <row r="1782">
          <cell r="B1782" t="str">
            <v/>
          </cell>
          <cell r="C1782" t="str">
            <v/>
          </cell>
          <cell r="D1782" t="str">
            <v/>
          </cell>
        </row>
        <row r="1783">
          <cell r="B1783" t="str">
            <v>INF769K01CM1</v>
          </cell>
          <cell r="C1783" t="str">
            <v>-</v>
          </cell>
          <cell r="D1783" t="str">
            <v>Mirae Asset Liquid Fund - Direct Plan - Growth</v>
          </cell>
          <cell r="E1783">
            <v>2971.4560999999999</v>
          </cell>
        </row>
        <row r="1784">
          <cell r="B1784" t="str">
            <v>INF769K01PD2</v>
          </cell>
          <cell r="C1784" t="str">
            <v>INF769K01CP4</v>
          </cell>
          <cell r="D1784" t="str">
            <v>Mirae Asset Liquid Fund - Direct Plan - Weekly IDCW</v>
          </cell>
          <cell r="E1784">
            <v>1216.2089000000001</v>
          </cell>
        </row>
        <row r="1785">
          <cell r="B1785" t="str">
            <v>-</v>
          </cell>
          <cell r="C1785" t="str">
            <v>INF769K01CO7</v>
          </cell>
          <cell r="D1785" t="str">
            <v>Mirae Asset Liquid Fund - Direct Plan -Daily IDCW</v>
          </cell>
          <cell r="E1785">
            <v>1075.8332</v>
          </cell>
        </row>
        <row r="1786">
          <cell r="B1786" t="str">
            <v>INF769K01CN9</v>
          </cell>
          <cell r="C1786" t="str">
            <v>INF769K01CQ2</v>
          </cell>
          <cell r="D1786" t="str">
            <v>Mirae Asset Liquid Fund - Direct Plan -Monthly IDCW</v>
          </cell>
          <cell r="E1786">
            <v>1140.1392000000001</v>
          </cell>
        </row>
        <row r="1787">
          <cell r="B1787" t="str">
            <v>-</v>
          </cell>
          <cell r="C1787" t="str">
            <v>INF769K01804</v>
          </cell>
          <cell r="D1787" t="str">
            <v>Mirae Asset Liquid Fund - Regular - Daily IDCW</v>
          </cell>
          <cell r="E1787">
            <v>1066.4347</v>
          </cell>
        </row>
        <row r="1788">
          <cell r="B1788" t="str">
            <v>INF769K01788</v>
          </cell>
          <cell r="C1788" t="str">
            <v>-</v>
          </cell>
          <cell r="D1788" t="str">
            <v>Mirae Asset Liquid Fund - Regular Plan - Growth</v>
          </cell>
          <cell r="E1788">
            <v>2917.7575000000002</v>
          </cell>
        </row>
        <row r="1789">
          <cell r="B1789" t="str">
            <v>INF769K01838</v>
          </cell>
          <cell r="C1789" t="str">
            <v>INF769K01820</v>
          </cell>
          <cell r="D1789" t="str">
            <v>Mirae Asset Liquid Fund - Regular Plan - Monthly IDCW</v>
          </cell>
          <cell r="E1789">
            <v>1157.7879</v>
          </cell>
        </row>
        <row r="1790">
          <cell r="B1790" t="str">
            <v>INF769K01PC4</v>
          </cell>
          <cell r="C1790" t="str">
            <v>INF769K01812</v>
          </cell>
          <cell r="D1790" t="str">
            <v>Mirae Asset Liquid Fund - Regular Plan - Weekly IDCW</v>
          </cell>
          <cell r="E1790">
            <v>1152.5500999999999</v>
          </cell>
        </row>
        <row r="1791">
          <cell r="B1791" t="str">
            <v/>
          </cell>
          <cell r="C1791" t="str">
            <v/>
          </cell>
          <cell r="D1791" t="str">
            <v/>
          </cell>
        </row>
        <row r="1792">
          <cell r="B1792" t="str">
            <v/>
          </cell>
          <cell r="C1792" t="str">
            <v/>
          </cell>
          <cell r="D1792" t="str">
            <v/>
          </cell>
        </row>
        <row r="1793">
          <cell r="B1793" t="str">
            <v/>
          </cell>
          <cell r="C1793" t="str">
            <v/>
          </cell>
          <cell r="D1793" t="str">
            <v/>
          </cell>
        </row>
        <row r="1794">
          <cell r="B1794" t="str">
            <v>INF247L01734</v>
          </cell>
          <cell r="C1794" t="str">
            <v>-</v>
          </cell>
          <cell r="D1794" t="str">
            <v>Motilal Oswal Liquid Fund - Direct Growth</v>
          </cell>
          <cell r="E1794">
            <v>14.8269</v>
          </cell>
        </row>
        <row r="1795">
          <cell r="B1795" t="str">
            <v>INF247L01726</v>
          </cell>
          <cell r="C1795" t="str">
            <v>-</v>
          </cell>
          <cell r="D1795" t="str">
            <v>Motilal Oswal Liquid Fund - Regular Growth</v>
          </cell>
          <cell r="E1795">
            <v>14.6516</v>
          </cell>
        </row>
        <row r="1796">
          <cell r="B1796" t="str">
            <v>-</v>
          </cell>
          <cell r="C1796" t="str">
            <v>-</v>
          </cell>
          <cell r="D1796" t="str">
            <v>Motilal Oswal Liquid Fund - Unclaimed Dividend - Greater than 3 years</v>
          </cell>
          <cell r="E1796">
            <v>10</v>
          </cell>
        </row>
        <row r="1797">
          <cell r="B1797" t="str">
            <v>-</v>
          </cell>
          <cell r="C1797" t="str">
            <v>-</v>
          </cell>
          <cell r="D1797" t="str">
            <v>Motilal Oswal Liquid Fund - Unclaimed Dividend- Upto 3 years</v>
          </cell>
          <cell r="E1797">
            <v>14.4413</v>
          </cell>
        </row>
        <row r="1798">
          <cell r="B1798" t="str">
            <v>-</v>
          </cell>
          <cell r="C1798" t="str">
            <v>-</v>
          </cell>
          <cell r="D1798" t="str">
            <v>Motilal Oswal Liquid Fund - Unclaimed Redemption - Greater than 3 years</v>
          </cell>
          <cell r="E1798">
            <v>10</v>
          </cell>
        </row>
        <row r="1799">
          <cell r="B1799" t="str">
            <v>-</v>
          </cell>
          <cell r="C1799" t="str">
            <v>-</v>
          </cell>
          <cell r="D1799" t="str">
            <v>Motilal Oswal Liquid Fund - Unclaimed Redemption - Upto 3 years</v>
          </cell>
          <cell r="E1799">
            <v>14.1538</v>
          </cell>
        </row>
        <row r="1800">
          <cell r="B1800" t="str">
            <v>INF247L01791</v>
          </cell>
          <cell r="C1800" t="str">
            <v>INF247L01783</v>
          </cell>
          <cell r="D1800" t="str">
            <v>Motilal Oswal Liquid Fund Direct - IDCW  Quarterly Payout/Reinvestment</v>
          </cell>
          <cell r="E1800">
            <v>10.327</v>
          </cell>
        </row>
        <row r="1801">
          <cell r="B1801" t="str">
            <v>-</v>
          </cell>
          <cell r="C1801" t="str">
            <v>INF247L01759</v>
          </cell>
          <cell r="D1801" t="str">
            <v>Motilal Oswal Liquid Fund Direct - IDCW Fortnightly Reinvestment</v>
          </cell>
          <cell r="E1801">
            <v>10.029999999999999</v>
          </cell>
        </row>
        <row r="1802">
          <cell r="B1802" t="str">
            <v>INF247L01775</v>
          </cell>
          <cell r="C1802" t="str">
            <v>INF247L01767</v>
          </cell>
          <cell r="D1802" t="str">
            <v>Motilal Oswal Liquid Fund Direct - IDCW Monthly Payout/Reinvestment</v>
          </cell>
          <cell r="E1802">
            <v>10.069000000000001</v>
          </cell>
        </row>
        <row r="1803">
          <cell r="B1803" t="str">
            <v>-</v>
          </cell>
          <cell r="C1803" t="str">
            <v>INF247L01742</v>
          </cell>
          <cell r="D1803" t="str">
            <v>Motilal Oswal Liquid Fund Direct - IDCW Reinvestment</v>
          </cell>
          <cell r="E1803">
            <v>10.0077</v>
          </cell>
        </row>
        <row r="1804">
          <cell r="B1804" t="str">
            <v>-</v>
          </cell>
          <cell r="C1804" t="str">
            <v>INF247L01809</v>
          </cell>
          <cell r="D1804" t="str">
            <v>Motilal Oswal Liquid Fund Direct - IDCW Weekly Reinvestment</v>
          </cell>
          <cell r="E1804">
            <v>10.015000000000001</v>
          </cell>
        </row>
        <row r="1805">
          <cell r="B1805" t="str">
            <v>-</v>
          </cell>
          <cell r="C1805" t="str">
            <v>INF247L01817</v>
          </cell>
          <cell r="D1805" t="str">
            <v>Motilal Oswal Liquid Fund Regular - IDCW Daily Reinvestment</v>
          </cell>
          <cell r="E1805">
            <v>10.0063</v>
          </cell>
        </row>
        <row r="1806">
          <cell r="B1806" t="str">
            <v>-</v>
          </cell>
          <cell r="C1806" t="str">
            <v>INF247L01825</v>
          </cell>
          <cell r="D1806" t="str">
            <v>Motilal Oswal Liquid Fund Regular - IDCW Fortnightly Reinvestment</v>
          </cell>
          <cell r="E1806">
            <v>10.026199999999999</v>
          </cell>
        </row>
        <row r="1807">
          <cell r="B1807" t="str">
            <v>INF247L01841</v>
          </cell>
          <cell r="C1807" t="str">
            <v>INF247L01833</v>
          </cell>
          <cell r="D1807" t="str">
            <v>Motilal Oswal Liquid Fund Regular - IDCW Monthly Payout/Reinvestment</v>
          </cell>
          <cell r="E1807">
            <v>10.0677</v>
          </cell>
        </row>
        <row r="1808">
          <cell r="B1808" t="str">
            <v>INF247L01866</v>
          </cell>
          <cell r="C1808" t="str">
            <v>INF247L01858</v>
          </cell>
          <cell r="D1808" t="str">
            <v>Motilal Oswal Liquid Fund Regular - IDCW Quarterly Payout/Reinvestment</v>
          </cell>
          <cell r="E1808">
            <v>10.3157</v>
          </cell>
        </row>
        <row r="1809">
          <cell r="B1809" t="str">
            <v>-</v>
          </cell>
          <cell r="C1809" t="str">
            <v>INF247L01874</v>
          </cell>
          <cell r="D1809" t="str">
            <v>Motilal Oswal Liquid Fund Regular - IDCW Weekly Reinvestment</v>
          </cell>
          <cell r="E1809">
            <v>10.02</v>
          </cell>
        </row>
        <row r="1810">
          <cell r="B1810" t="str">
            <v/>
          </cell>
          <cell r="C1810" t="str">
            <v/>
          </cell>
          <cell r="D1810" t="str">
            <v/>
          </cell>
        </row>
        <row r="1811">
          <cell r="B1811" t="str">
            <v/>
          </cell>
          <cell r="C1811" t="str">
            <v/>
          </cell>
          <cell r="D1811" t="str">
            <v/>
          </cell>
        </row>
        <row r="1812">
          <cell r="B1812" t="str">
            <v/>
          </cell>
          <cell r="C1812" t="str">
            <v/>
          </cell>
          <cell r="D1812" t="str">
            <v/>
          </cell>
        </row>
        <row r="1813">
          <cell r="B1813" t="str">
            <v>-</v>
          </cell>
          <cell r="C1813" t="str">
            <v>INF959L01GK1</v>
          </cell>
          <cell r="D1813" t="str">
            <v>Navi Liquid Fund - Direct Plan Daily IDCW - ReInvestment</v>
          </cell>
          <cell r="E1813">
            <v>10.0129</v>
          </cell>
        </row>
        <row r="1814">
          <cell r="B1814" t="str">
            <v>INF959L01GG9</v>
          </cell>
          <cell r="C1814" t="str">
            <v>INF959L01GH7</v>
          </cell>
          <cell r="D1814" t="str">
            <v>Navi Liquid Fund - Direct Plan Monthly IDCW - Payout</v>
          </cell>
          <cell r="E1814">
            <v>10.054600000000001</v>
          </cell>
        </row>
        <row r="1815">
          <cell r="B1815" t="str">
            <v>INF959L01GI5</v>
          </cell>
          <cell r="C1815" t="str">
            <v>INF959L01GJ3</v>
          </cell>
          <cell r="D1815" t="str">
            <v>Navi Liquid Fund - Direct Plan Weekly IDCW - Payout</v>
          </cell>
          <cell r="E1815">
            <v>10.007099999999999</v>
          </cell>
        </row>
        <row r="1816">
          <cell r="B1816" t="str">
            <v>-</v>
          </cell>
          <cell r="C1816" t="str">
            <v>INF959L01GM7</v>
          </cell>
          <cell r="D1816" t="str">
            <v>Navi Liquid Fund - Regular Plan Daily IDCW</v>
          </cell>
          <cell r="E1816">
            <v>10.0337</v>
          </cell>
        </row>
        <row r="1817">
          <cell r="B1817" t="str">
            <v>INF959L01GN5</v>
          </cell>
          <cell r="C1817" t="str">
            <v>INF959L01GO3</v>
          </cell>
          <cell r="D1817" t="str">
            <v>Navi Liquid Fund - Regular Plan Monthly IDCW</v>
          </cell>
          <cell r="E1817">
            <v>10.0541</v>
          </cell>
        </row>
        <row r="1818">
          <cell r="B1818" t="str">
            <v>INF959L01GP0</v>
          </cell>
          <cell r="C1818" t="str">
            <v>INF959L01GQ8</v>
          </cell>
          <cell r="D1818" t="str">
            <v>Navi Liquid Fund - Regular Plan Weekly IDCW</v>
          </cell>
          <cell r="E1818">
            <v>10.0075</v>
          </cell>
        </row>
        <row r="1819">
          <cell r="B1819" t="str">
            <v>INF959L01GF1</v>
          </cell>
          <cell r="C1819" t="str">
            <v>-</v>
          </cell>
          <cell r="D1819" t="str">
            <v>Navi Liquid Fund-Direct Plan-Growth Option</v>
          </cell>
          <cell r="E1819">
            <v>30.3949</v>
          </cell>
        </row>
        <row r="1820">
          <cell r="B1820" t="str">
            <v>INF959L01GL9</v>
          </cell>
          <cell r="C1820" t="str">
            <v>-</v>
          </cell>
          <cell r="D1820" t="str">
            <v>Navi Liquid Fund-Regular Plan-Growth Option</v>
          </cell>
          <cell r="E1820">
            <v>30.1099</v>
          </cell>
        </row>
        <row r="1821">
          <cell r="B1821" t="str">
            <v>INF959L01CO2</v>
          </cell>
          <cell r="C1821" t="str">
            <v>-</v>
          </cell>
          <cell r="D1821" t="str">
            <v>Navi Liquid Fund-Unclaimed Redemption and Dividend Plan greater than 3 years</v>
          </cell>
          <cell r="E1821">
            <v>10</v>
          </cell>
        </row>
        <row r="1822">
          <cell r="B1822" t="str">
            <v>INF959L01CN4</v>
          </cell>
          <cell r="C1822" t="str">
            <v>-</v>
          </cell>
          <cell r="D1822" t="str">
            <v>Navi Liquid Fund-Unclaimed Redemption and Dividend Plan less than 3 years</v>
          </cell>
          <cell r="E1822">
            <v>30.292000000000002</v>
          </cell>
        </row>
        <row r="1823">
          <cell r="B1823" t="str">
            <v/>
          </cell>
          <cell r="C1823" t="str">
            <v/>
          </cell>
          <cell r="D1823" t="str">
            <v/>
          </cell>
        </row>
        <row r="1824">
          <cell r="B1824" t="str">
            <v/>
          </cell>
          <cell r="C1824" t="str">
            <v/>
          </cell>
          <cell r="D1824" t="str">
            <v/>
          </cell>
        </row>
        <row r="1825">
          <cell r="B1825" t="str">
            <v/>
          </cell>
          <cell r="C1825" t="str">
            <v/>
          </cell>
          <cell r="D1825" t="str">
            <v/>
          </cell>
        </row>
        <row r="1826">
          <cell r="B1826" t="str">
            <v>-</v>
          </cell>
          <cell r="C1826" t="str">
            <v>INF204K01UM1</v>
          </cell>
          <cell r="D1826" t="str">
            <v>NIPPON INDIA LIQUID FUND - DAILY IDCW OPTION</v>
          </cell>
          <cell r="E1826">
            <v>1528.74</v>
          </cell>
        </row>
        <row r="1827">
          <cell r="B1827" t="str">
            <v>-</v>
          </cell>
          <cell r="C1827" t="str">
            <v>INF204K01ZG2</v>
          </cell>
          <cell r="D1827" t="str">
            <v>NIPPON INDIA LIQUID FUND - DIRECT Plan - DAILY IDCW OPTION</v>
          </cell>
          <cell r="E1827">
            <v>1528.74</v>
          </cell>
        </row>
        <row r="1828">
          <cell r="B1828" t="str">
            <v>INF204K01ZI8</v>
          </cell>
          <cell r="C1828" t="str">
            <v>INF204K01ZJ6</v>
          </cell>
          <cell r="D1828" t="str">
            <v>NIPPON INDIA LIQUID FUND - DIRECT Plan - MONTHLY IDCW OPTION</v>
          </cell>
          <cell r="E1828">
            <v>1594.7330999999999</v>
          </cell>
        </row>
        <row r="1829">
          <cell r="B1829" t="str">
            <v>INF204K01ZK4</v>
          </cell>
          <cell r="C1829" t="str">
            <v>INF204K01ZL2</v>
          </cell>
          <cell r="D1829" t="str">
            <v>NIPPON INDIA LIQUID FUND - DIRECT Plan - QUARTERLY IDCW OPTION</v>
          </cell>
          <cell r="E1829">
            <v>1009.8709</v>
          </cell>
        </row>
        <row r="1830">
          <cell r="B1830" t="str">
            <v>INF204KC1FN6</v>
          </cell>
          <cell r="C1830" t="str">
            <v>INF204K01ZM0</v>
          </cell>
          <cell r="D1830" t="str">
            <v>NIPPON INDIA LIQUID FUND - DIRECT Plan - WEEKLY IDCW OPTION</v>
          </cell>
          <cell r="E1830">
            <v>1530.3</v>
          </cell>
        </row>
        <row r="1831">
          <cell r="B1831" t="str">
            <v>INF204K01ZH0</v>
          </cell>
          <cell r="C1831" t="str">
            <v>-</v>
          </cell>
          <cell r="D1831" t="str">
            <v>Nippon India Liquid Fund - Direct Plan Growth Plan - Growth Option</v>
          </cell>
          <cell r="E1831">
            <v>6892.6108000000004</v>
          </cell>
        </row>
        <row r="1832">
          <cell r="B1832" t="str">
            <v>INF204K01UO7</v>
          </cell>
          <cell r="C1832" t="str">
            <v>INF204K01UP4</v>
          </cell>
          <cell r="D1832" t="str">
            <v>NIPPON INDIA LIQUID FUND - MONTHLY IDCW OPTION</v>
          </cell>
          <cell r="E1832">
            <v>1591.2560000000001</v>
          </cell>
        </row>
        <row r="1833">
          <cell r="B1833" t="str">
            <v>INF204K01UQ2</v>
          </cell>
          <cell r="C1833" t="str">
            <v>INF204K01UR0</v>
          </cell>
          <cell r="D1833" t="str">
            <v>NIPPON INDIA LIQUID FUND - QUARTERLY IDCW OPTION</v>
          </cell>
          <cell r="E1833">
            <v>1009.444</v>
          </cell>
        </row>
        <row r="1834">
          <cell r="B1834" t="str">
            <v>INF204K01UL3</v>
          </cell>
          <cell r="C1834" t="str">
            <v>-</v>
          </cell>
          <cell r="D1834" t="str">
            <v>Nippon India Liquid Fund - Retail Option - Growth Plan</v>
          </cell>
          <cell r="E1834">
            <v>6021.3621999999996</v>
          </cell>
        </row>
        <row r="1835">
          <cell r="B1835" t="str">
            <v>-</v>
          </cell>
          <cell r="C1835" t="str">
            <v>INF204K01UJ7</v>
          </cell>
          <cell r="D1835" t="str">
            <v>NIPPON INDIA LIQUID FUND - RETAIL Plan - DAILY IDCW OPTION</v>
          </cell>
          <cell r="E1835">
            <v>1524.28</v>
          </cell>
        </row>
        <row r="1836">
          <cell r="B1836" t="str">
            <v>INF204K01UT6</v>
          </cell>
          <cell r="C1836" t="str">
            <v>INF204K01UU4</v>
          </cell>
          <cell r="D1836" t="str">
            <v>NIPPON INDIA LIQUID FUND - RETAIL plan - MONTHLY IDCW OPTION</v>
          </cell>
          <cell r="E1836">
            <v>1332.5885000000001</v>
          </cell>
        </row>
        <row r="1837">
          <cell r="B1837" t="str">
            <v>INF204K01UV2</v>
          </cell>
          <cell r="C1837" t="str">
            <v>INF204K01UW0</v>
          </cell>
          <cell r="D1837" t="str">
            <v>NIPPON INDIA LIQUID FUND - RETAIL Plan - QUARTERLY IDCW OPTION</v>
          </cell>
          <cell r="E1837">
            <v>1219.92</v>
          </cell>
        </row>
        <row r="1838">
          <cell r="B1838" t="str">
            <v>-</v>
          </cell>
          <cell r="C1838" t="str">
            <v>INF204K01UK5</v>
          </cell>
          <cell r="D1838" t="str">
            <v>NIPPON INDIA LIQUID FUND - RETAIL Plan - WEEKLY IDCW OPTION</v>
          </cell>
          <cell r="E1838">
            <v>1034.17</v>
          </cell>
        </row>
        <row r="1839">
          <cell r="B1839" t="str">
            <v>INF204KC1FM8</v>
          </cell>
          <cell r="C1839" t="str">
            <v>INF204K01US8</v>
          </cell>
          <cell r="D1839" t="str">
            <v>NIPPON INDIA LIQUID FUND - WEEKLY IDCW OPTION</v>
          </cell>
          <cell r="E1839">
            <v>1530.3</v>
          </cell>
        </row>
        <row r="1840">
          <cell r="B1840" t="str">
            <v>INF204K01UN9</v>
          </cell>
          <cell r="C1840" t="str">
            <v>-</v>
          </cell>
          <cell r="D1840" t="str">
            <v>Nippon India Liquid Fund -Growth Plan</v>
          </cell>
          <cell r="E1840">
            <v>6795.8272999999999</v>
          </cell>
        </row>
        <row r="1841">
          <cell r="B1841" t="str">
            <v>-</v>
          </cell>
          <cell r="C1841" t="str">
            <v>-</v>
          </cell>
          <cell r="D1841" t="str">
            <v>Reliance Liquid Fund-Cash Plan-Daily Dividend Reinvestment Option</v>
          </cell>
          <cell r="E1841">
            <v>1114.1500000000001</v>
          </cell>
        </row>
        <row r="1842">
          <cell r="B1842" t="str">
            <v>-</v>
          </cell>
          <cell r="C1842" t="str">
            <v>-</v>
          </cell>
          <cell r="D1842" t="str">
            <v>Reliance Liquid Fund-Cash Plan-Growth Plan</v>
          </cell>
          <cell r="E1842">
            <v>2714.7678000000001</v>
          </cell>
        </row>
        <row r="1843">
          <cell r="B1843" t="str">
            <v>-</v>
          </cell>
          <cell r="C1843" t="str">
            <v>-</v>
          </cell>
          <cell r="D1843" t="str">
            <v>Reliance Liquid Fund-Cash Plan-Monthly Dividend Plan</v>
          </cell>
          <cell r="E1843">
            <v>1004.4865</v>
          </cell>
        </row>
        <row r="1844">
          <cell r="B1844" t="str">
            <v>-</v>
          </cell>
          <cell r="C1844" t="str">
            <v>-</v>
          </cell>
          <cell r="D1844" t="str">
            <v>Reliance Liquid Fund-Cash Plan-Quarterly Dividend Plan</v>
          </cell>
          <cell r="E1844">
            <v>1013.831</v>
          </cell>
        </row>
        <row r="1845">
          <cell r="B1845" t="str">
            <v>-</v>
          </cell>
          <cell r="C1845" t="str">
            <v>-</v>
          </cell>
          <cell r="D1845" t="str">
            <v>Reliance Liquid Fund-Cash Plan-Weekly Dividend Reinvestment Option</v>
          </cell>
          <cell r="E1845">
            <v>1092.0644</v>
          </cell>
        </row>
        <row r="1846">
          <cell r="B1846" t="str">
            <v/>
          </cell>
          <cell r="C1846" t="str">
            <v/>
          </cell>
          <cell r="D1846" t="str">
            <v/>
          </cell>
        </row>
        <row r="1847">
          <cell r="B1847" t="str">
            <v/>
          </cell>
          <cell r="C1847" t="str">
            <v/>
          </cell>
          <cell r="D1847" t="str">
            <v/>
          </cell>
        </row>
        <row r="1848">
          <cell r="B1848" t="str">
            <v/>
          </cell>
          <cell r="C1848" t="str">
            <v/>
          </cell>
          <cell r="D1848" t="str">
            <v/>
          </cell>
        </row>
        <row r="1849">
          <cell r="B1849" t="str">
            <v>INF223J01WV0</v>
          </cell>
          <cell r="C1849" t="str">
            <v>-</v>
          </cell>
          <cell r="D1849" t="str">
            <v>PGIM India INSTA CASH FUND - Annual Bonus Option</v>
          </cell>
          <cell r="E1849">
            <v>144.91739999999999</v>
          </cell>
        </row>
        <row r="1850">
          <cell r="B1850" t="str">
            <v>INF223J01WW8</v>
          </cell>
          <cell r="C1850" t="str">
            <v>-</v>
          </cell>
          <cell r="D1850" t="str">
            <v>PGIM India Insta Cash Fund - Direct Plan -  Annual Bonus Option</v>
          </cell>
          <cell r="E1850">
            <v>148.9974</v>
          </cell>
        </row>
        <row r="1851">
          <cell r="B1851" t="str">
            <v>INF223J01NQ9</v>
          </cell>
          <cell r="C1851" t="str">
            <v>-</v>
          </cell>
          <cell r="D1851" t="str">
            <v>PGIM India Insta Cash Fund - Direct Plan -  Regular Bonus</v>
          </cell>
          <cell r="E1851">
            <v>138.2962</v>
          </cell>
        </row>
        <row r="1852">
          <cell r="B1852" t="str">
            <v>INF223J01NO4</v>
          </cell>
          <cell r="C1852" t="str">
            <v>INF223J01NP1</v>
          </cell>
          <cell r="D1852" t="str">
            <v>PGIM India Insta Cash Fund - Direct Plan - Annual Dividend</v>
          </cell>
          <cell r="E1852">
            <v>144.7765</v>
          </cell>
        </row>
        <row r="1853">
          <cell r="B1853" t="str">
            <v>INF223J01NX5</v>
          </cell>
          <cell r="C1853" t="str">
            <v>-</v>
          </cell>
          <cell r="D1853" t="str">
            <v>PGIM India Insta Cash Fund - Direct Plan - Quarterly Dividend</v>
          </cell>
          <cell r="E1853">
            <v>145.68889999999999</v>
          </cell>
        </row>
        <row r="1854">
          <cell r="B1854" t="str">
            <v>INF223J01VE8</v>
          </cell>
          <cell r="C1854" t="str">
            <v>-</v>
          </cell>
          <cell r="D1854" t="str">
            <v>PGIM India Insta Cash Fund - Direct Plan -Monthly Bonus</v>
          </cell>
          <cell r="E1854">
            <v>132.95959999999999</v>
          </cell>
        </row>
        <row r="1855">
          <cell r="B1855" t="str">
            <v>INF223J01IN6</v>
          </cell>
          <cell r="C1855" t="str">
            <v>INF223J01IO4</v>
          </cell>
          <cell r="D1855" t="str">
            <v>PGIM India Insta Cash Fund - Quarterly Dividend Option</v>
          </cell>
          <cell r="E1855">
            <v>143.9385</v>
          </cell>
        </row>
        <row r="1856">
          <cell r="B1856" t="str">
            <v>INF223J01BH3</v>
          </cell>
          <cell r="C1856" t="str">
            <v>-</v>
          </cell>
          <cell r="D1856" t="str">
            <v>PGIM India INSTA CASH FUND - Regular Plan BONUS OPTION</v>
          </cell>
          <cell r="E1856">
            <v>13.7989</v>
          </cell>
        </row>
        <row r="1857">
          <cell r="B1857" t="str">
            <v>INF223J01IP1</v>
          </cell>
          <cell r="C1857" t="str">
            <v>INF223J01IQ9</v>
          </cell>
          <cell r="D1857" t="str">
            <v>PGIM India Insta Cash Fund- Annual Dividend Option</v>
          </cell>
          <cell r="E1857">
            <v>144.7569</v>
          </cell>
        </row>
        <row r="1858">
          <cell r="B1858" t="str">
            <v>INF223J01BN1</v>
          </cell>
          <cell r="C1858" t="str">
            <v>-</v>
          </cell>
          <cell r="D1858" t="str">
            <v>PGIM India Insta Cash Fund-DIVIDEND-WEEKLY DIVIDEND</v>
          </cell>
          <cell r="E1858">
            <v>10.357699999999999</v>
          </cell>
        </row>
        <row r="1859">
          <cell r="B1859" t="str">
            <v>INF223J01BA8</v>
          </cell>
          <cell r="C1859" t="str">
            <v>-</v>
          </cell>
          <cell r="D1859" t="str">
            <v>PGIM India Insta Cash Fund-Institutional Plan-Daily Dividend</v>
          </cell>
          <cell r="E1859">
            <v>10.051600000000001</v>
          </cell>
        </row>
        <row r="1860">
          <cell r="B1860" t="str">
            <v>INF223J01BB6</v>
          </cell>
          <cell r="C1860" t="str">
            <v>-</v>
          </cell>
          <cell r="D1860" t="str">
            <v>PGIM India Insta Cash Fund-Institutional Plan-Growth</v>
          </cell>
          <cell r="E1860">
            <v>26.2743</v>
          </cell>
        </row>
        <row r="1861">
          <cell r="B1861" t="str">
            <v>INF223J01VD0</v>
          </cell>
          <cell r="C1861" t="str">
            <v>-</v>
          </cell>
          <cell r="D1861" t="str">
            <v>PGIM India INSTA CASH FUND-Monthly Bonus Option</v>
          </cell>
          <cell r="E1861">
            <v>140.06639999999999</v>
          </cell>
        </row>
        <row r="1862">
          <cell r="B1862" t="str">
            <v>INF223J01BQ4</v>
          </cell>
          <cell r="C1862" t="str">
            <v>-</v>
          </cell>
          <cell r="D1862" t="str">
            <v>PGIM India Liquid Fund - Bonus Option</v>
          </cell>
          <cell r="E1862">
            <v>186.89750000000001</v>
          </cell>
        </row>
        <row r="1863">
          <cell r="B1863" t="str">
            <v>-</v>
          </cell>
          <cell r="C1863" t="str">
            <v>INF223J01BO9</v>
          </cell>
          <cell r="D1863" t="str">
            <v>PGIM India Liquid Fund - Daily Dividend</v>
          </cell>
          <cell r="E1863">
            <v>100.304</v>
          </cell>
        </row>
        <row r="1864">
          <cell r="B1864" t="str">
            <v>INF223J01NR7</v>
          </cell>
          <cell r="C1864" t="str">
            <v>-</v>
          </cell>
          <cell r="D1864" t="str">
            <v>PGIM India Liquid Fund - Direct Plan - Daily Dividend</v>
          </cell>
          <cell r="E1864">
            <v>130.92609999999999</v>
          </cell>
        </row>
        <row r="1865">
          <cell r="B1865" t="str">
            <v>INF223J01NS5</v>
          </cell>
          <cell r="C1865" t="str">
            <v>-</v>
          </cell>
          <cell r="D1865" t="str">
            <v>PGIM India Liquid Fund - Direct Plan - Growth</v>
          </cell>
          <cell r="E1865">
            <v>367.37090000000001</v>
          </cell>
        </row>
        <row r="1866">
          <cell r="B1866" t="str">
            <v>INF223J01NT3</v>
          </cell>
          <cell r="C1866" t="str">
            <v>INF223J01NU1</v>
          </cell>
          <cell r="D1866" t="str">
            <v>PGIM India Liquid Fund - Direct Plan - Monthly Dividend</v>
          </cell>
          <cell r="E1866">
            <v>116.46469999999999</v>
          </cell>
        </row>
        <row r="1867">
          <cell r="B1867" t="str">
            <v>INF223J01NV9</v>
          </cell>
          <cell r="C1867" t="str">
            <v>INF223J01NW7</v>
          </cell>
          <cell r="D1867" t="str">
            <v>PGIM India Liquid Fund - Direct Plan - Weekly Dividend</v>
          </cell>
          <cell r="E1867">
            <v>100.5805</v>
          </cell>
        </row>
        <row r="1868">
          <cell r="B1868" t="str">
            <v>INF223J01BP6</v>
          </cell>
          <cell r="C1868" t="str">
            <v>-</v>
          </cell>
          <cell r="D1868" t="str">
            <v>PGIM India Liquid Fund - Growth</v>
          </cell>
          <cell r="E1868">
            <v>362.61829999999998</v>
          </cell>
        </row>
        <row r="1869">
          <cell r="B1869" t="str">
            <v>INF223J01BL5</v>
          </cell>
          <cell r="C1869" t="str">
            <v>-</v>
          </cell>
          <cell r="D1869" t="str">
            <v>PGIM India Liquid Fund - Monthly Dividend</v>
          </cell>
          <cell r="E1869">
            <v>116.8965</v>
          </cell>
        </row>
        <row r="1870">
          <cell r="B1870" t="str">
            <v>INF223J01BU6</v>
          </cell>
          <cell r="C1870" t="str">
            <v>-</v>
          </cell>
          <cell r="D1870" t="str">
            <v>PGIM India Liquid Fund - Weekly Dividend</v>
          </cell>
          <cell r="E1870">
            <v>100.57899999999999</v>
          </cell>
        </row>
        <row r="1871">
          <cell r="B1871" t="str">
            <v>-</v>
          </cell>
          <cell r="C1871" t="str">
            <v>INF223J01BI1</v>
          </cell>
          <cell r="D1871" t="str">
            <v>PGIM India Liquid Fund-DIVIDEND-Daily Dividend</v>
          </cell>
          <cell r="E1871">
            <v>10.301</v>
          </cell>
        </row>
        <row r="1872">
          <cell r="B1872" t="str">
            <v>INF223J01BR2</v>
          </cell>
          <cell r="C1872" t="str">
            <v>INF223J01BS0</v>
          </cell>
          <cell r="D1872" t="str">
            <v>PGIM India Liquid Fund-DIVIDEND-MONTHLY DIVIDEND</v>
          </cell>
          <cell r="E1872">
            <v>10.057700000000001</v>
          </cell>
        </row>
        <row r="1873">
          <cell r="B1873" t="str">
            <v>INF223J01BJ9</v>
          </cell>
          <cell r="C1873" t="str">
            <v>-</v>
          </cell>
          <cell r="D1873" t="str">
            <v>PGIM India Liquid Fund-Growth-GROWTH</v>
          </cell>
          <cell r="E1873">
            <v>27.706</v>
          </cell>
        </row>
        <row r="1874">
          <cell r="B1874" t="str">
            <v/>
          </cell>
          <cell r="C1874" t="str">
            <v/>
          </cell>
          <cell r="D1874" t="str">
            <v/>
          </cell>
        </row>
        <row r="1875">
          <cell r="B1875" t="str">
            <v/>
          </cell>
          <cell r="C1875" t="str">
            <v/>
          </cell>
          <cell r="D1875" t="str">
            <v/>
          </cell>
        </row>
        <row r="1876">
          <cell r="B1876" t="str">
            <v/>
          </cell>
          <cell r="C1876" t="str">
            <v/>
          </cell>
          <cell r="D1876" t="str">
            <v/>
          </cell>
        </row>
        <row r="1877">
          <cell r="B1877" t="str">
            <v>-</v>
          </cell>
          <cell r="C1877" t="str">
            <v>INF879O01118</v>
          </cell>
          <cell r="D1877" t="str">
            <v>Parag Parikh Liquid Fund- Direct Plan- Daily Reinvestment of IDCW</v>
          </cell>
          <cell r="E1877">
            <v>1000.5405</v>
          </cell>
        </row>
        <row r="1878">
          <cell r="B1878" t="str">
            <v>INF879O01068</v>
          </cell>
          <cell r="C1878" t="str">
            <v>-</v>
          </cell>
          <cell r="D1878" t="str">
            <v>Parag Parikh Liquid Fund- Direct Plan- Growth</v>
          </cell>
          <cell r="E1878">
            <v>1556.4043999999999</v>
          </cell>
        </row>
        <row r="1879">
          <cell r="B1879" t="str">
            <v>INF879O01076</v>
          </cell>
          <cell r="C1879" t="str">
            <v>INF879O01084</v>
          </cell>
          <cell r="D1879" t="str">
            <v>Parag Parikh Liquid Fund- Direct Plan- Monthly IDCW</v>
          </cell>
          <cell r="E1879">
            <v>1007.0113</v>
          </cell>
        </row>
        <row r="1880">
          <cell r="B1880" t="str">
            <v>-</v>
          </cell>
          <cell r="C1880" t="str">
            <v>INF879O01134</v>
          </cell>
          <cell r="D1880" t="str">
            <v>Parag Parikh Liquid Fund- Direct Plan- Weekly Reinvestment of IDCW</v>
          </cell>
          <cell r="E1880">
            <v>1001.2023</v>
          </cell>
        </row>
        <row r="1881">
          <cell r="B1881" t="str">
            <v>-</v>
          </cell>
          <cell r="C1881" t="str">
            <v>INF879O01126</v>
          </cell>
          <cell r="D1881" t="str">
            <v>Parag Parikh Liquid Fund- Regular Plan- Daily Reinvestment of IDCW</v>
          </cell>
          <cell r="E1881">
            <v>1000.5404</v>
          </cell>
        </row>
        <row r="1882">
          <cell r="B1882" t="str">
            <v>INF879O01035</v>
          </cell>
          <cell r="C1882" t="str">
            <v>-</v>
          </cell>
          <cell r="D1882" t="str">
            <v>Parag Parikh Liquid Fund- Regular Plan- Growth</v>
          </cell>
          <cell r="E1882">
            <v>1543.6149</v>
          </cell>
        </row>
        <row r="1883">
          <cell r="B1883" t="str">
            <v>INF879O01043</v>
          </cell>
          <cell r="C1883" t="str">
            <v>INF879O01050</v>
          </cell>
          <cell r="D1883" t="str">
            <v>Parag Parikh Liquid Fund- Regular Plan- Monthly IDCW</v>
          </cell>
          <cell r="E1883">
            <v>1006.9517</v>
          </cell>
        </row>
        <row r="1884">
          <cell r="B1884" t="str">
            <v>-</v>
          </cell>
          <cell r="C1884" t="str">
            <v>INF879O01142</v>
          </cell>
          <cell r="D1884" t="str">
            <v>Parag Parikh Liquid Fund- Regular Plan- Weekly Reinvestment of IDCW</v>
          </cell>
          <cell r="E1884">
            <v>1001.1969</v>
          </cell>
        </row>
        <row r="1885">
          <cell r="B1885" t="str">
            <v/>
          </cell>
          <cell r="C1885" t="str">
            <v/>
          </cell>
          <cell r="D1885" t="str">
            <v/>
          </cell>
        </row>
        <row r="1886">
          <cell r="B1886" t="str">
            <v/>
          </cell>
          <cell r="C1886" t="str">
            <v/>
          </cell>
          <cell r="D1886" t="str">
            <v/>
          </cell>
        </row>
        <row r="1887">
          <cell r="B1887" t="str">
            <v/>
          </cell>
          <cell r="C1887" t="str">
            <v/>
          </cell>
          <cell r="D1887" t="str">
            <v/>
          </cell>
        </row>
        <row r="1888">
          <cell r="B1888" t="str">
            <v>INF966L01820</v>
          </cell>
          <cell r="C1888" t="str">
            <v>-</v>
          </cell>
          <cell r="D1888" t="str">
            <v>quant Liquid Fund - Growth Option - Direct Plan</v>
          </cell>
          <cell r="E1888">
            <v>45.087600000000002</v>
          </cell>
        </row>
        <row r="1889">
          <cell r="B1889" t="str">
            <v>INF966L01317</v>
          </cell>
          <cell r="C1889" t="str">
            <v>-</v>
          </cell>
          <cell r="D1889" t="str">
            <v>quant Liquid Fund - Growth Option - Regular Plan</v>
          </cell>
          <cell r="E1889">
            <v>43.802199999999999</v>
          </cell>
        </row>
        <row r="1890">
          <cell r="B1890" t="str">
            <v>INF966L01796</v>
          </cell>
          <cell r="C1890" t="str">
            <v>INF966L01812</v>
          </cell>
          <cell r="D1890" t="str">
            <v>quant Liquid Fund - Monthly IDCW Option - Direct Plan</v>
          </cell>
          <cell r="E1890">
            <v>15.7965</v>
          </cell>
        </row>
        <row r="1891">
          <cell r="B1891" t="str">
            <v>INF966L01291</v>
          </cell>
          <cell r="C1891" t="str">
            <v>INF966L01309</v>
          </cell>
          <cell r="D1891" t="str">
            <v>quant Liquid Fund - Monthly IDCW Option - Regular Plan</v>
          </cell>
          <cell r="E1891">
            <v>15.194699999999999</v>
          </cell>
        </row>
        <row r="1892">
          <cell r="B1892" t="str">
            <v>INF966L01788</v>
          </cell>
          <cell r="C1892" t="str">
            <v>INF966L01804</v>
          </cell>
          <cell r="D1892" t="str">
            <v>quant Liquid Fund - Weekly IDCW Option - Direct Plan</v>
          </cell>
          <cell r="E1892">
            <v>14.6905</v>
          </cell>
        </row>
        <row r="1893">
          <cell r="B1893" t="str">
            <v>INF966L01499</v>
          </cell>
          <cell r="C1893" t="str">
            <v>INF966L01283</v>
          </cell>
          <cell r="D1893" t="str">
            <v>quant Liquid Fund - Weekly IDCW Option - Regular Plan</v>
          </cell>
          <cell r="E1893">
            <v>14.5052</v>
          </cell>
        </row>
        <row r="1894">
          <cell r="B1894" t="str">
            <v>-</v>
          </cell>
          <cell r="C1894" t="str">
            <v>INF966L01770</v>
          </cell>
          <cell r="D1894" t="str">
            <v>quant Liquid Fund-Daily IDCW Option - Direct Plan</v>
          </cell>
          <cell r="E1894">
            <v>13.1684</v>
          </cell>
        </row>
        <row r="1895">
          <cell r="B1895" t="str">
            <v>-</v>
          </cell>
          <cell r="C1895" t="str">
            <v>INF966L01275</v>
          </cell>
          <cell r="D1895" t="str">
            <v>quant Liquid Fund-Daily IDCW Option - Regular Plan</v>
          </cell>
          <cell r="E1895">
            <v>12.6335</v>
          </cell>
        </row>
        <row r="1896">
          <cell r="B1896" t="str">
            <v>-</v>
          </cell>
          <cell r="C1896" t="str">
            <v>-</v>
          </cell>
          <cell r="D1896" t="str">
            <v>quant Liquid Fund-Unclaimed Dividend Investor Education Plan-Growth Option</v>
          </cell>
          <cell r="E1896">
            <v>10</v>
          </cell>
        </row>
        <row r="1897">
          <cell r="B1897" t="str">
            <v>-</v>
          </cell>
          <cell r="C1897" t="str">
            <v>-</v>
          </cell>
          <cell r="D1897" t="str">
            <v>quant Liquid Fund-Unclaimed Dividend-Growth Option</v>
          </cell>
          <cell r="E1897">
            <v>13.523199999999999</v>
          </cell>
        </row>
        <row r="1898">
          <cell r="B1898" t="str">
            <v>-</v>
          </cell>
          <cell r="C1898" t="str">
            <v>-</v>
          </cell>
          <cell r="D1898" t="str">
            <v>quant Liquid Fund-Unclaimed Redemption Investor Education Plan-Growth Option</v>
          </cell>
          <cell r="E1898">
            <v>10</v>
          </cell>
        </row>
        <row r="1899">
          <cell r="B1899" t="str">
            <v>-</v>
          </cell>
          <cell r="C1899" t="str">
            <v>-</v>
          </cell>
          <cell r="D1899" t="str">
            <v>quant Liquid Fund-Unclaimed Redemption Plan-Growth Option</v>
          </cell>
          <cell r="E1899">
            <v>13.3371</v>
          </cell>
        </row>
        <row r="1900">
          <cell r="B1900" t="str">
            <v/>
          </cell>
          <cell r="C1900" t="str">
            <v/>
          </cell>
          <cell r="D1900" t="str">
            <v/>
          </cell>
        </row>
        <row r="1901">
          <cell r="B1901" t="str">
            <v/>
          </cell>
          <cell r="C1901" t="str">
            <v/>
          </cell>
          <cell r="D1901" t="str">
            <v/>
          </cell>
        </row>
        <row r="1902">
          <cell r="B1902" t="str">
            <v/>
          </cell>
          <cell r="C1902" t="str">
            <v/>
          </cell>
          <cell r="D1902" t="str">
            <v/>
          </cell>
        </row>
        <row r="1903">
          <cell r="B1903" t="str">
            <v>-</v>
          </cell>
          <cell r="C1903" t="str">
            <v>INF082J01135</v>
          </cell>
          <cell r="D1903" t="str">
            <v>Quantum Liquid Fund - Direct Plan Daily IDCW</v>
          </cell>
          <cell r="E1903">
            <v>10.0124</v>
          </cell>
        </row>
        <row r="1904">
          <cell r="B1904" t="str">
            <v>INF082J01127</v>
          </cell>
          <cell r="C1904" t="str">
            <v>-</v>
          </cell>
          <cell r="D1904" t="str">
            <v>Quantum Liquid Fund - Direct Plan Growth Option</v>
          </cell>
          <cell r="E1904">
            <v>37.413400000000003</v>
          </cell>
        </row>
        <row r="1905">
          <cell r="B1905" t="str">
            <v>INF082J01143</v>
          </cell>
          <cell r="C1905" t="str">
            <v>INF082J01200</v>
          </cell>
          <cell r="D1905" t="str">
            <v>Quantum Liquid Fund - Direct Plan Monthly IDCW</v>
          </cell>
          <cell r="E1905">
            <v>10.054600000000001</v>
          </cell>
        </row>
        <row r="1906">
          <cell r="B1906" t="str">
            <v>-</v>
          </cell>
          <cell r="C1906" t="str">
            <v>INF082J01317</v>
          </cell>
          <cell r="D1906" t="str">
            <v>Quantum Liquid Fund - Regular Plan Daily IDCW</v>
          </cell>
          <cell r="E1906">
            <v>10.0002</v>
          </cell>
        </row>
        <row r="1907">
          <cell r="B1907" t="str">
            <v>INF082J01309</v>
          </cell>
          <cell r="C1907" t="str">
            <v>-</v>
          </cell>
          <cell r="D1907" t="str">
            <v>Quantum Liquid Fund - Regular Plan Growth Option</v>
          </cell>
          <cell r="E1907">
            <v>37.108800000000002</v>
          </cell>
        </row>
        <row r="1908">
          <cell r="B1908" t="str">
            <v>INF082J01325</v>
          </cell>
          <cell r="C1908" t="str">
            <v>INF082J01333</v>
          </cell>
          <cell r="D1908" t="str">
            <v>Quantum Liquid Fund - Regular Plan Monthly IDCW</v>
          </cell>
          <cell r="E1908">
            <v>10.051</v>
          </cell>
        </row>
        <row r="1909">
          <cell r="B1909" t="str">
            <v>-</v>
          </cell>
          <cell r="C1909" t="str">
            <v>-</v>
          </cell>
          <cell r="D1909" t="str">
            <v>Quantum Liquid Fund - Unclaimed IDCW Plan Above 3 years</v>
          </cell>
          <cell r="E1909">
            <v>10</v>
          </cell>
        </row>
        <row r="1910">
          <cell r="B1910" t="str">
            <v>-</v>
          </cell>
          <cell r="C1910" t="str">
            <v>-</v>
          </cell>
          <cell r="D1910" t="str">
            <v>Quantum Liquid Fund - Unclaimed IDCW Plan Below 3 years</v>
          </cell>
          <cell r="E1910">
            <v>11.7631</v>
          </cell>
        </row>
        <row r="1911">
          <cell r="B1911" t="str">
            <v>-</v>
          </cell>
          <cell r="C1911" t="str">
            <v>-</v>
          </cell>
          <cell r="D1911" t="str">
            <v>Quantum Liquid Fund - Unclaimed Redemption Plan Above 3 years</v>
          </cell>
          <cell r="E1911">
            <v>10</v>
          </cell>
        </row>
        <row r="1912">
          <cell r="B1912" t="str">
            <v>-</v>
          </cell>
          <cell r="C1912" t="str">
            <v>-</v>
          </cell>
          <cell r="D1912" t="str">
            <v>Quantum Liquid Fund - Unclaimed Redemption Plan Below 3 years</v>
          </cell>
          <cell r="E1912">
            <v>11.290699999999999</v>
          </cell>
        </row>
        <row r="1913">
          <cell r="B1913" t="str">
            <v/>
          </cell>
          <cell r="C1913" t="str">
            <v/>
          </cell>
          <cell r="D1913" t="str">
            <v/>
          </cell>
        </row>
        <row r="1914">
          <cell r="B1914" t="str">
            <v/>
          </cell>
          <cell r="C1914" t="str">
            <v/>
          </cell>
          <cell r="D1914" t="str">
            <v/>
          </cell>
        </row>
        <row r="1915">
          <cell r="B1915" t="str">
            <v/>
          </cell>
          <cell r="C1915" t="str">
            <v/>
          </cell>
          <cell r="D1915" t="str">
            <v/>
          </cell>
        </row>
        <row r="1916">
          <cell r="B1916" t="str">
            <v>INF200K01UR8</v>
          </cell>
          <cell r="C1916" t="str">
            <v>INF200K01US6</v>
          </cell>
          <cell r="D1916" t="str">
            <v>SBI Liquid Fund - Direct Paln - Fortnightly Income Distribution cum Capital Withdrawal Option (IDCW)</v>
          </cell>
          <cell r="E1916">
            <v>1436.9765</v>
          </cell>
        </row>
        <row r="1917">
          <cell r="B1917" t="str">
            <v>-</v>
          </cell>
          <cell r="C1917" t="str">
            <v>INF200K01UQ0</v>
          </cell>
          <cell r="D1917" t="str">
            <v>SBI Liquid Fund - Direct Plan - Daily Income Distribution cum Capital Withdrawal Option (IDCW)</v>
          </cell>
          <cell r="E1917">
            <v>1144.0483999999999</v>
          </cell>
        </row>
        <row r="1918">
          <cell r="B1918" t="str">
            <v>INF200K01UU2</v>
          </cell>
          <cell r="C1918" t="str">
            <v>INF200K01UV0</v>
          </cell>
          <cell r="D1918" t="str">
            <v>SBI Liquid Fund - Direct Plan - Weekly Income Distribution cum Capital Withdrawal Option (IDCW)</v>
          </cell>
          <cell r="E1918">
            <v>1386.4496999999999</v>
          </cell>
        </row>
        <row r="1919">
          <cell r="B1919" t="str">
            <v>INF200K01UT4</v>
          </cell>
          <cell r="C1919" t="str">
            <v>-</v>
          </cell>
          <cell r="D1919" t="str">
            <v>SBI Liquid Fund - DIRECT PLAN -Growth</v>
          </cell>
          <cell r="E1919">
            <v>4400.4753000000001</v>
          </cell>
        </row>
        <row r="1920">
          <cell r="B1920" t="str">
            <v>INF200K01LU1</v>
          </cell>
          <cell r="C1920" t="str">
            <v>-</v>
          </cell>
          <cell r="D1920" t="str">
            <v>SBI Liquid Fund - Institutional - Growth</v>
          </cell>
          <cell r="E1920">
            <v>4392.5384999999997</v>
          </cell>
        </row>
        <row r="1921">
          <cell r="B1921" t="str">
            <v>-</v>
          </cell>
          <cell r="C1921" t="str">
            <v>INF200K01LR7</v>
          </cell>
          <cell r="D1921" t="str">
            <v>SBI Liquid Fund - Institutional Daily Income Distribution cum Capital Withdrawal Option (IDCW)</v>
          </cell>
          <cell r="E1921">
            <v>1411.1636000000001</v>
          </cell>
        </row>
        <row r="1922">
          <cell r="B1922" t="str">
            <v>-</v>
          </cell>
          <cell r="C1922" t="str">
            <v>INF200K01LX5</v>
          </cell>
          <cell r="D1922" t="str">
            <v>SBI Liquid Fund - Regular Plan - Daily Income Distribution cum Capital Withdrawal Option (IDCW)</v>
          </cell>
          <cell r="E1922">
            <v>1140.7391</v>
          </cell>
        </row>
        <row r="1923">
          <cell r="B1923" t="str">
            <v>INF200K01LY3</v>
          </cell>
          <cell r="C1923" t="str">
            <v>INF200K01LZ0</v>
          </cell>
          <cell r="D1923" t="str">
            <v>SBI Liquid Fund - Regular Plan - Fortnightly Income Distribution cum Capital Withdrawal Option (IDCW)</v>
          </cell>
          <cell r="E1923">
            <v>1428.0461</v>
          </cell>
        </row>
        <row r="1924">
          <cell r="B1924" t="str">
            <v>INF200K01MB9</v>
          </cell>
          <cell r="C1924" t="str">
            <v>INF200K01MC7</v>
          </cell>
          <cell r="D1924" t="str">
            <v>SBI Liquid Fund - Regular Plan - Weekly Income Distribution cum Capital Withdrawal Option (IDCW)</v>
          </cell>
          <cell r="E1924">
            <v>1379.5359000000001</v>
          </cell>
        </row>
        <row r="1925">
          <cell r="B1925" t="str">
            <v>INF200K01MA1</v>
          </cell>
          <cell r="C1925" t="str">
            <v>-</v>
          </cell>
          <cell r="D1925" t="str">
            <v>SBI Liquid Fund - REGULAR PLAN -Growth</v>
          </cell>
          <cell r="E1925">
            <v>4351.3941999999997</v>
          </cell>
        </row>
        <row r="1926">
          <cell r="B1926" t="str">
            <v/>
          </cell>
          <cell r="C1926" t="str">
            <v/>
          </cell>
          <cell r="D1926" t="str">
            <v/>
          </cell>
        </row>
        <row r="1927">
          <cell r="B1927" t="str">
            <v/>
          </cell>
          <cell r="C1927" t="str">
            <v/>
          </cell>
          <cell r="D1927" t="str">
            <v/>
          </cell>
        </row>
        <row r="1928">
          <cell r="B1928" t="str">
            <v/>
          </cell>
          <cell r="C1928" t="str">
            <v/>
          </cell>
          <cell r="D1928" t="str">
            <v/>
          </cell>
        </row>
        <row r="1929">
          <cell r="B1929" t="str">
            <v>INF680P01430</v>
          </cell>
          <cell r="C1929" t="str">
            <v>-</v>
          </cell>
          <cell r="D1929" t="str">
            <v>Shriram Liquid Fund - Direct Plan Growth Option</v>
          </cell>
          <cell r="E1929">
            <v>1111.5998999999999</v>
          </cell>
        </row>
        <row r="1930">
          <cell r="B1930" t="str">
            <v>INF680P01448</v>
          </cell>
          <cell r="C1930" t="str">
            <v>-</v>
          </cell>
          <cell r="D1930" t="str">
            <v>Shriram Liquid Fund - Regular Plan Growth Option</v>
          </cell>
          <cell r="E1930">
            <v>1108.9595999999999</v>
          </cell>
        </row>
        <row r="1931">
          <cell r="B1931" t="str">
            <v>-</v>
          </cell>
          <cell r="C1931" t="str">
            <v>-</v>
          </cell>
          <cell r="D1931" t="str">
            <v>Shriram Unclaimed IDCW Liquid Fund</v>
          </cell>
          <cell r="E1931">
            <v>1084.4917</v>
          </cell>
        </row>
        <row r="1932">
          <cell r="B1932" t="str">
            <v>-</v>
          </cell>
          <cell r="C1932" t="str">
            <v>-</v>
          </cell>
          <cell r="D1932" t="str">
            <v>Shriram Unclaimed IDCW Stable Scheme Liquid Fund</v>
          </cell>
          <cell r="E1932">
            <v>1000</v>
          </cell>
        </row>
        <row r="1933">
          <cell r="B1933" t="str">
            <v>-</v>
          </cell>
          <cell r="C1933" t="str">
            <v>-</v>
          </cell>
          <cell r="D1933" t="str">
            <v>Shriram Unclaimed Redemption Liquid Fund</v>
          </cell>
          <cell r="E1933">
            <v>1096.6913</v>
          </cell>
        </row>
        <row r="1934">
          <cell r="B1934" t="str">
            <v>-</v>
          </cell>
          <cell r="C1934" t="str">
            <v>-</v>
          </cell>
          <cell r="D1934" t="str">
            <v>Shriram Unclaimed Redemption Stable Scheme Liquid Fund</v>
          </cell>
          <cell r="E1934">
            <v>1000</v>
          </cell>
        </row>
        <row r="1935">
          <cell r="B1935" t="str">
            <v/>
          </cell>
          <cell r="C1935" t="str">
            <v/>
          </cell>
          <cell r="D1935" t="str">
            <v/>
          </cell>
        </row>
        <row r="1936">
          <cell r="B1936" t="str">
            <v/>
          </cell>
          <cell r="C1936" t="str">
            <v/>
          </cell>
          <cell r="D1936" t="str">
            <v/>
          </cell>
        </row>
        <row r="1937">
          <cell r="B1937" t="str">
            <v/>
          </cell>
          <cell r="C1937" t="str">
            <v/>
          </cell>
          <cell r="D1937" t="str">
            <v/>
          </cell>
        </row>
        <row r="1938">
          <cell r="B1938" t="str">
            <v>-</v>
          </cell>
          <cell r="C1938" t="str">
            <v>INF903JA1JK3</v>
          </cell>
          <cell r="D1938" t="str">
            <v>Sundaram  Liquid Fund (Formerly Known as Principal Cash Management Fund) Direct IDCW</v>
          </cell>
          <cell r="E1938">
            <v>1152.6697999999999</v>
          </cell>
        </row>
        <row r="1939">
          <cell r="B1939" t="str">
            <v>-</v>
          </cell>
          <cell r="C1939" t="str">
            <v>INF903JA1JI7</v>
          </cell>
          <cell r="D1939" t="str">
            <v>Sundaram Liquid Fund (Formerly Known as  Principal Cash Management Fund) Regular Plan Principal Units</v>
          </cell>
          <cell r="E1939">
            <v>1274.1205</v>
          </cell>
        </row>
        <row r="1940">
          <cell r="B1940" t="str">
            <v>-</v>
          </cell>
          <cell r="C1940" t="str">
            <v>INF173K01GT2</v>
          </cell>
          <cell r="D1940" t="str">
            <v>Sundaram Liquid Fund (Formerly Known as Principal Cash Management Fund )- Direct Plan - Income Distribution CUM Capital Withdrawal Option - Daily</v>
          </cell>
          <cell r="E1940">
            <v>1000.6367</v>
          </cell>
        </row>
        <row r="1941">
          <cell r="B1941" t="str">
            <v>-</v>
          </cell>
          <cell r="C1941" t="str">
            <v>INF173K01DB7</v>
          </cell>
          <cell r="D1941" t="str">
            <v>Sundaram Liquid Fund (Formerly Known as Principal Cash Management Fund) - Daily Income Distribution CUM Capital Withdrawal</v>
          </cell>
          <cell r="E1941">
            <v>1000.8893</v>
          </cell>
        </row>
        <row r="1942">
          <cell r="B1942" t="str">
            <v>INF173K01GU0</v>
          </cell>
          <cell r="C1942" t="str">
            <v>-</v>
          </cell>
          <cell r="D1942" t="str">
            <v>Sundaram Liquid Fund (Formerly Known as Principal Cash Management Fund) - Direct Plan - Growth Option</v>
          </cell>
          <cell r="E1942">
            <v>2489.4387000000002</v>
          </cell>
        </row>
        <row r="1943">
          <cell r="B1943" t="str">
            <v>INF173K01DD3</v>
          </cell>
          <cell r="C1943" t="str">
            <v>INF173K01DE1</v>
          </cell>
          <cell r="D1943" t="str">
            <v>Sundaram Liquid Fund (Formerly Known as Principal Cash Management Fund) - Regular Plan IDCW</v>
          </cell>
          <cell r="E1943">
            <v>1051.7574999999999</v>
          </cell>
        </row>
        <row r="1944">
          <cell r="B1944" t="str">
            <v>INF173K01GV8</v>
          </cell>
          <cell r="C1944" t="str">
            <v>INF173K01GW6</v>
          </cell>
          <cell r="D1944" t="str">
            <v>Sundaram Liquid Fund (Formerly Known as Principal Cash Management Fund) -Direct Plan - IDCW</v>
          </cell>
          <cell r="E1944">
            <v>1054.8203000000001</v>
          </cell>
        </row>
        <row r="1945">
          <cell r="B1945" t="str">
            <v>INF173K01DA9</v>
          </cell>
          <cell r="C1945" t="str">
            <v>-</v>
          </cell>
          <cell r="D1945" t="str">
            <v>Sundaram Liquid Fund (Formerly Known as Principal Cash Management Fund) -Growth Option</v>
          </cell>
          <cell r="E1945">
            <v>2455.4380999999998</v>
          </cell>
        </row>
        <row r="1946">
          <cell r="B1946" t="str">
            <v>-</v>
          </cell>
          <cell r="C1946" t="str">
            <v>INF903JA1JJ5</v>
          </cell>
          <cell r="D1946" t="str">
            <v>Sundaram Liquid Fund (Formerly Known as Principal Cash Management Fund) Direct Fortnightly IDCW</v>
          </cell>
          <cell r="E1946">
            <v>1028.192</v>
          </cell>
        </row>
        <row r="1947">
          <cell r="B1947" t="str">
            <v>-</v>
          </cell>
          <cell r="C1947" t="str">
            <v>INF903JA1JH9</v>
          </cell>
          <cell r="D1947" t="str">
            <v>Sundaram Liquid Fund (Formerly Known as Principal Cash Management Fund) Direct Principal Units</v>
          </cell>
          <cell r="E1947">
            <v>1280.5417</v>
          </cell>
        </row>
        <row r="1948">
          <cell r="B1948" t="str">
            <v>-</v>
          </cell>
          <cell r="C1948" t="str">
            <v>INF903JA1JF3</v>
          </cell>
          <cell r="D1948" t="str">
            <v>Sundaram Liquid Fund (Formerly Known as Principal Cash Management Fund) Regular Fortnightly IDCW</v>
          </cell>
          <cell r="E1948">
            <v>1028.0322000000001</v>
          </cell>
        </row>
        <row r="1949">
          <cell r="B1949" t="str">
            <v>-</v>
          </cell>
          <cell r="C1949" t="str">
            <v>INF903JA1JG1</v>
          </cell>
          <cell r="D1949" t="str">
            <v>Sundaram Liquid Fund (Formerly Known as Principal Cash Management Fund) Regular IDCW</v>
          </cell>
          <cell r="E1949">
            <v>1147.0639000000001</v>
          </cell>
        </row>
        <row r="1950">
          <cell r="B1950" t="str">
            <v>-</v>
          </cell>
          <cell r="C1950" t="str">
            <v>-</v>
          </cell>
          <cell r="D1950" t="str">
            <v>Sundaram Liquid Fund (Formerly Known as Principal Cash Management Fund) Unclaimed Redemption More 3 Years</v>
          </cell>
          <cell r="E1950">
            <v>1000</v>
          </cell>
        </row>
        <row r="1951">
          <cell r="B1951" t="str">
            <v>-</v>
          </cell>
          <cell r="C1951" t="str">
            <v>INF173K01DC5</v>
          </cell>
          <cell r="D1951" t="str">
            <v>Sundaram Liquid Fund (Formerly Principal Cash Management Fund) - Weekly Income Distribution CUM Capital Withdrawal Option</v>
          </cell>
          <cell r="E1951">
            <v>1007.8472</v>
          </cell>
        </row>
        <row r="1952">
          <cell r="B1952" t="str">
            <v>-</v>
          </cell>
          <cell r="C1952" t="str">
            <v>INF173K01GY2</v>
          </cell>
          <cell r="D1952" t="str">
            <v>Sundaram Liquid Fund(Formerly Known as Principal Cash Management Fund)- Direct Plan - Income Distribution CUM Capital Withdrawal Option - Weekly</v>
          </cell>
          <cell r="E1952">
            <v>1008.3385</v>
          </cell>
        </row>
        <row r="1953">
          <cell r="B1953" t="str">
            <v/>
          </cell>
          <cell r="C1953" t="str">
            <v/>
          </cell>
          <cell r="D1953" t="str">
            <v/>
          </cell>
        </row>
        <row r="1954">
          <cell r="B1954" t="str">
            <v/>
          </cell>
          <cell r="C1954" t="str">
            <v/>
          </cell>
          <cell r="D1954" t="str">
            <v/>
          </cell>
        </row>
        <row r="1955">
          <cell r="B1955" t="str">
            <v/>
          </cell>
          <cell r="C1955" t="str">
            <v/>
          </cell>
          <cell r="D1955" t="str">
            <v/>
          </cell>
        </row>
        <row r="1956">
          <cell r="B1956" t="str">
            <v>-</v>
          </cell>
          <cell r="C1956" t="str">
            <v>INF277KA1EE2</v>
          </cell>
          <cell r="D1956" t="str">
            <v>Tata Liquid Fund - Direct Plan - Weekly IDCW Reinvestment</v>
          </cell>
          <cell r="E1956">
            <v>1068.3090999999999</v>
          </cell>
        </row>
        <row r="1957">
          <cell r="B1957" t="str">
            <v>-</v>
          </cell>
          <cell r="C1957" t="str">
            <v>INF277KA1EF9</v>
          </cell>
          <cell r="D1957" t="str">
            <v>Tata Liquid Fund - Regular Plan - Weekly IDCW Reinvestment</v>
          </cell>
          <cell r="E1957">
            <v>1063.2591</v>
          </cell>
        </row>
        <row r="1958">
          <cell r="B1958" t="str">
            <v>INF277K01YD8</v>
          </cell>
          <cell r="C1958" t="str">
            <v>-</v>
          </cell>
          <cell r="D1958" t="str">
            <v>Tata Liquid Fund -Regular Plan - Growth Option</v>
          </cell>
          <cell r="E1958">
            <v>4385.3593000000001</v>
          </cell>
        </row>
        <row r="1959">
          <cell r="B1959" t="str">
            <v>-</v>
          </cell>
          <cell r="C1959" t="str">
            <v>INF277K012D2</v>
          </cell>
          <cell r="D1959" t="str">
            <v>Tata Liquid Fund- Direct Plan - Daily Reinvestment of IDCW Option</v>
          </cell>
          <cell r="E1959">
            <v>1001.5187</v>
          </cell>
        </row>
        <row r="1960">
          <cell r="B1960" t="str">
            <v>INF277K01YE6</v>
          </cell>
          <cell r="C1960" t="str">
            <v>-</v>
          </cell>
          <cell r="D1960" t="str">
            <v>Tata Liquid Fund- Direct Plan-Growth Option</v>
          </cell>
          <cell r="E1960">
            <v>4443.5751</v>
          </cell>
        </row>
        <row r="1961">
          <cell r="B1961" t="str">
            <v>-</v>
          </cell>
          <cell r="C1961" t="str">
            <v>INF277K011D4</v>
          </cell>
          <cell r="D1961" t="str">
            <v>Tata Liquid Fund- Regular Plan - Daily Reinvestment of IDCW Option</v>
          </cell>
          <cell r="E1961">
            <v>1001.5157</v>
          </cell>
        </row>
        <row r="1962">
          <cell r="B1962" t="str">
            <v/>
          </cell>
          <cell r="C1962" t="str">
            <v/>
          </cell>
          <cell r="D1962" t="str">
            <v/>
          </cell>
        </row>
        <row r="1963">
          <cell r="B1963" t="str">
            <v/>
          </cell>
          <cell r="C1963" t="str">
            <v/>
          </cell>
          <cell r="D1963" t="str">
            <v/>
          </cell>
        </row>
        <row r="1964">
          <cell r="B1964" t="str">
            <v/>
          </cell>
          <cell r="C1964" t="str">
            <v/>
          </cell>
          <cell r="D1964" t="str">
            <v/>
          </cell>
        </row>
        <row r="1965">
          <cell r="B1965" t="str">
            <v>INF044D01542</v>
          </cell>
          <cell r="C1965" t="str">
            <v>INF044D01559</v>
          </cell>
          <cell r="D1965" t="str">
            <v>Taurus Liquid Fund-Dividend</v>
          </cell>
          <cell r="E1965">
            <v>1013.9743</v>
          </cell>
        </row>
        <row r="1966">
          <cell r="B1966" t="str">
            <v>INF044D01575</v>
          </cell>
          <cell r="C1966" t="str">
            <v>-</v>
          </cell>
          <cell r="D1966" t="str">
            <v>Taurus Liquid Fund-Growth</v>
          </cell>
          <cell r="E1966">
            <v>2368.5909000000001</v>
          </cell>
        </row>
        <row r="1967">
          <cell r="B1967" t="str">
            <v/>
          </cell>
          <cell r="C1967" t="str">
            <v/>
          </cell>
          <cell r="D1967" t="str">
            <v/>
          </cell>
        </row>
        <row r="1968">
          <cell r="B1968" t="str">
            <v/>
          </cell>
          <cell r="C1968" t="str">
            <v/>
          </cell>
          <cell r="D1968" t="str">
            <v/>
          </cell>
        </row>
        <row r="1969">
          <cell r="B1969" t="str">
            <v/>
          </cell>
          <cell r="C1969" t="str">
            <v/>
          </cell>
          <cell r="D1969" t="str">
            <v/>
          </cell>
        </row>
        <row r="1970">
          <cell r="B1970" t="str">
            <v>-</v>
          </cell>
          <cell r="C1970" t="str">
            <v>INF2F0001073</v>
          </cell>
          <cell r="D1970" t="str">
            <v>THE WEALTH COMPANY LIQUID FUND DIRECT DAILY ICDW</v>
          </cell>
          <cell r="E1970">
            <v>1002.0027</v>
          </cell>
        </row>
        <row r="1971">
          <cell r="B1971" t="str">
            <v>INF2F0001081</v>
          </cell>
          <cell r="C1971" t="str">
            <v>-</v>
          </cell>
          <cell r="D1971" t="str">
            <v>THE WEALTH COMPANY LIQUID FUND DIRECT GROWTH</v>
          </cell>
          <cell r="E1971">
            <v>1051.0740000000001</v>
          </cell>
        </row>
        <row r="1972">
          <cell r="B1972" t="str">
            <v>INF2F0001107</v>
          </cell>
          <cell r="C1972" t="str">
            <v>INF2F0001099</v>
          </cell>
          <cell r="D1972" t="str">
            <v>THE WEALTH COMPANY LIQUID FUND DIRECT MONTHLY IDCW</v>
          </cell>
          <cell r="E1972">
            <v>1006.6069</v>
          </cell>
        </row>
        <row r="1973">
          <cell r="B1973" t="str">
            <v>INF2F0001123</v>
          </cell>
          <cell r="C1973" t="str">
            <v>INF2F0001115</v>
          </cell>
          <cell r="D1973" t="str">
            <v>THE WEALTH COMPANY LIQUID FUND DIRECT WEEKLY</v>
          </cell>
          <cell r="E1973">
            <v>1002.2261999999999</v>
          </cell>
        </row>
        <row r="1974">
          <cell r="B1974" t="str">
            <v>-</v>
          </cell>
          <cell r="C1974" t="str">
            <v>INF2F0001131</v>
          </cell>
          <cell r="D1974" t="str">
            <v>THE WEALTH COMPANY LIQUID FUND REGULAR DAILY IDCW</v>
          </cell>
          <cell r="E1974">
            <v>1002</v>
          </cell>
        </row>
        <row r="1975">
          <cell r="B1975" t="str">
            <v>INF2F0001149</v>
          </cell>
          <cell r="C1975" t="str">
            <v>-</v>
          </cell>
          <cell r="D1975" t="str">
            <v>THE WEALTH COMPANY LIQUID FUND REGULAR GROWTH</v>
          </cell>
          <cell r="E1975">
            <v>1049.7705000000001</v>
          </cell>
        </row>
        <row r="1976">
          <cell r="B1976" t="str">
            <v>INF2F0001164</v>
          </cell>
          <cell r="C1976" t="str">
            <v>INF2F0001156</v>
          </cell>
          <cell r="D1976" t="str">
            <v>THE WEALTH COMPANY LIQUID FUND REGULAR MONTHLY IDCW</v>
          </cell>
          <cell r="E1976">
            <v>1006.4871000000001</v>
          </cell>
        </row>
        <row r="1977">
          <cell r="B1977" t="str">
            <v>INF2F0001180</v>
          </cell>
          <cell r="C1977" t="str">
            <v>INF2F0001172</v>
          </cell>
          <cell r="D1977" t="str">
            <v>THE WEALTH COMPANY LIQUID FUND REGULAR WEEKLY IDCW</v>
          </cell>
          <cell r="E1977">
            <v>1002.2267000000001</v>
          </cell>
        </row>
        <row r="1978">
          <cell r="B1978" t="str">
            <v/>
          </cell>
          <cell r="C1978" t="str">
            <v/>
          </cell>
          <cell r="D1978" t="str">
            <v/>
          </cell>
        </row>
        <row r="1979">
          <cell r="B1979" t="str">
            <v/>
          </cell>
          <cell r="C1979" t="str">
            <v/>
          </cell>
          <cell r="D1979" t="str">
            <v/>
          </cell>
        </row>
        <row r="1980">
          <cell r="B1980" t="str">
            <v/>
          </cell>
          <cell r="C1980" t="str">
            <v/>
          </cell>
          <cell r="D1980" t="str">
            <v/>
          </cell>
        </row>
        <row r="1981">
          <cell r="B1981" t="str">
            <v>-</v>
          </cell>
          <cell r="C1981" t="str">
            <v>INF0GCD01263</v>
          </cell>
          <cell r="D1981" t="str">
            <v>TRUSTMF Liquid Fund-Direct Plan-Daily Income Distribution cum Capital Withdrawal</v>
          </cell>
          <cell r="E1981">
            <v>1287.9486999999999</v>
          </cell>
        </row>
        <row r="1982">
          <cell r="B1982" t="str">
            <v>INF0GCD01255</v>
          </cell>
          <cell r="C1982" t="str">
            <v>-</v>
          </cell>
          <cell r="D1982" t="str">
            <v>TRUSTMF Liquid Fund-Direct Plan-Growth</v>
          </cell>
          <cell r="E1982">
            <v>1362.3782000000001</v>
          </cell>
        </row>
        <row r="1983">
          <cell r="B1983" t="str">
            <v>INF0GCD01305</v>
          </cell>
          <cell r="C1983" t="str">
            <v>INF0GCD01297</v>
          </cell>
          <cell r="D1983" t="str">
            <v>TRUSTMF Liquid Fund-Direct Plan-Monthly Income Distribution cum Capital Withdrawal</v>
          </cell>
          <cell r="E1983">
            <v>1217.3462</v>
          </cell>
        </row>
        <row r="1984">
          <cell r="B1984" t="str">
            <v>INF0GCD01271</v>
          </cell>
          <cell r="C1984" t="str">
            <v>INF0GCD01289</v>
          </cell>
          <cell r="D1984" t="str">
            <v>TRUSTMF Liquid Fund-Direct Plan-Weekly Income Distribution cum Capital Withdrawal</v>
          </cell>
          <cell r="E1984">
            <v>1243.7915</v>
          </cell>
        </row>
        <row r="1985">
          <cell r="B1985" t="str">
            <v>-</v>
          </cell>
          <cell r="C1985" t="str">
            <v>INF0GCD01206</v>
          </cell>
          <cell r="D1985" t="str">
            <v>TRUSTMF Liquid Fund-Regular Plan-Daily Income Distribution cum Capital Withdrawal</v>
          </cell>
          <cell r="E1985">
            <v>1216.0165999999999</v>
          </cell>
        </row>
        <row r="1986">
          <cell r="B1986" t="str">
            <v>INF0GCD01198</v>
          </cell>
          <cell r="C1986" t="str">
            <v>-</v>
          </cell>
          <cell r="D1986" t="str">
            <v>TRUSTMF Liquid Fund-Regular Plan-Growth</v>
          </cell>
          <cell r="E1986">
            <v>1351.5952</v>
          </cell>
        </row>
        <row r="1987">
          <cell r="B1987" t="str">
            <v>INF0GCD01248</v>
          </cell>
          <cell r="C1987" t="str">
            <v>INF0GCD01230</v>
          </cell>
          <cell r="D1987" t="str">
            <v>TRUSTMF Liquid Fund-Regular Plan-Monthly Income Distribution cum Capital Withdrawal</v>
          </cell>
          <cell r="E1987">
            <v>1207.7137</v>
          </cell>
        </row>
        <row r="1988">
          <cell r="B1988" t="str">
            <v>INF0GCD01214</v>
          </cell>
          <cell r="C1988" t="str">
            <v>INF0GCD01222</v>
          </cell>
          <cell r="D1988" t="str">
            <v>TRUSTMF Liquid Fund-Regular Plan-Weekly Income Distribution cum Capital Withdrawal</v>
          </cell>
          <cell r="E1988">
            <v>1190.9285</v>
          </cell>
        </row>
        <row r="1989">
          <cell r="B1989" t="str">
            <v/>
          </cell>
          <cell r="C1989" t="str">
            <v/>
          </cell>
          <cell r="D1989" t="str">
            <v/>
          </cell>
        </row>
        <row r="1990">
          <cell r="B1990" t="str">
            <v/>
          </cell>
          <cell r="C1990" t="str">
            <v/>
          </cell>
          <cell r="D1990" t="str">
            <v/>
          </cell>
        </row>
        <row r="1991">
          <cell r="B1991" t="str">
            <v/>
          </cell>
          <cell r="C1991" t="str">
            <v/>
          </cell>
          <cell r="D1991" t="str">
            <v/>
          </cell>
        </row>
        <row r="1992">
          <cell r="B1992" t="str">
            <v>INF1MIY01056</v>
          </cell>
          <cell r="C1992" t="str">
            <v>-</v>
          </cell>
          <cell r="D1992" t="str">
            <v>Unifi Liquid Fund- Direct Growth</v>
          </cell>
          <cell r="E1992">
            <v>1067.2991999999999</v>
          </cell>
        </row>
        <row r="1993">
          <cell r="B1993" t="str">
            <v>INF1MIY01064</v>
          </cell>
          <cell r="C1993" t="str">
            <v>-</v>
          </cell>
          <cell r="D1993" t="str">
            <v>Unifi Liquid Fund- Regular Growth</v>
          </cell>
          <cell r="E1993">
            <v>1066.5241000000001</v>
          </cell>
        </row>
        <row r="1994">
          <cell r="B1994" t="str">
            <v/>
          </cell>
          <cell r="C1994" t="str">
            <v/>
          </cell>
          <cell r="D1994" t="str">
            <v/>
          </cell>
        </row>
        <row r="1995">
          <cell r="B1995" t="str">
            <v/>
          </cell>
          <cell r="C1995" t="str">
            <v/>
          </cell>
          <cell r="D1995" t="str">
            <v/>
          </cell>
        </row>
        <row r="1996">
          <cell r="B1996" t="str">
            <v/>
          </cell>
          <cell r="C1996" t="str">
            <v/>
          </cell>
          <cell r="D1996" t="str">
            <v/>
          </cell>
        </row>
        <row r="1997">
          <cell r="B1997" t="str">
            <v>-</v>
          </cell>
          <cell r="C1997" t="str">
            <v>INF582M01021</v>
          </cell>
          <cell r="D1997" t="str">
            <v>Union Liquid Fund - Daily IDCW Option</v>
          </cell>
          <cell r="E1997">
            <v>1001.4576</v>
          </cell>
        </row>
        <row r="1998">
          <cell r="B1998" t="str">
            <v>-</v>
          </cell>
          <cell r="C1998" t="str">
            <v>INF582M01682</v>
          </cell>
          <cell r="D1998" t="str">
            <v>Union Liquid Fund - Direct Plan - Daily IDCW Option</v>
          </cell>
          <cell r="E1998">
            <v>1001.552</v>
          </cell>
        </row>
        <row r="1999">
          <cell r="B1999" t="str">
            <v>INF582M01724</v>
          </cell>
          <cell r="C1999" t="str">
            <v>INF582M01708</v>
          </cell>
          <cell r="D1999" t="str">
            <v>Union Liquid Fund - Direct Plan - Fortnightly IDCW Option</v>
          </cell>
          <cell r="E1999">
            <v>1002.9691</v>
          </cell>
        </row>
        <row r="2000">
          <cell r="B2000" t="str">
            <v>INF582M01674</v>
          </cell>
          <cell r="C2000" t="str">
            <v>-</v>
          </cell>
          <cell r="D2000" t="str">
            <v>Union Liquid Fund - Direct Plan - Growth Option</v>
          </cell>
          <cell r="E2000">
            <v>2715.4625999999998</v>
          </cell>
        </row>
        <row r="2001">
          <cell r="B2001" t="str">
            <v>INF582M01732</v>
          </cell>
          <cell r="C2001" t="str">
            <v>INF582M01716</v>
          </cell>
          <cell r="D2001" t="str">
            <v>Union Liquid Fund - Direct Plan - Monthly IDCW Option</v>
          </cell>
          <cell r="E2001">
            <v>1005.7346</v>
          </cell>
        </row>
        <row r="2002">
          <cell r="B2002" t="str">
            <v>-</v>
          </cell>
          <cell r="C2002" t="str">
            <v>INF582M01690</v>
          </cell>
          <cell r="D2002" t="str">
            <v>Union Liquid Fund - Direct Plan - Weekly IDCW Option</v>
          </cell>
          <cell r="E2002">
            <v>1001.4563000000001</v>
          </cell>
        </row>
        <row r="2003">
          <cell r="B2003" t="str">
            <v>INF582M01062</v>
          </cell>
          <cell r="C2003" t="str">
            <v>INF582M01047</v>
          </cell>
          <cell r="D2003" t="str">
            <v>Union Liquid Fund - Fortnightly IDCW Option</v>
          </cell>
          <cell r="E2003">
            <v>1002.9312</v>
          </cell>
        </row>
        <row r="2004">
          <cell r="B2004" t="str">
            <v>INF582M01013</v>
          </cell>
          <cell r="C2004" t="str">
            <v>-</v>
          </cell>
          <cell r="D2004" t="str">
            <v>Union Liquid Fund - Growth Option</v>
          </cell>
          <cell r="E2004">
            <v>2679.759</v>
          </cell>
        </row>
        <row r="2005">
          <cell r="B2005" t="str">
            <v>INF582M01070</v>
          </cell>
          <cell r="C2005" t="str">
            <v>INF582M01054</v>
          </cell>
          <cell r="D2005" t="str">
            <v>Union Liquid Fund - Monthly IDCW Option</v>
          </cell>
          <cell r="E2005">
            <v>1005.2447</v>
          </cell>
        </row>
        <row r="2006">
          <cell r="B2006" t="str">
            <v>-</v>
          </cell>
          <cell r="C2006" t="str">
            <v>-</v>
          </cell>
          <cell r="D2006" t="str">
            <v>Union Liquid Fund - Unclaimed Amounts Plan - IDCW Beyond 3 years</v>
          </cell>
          <cell r="E2006">
            <v>1000</v>
          </cell>
        </row>
        <row r="2007">
          <cell r="B2007" t="str">
            <v>-</v>
          </cell>
          <cell r="C2007" t="str">
            <v>-</v>
          </cell>
          <cell r="D2007" t="str">
            <v>Union Liquid Fund - Unclaimed Amounts Plan - IDCW Upto 3 years</v>
          </cell>
          <cell r="E2007">
            <v>1167.6169</v>
          </cell>
        </row>
        <row r="2008">
          <cell r="B2008" t="str">
            <v>-</v>
          </cell>
          <cell r="C2008" t="str">
            <v>-</v>
          </cell>
          <cell r="D2008" t="str">
            <v>Union Liquid Fund - Unclaimed Amounts Plan - Redemption Beyond 3 years</v>
          </cell>
          <cell r="E2008">
            <v>1000</v>
          </cell>
        </row>
        <row r="2009">
          <cell r="B2009" t="str">
            <v>-</v>
          </cell>
          <cell r="C2009" t="str">
            <v>-</v>
          </cell>
          <cell r="D2009" t="str">
            <v>Union Liquid Fund - Unclaimed Amounts Plan - Redemption Upto 3 years</v>
          </cell>
          <cell r="E2009">
            <v>1167.329</v>
          </cell>
        </row>
        <row r="2010">
          <cell r="B2010" t="str">
            <v>-</v>
          </cell>
          <cell r="C2010" t="str">
            <v>INF582M01039</v>
          </cell>
          <cell r="D2010" t="str">
            <v>Union Liquid Fund - Weekly IDCW Option</v>
          </cell>
          <cell r="E2010">
            <v>1001.7062</v>
          </cell>
        </row>
        <row r="2011">
          <cell r="B2011" t="str">
            <v/>
          </cell>
          <cell r="C2011" t="str">
            <v/>
          </cell>
          <cell r="D2011" t="str">
            <v/>
          </cell>
        </row>
        <row r="2012">
          <cell r="B2012" t="str">
            <v/>
          </cell>
          <cell r="C2012" t="str">
            <v/>
          </cell>
          <cell r="D2012" t="str">
            <v/>
          </cell>
        </row>
        <row r="2013">
          <cell r="B2013" t="str">
            <v/>
          </cell>
          <cell r="C2013" t="str">
            <v/>
          </cell>
          <cell r="D2013" t="str">
            <v/>
          </cell>
        </row>
        <row r="2014">
          <cell r="B2014" t="str">
            <v>-</v>
          </cell>
          <cell r="C2014" t="str">
            <v>INF03VN01019</v>
          </cell>
          <cell r="D2014" t="str">
            <v>WhiteOak Capital Liquid Fund- Direct plan-Daily Reinvestment of Income Distribution cum capital withdrawal option (IDCW)</v>
          </cell>
          <cell r="E2014">
            <v>1001.9025</v>
          </cell>
        </row>
        <row r="2015">
          <cell r="B2015" t="str">
            <v>INF03VN01027</v>
          </cell>
          <cell r="C2015" t="str">
            <v>INF03VN01035</v>
          </cell>
          <cell r="D2015" t="str">
            <v>WhiteOak Capital Liquid Fund- Direct plan-Fortnightly Payout/ Reinvestment of Income Distribution cum capital withdrawal option (IDCW)</v>
          </cell>
          <cell r="E2015">
            <v>1002.9413</v>
          </cell>
        </row>
        <row r="2016">
          <cell r="B2016" t="str">
            <v>INF03VN01043</v>
          </cell>
          <cell r="C2016" t="str">
            <v>-</v>
          </cell>
          <cell r="D2016" t="str">
            <v>WhiteOak Capital Liquid Fund- Direct plan-Growth Option</v>
          </cell>
          <cell r="E2016">
            <v>1506.5762</v>
          </cell>
        </row>
        <row r="2017">
          <cell r="B2017" t="str">
            <v>INF03VN01050</v>
          </cell>
          <cell r="C2017" t="str">
            <v>INF03VN01068</v>
          </cell>
          <cell r="D2017" t="str">
            <v>WhiteOak Capital Liquid Fund- Direct plan-Monthly  Payout/ Reinvestment of Income Distribution cum capital withdrawal option (IDCW)</v>
          </cell>
          <cell r="E2017">
            <v>1003.3038</v>
          </cell>
        </row>
        <row r="2018">
          <cell r="B2018" t="str">
            <v>INF03VN01076</v>
          </cell>
          <cell r="C2018" t="str">
            <v>INF03VN01084</v>
          </cell>
          <cell r="D2018" t="str">
            <v>WhiteOak Capital Liquid Fund- Direct plan-Weekly Payout/ Reinvestment of Income Distribution cum capital withdrawal option (IDCW)</v>
          </cell>
          <cell r="E2018">
            <v>1002.0341</v>
          </cell>
        </row>
        <row r="2019">
          <cell r="B2019" t="str">
            <v>-</v>
          </cell>
          <cell r="C2019" t="str">
            <v>INF03VN01092</v>
          </cell>
          <cell r="D2019" t="str">
            <v>WhiteOak Capital Liquid Fund- Regular plan-Daily Reinvestment of Income Distribution cum capital withdrawal option (IDCW)</v>
          </cell>
          <cell r="E2019">
            <v>1001.9023</v>
          </cell>
        </row>
        <row r="2020">
          <cell r="B2020" t="str">
            <v>INF03VN01100</v>
          </cell>
          <cell r="C2020" t="str">
            <v>INF03VN01118</v>
          </cell>
          <cell r="D2020" t="str">
            <v>WhiteOak Capital Liquid Fund- Regular plan-Fortnightly Payout/ Reinvestment of Income Distribution cum capital withdrawal option (IDCW)</v>
          </cell>
          <cell r="E2020">
            <v>1004.0642</v>
          </cell>
        </row>
        <row r="2021">
          <cell r="B2021" t="str">
            <v>INF03VN01126</v>
          </cell>
          <cell r="C2021" t="str">
            <v>-</v>
          </cell>
          <cell r="D2021" t="str">
            <v>WhiteOak Capital Liquid Fund- Regular plan-Growth Option</v>
          </cell>
          <cell r="E2021">
            <v>1495.9917</v>
          </cell>
        </row>
        <row r="2022">
          <cell r="B2022" t="str">
            <v>INF03VN01134</v>
          </cell>
          <cell r="C2022" t="str">
            <v>INF03VN01142</v>
          </cell>
          <cell r="D2022" t="str">
            <v>WhiteOak Capital Liquid Fund- Regular plan-Monthly Payout/ Reinvestment of Income Distribution cum capital withdrawal option (IDCW)</v>
          </cell>
          <cell r="E2022">
            <v>1002.8858</v>
          </cell>
        </row>
        <row r="2023">
          <cell r="B2023" t="str">
            <v>INF03VN01159</v>
          </cell>
          <cell r="C2023" t="str">
            <v>INF03VN01167</v>
          </cell>
          <cell r="D2023" t="str">
            <v>WhiteOak Capital Liquid Fund- Regular plan-Weekly Payout/ Reinvestment of Income Distribution cum capital withdrawal option (IDCW)</v>
          </cell>
          <cell r="E2023">
            <v>1002.0112</v>
          </cell>
        </row>
        <row r="2024">
          <cell r="B2024" t="str">
            <v/>
          </cell>
          <cell r="C2024" t="str">
            <v/>
          </cell>
          <cell r="D2024" t="str">
            <v/>
          </cell>
        </row>
        <row r="2025">
          <cell r="B2025" t="str">
            <v/>
          </cell>
          <cell r="C2025" t="str">
            <v/>
          </cell>
          <cell r="D2025" t="str">
            <v/>
          </cell>
        </row>
        <row r="2026">
          <cell r="B2026" t="str">
            <v/>
          </cell>
          <cell r="C2026" t="str">
            <v/>
          </cell>
          <cell r="D2026" t="str">
            <v/>
          </cell>
        </row>
        <row r="2027">
          <cell r="B2027" t="str">
            <v/>
          </cell>
          <cell r="C2027" t="str">
            <v/>
          </cell>
          <cell r="D2027" t="str">
            <v/>
          </cell>
        </row>
        <row r="2028">
          <cell r="B2028" t="str">
            <v/>
          </cell>
          <cell r="C2028" t="str">
            <v/>
          </cell>
          <cell r="D2028" t="str">
            <v/>
          </cell>
        </row>
        <row r="2029">
          <cell r="B2029" t="str">
            <v>INF209KB17J2</v>
          </cell>
          <cell r="C2029" t="str">
            <v>-</v>
          </cell>
          <cell r="D2029" t="str">
            <v>Aditya Birla Sun Life Long Duration Fund-Direct Growth</v>
          </cell>
          <cell r="E2029">
            <v>13.4322</v>
          </cell>
        </row>
        <row r="2030">
          <cell r="B2030" t="str">
            <v>INF209KB18J0</v>
          </cell>
          <cell r="C2030" t="str">
            <v>INF209KB19J8</v>
          </cell>
          <cell r="D2030" t="str">
            <v>Aditya Birla Sun Life Long Duration Fund-Direct IDCW Payout</v>
          </cell>
          <cell r="E2030">
            <v>10.9665</v>
          </cell>
        </row>
        <row r="2031">
          <cell r="B2031" t="str">
            <v>INF209KB14J9</v>
          </cell>
          <cell r="C2031" t="str">
            <v>-</v>
          </cell>
          <cell r="D2031" t="str">
            <v>Aditya Birla Sun Life Long Duration Fund-Regular Growth</v>
          </cell>
          <cell r="E2031">
            <v>13.102399999999999</v>
          </cell>
        </row>
        <row r="2032">
          <cell r="B2032" t="str">
            <v>INF209KB15J6</v>
          </cell>
          <cell r="C2032" t="str">
            <v>INF209KB16J4</v>
          </cell>
          <cell r="D2032" t="str">
            <v>Aditya Birla Sun Life Long Duration Fund-Regular IDCW Payout</v>
          </cell>
          <cell r="E2032">
            <v>10.6922</v>
          </cell>
        </row>
        <row r="2033">
          <cell r="B2033" t="str">
            <v/>
          </cell>
          <cell r="C2033" t="str">
            <v/>
          </cell>
          <cell r="D2033" t="str">
            <v/>
          </cell>
        </row>
        <row r="2034">
          <cell r="B2034" t="str">
            <v/>
          </cell>
          <cell r="C2034" t="str">
            <v/>
          </cell>
          <cell r="D2034" t="str">
            <v/>
          </cell>
        </row>
        <row r="2035">
          <cell r="B2035" t="str">
            <v/>
          </cell>
          <cell r="C2035" t="str">
            <v/>
          </cell>
          <cell r="D2035" t="str">
            <v/>
          </cell>
        </row>
        <row r="2036">
          <cell r="B2036" t="str">
            <v>INF846K017M4</v>
          </cell>
          <cell r="C2036" t="str">
            <v>INF846K019M0</v>
          </cell>
          <cell r="D2036" t="str">
            <v>Axis Long Duration Fund - Direct Plan - Annual IDCW</v>
          </cell>
          <cell r="E2036">
            <v>1255.9875</v>
          </cell>
        </row>
        <row r="2037">
          <cell r="B2037" t="str">
            <v>INF846K014L3</v>
          </cell>
          <cell r="C2037" t="str">
            <v>-</v>
          </cell>
          <cell r="D2037" t="str">
            <v>Axis Long Duration Fund - Direct Plan - Growth</v>
          </cell>
          <cell r="E2037">
            <v>1267.1892</v>
          </cell>
        </row>
        <row r="2038">
          <cell r="B2038" t="str">
            <v>INF846K019L2</v>
          </cell>
          <cell r="C2038" t="str">
            <v>INF846K011M7</v>
          </cell>
          <cell r="D2038" t="str">
            <v>Axis Long Duration Fund - Direct Plan - Monthly IDCW</v>
          </cell>
          <cell r="E2038">
            <v>1019.7563</v>
          </cell>
        </row>
        <row r="2039">
          <cell r="B2039" t="str">
            <v>INF846K013M3</v>
          </cell>
          <cell r="C2039" t="str">
            <v>INF846K015M8</v>
          </cell>
          <cell r="D2039" t="str">
            <v>Axis Long Duration Fund - Direct Plan - Quarterly IDCW</v>
          </cell>
          <cell r="E2039">
            <v>1228.9616000000001</v>
          </cell>
        </row>
        <row r="2040">
          <cell r="B2040" t="str">
            <v>-</v>
          </cell>
          <cell r="C2040" t="str">
            <v>INF846K017L6</v>
          </cell>
          <cell r="D2040" t="str">
            <v>Axis Long Duration Fund - Direct Plan -Daily IDCW</v>
          </cell>
          <cell r="E2040">
            <v>996.65300000000002</v>
          </cell>
        </row>
        <row r="2041">
          <cell r="B2041" t="str">
            <v>INF846K016M6</v>
          </cell>
          <cell r="C2041" t="str">
            <v>INF846K018M2</v>
          </cell>
          <cell r="D2041" t="str">
            <v>Axis Long Duration Fund - Regular Plan - Annual IDCW</v>
          </cell>
          <cell r="E2041">
            <v>1236.4685999999999</v>
          </cell>
        </row>
        <row r="2042">
          <cell r="B2042" t="str">
            <v>-</v>
          </cell>
          <cell r="C2042" t="str">
            <v>INF846K016L8</v>
          </cell>
          <cell r="D2042" t="str">
            <v>Axis Long Duration Fund - Regular Plan - Daily IDCW</v>
          </cell>
          <cell r="E2042">
            <v>996.44979999999998</v>
          </cell>
        </row>
        <row r="2043">
          <cell r="B2043" t="str">
            <v>INF846K015L0</v>
          </cell>
          <cell r="C2043" t="str">
            <v>-</v>
          </cell>
          <cell r="D2043" t="str">
            <v>Axis Long Duration Fund - Regular Plan - Growth</v>
          </cell>
          <cell r="E2043">
            <v>1247.6332</v>
          </cell>
        </row>
        <row r="2044">
          <cell r="B2044" t="str">
            <v>INF846K018L4</v>
          </cell>
          <cell r="C2044" t="str">
            <v>INF846K010M9</v>
          </cell>
          <cell r="D2044" t="str">
            <v>Axis Long Duration Fund - Regular Plan - Monthly IDCW</v>
          </cell>
          <cell r="E2044">
            <v>1020.4426999999999</v>
          </cell>
        </row>
        <row r="2045">
          <cell r="B2045" t="str">
            <v>INF846K012M5</v>
          </cell>
          <cell r="C2045" t="str">
            <v>INF846K014M1</v>
          </cell>
          <cell r="D2045" t="str">
            <v>Axis Long Duration Fund - Regular Plan - Quarterly IDCW</v>
          </cell>
          <cell r="E2045">
            <v>1209.4440999999999</v>
          </cell>
        </row>
        <row r="2046">
          <cell r="B2046" t="str">
            <v/>
          </cell>
          <cell r="C2046" t="str">
            <v/>
          </cell>
          <cell r="D2046" t="str">
            <v/>
          </cell>
        </row>
        <row r="2047">
          <cell r="B2047" t="str">
            <v/>
          </cell>
          <cell r="C2047" t="str">
            <v/>
          </cell>
          <cell r="D2047" t="str">
            <v/>
          </cell>
        </row>
        <row r="2048">
          <cell r="B2048" t="str">
            <v/>
          </cell>
          <cell r="C2048" t="str">
            <v/>
          </cell>
          <cell r="D2048" t="str">
            <v/>
          </cell>
        </row>
        <row r="2049">
          <cell r="B2049" t="str">
            <v>INF194KB1HY2</v>
          </cell>
          <cell r="C2049" t="str">
            <v>-</v>
          </cell>
          <cell r="D2049" t="str">
            <v>Bandhan Long Duration Fund - Direct Plan - Growth</v>
          </cell>
          <cell r="E2049">
            <v>11.4643</v>
          </cell>
        </row>
        <row r="2050">
          <cell r="B2050" t="str">
            <v>INF194KB1HZ9</v>
          </cell>
          <cell r="C2050" t="str">
            <v>INF194KB1IA0</v>
          </cell>
          <cell r="D2050" t="str">
            <v>Bandhan Long Duration Fund - Direct Plan - IDCW</v>
          </cell>
          <cell r="E2050">
            <v>10.563000000000001</v>
          </cell>
        </row>
        <row r="2051">
          <cell r="B2051" t="str">
            <v>INF194KB1HV8</v>
          </cell>
          <cell r="C2051" t="str">
            <v>-</v>
          </cell>
          <cell r="D2051" t="str">
            <v>Bandhan Long Duration Fund - Regular Plan - Growth</v>
          </cell>
          <cell r="E2051">
            <v>11.355</v>
          </cell>
        </row>
        <row r="2052">
          <cell r="B2052" t="str">
            <v>INF194KB1HW6</v>
          </cell>
          <cell r="C2052" t="str">
            <v>INF194KB1HX4</v>
          </cell>
          <cell r="D2052" t="str">
            <v>Bandhan Long Duration Fund - Regular Plan - IDCW</v>
          </cell>
          <cell r="E2052">
            <v>10.368</v>
          </cell>
        </row>
        <row r="2053">
          <cell r="B2053" t="str">
            <v/>
          </cell>
          <cell r="C2053" t="str">
            <v/>
          </cell>
          <cell r="D2053" t="str">
            <v/>
          </cell>
        </row>
        <row r="2054">
          <cell r="B2054" t="str">
            <v/>
          </cell>
          <cell r="C2054" t="str">
            <v/>
          </cell>
          <cell r="D2054" t="str">
            <v/>
          </cell>
        </row>
        <row r="2055">
          <cell r="B2055" t="str">
            <v/>
          </cell>
          <cell r="C2055" t="str">
            <v/>
          </cell>
          <cell r="D2055" t="str">
            <v/>
          </cell>
        </row>
        <row r="2056">
          <cell r="B2056" t="str">
            <v>INF090I01XY7</v>
          </cell>
          <cell r="C2056" t="str">
            <v>-</v>
          </cell>
          <cell r="D2056" t="str">
            <v>Franklin India Long Duration Fund - Direct - Growth</v>
          </cell>
          <cell r="E2056">
            <v>10.880800000000001</v>
          </cell>
        </row>
        <row r="2057">
          <cell r="B2057" t="str">
            <v>INF090I01YA5</v>
          </cell>
          <cell r="C2057" t="str">
            <v>INF090I01XZ4</v>
          </cell>
          <cell r="D2057" t="str">
            <v>Franklin India Long Duration Fund - Direct - IDCW</v>
          </cell>
          <cell r="E2057">
            <v>10.5146</v>
          </cell>
        </row>
        <row r="2058">
          <cell r="B2058" t="str">
            <v>INF090I01XV3</v>
          </cell>
          <cell r="C2058" t="str">
            <v>-</v>
          </cell>
          <cell r="D2058" t="str">
            <v>Franklin India Long Duration Fund - Growth</v>
          </cell>
          <cell r="E2058">
            <v>10.7957</v>
          </cell>
        </row>
        <row r="2059">
          <cell r="B2059" t="str">
            <v>INF090I01XX9</v>
          </cell>
          <cell r="C2059" t="str">
            <v>INF090I01XW1</v>
          </cell>
          <cell r="D2059" t="str">
            <v>Franklin India Long Duration Fund - IDCW</v>
          </cell>
          <cell r="E2059">
            <v>10.4932</v>
          </cell>
        </row>
        <row r="2060">
          <cell r="B2060" t="str">
            <v/>
          </cell>
          <cell r="C2060" t="str">
            <v/>
          </cell>
          <cell r="D2060" t="str">
            <v/>
          </cell>
        </row>
        <row r="2061">
          <cell r="B2061" t="str">
            <v/>
          </cell>
          <cell r="C2061" t="str">
            <v/>
          </cell>
          <cell r="D2061" t="str">
            <v/>
          </cell>
        </row>
        <row r="2062">
          <cell r="B2062" t="str">
            <v/>
          </cell>
          <cell r="C2062" t="str">
            <v/>
          </cell>
          <cell r="D2062" t="str">
            <v/>
          </cell>
        </row>
        <row r="2063">
          <cell r="B2063" t="str">
            <v>INF179KC1EW1</v>
          </cell>
          <cell r="C2063" t="str">
            <v>-</v>
          </cell>
          <cell r="D2063" t="str">
            <v>HDFC Long Duration Debt Fund - Growth Option</v>
          </cell>
          <cell r="E2063">
            <v>12.4457</v>
          </cell>
        </row>
        <row r="2064">
          <cell r="B2064" t="str">
            <v>INF179KC1ET7</v>
          </cell>
          <cell r="C2064" t="str">
            <v>-</v>
          </cell>
          <cell r="D2064" t="str">
            <v>HDFC Long Duration Debt Fund - Growth Option - Direct Plan</v>
          </cell>
          <cell r="E2064">
            <v>12.598100000000001</v>
          </cell>
        </row>
        <row r="2065">
          <cell r="B2065" t="str">
            <v>INF179KC1EX9</v>
          </cell>
          <cell r="C2065" t="str">
            <v>INF179KC1EY7</v>
          </cell>
          <cell r="D2065" t="str">
            <v>HDFC Long Duration Debt Fund - IDCW Option</v>
          </cell>
          <cell r="E2065">
            <v>10.734400000000001</v>
          </cell>
        </row>
        <row r="2066">
          <cell r="B2066" t="str">
            <v>INF179KC1EU5</v>
          </cell>
          <cell r="C2066" t="str">
            <v>INF179KC1EV3</v>
          </cell>
          <cell r="D2066" t="str">
            <v>HDFC Long Duration Debt Fund - IDCW Option - Direct Plan</v>
          </cell>
          <cell r="E2066">
            <v>10.4969</v>
          </cell>
        </row>
        <row r="2067">
          <cell r="B2067" t="str">
            <v/>
          </cell>
          <cell r="C2067" t="str">
            <v/>
          </cell>
          <cell r="D2067" t="str">
            <v/>
          </cell>
        </row>
        <row r="2068">
          <cell r="B2068" t="str">
            <v/>
          </cell>
          <cell r="C2068" t="str">
            <v/>
          </cell>
          <cell r="D2068" t="str">
            <v/>
          </cell>
        </row>
        <row r="2069">
          <cell r="B2069" t="str">
            <v/>
          </cell>
          <cell r="C2069" t="str">
            <v/>
          </cell>
          <cell r="D2069" t="str">
            <v/>
          </cell>
        </row>
        <row r="2070">
          <cell r="B2070" t="str">
            <v>INF109KA11C4</v>
          </cell>
          <cell r="C2070" t="str">
            <v>INF109KA10C6</v>
          </cell>
          <cell r="D2070" t="str">
            <v>ICICI Prudential Long Term Bond Fund - Annual IDCW</v>
          </cell>
          <cell r="E2070">
            <v>10.472</v>
          </cell>
        </row>
        <row r="2071">
          <cell r="B2071" t="str">
            <v>INF109KA1335</v>
          </cell>
          <cell r="C2071" t="str">
            <v>-</v>
          </cell>
          <cell r="D2071" t="str">
            <v>ICICI Prudential Long Term Bond Fund - Bonus</v>
          </cell>
          <cell r="E2071">
            <v>68.259799999999998</v>
          </cell>
        </row>
        <row r="2072">
          <cell r="B2072" t="str">
            <v>INF109K017L8</v>
          </cell>
          <cell r="C2072" t="str">
            <v>-</v>
          </cell>
          <cell r="D2072" t="str">
            <v>ICICI Prudential Long Term Bond Fund - Direct Plan - Growth</v>
          </cell>
          <cell r="E2072">
            <v>101.3502</v>
          </cell>
        </row>
        <row r="2073">
          <cell r="B2073" t="str">
            <v>INF109K018L6</v>
          </cell>
          <cell r="C2073" t="str">
            <v>INF109K019L4</v>
          </cell>
          <cell r="D2073" t="str">
            <v>ICICI Prudential Long Term Bond Fund - Direct Plan - Half Yearly IDCW</v>
          </cell>
          <cell r="E2073">
            <v>11.9879</v>
          </cell>
        </row>
        <row r="2074">
          <cell r="B2074" t="str">
            <v>INF109K010M1</v>
          </cell>
          <cell r="C2074" t="str">
            <v>INF109K011M9</v>
          </cell>
          <cell r="D2074" t="str">
            <v>ICICI Prudential Long Term Bond Fund - Direct Plan - Quarterly IDCW</v>
          </cell>
          <cell r="E2074">
            <v>12.777799999999999</v>
          </cell>
        </row>
        <row r="2075">
          <cell r="B2075" t="str">
            <v>INF109K01365</v>
          </cell>
          <cell r="C2075" t="str">
            <v>-</v>
          </cell>
          <cell r="D2075" t="str">
            <v>ICICI Prudential Long Term Bond Fund - Growth</v>
          </cell>
          <cell r="E2075">
            <v>92.115200000000002</v>
          </cell>
        </row>
        <row r="2076">
          <cell r="B2076" t="str">
            <v>INF109K01EX3</v>
          </cell>
          <cell r="C2076" t="str">
            <v>INF109K01357</v>
          </cell>
          <cell r="D2076" t="str">
            <v>ICICI Prudential Long Term Bond Fund - Half Yearly IDCW</v>
          </cell>
          <cell r="E2076">
            <v>11.177099999999999</v>
          </cell>
        </row>
        <row r="2077">
          <cell r="B2077" t="str">
            <v>INF109K01EZ8</v>
          </cell>
          <cell r="C2077" t="str">
            <v>INF109K01399</v>
          </cell>
          <cell r="D2077" t="str">
            <v>ICICI Prudential Long Term Bond Fund - Quarterly IDCW</v>
          </cell>
          <cell r="E2077">
            <v>12.421200000000001</v>
          </cell>
        </row>
        <row r="2078">
          <cell r="B2078" t="str">
            <v>INF109KA13C0</v>
          </cell>
          <cell r="C2078" t="str">
            <v>INF109KA12C2</v>
          </cell>
          <cell r="D2078" t="str">
            <v>ICICI Prudential Long Term Bond Fund Direct Plan - Annual IDCW</v>
          </cell>
          <cell r="E2078">
            <v>11.587300000000001</v>
          </cell>
        </row>
        <row r="2079">
          <cell r="B2079" t="str">
            <v>INF109K01EY1</v>
          </cell>
          <cell r="C2079" t="str">
            <v>INF109K01381</v>
          </cell>
          <cell r="D2079" t="str">
            <v>ICICI Prudential Long Term Bond Fund-Institutional Quarterly Dividend</v>
          </cell>
          <cell r="E2079">
            <v>11.7562</v>
          </cell>
        </row>
        <row r="2080">
          <cell r="B2080" t="str">
            <v>INF109K01EW5</v>
          </cell>
          <cell r="C2080" t="str">
            <v>INF109K01373</v>
          </cell>
          <cell r="D2080" t="str">
            <v>ICICI Prudential Long Term Bond Fund - Institutional Dividend Halfyearly</v>
          </cell>
          <cell r="E2080">
            <v>10.8508</v>
          </cell>
        </row>
        <row r="2081">
          <cell r="B2081" t="str">
            <v>INF109K01407</v>
          </cell>
          <cell r="C2081" t="str">
            <v>-</v>
          </cell>
          <cell r="D2081" t="str">
            <v>ICICI Prudential Long Term Bond Fund-Institutional Option-Growth</v>
          </cell>
          <cell r="E2081">
            <v>73.543899999999994</v>
          </cell>
        </row>
        <row r="2082">
          <cell r="B2082" t="str">
            <v/>
          </cell>
          <cell r="C2082" t="str">
            <v/>
          </cell>
          <cell r="D2082" t="str">
            <v/>
          </cell>
        </row>
        <row r="2083">
          <cell r="B2083" t="str">
            <v/>
          </cell>
          <cell r="C2083" t="str">
            <v/>
          </cell>
          <cell r="D2083" t="str">
            <v/>
          </cell>
        </row>
        <row r="2084">
          <cell r="B2084" t="str">
            <v/>
          </cell>
          <cell r="C2084" t="str">
            <v/>
          </cell>
          <cell r="D2084" t="str">
            <v/>
          </cell>
        </row>
        <row r="2085">
          <cell r="B2085" t="str">
            <v>INF174KA1RF5</v>
          </cell>
          <cell r="C2085" t="str">
            <v>-</v>
          </cell>
          <cell r="D2085" t="str">
            <v>Kotak Long Duration Fund - Direct Plan - Growth</v>
          </cell>
          <cell r="E2085">
            <v>11.297800000000001</v>
          </cell>
        </row>
        <row r="2086">
          <cell r="B2086" t="str">
            <v>INF174KA1RG3</v>
          </cell>
          <cell r="C2086" t="str">
            <v>INF174KA1RH1</v>
          </cell>
          <cell r="D2086" t="str">
            <v>Kotak Long Duration Fund - Direct Plan - IDCW</v>
          </cell>
          <cell r="E2086">
            <v>11.2982</v>
          </cell>
        </row>
        <row r="2087">
          <cell r="B2087" t="str">
            <v>INF174KA1RC2</v>
          </cell>
          <cell r="C2087" t="str">
            <v>-</v>
          </cell>
          <cell r="D2087" t="str">
            <v>Kotak Long Duration Fund - Regular Plan - Growth</v>
          </cell>
          <cell r="E2087">
            <v>11.2196</v>
          </cell>
        </row>
        <row r="2088">
          <cell r="B2088" t="str">
            <v>INF174KA1RD0</v>
          </cell>
          <cell r="C2088" t="str">
            <v>INF174KA1RE8</v>
          </cell>
          <cell r="D2088" t="str">
            <v>Kotak Long Duration Fund - Regular Plan - IDCW</v>
          </cell>
          <cell r="E2088">
            <v>11.219900000000001</v>
          </cell>
        </row>
        <row r="2089">
          <cell r="B2089" t="str">
            <v/>
          </cell>
          <cell r="C2089" t="str">
            <v/>
          </cell>
          <cell r="D2089" t="str">
            <v/>
          </cell>
        </row>
        <row r="2090">
          <cell r="B2090" t="str">
            <v/>
          </cell>
          <cell r="C2090" t="str">
            <v/>
          </cell>
          <cell r="D2090" t="str">
            <v/>
          </cell>
        </row>
        <row r="2091">
          <cell r="B2091" t="str">
            <v/>
          </cell>
          <cell r="C2091" t="str">
            <v/>
          </cell>
          <cell r="D2091" t="str">
            <v/>
          </cell>
        </row>
        <row r="2092">
          <cell r="B2092" t="str">
            <v>INF769K01NC9</v>
          </cell>
          <cell r="C2092" t="str">
            <v>-</v>
          </cell>
          <cell r="D2092" t="str">
            <v>Mirae Asset Long Duration Fund - Direct Plan - Growth</v>
          </cell>
          <cell r="E2092">
            <v>10.555</v>
          </cell>
        </row>
        <row r="2093">
          <cell r="B2093" t="str">
            <v>INF769K01ND7</v>
          </cell>
          <cell r="C2093" t="str">
            <v>INF769K01NF2</v>
          </cell>
          <cell r="D2093" t="str">
            <v>Mirae Asset Long Duration Fund - Direct Plan - IDCW</v>
          </cell>
          <cell r="E2093">
            <v>10.547700000000001</v>
          </cell>
        </row>
        <row r="2094">
          <cell r="B2094" t="str">
            <v>INF769K01MZ2</v>
          </cell>
          <cell r="C2094" t="str">
            <v>-</v>
          </cell>
          <cell r="D2094" t="str">
            <v>Mirae Asset Long Duration Fund - Regular Plan - Growth</v>
          </cell>
          <cell r="E2094">
            <v>10.4671</v>
          </cell>
        </row>
        <row r="2095">
          <cell r="B2095" t="str">
            <v>INF769K01NA3</v>
          </cell>
          <cell r="C2095" t="str">
            <v>INF769K01NB1</v>
          </cell>
          <cell r="D2095" t="str">
            <v>Mirae Asset Long Duration Fund - Regular Plan - IDCW</v>
          </cell>
          <cell r="E2095">
            <v>10.467000000000001</v>
          </cell>
        </row>
        <row r="2096">
          <cell r="B2096" t="str">
            <v/>
          </cell>
          <cell r="C2096" t="str">
            <v/>
          </cell>
          <cell r="D2096" t="str">
            <v/>
          </cell>
        </row>
        <row r="2097">
          <cell r="B2097" t="str">
            <v/>
          </cell>
          <cell r="C2097" t="str">
            <v/>
          </cell>
          <cell r="D2097" t="str">
            <v/>
          </cell>
        </row>
        <row r="2098">
          <cell r="B2098" t="str">
            <v/>
          </cell>
          <cell r="C2098" t="str">
            <v/>
          </cell>
          <cell r="D2098" t="str">
            <v/>
          </cell>
        </row>
        <row r="2099">
          <cell r="B2099" t="str">
            <v>INF204KB1YV1</v>
          </cell>
          <cell r="C2099" t="str">
            <v>INF204KB1YW9</v>
          </cell>
          <cell r="D2099" t="str">
            <v>NIPPON INDIA NIVESH LAKSHYA LONG DURATION  FUND - DIRECT Plan - QUARTERLY IDCW Option</v>
          </cell>
          <cell r="E2099">
            <v>11.6607</v>
          </cell>
        </row>
        <row r="2100">
          <cell r="B2100" t="str">
            <v>INF204KB1ZK1</v>
          </cell>
          <cell r="C2100" t="str">
            <v>INF204KB1ZL9</v>
          </cell>
          <cell r="D2100" t="str">
            <v>NIPPON INDIA NIVESH LAKSHYA LONG DURATION FUND - ANNUAL IDCW Option</v>
          </cell>
          <cell r="E2100">
            <v>12.0078</v>
          </cell>
        </row>
        <row r="2101">
          <cell r="B2101" t="str">
            <v>INF204KB1YZ2</v>
          </cell>
          <cell r="C2101" t="str">
            <v>INF204KB1ZA2</v>
          </cell>
          <cell r="D2101" t="str">
            <v>NIPPON INDIA NIVESH LAKSHYA LONG DURATION FUND - DIRECT Plan - ANNUAL IDCW Option</v>
          </cell>
          <cell r="E2101">
            <v>12.029</v>
          </cell>
        </row>
        <row r="2102">
          <cell r="B2102" t="str">
            <v>INF204KB1YX7</v>
          </cell>
          <cell r="C2102" t="str">
            <v>INF204KB1YY5</v>
          </cell>
          <cell r="D2102" t="str">
            <v>NIPPON INDIA NIVESH LAKSHYA LONG DURATION FUND - DIRECT Plan - HALF YEARLY IDCW Option</v>
          </cell>
          <cell r="E2102">
            <v>12.5068</v>
          </cell>
        </row>
        <row r="2103">
          <cell r="B2103" t="str">
            <v>INF204KB1YR9</v>
          </cell>
          <cell r="C2103" t="str">
            <v>INF204KB1YS7</v>
          </cell>
          <cell r="D2103" t="str">
            <v>NIPPON INDIA NIVESH LAKSHYA LONG DURATION FUND - DIRECT Plan - IDCW Option</v>
          </cell>
          <cell r="E2103">
            <v>18.709299999999999</v>
          </cell>
        </row>
        <row r="2104">
          <cell r="B2104" t="str">
            <v>INF204KB1YT5</v>
          </cell>
          <cell r="C2104" t="str">
            <v>INF204KB1YU3</v>
          </cell>
          <cell r="D2104" t="str">
            <v>NIPPON INDIA NIVESH LAKSHYA LONG DURATION FUND - DIRECT Plan - MONTHLY IDCW Option</v>
          </cell>
          <cell r="E2104">
            <v>11.7514</v>
          </cell>
        </row>
        <row r="2105">
          <cell r="B2105" t="str">
            <v>INF204KB1ZC8</v>
          </cell>
          <cell r="C2105" t="str">
            <v>INF204KB1ZD6</v>
          </cell>
          <cell r="D2105" t="str">
            <v>NIPPON INDIA NIVESH LAKSHYA LONG DURATION FUND - IDCW Option</v>
          </cell>
          <cell r="E2105">
            <v>18.238399999999999</v>
          </cell>
        </row>
        <row r="2106">
          <cell r="B2106" t="str">
            <v>INF204KB1ZE4</v>
          </cell>
          <cell r="C2106" t="str">
            <v>INF204KB1ZF1</v>
          </cell>
          <cell r="D2106" t="str">
            <v>NIPPON INDIA NIVESH LAKSHYA LONG DURATION FUND - MONTHLY IDCW Option</v>
          </cell>
          <cell r="E2106">
            <v>11.7376</v>
          </cell>
        </row>
        <row r="2107">
          <cell r="B2107" t="str">
            <v>INF204KB1ZG9</v>
          </cell>
          <cell r="C2107" t="str">
            <v>INF204KB1ZH7</v>
          </cell>
          <cell r="D2107" t="str">
            <v>NIPPON INDIA NIVESH LAKSHYA LONG DURATION FUND - QUARTERLY IDCW Option</v>
          </cell>
          <cell r="E2107">
            <v>11.647399999999999</v>
          </cell>
        </row>
        <row r="2108">
          <cell r="B2108" t="str">
            <v>INF204KB1ZI5</v>
          </cell>
          <cell r="C2108" t="str">
            <v>INF204KB1ZJ3</v>
          </cell>
          <cell r="D2108" t="str">
            <v>NIPPON INDIA NIVESH LAKSHYA LONG DURATION FUND LONG DURATION - HALF YEARLY IDCW Option</v>
          </cell>
          <cell r="E2108">
            <v>12.46</v>
          </cell>
        </row>
        <row r="2109">
          <cell r="B2109" t="str">
            <v>INF204KB1YQ1</v>
          </cell>
          <cell r="C2109" t="str">
            <v>-</v>
          </cell>
          <cell r="D2109" t="str">
            <v>Nippon India Nivesh Lakshya Long Duration Fund- Direct Plan- Growth Option</v>
          </cell>
          <cell r="E2109">
            <v>18.709099999999999</v>
          </cell>
        </row>
        <row r="2110">
          <cell r="B2110" t="str">
            <v>INF204KB1ZB0</v>
          </cell>
          <cell r="C2110" t="str">
            <v>-</v>
          </cell>
          <cell r="D2110" t="str">
            <v>Nippon India Nivesh Lakshya Long Duration Fund- Growth Option</v>
          </cell>
          <cell r="E2110">
            <v>18.239599999999999</v>
          </cell>
        </row>
        <row r="2111">
          <cell r="B2111" t="str">
            <v/>
          </cell>
          <cell r="C2111" t="str">
            <v/>
          </cell>
          <cell r="D2111" t="str">
            <v/>
          </cell>
        </row>
        <row r="2112">
          <cell r="B2112" t="str">
            <v/>
          </cell>
          <cell r="C2112" t="str">
            <v/>
          </cell>
          <cell r="D2112" t="str">
            <v/>
          </cell>
        </row>
        <row r="2113">
          <cell r="B2113" t="str">
            <v/>
          </cell>
          <cell r="C2113" t="str">
            <v/>
          </cell>
          <cell r="D2113" t="str">
            <v/>
          </cell>
        </row>
        <row r="2114">
          <cell r="B2114" t="str">
            <v>INF200KA16T4</v>
          </cell>
          <cell r="C2114" t="str">
            <v>-</v>
          </cell>
          <cell r="D2114" t="str">
            <v>SBI Long Duration Fund - Direct Plan - Growth</v>
          </cell>
          <cell r="E2114">
            <v>12.770799999999999</v>
          </cell>
        </row>
        <row r="2115">
          <cell r="B2115" t="str">
            <v>INF200KA17T2</v>
          </cell>
          <cell r="C2115" t="str">
            <v>INF200KA18T0</v>
          </cell>
          <cell r="D2115" t="str">
            <v>SBI Long Duration Fund - Direct Plan - Income Distribution cum Capital Withdrawal Option (IDCW)</v>
          </cell>
          <cell r="E2115">
            <v>12.771100000000001</v>
          </cell>
        </row>
        <row r="2116">
          <cell r="B2116" t="str">
            <v>INF200KA13T1</v>
          </cell>
          <cell r="C2116" t="str">
            <v>-</v>
          </cell>
          <cell r="D2116" t="str">
            <v>SBI Long Duration Fund - Regular Plan - Growth</v>
          </cell>
          <cell r="E2116">
            <v>12.584</v>
          </cell>
        </row>
        <row r="2117">
          <cell r="B2117" t="str">
            <v>INF200KA14T9</v>
          </cell>
          <cell r="C2117" t="str">
            <v>INF200KA15T6</v>
          </cell>
          <cell r="D2117" t="str">
            <v>SBI Long Duration Fund - Regular Plan - Income Distribution cum Capital Withdrawal Option (IDCW)</v>
          </cell>
          <cell r="E2117">
            <v>12.584199999999999</v>
          </cell>
        </row>
        <row r="2118">
          <cell r="B2118" t="str">
            <v/>
          </cell>
          <cell r="C2118" t="str">
            <v/>
          </cell>
          <cell r="D2118" t="str">
            <v/>
          </cell>
        </row>
        <row r="2119">
          <cell r="B2119" t="str">
            <v/>
          </cell>
          <cell r="C2119" t="str">
            <v/>
          </cell>
          <cell r="D2119" t="str">
            <v/>
          </cell>
        </row>
        <row r="2120">
          <cell r="B2120" t="str">
            <v/>
          </cell>
          <cell r="C2120" t="str">
            <v/>
          </cell>
          <cell r="D2120" t="str">
            <v/>
          </cell>
        </row>
        <row r="2121">
          <cell r="B2121" t="str">
            <v>INF789F1AYG4</v>
          </cell>
          <cell r="C2121" t="str">
            <v>INF789F1AYH2</v>
          </cell>
          <cell r="D2121" t="str">
            <v>UTI Long Duration Fund - Direct Plan - Annual IDCW Option</v>
          </cell>
          <cell r="E2121">
            <v>11.3871</v>
          </cell>
        </row>
        <row r="2122">
          <cell r="B2122" t="str">
            <v>INF789F1AYI0</v>
          </cell>
          <cell r="C2122" t="str">
            <v>INF789F1AYJ8</v>
          </cell>
          <cell r="D2122" t="str">
            <v>UTI Long Duration Fund - Direct Plan - Flexi IDCW Option</v>
          </cell>
          <cell r="E2122">
            <v>12.194599999999999</v>
          </cell>
        </row>
        <row r="2123">
          <cell r="B2123" t="str">
            <v>INF789F1AYB5</v>
          </cell>
          <cell r="C2123" t="str">
            <v>-</v>
          </cell>
          <cell r="D2123" t="str">
            <v>UTI Long Duration Fund - Direct Plan - Growth Option</v>
          </cell>
          <cell r="E2123">
            <v>12.351000000000001</v>
          </cell>
        </row>
        <row r="2124">
          <cell r="B2124" t="str">
            <v>INF789F1AYE9</v>
          </cell>
          <cell r="C2124" t="str">
            <v>INF789F1AYF6</v>
          </cell>
          <cell r="D2124" t="str">
            <v>UTI Long Duration Fund - Direct Plan - Half Yearly IDCW Option</v>
          </cell>
          <cell r="E2124">
            <v>12.351100000000001</v>
          </cell>
        </row>
        <row r="2125">
          <cell r="B2125" t="str">
            <v>INF789F1AYC3</v>
          </cell>
          <cell r="C2125" t="str">
            <v>INF789F1AYD1</v>
          </cell>
          <cell r="D2125" t="str">
            <v>UTI Long duration Fund - Direct Plan - Quarterly IDCW Option</v>
          </cell>
          <cell r="E2125">
            <v>12.351000000000001</v>
          </cell>
        </row>
        <row r="2126">
          <cell r="B2126" t="str">
            <v>INF789F1AXX1</v>
          </cell>
          <cell r="C2126" t="str">
            <v>INF789F1AXY9</v>
          </cell>
          <cell r="D2126" t="str">
            <v>UTI Long Duration Fund - Regular Plan - Annual IDCW Option</v>
          </cell>
          <cell r="E2126">
            <v>11.0253</v>
          </cell>
        </row>
        <row r="2127">
          <cell r="B2127" t="str">
            <v>INF789F1AXZ6</v>
          </cell>
          <cell r="C2127" t="str">
            <v>INF789F1AYA7</v>
          </cell>
          <cell r="D2127" t="str">
            <v>UTI Long Duration Fund - Regular Plan - Flexi IDCW Option</v>
          </cell>
          <cell r="E2127">
            <v>11.9733</v>
          </cell>
        </row>
        <row r="2128">
          <cell r="B2128" t="str">
            <v>INF789F1AXS1</v>
          </cell>
          <cell r="C2128" t="str">
            <v>-</v>
          </cell>
          <cell r="D2128" t="str">
            <v>UTI Long Duration Fund - Regular Plan - Growth Option</v>
          </cell>
          <cell r="E2128">
            <v>11.9732</v>
          </cell>
        </row>
        <row r="2129">
          <cell r="B2129" t="str">
            <v>INF789F1AXV5</v>
          </cell>
          <cell r="C2129" t="str">
            <v>INF789F1AXW3</v>
          </cell>
          <cell r="D2129" t="str">
            <v>UTI Long Duration Fund - Regular Plan - Half Yearly IDCW Option</v>
          </cell>
          <cell r="E2129">
            <v>11.9733</v>
          </cell>
        </row>
        <row r="2130">
          <cell r="B2130" t="str">
            <v>INF789F1AXT9</v>
          </cell>
          <cell r="C2130" t="str">
            <v>INF789F1AXU7</v>
          </cell>
          <cell r="D2130" t="str">
            <v>UTI Long Duration Fund - Regular Plan - Quarterly IDCW Option</v>
          </cell>
          <cell r="E2130">
            <v>11.9732</v>
          </cell>
        </row>
        <row r="2131">
          <cell r="B2131" t="str">
            <v/>
          </cell>
          <cell r="C2131" t="str">
            <v/>
          </cell>
          <cell r="D2131" t="str">
            <v/>
          </cell>
        </row>
        <row r="2132">
          <cell r="B2132" t="str">
            <v/>
          </cell>
          <cell r="C2132" t="str">
            <v/>
          </cell>
          <cell r="D2132" t="str">
            <v/>
          </cell>
        </row>
        <row r="2133">
          <cell r="B2133" t="str">
            <v/>
          </cell>
          <cell r="C2133" t="str">
            <v/>
          </cell>
          <cell r="D2133" t="str">
            <v/>
          </cell>
        </row>
        <row r="2134">
          <cell r="B2134" t="str">
            <v/>
          </cell>
          <cell r="C2134" t="str">
            <v/>
          </cell>
          <cell r="D2134" t="str">
            <v/>
          </cell>
        </row>
        <row r="2135">
          <cell r="B2135" t="str">
            <v/>
          </cell>
          <cell r="C2135" t="str">
            <v/>
          </cell>
          <cell r="D2135" t="str">
            <v/>
          </cell>
        </row>
        <row r="2136">
          <cell r="B2136" t="str">
            <v>INF209K01XU7</v>
          </cell>
          <cell r="C2136" t="str">
            <v>-</v>
          </cell>
          <cell r="D2136" t="str">
            <v>Aditya Birla Sun Life Low duration Fund - Growth - Direct Plan</v>
          </cell>
          <cell r="E2136">
            <v>777.38499999999999</v>
          </cell>
        </row>
        <row r="2137">
          <cell r="B2137" t="str">
            <v>INF209K01XW3</v>
          </cell>
          <cell r="C2137" t="str">
            <v>-</v>
          </cell>
          <cell r="D2137" t="str">
            <v>Aditya Birla Sun Life Low Duration Fund -Direct - daily IDCW</v>
          </cell>
          <cell r="E2137">
            <v>99.995099999999994</v>
          </cell>
        </row>
        <row r="2138">
          <cell r="B2138" t="str">
            <v>-</v>
          </cell>
          <cell r="C2138" t="str">
            <v>INF209K01XV5</v>
          </cell>
          <cell r="D2138" t="str">
            <v>Aditya Birla Sun Life Low Duration Fund -Direct - weekly IDCW</v>
          </cell>
          <cell r="E2138">
            <v>100.688</v>
          </cell>
        </row>
        <row r="2139">
          <cell r="B2139" t="str">
            <v>-</v>
          </cell>
          <cell r="C2139" t="str">
            <v>INF209K01KG3</v>
          </cell>
          <cell r="D2139" t="str">
            <v>Aditya Birla Sun Life Low Duration Fund -Institutional - weekly  IDCW</v>
          </cell>
          <cell r="E2139">
            <v>99.9054</v>
          </cell>
        </row>
        <row r="2140">
          <cell r="B2140" t="str">
            <v>-</v>
          </cell>
          <cell r="C2140" t="str">
            <v>INF209KA1LP6</v>
          </cell>
          <cell r="D2140" t="str">
            <v>Aditya Birla Sun Life Low Duration Fund -Regular - DAILY IDCW</v>
          </cell>
          <cell r="E2140">
            <v>99.993200000000002</v>
          </cell>
        </row>
        <row r="2141">
          <cell r="B2141" t="str">
            <v>-</v>
          </cell>
          <cell r="C2141" t="str">
            <v>INF209KA1LQ4</v>
          </cell>
          <cell r="D2141" t="str">
            <v>Aditya Birla Sun Life Low Duration Fund -REGULAR - WEEKLY IDCW</v>
          </cell>
          <cell r="E2141">
            <v>100.56</v>
          </cell>
        </row>
        <row r="2142">
          <cell r="B2142" t="str">
            <v>INF209K01LQ0</v>
          </cell>
          <cell r="C2142" t="str">
            <v>-</v>
          </cell>
          <cell r="D2142" t="str">
            <v>Aditya Birla Sun Life Low Duration Fund -Regular- Growth Plan</v>
          </cell>
          <cell r="E2142">
            <v>695.85469999999998</v>
          </cell>
        </row>
        <row r="2143">
          <cell r="B2143" t="str">
            <v/>
          </cell>
          <cell r="C2143" t="str">
            <v/>
          </cell>
          <cell r="D2143" t="str">
            <v/>
          </cell>
        </row>
        <row r="2144">
          <cell r="B2144" t="str">
            <v/>
          </cell>
          <cell r="C2144" t="str">
            <v/>
          </cell>
          <cell r="D2144" t="str">
            <v/>
          </cell>
        </row>
        <row r="2145">
          <cell r="B2145" t="str">
            <v/>
          </cell>
          <cell r="C2145" t="str">
            <v/>
          </cell>
          <cell r="D2145" t="str">
            <v/>
          </cell>
        </row>
        <row r="2146">
          <cell r="B2146" t="str">
            <v>INF846K01NQ5</v>
          </cell>
          <cell r="C2146" t="str">
            <v>-</v>
          </cell>
          <cell r="D2146" t="str">
            <v>Axis Treasury Advantage Fund - Direct Plan - Bonus Option</v>
          </cell>
          <cell r="E2146">
            <v>1847.5931</v>
          </cell>
        </row>
        <row r="2147">
          <cell r="B2147" t="str">
            <v>-</v>
          </cell>
          <cell r="C2147" t="str">
            <v>INF846K01EQ4</v>
          </cell>
          <cell r="D2147" t="str">
            <v>Axis Treasury Advantage Fund - Direct Plan - Daily IDCW</v>
          </cell>
          <cell r="E2147">
            <v>1012.3969</v>
          </cell>
        </row>
        <row r="2148">
          <cell r="B2148" t="str">
            <v>INF846K01EN1</v>
          </cell>
          <cell r="C2148" t="str">
            <v>-</v>
          </cell>
          <cell r="D2148" t="str">
            <v>Axis Treasury Advantage Fund - Direct Plan - Growth Option</v>
          </cell>
          <cell r="E2148">
            <v>3470.5942</v>
          </cell>
        </row>
        <row r="2149">
          <cell r="B2149" t="str">
            <v>INF846K01EO9</v>
          </cell>
          <cell r="C2149" t="str">
            <v>INF846K01EP6</v>
          </cell>
          <cell r="D2149" t="str">
            <v>Axis Treasury Advantage Fund - Direct Plan - Monthly IDCW</v>
          </cell>
          <cell r="E2149">
            <v>1013.9727</v>
          </cell>
        </row>
        <row r="2150">
          <cell r="B2150" t="str">
            <v>INF846K01ER2</v>
          </cell>
          <cell r="C2150" t="str">
            <v>INF846K01ES0</v>
          </cell>
          <cell r="D2150" t="str">
            <v>Axis Treasury Advantage Fund - Direct Plan - Weekly IDCW</v>
          </cell>
          <cell r="E2150">
            <v>1012.0443</v>
          </cell>
        </row>
        <row r="2151">
          <cell r="B2151" t="str">
            <v>-</v>
          </cell>
          <cell r="C2151" t="str">
            <v>INF846K01545</v>
          </cell>
          <cell r="D2151" t="str">
            <v>Axis Treasury Advantage Fund - Regular Plan - Daily IDCW</v>
          </cell>
          <cell r="E2151">
            <v>1013.1617</v>
          </cell>
        </row>
        <row r="2152">
          <cell r="B2152" t="str">
            <v>INF846K01537</v>
          </cell>
          <cell r="C2152" t="str">
            <v>-</v>
          </cell>
          <cell r="D2152" t="str">
            <v>Axis Treasury Advantage Fund - Regular Plan - Growth Option</v>
          </cell>
          <cell r="E2152">
            <v>3298.5785000000001</v>
          </cell>
        </row>
        <row r="2153">
          <cell r="B2153" t="str">
            <v>INF846K01578</v>
          </cell>
          <cell r="C2153" t="str">
            <v>INF846K01586</v>
          </cell>
          <cell r="D2153" t="str">
            <v>Axis Treasury Advantage Fund - Regular Plan - Monthly IDCW</v>
          </cell>
          <cell r="E2153">
            <v>1013.7049</v>
          </cell>
        </row>
        <row r="2154">
          <cell r="B2154" t="str">
            <v>INF846K01552</v>
          </cell>
          <cell r="C2154" t="str">
            <v>INF846K01560</v>
          </cell>
          <cell r="D2154" t="str">
            <v>Axis Treasury Advantage Fund - Regular Plan - Weekly IDCW</v>
          </cell>
          <cell r="E2154">
            <v>1012.0238000000001</v>
          </cell>
        </row>
        <row r="2155">
          <cell r="B2155" t="str">
            <v>-</v>
          </cell>
          <cell r="C2155" t="str">
            <v>INF846K01487</v>
          </cell>
          <cell r="D2155" t="str">
            <v>Axis Treasury Advantage Fund - Retail Plan - Daily IDCW</v>
          </cell>
          <cell r="E2155">
            <v>1012.3869999999999</v>
          </cell>
        </row>
        <row r="2156">
          <cell r="B2156" t="str">
            <v>INF846K01479</v>
          </cell>
          <cell r="C2156" t="str">
            <v>-</v>
          </cell>
          <cell r="D2156" t="str">
            <v>Axis Treasury Advantage Fund - Retail Plan - Growth Option</v>
          </cell>
          <cell r="E2156">
            <v>3092.6021999999998</v>
          </cell>
        </row>
        <row r="2157">
          <cell r="B2157" t="str">
            <v>INF846K01511</v>
          </cell>
          <cell r="C2157" t="str">
            <v>INF846K01529</v>
          </cell>
          <cell r="D2157" t="str">
            <v>Axis Treasury Advantage Fund - Retail Plan - Monthly IDCW</v>
          </cell>
          <cell r="E2157">
            <v>1013.7175999999999</v>
          </cell>
        </row>
        <row r="2158">
          <cell r="B2158" t="str">
            <v>INF846K01495</v>
          </cell>
          <cell r="C2158" t="str">
            <v>INF846K01503</v>
          </cell>
          <cell r="D2158" t="str">
            <v>Axis Treasury Advantage Fund - Retail Plan - Weekly IDCW</v>
          </cell>
          <cell r="E2158">
            <v>1012.0237</v>
          </cell>
        </row>
        <row r="2159">
          <cell r="B2159" t="str">
            <v/>
          </cell>
          <cell r="C2159" t="str">
            <v/>
          </cell>
          <cell r="D2159" t="str">
            <v/>
          </cell>
        </row>
        <row r="2160">
          <cell r="B2160" t="str">
            <v/>
          </cell>
          <cell r="C2160" t="str">
            <v/>
          </cell>
          <cell r="D2160" t="str">
            <v/>
          </cell>
        </row>
        <row r="2161">
          <cell r="B2161" t="str">
            <v/>
          </cell>
          <cell r="C2161" t="str">
            <v/>
          </cell>
          <cell r="D2161" t="str">
            <v/>
          </cell>
        </row>
        <row r="2162">
          <cell r="B2162" t="str">
            <v>INF0QA701CF6</v>
          </cell>
          <cell r="C2162" t="str">
            <v>-</v>
          </cell>
          <cell r="D2162" t="str">
            <v>Bajaj Finserv Low Duration Fund - Direct - Growth</v>
          </cell>
          <cell r="E2162">
            <v>1027.1124</v>
          </cell>
        </row>
        <row r="2163">
          <cell r="B2163" t="str">
            <v>INF0QA701CG4</v>
          </cell>
          <cell r="C2163" t="str">
            <v>INF0QA701CH2</v>
          </cell>
          <cell r="D2163" t="str">
            <v>Bajaj Finserv Low Duration Fund - Direct - IDCW</v>
          </cell>
          <cell r="E2163">
            <v>1027.1124</v>
          </cell>
        </row>
        <row r="2164">
          <cell r="B2164" t="str">
            <v>INF0QA701CC3</v>
          </cell>
          <cell r="C2164" t="str">
            <v>-</v>
          </cell>
          <cell r="D2164" t="str">
            <v>Bajaj Finserv Low Duration Fund - Regular - Growth</v>
          </cell>
          <cell r="E2164">
            <v>1023.7632</v>
          </cell>
        </row>
        <row r="2165">
          <cell r="B2165" t="str">
            <v>INF0QA701CD1</v>
          </cell>
          <cell r="C2165" t="str">
            <v>INF0QA701CE9</v>
          </cell>
          <cell r="D2165" t="str">
            <v>Bajaj Finserv Low Duration Fund - Regular - IDCW</v>
          </cell>
          <cell r="E2165">
            <v>1023.7632</v>
          </cell>
        </row>
        <row r="2166">
          <cell r="B2166" t="str">
            <v/>
          </cell>
          <cell r="C2166" t="str">
            <v/>
          </cell>
          <cell r="D2166" t="str">
            <v/>
          </cell>
        </row>
        <row r="2167">
          <cell r="B2167" t="str">
            <v/>
          </cell>
          <cell r="C2167" t="str">
            <v/>
          </cell>
          <cell r="D2167" t="str">
            <v/>
          </cell>
        </row>
        <row r="2168">
          <cell r="B2168" t="str">
            <v/>
          </cell>
          <cell r="C2168" t="str">
            <v/>
          </cell>
          <cell r="D2168" t="str">
            <v/>
          </cell>
        </row>
        <row r="2169">
          <cell r="B2169" t="str">
            <v>INF194K01FW4</v>
          </cell>
          <cell r="C2169" t="str">
            <v>INF194K01FV6</v>
          </cell>
          <cell r="D2169" t="str">
            <v>BANDHAN Low Duration Fund - Regular Plan - Daily IDCW</v>
          </cell>
          <cell r="E2169">
            <v>10.0989</v>
          </cell>
        </row>
        <row r="2170">
          <cell r="B2170" t="str">
            <v>INF194K01FU8</v>
          </cell>
          <cell r="C2170" t="str">
            <v>-</v>
          </cell>
          <cell r="D2170" t="str">
            <v>BANDHAN Low Duration Fund - Regular Plan - Growth</v>
          </cell>
          <cell r="E2170">
            <v>41.0276</v>
          </cell>
        </row>
        <row r="2171">
          <cell r="B2171" t="str">
            <v>INF194K01FZ7</v>
          </cell>
          <cell r="C2171" t="str">
            <v>INF194K01FY0</v>
          </cell>
          <cell r="D2171" t="str">
            <v>BANDHAN Low Duration Fund - Regular Plan - Monthly IDCW</v>
          </cell>
          <cell r="E2171">
            <v>10.1294</v>
          </cell>
        </row>
        <row r="2172">
          <cell r="B2172" t="str">
            <v>INF194K01I29</v>
          </cell>
          <cell r="C2172" t="str">
            <v>INF194K01I37</v>
          </cell>
          <cell r="D2172" t="str">
            <v>BANDHAN Low Duration Fund - Regular Plan - Periodic IDCW</v>
          </cell>
          <cell r="E2172">
            <v>13.623100000000001</v>
          </cell>
        </row>
        <row r="2173">
          <cell r="B2173" t="str">
            <v>INF194K01UR3</v>
          </cell>
          <cell r="C2173" t="str">
            <v>INF194K01US1</v>
          </cell>
          <cell r="D2173" t="str">
            <v>BANDHAN Low Duration Fund - Regular Plan - Quarterly IDCW</v>
          </cell>
          <cell r="E2173">
            <v>11.192600000000001</v>
          </cell>
        </row>
        <row r="2174">
          <cell r="B2174" t="str">
            <v>INF194K01GC4</v>
          </cell>
          <cell r="C2174" t="str">
            <v>INF194K01GB6</v>
          </cell>
          <cell r="D2174" t="str">
            <v>BANDHAN Low Duration Fund - Regular Plan - Weekly IDCW</v>
          </cell>
          <cell r="E2174">
            <v>10.112399999999999</v>
          </cell>
        </row>
        <row r="2175">
          <cell r="B2175" t="str">
            <v>-</v>
          </cell>
          <cell r="C2175" t="str">
            <v>INF194K01J85</v>
          </cell>
          <cell r="D2175" t="str">
            <v>BANDHAN Low Duration Fund-Direct Plan-Daily IDCW</v>
          </cell>
          <cell r="E2175">
            <v>10.108599999999999</v>
          </cell>
        </row>
        <row r="2176">
          <cell r="B2176" t="str">
            <v>INF194K01J77</v>
          </cell>
          <cell r="C2176" t="str">
            <v>-</v>
          </cell>
          <cell r="D2176" t="str">
            <v>BANDHAN Low Duration Fund-Direct Plan-Growth</v>
          </cell>
          <cell r="E2176">
            <v>42.164900000000003</v>
          </cell>
        </row>
        <row r="2177">
          <cell r="B2177" t="str">
            <v>INF194K01K17</v>
          </cell>
          <cell r="C2177" t="str">
            <v>INF194K01K09</v>
          </cell>
          <cell r="D2177" t="str">
            <v>BANDHAN Low Duration Fund-Direct Plan-Monthly IDCW</v>
          </cell>
          <cell r="E2177">
            <v>10.1447</v>
          </cell>
        </row>
        <row r="2178">
          <cell r="B2178" t="str">
            <v>INF194K01K82</v>
          </cell>
          <cell r="C2178" t="str">
            <v>INF194K01K90</v>
          </cell>
          <cell r="D2178" t="str">
            <v>BANDHAN Low Duration Fund-Direct Plan-Periodic IDCW</v>
          </cell>
          <cell r="E2178">
            <v>13.8117</v>
          </cell>
        </row>
        <row r="2179">
          <cell r="B2179" t="str">
            <v>INF194K01K58</v>
          </cell>
          <cell r="C2179" t="str">
            <v>INF194K01K66</v>
          </cell>
          <cell r="D2179" t="str">
            <v>BANDHAN Low Duration Fund-Direct Plan-Quarterly IDCW</v>
          </cell>
          <cell r="E2179">
            <v>11.136100000000001</v>
          </cell>
        </row>
        <row r="2180">
          <cell r="B2180" t="str">
            <v>-</v>
          </cell>
          <cell r="C2180" t="str">
            <v>INF194K01K33</v>
          </cell>
          <cell r="D2180" t="str">
            <v>BANDHAN Low Duration Fund-Direct Plan-Weekly IDCW</v>
          </cell>
          <cell r="E2180">
            <v>10.101100000000001</v>
          </cell>
        </row>
        <row r="2181">
          <cell r="B2181" t="str">
            <v/>
          </cell>
          <cell r="C2181" t="str">
            <v/>
          </cell>
          <cell r="D2181" t="str">
            <v/>
          </cell>
        </row>
        <row r="2182">
          <cell r="B2182" t="str">
            <v/>
          </cell>
          <cell r="C2182" t="str">
            <v/>
          </cell>
          <cell r="D2182" t="str">
            <v/>
          </cell>
        </row>
        <row r="2183">
          <cell r="B2183" t="str">
            <v/>
          </cell>
          <cell r="C2183" t="str">
            <v/>
          </cell>
          <cell r="D2183" t="str">
            <v/>
          </cell>
        </row>
        <row r="2184">
          <cell r="B2184" t="str">
            <v>-</v>
          </cell>
          <cell r="C2184" t="str">
            <v>INF251K01GK5</v>
          </cell>
          <cell r="D2184" t="str">
            <v>BARODA BNP PARIBAS LOW DURATION Fund - Direct Plan - Daily IDCW Option</v>
          </cell>
          <cell r="E2184">
            <v>10.0945</v>
          </cell>
        </row>
        <row r="2185">
          <cell r="B2185" t="str">
            <v>INF251K01GJ7</v>
          </cell>
          <cell r="C2185" t="str">
            <v>-</v>
          </cell>
          <cell r="D2185" t="str">
            <v>BARODA BNP PARIBAS LOW DURATION Fund - Direct Plan - Growth Option</v>
          </cell>
          <cell r="E2185">
            <v>46.933999999999997</v>
          </cell>
        </row>
        <row r="2186">
          <cell r="B2186" t="str">
            <v>INF251K01GN9</v>
          </cell>
          <cell r="C2186" t="str">
            <v>INF251K01GO7</v>
          </cell>
          <cell r="D2186" t="str">
            <v>BARODA BNP PARIBAS LOW DURATION Fund - Direct Plan - Monthly IDCW Option</v>
          </cell>
          <cell r="E2186">
            <v>10.433999999999999</v>
          </cell>
        </row>
        <row r="2187">
          <cell r="B2187" t="str">
            <v>INF251K01GL3</v>
          </cell>
          <cell r="C2187" t="str">
            <v>INF251K01GM1</v>
          </cell>
          <cell r="D2187" t="str">
            <v>BARODA BNP PARIBAS LOW DURATION Fund - Direct Plan - Weekly IDCW Option</v>
          </cell>
          <cell r="E2187">
            <v>10.009600000000001</v>
          </cell>
        </row>
        <row r="2188">
          <cell r="B2188" t="str">
            <v>-</v>
          </cell>
          <cell r="C2188" t="str">
            <v>INF251K01DR7</v>
          </cell>
          <cell r="D2188" t="str">
            <v>BARODA BNP PARIBAS LOW DURATION FUND - Regular Plan - DAILY IDCW OPTION</v>
          </cell>
          <cell r="E2188">
            <v>10.0596</v>
          </cell>
        </row>
        <row r="2189">
          <cell r="B2189" t="str">
            <v>INF251K01DQ9</v>
          </cell>
          <cell r="C2189" t="str">
            <v>-</v>
          </cell>
          <cell r="D2189" t="str">
            <v>BARODA BNP PARIBAS LOW DURATION FUND - Regular Plan - GROWTH OPTION</v>
          </cell>
          <cell r="E2189">
            <v>42.52</v>
          </cell>
        </row>
        <row r="2190">
          <cell r="B2190" t="str">
            <v>INF251K01DU1</v>
          </cell>
          <cell r="C2190" t="str">
            <v>INF251K01DV9</v>
          </cell>
          <cell r="D2190" t="str">
            <v>BARODA BNP PARIBAS LOW DURATION FUND - Regular Plan - MONTHLY IDCW OPTION</v>
          </cell>
          <cell r="E2190">
            <v>10.27</v>
          </cell>
        </row>
        <row r="2191">
          <cell r="B2191" t="str">
            <v>INF251K01DS5</v>
          </cell>
          <cell r="C2191" t="str">
            <v>INF251K01DT3</v>
          </cell>
          <cell r="D2191" t="str">
            <v>BARODA BNP PARIBAS LOW DURATION FUND - Regular Plan - WEEKLY IDCW OPTION</v>
          </cell>
          <cell r="E2191">
            <v>10.009399999999999</v>
          </cell>
        </row>
        <row r="2192">
          <cell r="B2192" t="str">
            <v>-</v>
          </cell>
          <cell r="C2192" t="str">
            <v>INF251K01DM8</v>
          </cell>
          <cell r="D2192" t="str">
            <v>BARODA BNP PARIBAS LOW DURATION Fund-Defunct Plan- Daily IDCW Option</v>
          </cell>
          <cell r="E2192">
            <v>10.049099999999999</v>
          </cell>
        </row>
        <row r="2193">
          <cell r="B2193" t="str">
            <v>INF251K01DL0</v>
          </cell>
          <cell r="C2193" t="str">
            <v>-</v>
          </cell>
          <cell r="D2193" t="str">
            <v>BARODA BNP PARIBAS LOW DURATION Fund-Defunct Plan-Growth Option</v>
          </cell>
          <cell r="E2193">
            <v>42.593899999999998</v>
          </cell>
        </row>
        <row r="2194">
          <cell r="B2194" t="str">
            <v>INF251K01DO4</v>
          </cell>
          <cell r="C2194" t="str">
            <v>INF251K01DP1</v>
          </cell>
          <cell r="D2194" t="str">
            <v>BARODA BNP PARIBAS LOW DURATION Fund-Defunct Plan-Monthly IDCW Option</v>
          </cell>
          <cell r="E2194">
            <v>10.499000000000001</v>
          </cell>
        </row>
        <row r="2195">
          <cell r="B2195" t="str">
            <v>-</v>
          </cell>
          <cell r="C2195" t="str">
            <v>INF251K01DN6</v>
          </cell>
          <cell r="D2195" t="str">
            <v>BARODA BNP PARIBAS LOW DURATION Fund-Defunct Plan-Weekly IDCW Option</v>
          </cell>
          <cell r="E2195">
            <v>10.009399999999999</v>
          </cell>
        </row>
        <row r="2196">
          <cell r="B2196" t="str">
            <v/>
          </cell>
          <cell r="C2196" t="str">
            <v/>
          </cell>
          <cell r="D2196" t="str">
            <v/>
          </cell>
        </row>
        <row r="2197">
          <cell r="B2197" t="str">
            <v/>
          </cell>
          <cell r="C2197" t="str">
            <v/>
          </cell>
          <cell r="D2197" t="str">
            <v/>
          </cell>
        </row>
        <row r="2198">
          <cell r="B2198" t="str">
            <v/>
          </cell>
          <cell r="C2198" t="str">
            <v/>
          </cell>
          <cell r="D2198" t="str">
            <v/>
          </cell>
        </row>
        <row r="2199">
          <cell r="B2199" t="str">
            <v>-</v>
          </cell>
          <cell r="C2199" t="str">
            <v>INF760K01EM6</v>
          </cell>
          <cell r="D2199" t="str">
            <v>CANARA ROBECO SAVINGS FUND - DIRECT PLAN - DAILY IDCW (Reinvestment)</v>
          </cell>
          <cell r="E2199">
            <v>10.2591</v>
          </cell>
        </row>
        <row r="2200">
          <cell r="B2200" t="str">
            <v>INF760K01ET1</v>
          </cell>
          <cell r="C2200" t="str">
            <v>-</v>
          </cell>
          <cell r="D2200" t="str">
            <v>CANARA ROBECO SAVINGS FUND - DIRECT PLAN - GROWTH OPTION</v>
          </cell>
          <cell r="E2200">
            <v>46.258699999999997</v>
          </cell>
        </row>
        <row r="2201">
          <cell r="B2201" t="str">
            <v>INF760K01EP9</v>
          </cell>
          <cell r="C2201" t="str">
            <v>INF760K01EQ7</v>
          </cell>
          <cell r="D2201" t="str">
            <v>CANARA ROBECO SAVINGS FUND - DIRECT PLAN - IDCW (Payout/Reinvestment)</v>
          </cell>
          <cell r="E2201">
            <v>38.4345</v>
          </cell>
        </row>
        <row r="2202">
          <cell r="B2202" t="str">
            <v>INF760K01EN4</v>
          </cell>
          <cell r="C2202" t="str">
            <v>INF760K01EO2</v>
          </cell>
          <cell r="D2202" t="str">
            <v>CANARA ROBECO SAVINGS FUND - DIRECT PLAN - MONTHLY IDCW (Payout/Reinvestment)</v>
          </cell>
          <cell r="E2202">
            <v>10.313599999999999</v>
          </cell>
        </row>
        <row r="2203">
          <cell r="B2203" t="str">
            <v>INF760K01ER5</v>
          </cell>
          <cell r="C2203" t="str">
            <v>INF760K01ES3</v>
          </cell>
          <cell r="D2203" t="str">
            <v>CANARA ROBECO SAVINGS FUND - DIRECT PLAN - WEEKLY IDCW (Payout/Reinvestment)</v>
          </cell>
          <cell r="E2203">
            <v>10.26</v>
          </cell>
        </row>
        <row r="2204">
          <cell r="B2204" t="str">
            <v>-</v>
          </cell>
          <cell r="C2204" t="str">
            <v>INF760K01803</v>
          </cell>
          <cell r="D2204" t="str">
            <v>CANARA ROBECO SAVINGS FUND - REGULAR PLAN - DAILY IDCW (Reinvestment)</v>
          </cell>
          <cell r="E2204">
            <v>10.259</v>
          </cell>
        </row>
        <row r="2205">
          <cell r="B2205" t="str">
            <v>INF760K01795</v>
          </cell>
          <cell r="C2205" t="str">
            <v>-</v>
          </cell>
          <cell r="D2205" t="str">
            <v>CANARA ROBECO SAVINGS FUND - REGULAR PLAN - GROWTH OPTION</v>
          </cell>
          <cell r="E2205">
            <v>44.886299999999999</v>
          </cell>
        </row>
        <row r="2206">
          <cell r="B2206" t="str">
            <v>INF760K01779</v>
          </cell>
          <cell r="C2206" t="str">
            <v>INF760K01787</v>
          </cell>
          <cell r="D2206" t="str">
            <v>CANARA ROBECO SAVINGS FUND - REGULAR PLAN - IDCW (Payout/Reinvestment)</v>
          </cell>
          <cell r="E2206">
            <v>37.397399999999998</v>
          </cell>
        </row>
        <row r="2207">
          <cell r="B2207" t="str">
            <v>INF760K01AM4</v>
          </cell>
          <cell r="C2207" t="str">
            <v>INF760K01AN2</v>
          </cell>
          <cell r="D2207" t="str">
            <v>CANARA ROBECO SAVINGS FUND - REGULAR PLAN - MONTHLY IDCW (Payout/Reinvestment)</v>
          </cell>
          <cell r="E2207">
            <v>10.3116</v>
          </cell>
        </row>
        <row r="2208">
          <cell r="B2208" t="str">
            <v>INF760K01CB3</v>
          </cell>
          <cell r="C2208" t="str">
            <v>INF760K01811</v>
          </cell>
          <cell r="D2208" t="str">
            <v>CANARA ROBECO SAVINGS FUND - REGULAR PLAN - WEEKLY IDCW (Payout/Reinvestment)</v>
          </cell>
          <cell r="E2208">
            <v>10.26</v>
          </cell>
        </row>
        <row r="2209">
          <cell r="B2209" t="str">
            <v/>
          </cell>
          <cell r="C2209" t="str">
            <v/>
          </cell>
          <cell r="D2209" t="str">
            <v/>
          </cell>
        </row>
        <row r="2210">
          <cell r="B2210" t="str">
            <v/>
          </cell>
          <cell r="C2210" t="str">
            <v/>
          </cell>
          <cell r="D2210" t="str">
            <v/>
          </cell>
        </row>
        <row r="2211">
          <cell r="B2211" t="str">
            <v/>
          </cell>
          <cell r="C2211" t="str">
            <v/>
          </cell>
          <cell r="D2211" t="str">
            <v/>
          </cell>
        </row>
        <row r="2212">
          <cell r="B2212" t="str">
            <v>INF740K013Q1</v>
          </cell>
          <cell r="C2212" t="str">
            <v>-</v>
          </cell>
          <cell r="D2212" t="str">
            <v>DSP Low Duration Fund - Direct Plan - Growth</v>
          </cell>
          <cell r="E2212">
            <v>21.836099999999998</v>
          </cell>
        </row>
        <row r="2213">
          <cell r="B2213" t="str">
            <v>-</v>
          </cell>
          <cell r="C2213" t="str">
            <v>INF740KA1OL5</v>
          </cell>
          <cell r="D2213" t="str">
            <v>DSP Low Duration Fund - Direct Plan - IDCW - Daily</v>
          </cell>
          <cell r="E2213">
            <v>10.125</v>
          </cell>
        </row>
        <row r="2214">
          <cell r="B2214" t="str">
            <v>INF740K014Q9</v>
          </cell>
          <cell r="C2214" t="str">
            <v>INF740K015Q6</v>
          </cell>
          <cell r="D2214" t="str">
            <v>DSP Low Duration Fund - Direct Plan - IDCW - Monthly</v>
          </cell>
          <cell r="E2214">
            <v>11.857200000000001</v>
          </cell>
        </row>
        <row r="2215">
          <cell r="B2215" t="str">
            <v>INF740K016Q4</v>
          </cell>
          <cell r="C2215" t="str">
            <v>INF740K017Q2</v>
          </cell>
          <cell r="D2215" t="str">
            <v>DSP Low Duration Fund - Direct Plan - IDCW - Quarterly</v>
          </cell>
          <cell r="E2215">
            <v>10.9239</v>
          </cell>
        </row>
        <row r="2216">
          <cell r="B2216" t="str">
            <v>INF740KA1OM3</v>
          </cell>
          <cell r="C2216" t="str">
            <v>INF740KA1ON1</v>
          </cell>
          <cell r="D2216" t="str">
            <v>DSP Low Duration Fund - Direct Plan - IDCW - Weekly</v>
          </cell>
          <cell r="E2216">
            <v>10.127599999999999</v>
          </cell>
        </row>
        <row r="2217">
          <cell r="B2217" t="str">
            <v>INF740K018P2</v>
          </cell>
          <cell r="C2217" t="str">
            <v>-</v>
          </cell>
          <cell r="D2217" t="str">
            <v>DSP Low Duration Fund - Regular Plan - Growth</v>
          </cell>
          <cell r="E2217">
            <v>21.073399999999999</v>
          </cell>
        </row>
        <row r="2218">
          <cell r="B2218" t="str">
            <v>-</v>
          </cell>
          <cell r="C2218" t="str">
            <v>INF740KA1OO9</v>
          </cell>
          <cell r="D2218" t="str">
            <v>DSP Low Duration Fund - Regular Plan - IDCW - Daily</v>
          </cell>
          <cell r="E2218">
            <v>10.179500000000001</v>
          </cell>
        </row>
        <row r="2219">
          <cell r="B2219" t="str">
            <v>INF740K019P0</v>
          </cell>
          <cell r="C2219" t="str">
            <v>INF740K010Q7</v>
          </cell>
          <cell r="D2219" t="str">
            <v>DSP Low Duration Fund - Regular Plan - IDCW - Monthly</v>
          </cell>
          <cell r="E2219">
            <v>10.701000000000001</v>
          </cell>
        </row>
        <row r="2220">
          <cell r="B2220" t="str">
            <v>INF740K011Q5</v>
          </cell>
          <cell r="C2220" t="str">
            <v>INF740K012Q3</v>
          </cell>
          <cell r="D2220" t="str">
            <v>DSP Low Duration Fund - Regular Plan - IDCW - Quarterly</v>
          </cell>
          <cell r="E2220">
            <v>10.8863</v>
          </cell>
        </row>
        <row r="2221">
          <cell r="B2221" t="str">
            <v>INF740KA1OP6</v>
          </cell>
          <cell r="C2221" t="str">
            <v>INF740KA1OQ4</v>
          </cell>
          <cell r="D2221" t="str">
            <v>DSP Low Duration Fund - Regular Plan - IDCW - Weekly</v>
          </cell>
          <cell r="E2221">
            <v>10.135199999999999</v>
          </cell>
        </row>
        <row r="2222">
          <cell r="B2222" t="str">
            <v/>
          </cell>
          <cell r="C2222" t="str">
            <v/>
          </cell>
          <cell r="D2222" t="str">
            <v/>
          </cell>
        </row>
        <row r="2223">
          <cell r="B2223" t="str">
            <v/>
          </cell>
          <cell r="C2223" t="str">
            <v/>
          </cell>
          <cell r="D2223" t="str">
            <v/>
          </cell>
        </row>
        <row r="2224">
          <cell r="B2224" t="str">
            <v/>
          </cell>
          <cell r="C2224" t="str">
            <v/>
          </cell>
          <cell r="D2224" t="str">
            <v/>
          </cell>
        </row>
        <row r="2225">
          <cell r="B2225" t="str">
            <v>INF754K01UP8</v>
          </cell>
          <cell r="C2225" t="str">
            <v>-</v>
          </cell>
          <cell r="D2225" t="str">
            <v>Edelweiss Low Duration Fund - Direct Plan Growth</v>
          </cell>
          <cell r="E2225">
            <v>1095.2953</v>
          </cell>
        </row>
        <row r="2226">
          <cell r="B2226" t="str">
            <v>INF754K01UQ6</v>
          </cell>
          <cell r="C2226" t="str">
            <v>INF754K01UR4</v>
          </cell>
          <cell r="D2226" t="str">
            <v>Edelweiss Low Duration Fund - Direct Plan IDCW Payout</v>
          </cell>
          <cell r="E2226">
            <v>1095.2651000000001</v>
          </cell>
        </row>
        <row r="2227">
          <cell r="B2227" t="str">
            <v>INF754K01UT0</v>
          </cell>
          <cell r="C2227" t="str">
            <v>-</v>
          </cell>
          <cell r="D2227" t="str">
            <v>Edelweiss Low Duration Fund - Regular Plan Growth</v>
          </cell>
          <cell r="E2227">
            <v>1084.0318</v>
          </cell>
        </row>
        <row r="2228">
          <cell r="B2228" t="str">
            <v>INF754K01UU8</v>
          </cell>
          <cell r="C2228" t="str">
            <v>INF754K01UV6</v>
          </cell>
          <cell r="D2228" t="str">
            <v>Edelweiss Low Duration Fund - Regular Plan IDCW Payout</v>
          </cell>
          <cell r="E2228">
            <v>1084.0314000000001</v>
          </cell>
        </row>
        <row r="2229">
          <cell r="B2229" t="str">
            <v/>
          </cell>
          <cell r="C2229" t="str">
            <v/>
          </cell>
          <cell r="D2229" t="str">
            <v/>
          </cell>
        </row>
        <row r="2230">
          <cell r="B2230" t="str">
            <v/>
          </cell>
          <cell r="C2230" t="str">
            <v/>
          </cell>
          <cell r="D2230" t="str">
            <v/>
          </cell>
        </row>
        <row r="2231">
          <cell r="B2231" t="str">
            <v/>
          </cell>
          <cell r="C2231" t="str">
            <v/>
          </cell>
          <cell r="D2231" t="str">
            <v/>
          </cell>
        </row>
        <row r="2232">
          <cell r="B2232" t="str">
            <v>INF090I01YE7</v>
          </cell>
          <cell r="C2232" t="str">
            <v>-</v>
          </cell>
          <cell r="D2232" t="str">
            <v>Franklin India Low Duration Fund-Direct-Growth</v>
          </cell>
          <cell r="E2232">
            <v>11.0527</v>
          </cell>
        </row>
        <row r="2233">
          <cell r="B2233" t="str">
            <v>INF090I01YG2</v>
          </cell>
          <cell r="C2233" t="str">
            <v>INF090I01YF4</v>
          </cell>
          <cell r="D2233" t="str">
            <v>Franklin India Low Duration Fund-Direct-IDCW</v>
          </cell>
          <cell r="E2233">
            <v>10.600300000000001</v>
          </cell>
        </row>
        <row r="2234">
          <cell r="B2234" t="str">
            <v>INF090I01YB3</v>
          </cell>
          <cell r="C2234" t="str">
            <v>-</v>
          </cell>
          <cell r="D2234" t="str">
            <v>Franklin India Low Duration Fund-Growth</v>
          </cell>
          <cell r="E2234">
            <v>10.972300000000001</v>
          </cell>
        </row>
        <row r="2235">
          <cell r="B2235" t="str">
            <v>INF090I01YD9</v>
          </cell>
          <cell r="C2235" t="str">
            <v>INF090I01YC1</v>
          </cell>
          <cell r="D2235" t="str">
            <v>Franklin India Low Duration Fund-IDCW</v>
          </cell>
          <cell r="E2235">
            <v>10.540900000000001</v>
          </cell>
        </row>
        <row r="2236">
          <cell r="B2236" t="str">
            <v>INF090I01HG7</v>
          </cell>
          <cell r="C2236" t="str">
            <v>-</v>
          </cell>
          <cell r="D2236" t="str">
            <v>Franklin India Low Duration Fund - Direct - Growth</v>
          </cell>
          <cell r="E2236">
            <v>28.6858</v>
          </cell>
        </row>
        <row r="2237">
          <cell r="B2237" t="str">
            <v>INF090I01HC6</v>
          </cell>
          <cell r="C2237" t="str">
            <v>INF090I01HD4</v>
          </cell>
          <cell r="D2237" t="str">
            <v>Franklin India Low Duration Fund - Direct - Monthly - IDCW</v>
          </cell>
          <cell r="E2237">
            <v>13.3317</v>
          </cell>
        </row>
        <row r="2238">
          <cell r="B2238" t="str">
            <v>INF090I01HE2</v>
          </cell>
          <cell r="C2238" t="str">
            <v>INF090I01HF9</v>
          </cell>
          <cell r="D2238" t="str">
            <v>Franklin India Low Duration Fund - Direct - Quarterly - IDCW</v>
          </cell>
          <cell r="E2238">
            <v>13.100899999999999</v>
          </cell>
        </row>
        <row r="2239">
          <cell r="B2239" t="str">
            <v>INF090I01BU1</v>
          </cell>
          <cell r="C2239" t="str">
            <v>-</v>
          </cell>
          <cell r="D2239" t="str">
            <v>Franklin India Low Duration Fund - Growth Plan</v>
          </cell>
          <cell r="E2239">
            <v>32.607100000000003</v>
          </cell>
        </row>
        <row r="2240">
          <cell r="B2240" t="str">
            <v>INF090I01BQ9</v>
          </cell>
          <cell r="C2240" t="str">
            <v>INF090I01BR7</v>
          </cell>
          <cell r="D2240" t="str">
            <v>Franklin India Low Duration Fund - Monthly - IDCW</v>
          </cell>
          <cell r="E2240">
            <v>15.0351</v>
          </cell>
        </row>
        <row r="2241">
          <cell r="B2241" t="str">
            <v>INF090I01BS5</v>
          </cell>
          <cell r="C2241" t="str">
            <v>INF090I01BT3</v>
          </cell>
          <cell r="D2241" t="str">
            <v>Franklin India Low Duration Fund - Quarterly - IDCW</v>
          </cell>
          <cell r="E2241">
            <v>14.7667</v>
          </cell>
        </row>
        <row r="2242">
          <cell r="B2242" t="str">
            <v>INF090I01UC9</v>
          </cell>
          <cell r="C2242" t="str">
            <v>-</v>
          </cell>
          <cell r="D2242" t="str">
            <v>Franklin India Low Duration Fund- Segregated Portfolio 1- 8.25% Vodafone Idea Ltd-10JUL20-Direct- Quarterly Dividend Plan</v>
          </cell>
          <cell r="E2242">
            <v>0</v>
          </cell>
        </row>
        <row r="2243">
          <cell r="B2243" t="str">
            <v>INF090I01UD7</v>
          </cell>
          <cell r="C2243" t="str">
            <v>-</v>
          </cell>
          <cell r="D2243" t="str">
            <v>Franklin India Low Duration Fund- Segregated Portfolio 1- 8.25% Vodafone Idea Ltd-10JUL20-Direct-Growth Plan</v>
          </cell>
          <cell r="E2243">
            <v>0</v>
          </cell>
        </row>
        <row r="2244">
          <cell r="B2244" t="str">
            <v>INF090I01UB1</v>
          </cell>
          <cell r="C2244" t="str">
            <v>-</v>
          </cell>
          <cell r="D2244" t="str">
            <v>Franklin India Low Duration Fund- Segregated Portfolio 1- 8.25% Vodafone Idea Ltd-10JUL20-Direct-Monthly Dividend Plan</v>
          </cell>
          <cell r="E2244">
            <v>0</v>
          </cell>
        </row>
        <row r="2245">
          <cell r="B2245" t="str">
            <v>INF090I01UA3</v>
          </cell>
          <cell r="C2245" t="str">
            <v>-</v>
          </cell>
          <cell r="D2245" t="str">
            <v>Franklin India Low Duration Fund- Segregated Portfolio 1- 8.25% Vodafone Idea Ltd-10JUL20-Growth Plan</v>
          </cell>
          <cell r="E2245">
            <v>0</v>
          </cell>
        </row>
        <row r="2246">
          <cell r="B2246" t="str">
            <v>INF090I01TY5</v>
          </cell>
          <cell r="C2246" t="str">
            <v>-</v>
          </cell>
          <cell r="D2246" t="str">
            <v>Franklin India Low Duration Fund- Segregated Portfolio 1- 8.25% Vodafone Idea Ltd-10JUL20-Monthly Dividend Plan</v>
          </cell>
          <cell r="E2246">
            <v>0</v>
          </cell>
        </row>
        <row r="2247">
          <cell r="B2247" t="str">
            <v>INF090I01TZ2</v>
          </cell>
          <cell r="C2247" t="str">
            <v>-</v>
          </cell>
          <cell r="D2247" t="str">
            <v>Franklin India Low Duration Fund- Segregated Portfolio 1- 8.25% Vodafone Idea Ltd-10JUL20-Quarterly Dividend Plan</v>
          </cell>
          <cell r="E2247">
            <v>0</v>
          </cell>
        </row>
        <row r="2248">
          <cell r="B2248" t="str">
            <v>INF090I01UE5</v>
          </cell>
          <cell r="C2248" t="str">
            <v>-</v>
          </cell>
          <cell r="D2248" t="str">
            <v>Franklin India Low Duration Fund- Segregated Portfolio 2 - 10.90% Vodafone Idea Ltd (02-Sep-2023) - Monthly - IDCW</v>
          </cell>
          <cell r="E2248">
            <v>0</v>
          </cell>
        </row>
        <row r="2249">
          <cell r="B2249" t="str">
            <v>INF090I01UF2</v>
          </cell>
          <cell r="C2249" t="str">
            <v>-</v>
          </cell>
          <cell r="D2249" t="str">
            <v>Franklin India Low Duration Fund- Segregated Portfolio 2 - 10.90% Vodafone Idea Ltd (02-Sep-2023) - Quarterly - IDCW</v>
          </cell>
          <cell r="E2249">
            <v>0</v>
          </cell>
        </row>
        <row r="2250">
          <cell r="B2250" t="str">
            <v>INF090I01UJ4</v>
          </cell>
          <cell r="C2250" t="str">
            <v>-</v>
          </cell>
          <cell r="D2250" t="str">
            <v>Franklin India Low Duration Fund- Segregated Portfolio 2- 10.90% Vodafone Idea Ltd 02Sep2023-Direct- Growth Plan</v>
          </cell>
          <cell r="E2250">
            <v>0</v>
          </cell>
        </row>
        <row r="2251">
          <cell r="B2251" t="str">
            <v>INF090I01UG0</v>
          </cell>
          <cell r="C2251" t="str">
            <v>-</v>
          </cell>
          <cell r="D2251" t="str">
            <v>Franklin India Low Duration Fund- Segregated Portfolio 2- 10.90% Vodafone Idea Ltd 02Sep2023-Growth Plan</v>
          </cell>
          <cell r="E2251">
            <v>0</v>
          </cell>
        </row>
        <row r="2252">
          <cell r="B2252" t="str">
            <v>INF090I01UH8</v>
          </cell>
          <cell r="C2252" t="str">
            <v>-</v>
          </cell>
          <cell r="D2252" t="str">
            <v>Franklin India Low Duration Fund-Direct- Segregated Portfolio 2 - 10.90% Vodafone Idea Ltd (02-Sep-2023) - Direct Monthly - IDCW</v>
          </cell>
          <cell r="E2252">
            <v>0</v>
          </cell>
        </row>
        <row r="2253">
          <cell r="B2253" t="str">
            <v>INF090I01UI6</v>
          </cell>
          <cell r="C2253" t="str">
            <v>-</v>
          </cell>
          <cell r="D2253" t="str">
            <v>Franklin India Low Duration Fund-Direct- Segregated Portfolio 2 - 10.90% Vodafone Idea Ltd (02-Sep-2023) - Direct Quarterly - IDCW</v>
          </cell>
          <cell r="E2253">
            <v>0</v>
          </cell>
        </row>
        <row r="2254">
          <cell r="B2254" t="str">
            <v/>
          </cell>
          <cell r="C2254" t="str">
            <v/>
          </cell>
          <cell r="D2254" t="str">
            <v/>
          </cell>
        </row>
        <row r="2255">
          <cell r="B2255" t="str">
            <v/>
          </cell>
          <cell r="C2255" t="str">
            <v/>
          </cell>
          <cell r="D2255" t="str">
            <v/>
          </cell>
        </row>
        <row r="2256">
          <cell r="B2256" t="str">
            <v/>
          </cell>
          <cell r="C2256" t="str">
            <v/>
          </cell>
          <cell r="D2256" t="str">
            <v/>
          </cell>
        </row>
        <row r="2257">
          <cell r="B2257" t="str">
            <v>-</v>
          </cell>
          <cell r="C2257" t="str">
            <v>INF179K01434</v>
          </cell>
          <cell r="D2257" t="str">
            <v>HDFC Low Duration  Fund - Daily IDCW</v>
          </cell>
          <cell r="E2257">
            <v>10.142099999999999</v>
          </cell>
        </row>
        <row r="2258">
          <cell r="B2258" t="str">
            <v>-</v>
          </cell>
          <cell r="C2258" t="str">
            <v>INF179KC1IR2</v>
          </cell>
          <cell r="D2258" t="str">
            <v>HDFC Low Duration  Fund - Direct Plan - Daily IDCW</v>
          </cell>
          <cell r="E2258">
            <v>10.065</v>
          </cell>
        </row>
        <row r="2259">
          <cell r="B2259" t="str">
            <v>INF179K01VF7</v>
          </cell>
          <cell r="C2259" t="str">
            <v>-</v>
          </cell>
          <cell r="D2259" t="str">
            <v>HDFC Low Duration  Fund - Direct Plan - Growth</v>
          </cell>
          <cell r="E2259">
            <v>66.963399999999993</v>
          </cell>
        </row>
        <row r="2260">
          <cell r="B2260" t="str">
            <v>INF179K01VG5</v>
          </cell>
          <cell r="C2260" t="str">
            <v>INF179K01VH3</v>
          </cell>
          <cell r="D2260" t="str">
            <v>HDFC Low Duration  Fund - Direct Plan - Monthly IDCW</v>
          </cell>
          <cell r="E2260">
            <v>10.1739</v>
          </cell>
        </row>
        <row r="2261">
          <cell r="B2261" t="str">
            <v>INF179KC1IS0</v>
          </cell>
          <cell r="C2261" t="str">
            <v>INF179KC1IT8</v>
          </cell>
          <cell r="D2261" t="str">
            <v>HDFC Low Duration  Fund - Direct Plan - Weekly IDCW</v>
          </cell>
          <cell r="E2261">
            <v>10.062799999999999</v>
          </cell>
        </row>
        <row r="2262">
          <cell r="B2262" t="str">
            <v>INF179K01442</v>
          </cell>
          <cell r="C2262" t="str">
            <v>-</v>
          </cell>
          <cell r="D2262" t="str">
            <v>HDFC Low Duration  Fund - Growth</v>
          </cell>
          <cell r="E2262">
            <v>61.357799999999997</v>
          </cell>
        </row>
        <row r="2263">
          <cell r="B2263" t="str">
            <v>INF179K01459</v>
          </cell>
          <cell r="C2263" t="str">
            <v>INF179K01467</v>
          </cell>
          <cell r="D2263" t="str">
            <v>HDFC Low Duration  Fund - Monthly IDCW</v>
          </cell>
          <cell r="E2263">
            <v>10.1677</v>
          </cell>
        </row>
        <row r="2264">
          <cell r="B2264" t="str">
            <v>INF179K01475</v>
          </cell>
          <cell r="C2264" t="str">
            <v>INF179K01483</v>
          </cell>
          <cell r="D2264" t="str">
            <v>HDFC Low Duration  Fund - Weekly IDCW</v>
          </cell>
          <cell r="E2264">
            <v>10.0625</v>
          </cell>
        </row>
        <row r="2265">
          <cell r="B2265" t="str">
            <v>-</v>
          </cell>
          <cell r="C2265" t="str">
            <v>INF179K01541</v>
          </cell>
          <cell r="D2265" t="str">
            <v>HDFC Low Duration Fund- Wholesale Daily Dividend</v>
          </cell>
          <cell r="E2265">
            <v>10.157400000000001</v>
          </cell>
        </row>
        <row r="2266">
          <cell r="B2266" t="str">
            <v>INF179K01509</v>
          </cell>
          <cell r="C2266" t="str">
            <v>INF179K01517</v>
          </cell>
          <cell r="D2266" t="str">
            <v>HDFC Low Duration Fund- Wholesale Monthly Dividend</v>
          </cell>
          <cell r="E2266">
            <v>10.185600000000001</v>
          </cell>
        </row>
        <row r="2267">
          <cell r="B2267" t="str">
            <v>INF179K01525</v>
          </cell>
          <cell r="C2267" t="str">
            <v>-</v>
          </cell>
          <cell r="D2267" t="str">
            <v>HDFC Low Duration Fund- Wholesale Weekly Dividend</v>
          </cell>
          <cell r="E2267">
            <v>10.173400000000001</v>
          </cell>
        </row>
        <row r="2268">
          <cell r="B2268" t="str">
            <v>INF179K01491</v>
          </cell>
          <cell r="C2268" t="str">
            <v>-</v>
          </cell>
          <cell r="D2268" t="str">
            <v>HDFC Low Duration Fund- Wholesale- Growth</v>
          </cell>
          <cell r="E2268">
            <v>41.8371</v>
          </cell>
        </row>
        <row r="2269">
          <cell r="B2269" t="str">
            <v/>
          </cell>
          <cell r="C2269" t="str">
            <v/>
          </cell>
          <cell r="D2269" t="str">
            <v/>
          </cell>
        </row>
        <row r="2270">
          <cell r="B2270" t="str">
            <v/>
          </cell>
          <cell r="C2270" t="str">
            <v/>
          </cell>
          <cell r="D2270" t="str">
            <v/>
          </cell>
        </row>
        <row r="2271">
          <cell r="B2271" t="str">
            <v/>
          </cell>
          <cell r="C2271" t="str">
            <v/>
          </cell>
          <cell r="D2271" t="str">
            <v/>
          </cell>
        </row>
        <row r="2272">
          <cell r="B2272" t="str">
            <v>INF917K01VV7</v>
          </cell>
          <cell r="C2272" t="str">
            <v>INF917K01VU9</v>
          </cell>
          <cell r="D2272" t="str">
            <v>HSBC Low Duration Fund - Direct Annual IDCW</v>
          </cell>
          <cell r="E2272">
            <v>10.532400000000001</v>
          </cell>
        </row>
        <row r="2273">
          <cell r="B2273" t="str">
            <v>INF917K01GM7</v>
          </cell>
          <cell r="C2273" t="str">
            <v>-</v>
          </cell>
          <cell r="D2273" t="str">
            <v>HSBC Low Duration Fund - Direct Growth</v>
          </cell>
          <cell r="E2273">
            <v>32.366199999999999</v>
          </cell>
        </row>
        <row r="2274">
          <cell r="B2274" t="str">
            <v>INF917K01E60</v>
          </cell>
          <cell r="C2274" t="str">
            <v>INF917K01GK1</v>
          </cell>
          <cell r="D2274" t="str">
            <v>HSBC Low Duration Fund - Direct Monthly IDCW</v>
          </cell>
          <cell r="E2274">
            <v>11.092700000000001</v>
          </cell>
        </row>
        <row r="2275">
          <cell r="B2275" t="str">
            <v>INF917K01VX3</v>
          </cell>
          <cell r="C2275" t="str">
            <v>INF917K01VW5</v>
          </cell>
          <cell r="D2275" t="str">
            <v>HSBC Low Duration Fund - Regular Annual IDCW</v>
          </cell>
          <cell r="E2275">
            <v>10.344900000000001</v>
          </cell>
        </row>
        <row r="2276">
          <cell r="B2276" t="str">
            <v>INF677K01452</v>
          </cell>
          <cell r="C2276" t="str">
            <v>-</v>
          </cell>
          <cell r="D2276" t="str">
            <v>HSBC Low Duration Fund - Regular Growth</v>
          </cell>
          <cell r="E2276">
            <v>30.531600000000001</v>
          </cell>
        </row>
        <row r="2277">
          <cell r="B2277" t="str">
            <v>INF677K01460</v>
          </cell>
          <cell r="C2277" t="str">
            <v>INF677K01478</v>
          </cell>
          <cell r="D2277" t="str">
            <v>HSBC Low Duration Fund - Regular Monthly IDCW</v>
          </cell>
          <cell r="E2277">
            <v>10.376099999999999</v>
          </cell>
        </row>
        <row r="2278">
          <cell r="B2278" t="str">
            <v/>
          </cell>
          <cell r="C2278" t="str">
            <v/>
          </cell>
          <cell r="D2278" t="str">
            <v/>
          </cell>
        </row>
        <row r="2279">
          <cell r="B2279" t="str">
            <v/>
          </cell>
          <cell r="C2279" t="str">
            <v/>
          </cell>
          <cell r="D2279" t="str">
            <v/>
          </cell>
        </row>
        <row r="2280">
          <cell r="B2280" t="str">
            <v/>
          </cell>
          <cell r="C2280" t="str">
            <v/>
          </cell>
          <cell r="D2280" t="str">
            <v/>
          </cell>
        </row>
        <row r="2281">
          <cell r="B2281" t="str">
            <v>INF109KA1I92</v>
          </cell>
          <cell r="C2281" t="str">
            <v>-</v>
          </cell>
          <cell r="D2281" t="str">
            <v>ICICI Prudential Savings Fund - Bonus</v>
          </cell>
          <cell r="E2281">
            <v>154.94460000000001</v>
          </cell>
        </row>
        <row r="2282">
          <cell r="B2282" t="str">
            <v>INF109K01738</v>
          </cell>
          <cell r="C2282" t="str">
            <v>-</v>
          </cell>
          <cell r="D2282" t="str">
            <v>ICICI Prudential Savings Fund - Daily IDCW</v>
          </cell>
          <cell r="E2282">
            <v>105.7306</v>
          </cell>
        </row>
        <row r="2283">
          <cell r="B2283" t="str">
            <v>-</v>
          </cell>
          <cell r="C2283" t="str">
            <v>INF109K01O66</v>
          </cell>
          <cell r="D2283" t="str">
            <v>ICICI Prudential Savings Fund - Direct Plan - Daily IDCW</v>
          </cell>
          <cell r="E2283">
            <v>105.73099999999999</v>
          </cell>
        </row>
        <row r="2284">
          <cell r="B2284" t="str">
            <v>INF109K016Y3</v>
          </cell>
          <cell r="C2284" t="str">
            <v>INF109K015Y5</v>
          </cell>
          <cell r="D2284" t="str">
            <v>ICICI Prudential Savings Fund - Direct Plan - Fortnightly IDCW</v>
          </cell>
          <cell r="E2284">
            <v>101.7914</v>
          </cell>
        </row>
        <row r="2285">
          <cell r="B2285" t="str">
            <v>INF109K01O82</v>
          </cell>
          <cell r="C2285" t="str">
            <v>-</v>
          </cell>
          <cell r="D2285" t="str">
            <v>ICICI Prudential Savings Fund - Direct Plan - Growth</v>
          </cell>
          <cell r="E2285">
            <v>590.2079</v>
          </cell>
        </row>
        <row r="2286">
          <cell r="B2286" t="str">
            <v>INF109K01O90</v>
          </cell>
          <cell r="C2286" t="str">
            <v>INF109K01O74</v>
          </cell>
          <cell r="D2286" t="str">
            <v>ICICI Prudential Savings Fund - Direct Plan - IDCW Others</v>
          </cell>
          <cell r="E2286">
            <v>198.03559999999999</v>
          </cell>
        </row>
        <row r="2287">
          <cell r="B2287" t="str">
            <v>INF109K018Y9</v>
          </cell>
          <cell r="C2287" t="str">
            <v>INF109K017Y1</v>
          </cell>
          <cell r="D2287" t="str">
            <v>ICICI Prudential Savings Fund - Direct Plan - Monthly IDCW</v>
          </cell>
          <cell r="E2287">
            <v>101.90219999999999</v>
          </cell>
        </row>
        <row r="2288">
          <cell r="B2288" t="str">
            <v>INF109K010Z3</v>
          </cell>
          <cell r="C2288" t="str">
            <v>INF109K019Y7</v>
          </cell>
          <cell r="D2288" t="str">
            <v>ICICI Prudential Savings Fund - Direct Plan - Quarterly IDCW</v>
          </cell>
          <cell r="E2288">
            <v>110.7157</v>
          </cell>
        </row>
        <row r="2289">
          <cell r="B2289" t="str">
            <v>INF109K01P08</v>
          </cell>
          <cell r="C2289" t="str">
            <v>INF109K01P16</v>
          </cell>
          <cell r="D2289" t="str">
            <v>ICICI Prudential Savings Fund - Direct Plan - Weekly IDCW</v>
          </cell>
          <cell r="E2289">
            <v>105.5151</v>
          </cell>
        </row>
        <row r="2290">
          <cell r="B2290" t="str">
            <v>INF109KA1I01</v>
          </cell>
          <cell r="C2290" t="str">
            <v>-</v>
          </cell>
          <cell r="D2290" t="str">
            <v>ICICI Prudential Savings Fund - Direct Plan Bonus</v>
          </cell>
          <cell r="E2290">
            <v>123.89230000000001</v>
          </cell>
        </row>
        <row r="2291">
          <cell r="B2291" t="str">
            <v>INF109K012Z9</v>
          </cell>
          <cell r="C2291" t="str">
            <v>INF109K011Z1</v>
          </cell>
          <cell r="D2291" t="str">
            <v>ICICI Prudential Savings Fund - Fortnightly IDCW</v>
          </cell>
          <cell r="E2291">
            <v>101.7885</v>
          </cell>
        </row>
        <row r="2292">
          <cell r="B2292" t="str">
            <v>INF109K01746</v>
          </cell>
          <cell r="C2292" t="str">
            <v>-</v>
          </cell>
          <cell r="D2292" t="str">
            <v>ICICI Prudential Savings Fund - Growth</v>
          </cell>
          <cell r="E2292">
            <v>581.43089999999995</v>
          </cell>
        </row>
        <row r="2293">
          <cell r="B2293" t="str">
            <v>INF109K01WO4</v>
          </cell>
          <cell r="C2293" t="str">
            <v>INF109K01WN6</v>
          </cell>
          <cell r="D2293" t="str">
            <v>ICICI Prudential Savings Fund - IDCW Others</v>
          </cell>
          <cell r="E2293">
            <v>194.88640000000001</v>
          </cell>
        </row>
        <row r="2294">
          <cell r="B2294" t="str">
            <v>INF109K014Z5</v>
          </cell>
          <cell r="C2294" t="str">
            <v>INF109K013Z7</v>
          </cell>
          <cell r="D2294" t="str">
            <v>ICICI Prudential Savings Fund - Monthly IDCW</v>
          </cell>
          <cell r="E2294">
            <v>101.89360000000001</v>
          </cell>
        </row>
        <row r="2295">
          <cell r="B2295" t="str">
            <v>INF109K016Z0</v>
          </cell>
          <cell r="C2295" t="str">
            <v>INF109K015Z2</v>
          </cell>
          <cell r="D2295" t="str">
            <v>ICICI Prudential Savings Fund - Quarterly IDCW</v>
          </cell>
          <cell r="E2295">
            <v>110.426</v>
          </cell>
        </row>
        <row r="2296">
          <cell r="B2296" t="str">
            <v>INF109K01JO1</v>
          </cell>
          <cell r="C2296" t="str">
            <v>INF109K01753</v>
          </cell>
          <cell r="D2296" t="str">
            <v>ICICI Prudential Savings Fund - Weekly IDCW</v>
          </cell>
          <cell r="E2296">
            <v>105.4678</v>
          </cell>
        </row>
        <row r="2297">
          <cell r="B2297" t="str">
            <v>INF109K01EI4</v>
          </cell>
          <cell r="C2297" t="str">
            <v>INF109K01BW1</v>
          </cell>
          <cell r="D2297" t="str">
            <v>ICICI Prudential Savings Fund Retail Daily Dividend</v>
          </cell>
          <cell r="E2297">
            <v>100.1193</v>
          </cell>
        </row>
        <row r="2298">
          <cell r="B2298" t="str">
            <v>INF109K01BX9</v>
          </cell>
          <cell r="C2298" t="str">
            <v>-</v>
          </cell>
          <cell r="D2298" t="str">
            <v>ICICI Prudential Savings Fund Retail Growth</v>
          </cell>
          <cell r="E2298">
            <v>220.00810000000001</v>
          </cell>
        </row>
        <row r="2299">
          <cell r="B2299" t="str">
            <v>INF109K01EJ2</v>
          </cell>
          <cell r="C2299" t="str">
            <v>INF109K01BY7</v>
          </cell>
          <cell r="D2299" t="str">
            <v>ICICI Prudential Savings Fund Retail Weekly Dividend</v>
          </cell>
          <cell r="E2299">
            <v>100.956</v>
          </cell>
        </row>
        <row r="2300">
          <cell r="B2300" t="str">
            <v/>
          </cell>
          <cell r="C2300" t="str">
            <v/>
          </cell>
          <cell r="D2300" t="str">
            <v/>
          </cell>
        </row>
        <row r="2301">
          <cell r="B2301" t="str">
            <v/>
          </cell>
          <cell r="C2301" t="str">
            <v/>
          </cell>
          <cell r="D2301" t="str">
            <v/>
          </cell>
        </row>
        <row r="2302">
          <cell r="B2302" t="str">
            <v/>
          </cell>
          <cell r="C2302" t="str">
            <v/>
          </cell>
          <cell r="D2302" t="str">
            <v/>
          </cell>
        </row>
        <row r="2303">
          <cell r="B2303" t="str">
            <v>-</v>
          </cell>
          <cell r="C2303" t="str">
            <v>INF205K01HZ7</v>
          </cell>
          <cell r="D2303" t="str">
            <v>Invesco India Low Duration Fund - Daily IDCW (Reinvestment)</v>
          </cell>
          <cell r="E2303">
            <v>1017.8167</v>
          </cell>
        </row>
        <row r="2304">
          <cell r="B2304" t="str">
            <v>INF205K01NW2</v>
          </cell>
          <cell r="C2304" t="str">
            <v>INF205K01NX0</v>
          </cell>
          <cell r="D2304" t="str">
            <v>Invesco India Low Duration Fund - Direct Plan - Discretionary IDCW (Payout / Reinvestment)</v>
          </cell>
          <cell r="E2304">
            <v>4205.1956</v>
          </cell>
        </row>
        <row r="2305">
          <cell r="B2305" t="str">
            <v>INF205K01NY8</v>
          </cell>
          <cell r="C2305" t="str">
            <v>-</v>
          </cell>
          <cell r="D2305" t="str">
            <v>Invesco India Low Duration Fund - Direct Plan - Growth</v>
          </cell>
          <cell r="E2305">
            <v>4203.3032000000003</v>
          </cell>
        </row>
        <row r="2306">
          <cell r="B2306" t="str">
            <v>INF205K01NZ5</v>
          </cell>
          <cell r="C2306" t="str">
            <v>INF205K01OA6</v>
          </cell>
          <cell r="D2306" t="str">
            <v>Invesco India Low Duration Fund - Direct Plan - Monthly IDCW (Payout / Reinvestment)</v>
          </cell>
          <cell r="E2306">
            <v>1087.7692</v>
          </cell>
        </row>
        <row r="2307">
          <cell r="B2307" t="str">
            <v>INF205K01OB4</v>
          </cell>
          <cell r="C2307" t="str">
            <v>INF205K01OC2</v>
          </cell>
          <cell r="D2307" t="str">
            <v>Invesco India Low Duration Fund - Direct Plan - Weekly IDCW (Payout / Reinvestment)</v>
          </cell>
          <cell r="E2307">
            <v>1206.1803</v>
          </cell>
        </row>
        <row r="2308">
          <cell r="B2308" t="str">
            <v>-</v>
          </cell>
          <cell r="C2308" t="str">
            <v>INF205K01NV4</v>
          </cell>
          <cell r="D2308" t="str">
            <v>Invesco India Low Duration Fund - Direct Plan -Daily IDCW (Reinvestment)</v>
          </cell>
          <cell r="E2308">
            <v>1018.8401</v>
          </cell>
        </row>
        <row r="2309">
          <cell r="B2309" t="str">
            <v>INF205K01IG5</v>
          </cell>
          <cell r="C2309" t="str">
            <v>INF205K01IF7</v>
          </cell>
          <cell r="D2309" t="str">
            <v>Invesco India Low Duration Fund - Discretionary IDCW (Payout / Reinvestment)</v>
          </cell>
          <cell r="E2309">
            <v>4117.6289999999999</v>
          </cell>
        </row>
        <row r="2310">
          <cell r="B2310" t="str">
            <v>INF205K01HY0</v>
          </cell>
          <cell r="C2310" t="str">
            <v>-</v>
          </cell>
          <cell r="D2310" t="str">
            <v>Invesco India Low Duration Fund - Growth</v>
          </cell>
          <cell r="E2310">
            <v>4023.2415000000001</v>
          </cell>
        </row>
        <row r="2311">
          <cell r="B2311" t="str">
            <v>INF205K01ID2</v>
          </cell>
          <cell r="C2311" t="str">
            <v>INF205K01IC4</v>
          </cell>
          <cell r="D2311" t="str">
            <v>Invesco India Low Duration Fund - Monthly IDCW (Payout / Reinvestment)</v>
          </cell>
          <cell r="E2311">
            <v>1466.2526</v>
          </cell>
        </row>
        <row r="2312">
          <cell r="B2312" t="str">
            <v>INF205K01HT0</v>
          </cell>
          <cell r="C2312" t="str">
            <v>-</v>
          </cell>
          <cell r="D2312" t="str">
            <v>Invesco India Low Duration Fund - Regular - Growth</v>
          </cell>
          <cell r="E2312">
            <v>3560.0160000000001</v>
          </cell>
        </row>
        <row r="2313">
          <cell r="B2313" t="str">
            <v>-</v>
          </cell>
          <cell r="C2313" t="str">
            <v>INF205K01HW4</v>
          </cell>
          <cell r="D2313" t="str">
            <v>Invesco India Low Duration Fund - Regular - Monthly IDCW (Reinvestment)</v>
          </cell>
          <cell r="E2313">
            <v>1436.3395</v>
          </cell>
        </row>
        <row r="2314">
          <cell r="B2314" t="str">
            <v>-</v>
          </cell>
          <cell r="C2314" t="str">
            <v>INF205K01HV6</v>
          </cell>
          <cell r="D2314" t="str">
            <v>Invesco India Low Duration Fund - Regular - Weekly IDCW (Reinvestment)</v>
          </cell>
          <cell r="E2314">
            <v>1444.7408</v>
          </cell>
        </row>
        <row r="2315">
          <cell r="B2315" t="str">
            <v>-</v>
          </cell>
          <cell r="C2315" t="str">
            <v>INF205K01HU8</v>
          </cell>
          <cell r="D2315" t="str">
            <v>Invesco India Low Duration Fund - Regular Daily IDCW (Reinvestment)</v>
          </cell>
          <cell r="E2315">
            <v>1770.6474000000001</v>
          </cell>
        </row>
        <row r="2316">
          <cell r="B2316" t="str">
            <v>INF205K01IB6</v>
          </cell>
          <cell r="C2316" t="str">
            <v>INF205K01IA8</v>
          </cell>
          <cell r="D2316" t="str">
            <v>Invesco India Low Duration Fund - Weekly IDCW (Payout / Reinvestment)</v>
          </cell>
          <cell r="E2316">
            <v>1344.9304999999999</v>
          </cell>
        </row>
        <row r="2317">
          <cell r="B2317" t="str">
            <v/>
          </cell>
          <cell r="C2317" t="str">
            <v/>
          </cell>
          <cell r="D2317" t="str">
            <v/>
          </cell>
        </row>
        <row r="2318">
          <cell r="B2318" t="str">
            <v/>
          </cell>
          <cell r="C2318" t="str">
            <v/>
          </cell>
          <cell r="D2318" t="str">
            <v/>
          </cell>
        </row>
        <row r="2319">
          <cell r="B2319" t="str">
            <v/>
          </cell>
          <cell r="C2319" t="str">
            <v/>
          </cell>
          <cell r="D2319" t="str">
            <v/>
          </cell>
        </row>
        <row r="2320">
          <cell r="B2320" t="str">
            <v>INF22M001150</v>
          </cell>
          <cell r="C2320" t="str">
            <v>-</v>
          </cell>
          <cell r="D2320" t="str">
            <v>JioBlackRock Low Duration Fund - Direct Plan - Growth Option</v>
          </cell>
          <cell r="E2320">
            <v>1032.4322999999999</v>
          </cell>
        </row>
        <row r="2321">
          <cell r="B2321" t="str">
            <v/>
          </cell>
          <cell r="C2321" t="str">
            <v/>
          </cell>
          <cell r="D2321" t="str">
            <v/>
          </cell>
        </row>
        <row r="2322">
          <cell r="B2322" t="str">
            <v/>
          </cell>
          <cell r="C2322" t="str">
            <v/>
          </cell>
          <cell r="D2322" t="str">
            <v/>
          </cell>
        </row>
        <row r="2323">
          <cell r="B2323" t="str">
            <v/>
          </cell>
          <cell r="C2323" t="str">
            <v/>
          </cell>
          <cell r="D2323" t="str">
            <v/>
          </cell>
        </row>
        <row r="2324">
          <cell r="B2324" t="str">
            <v>INF192K01FL1</v>
          </cell>
          <cell r="C2324" t="str">
            <v>-</v>
          </cell>
          <cell r="D2324" t="str">
            <v>JM Low Duration Fund (Direct) - Bonus Option - Principal Units</v>
          </cell>
          <cell r="E2324">
            <v>24.485800000000001</v>
          </cell>
        </row>
        <row r="2325">
          <cell r="B2325" t="str">
            <v>-</v>
          </cell>
          <cell r="C2325" t="str">
            <v>INF192K01DT9</v>
          </cell>
          <cell r="D2325" t="str">
            <v>JM Low Duration Fund (Direct) - Daily IDCW</v>
          </cell>
          <cell r="E2325">
            <v>10.85</v>
          </cell>
        </row>
        <row r="2326">
          <cell r="B2326" t="str">
            <v>-</v>
          </cell>
          <cell r="C2326" t="str">
            <v>INF192K01DV5</v>
          </cell>
          <cell r="D2326" t="str">
            <v>JM Low Duration Fund (Direct) - Fortnightly IDCW</v>
          </cell>
          <cell r="E2326">
            <v>11.138999999999999</v>
          </cell>
        </row>
        <row r="2327">
          <cell r="B2327" t="str">
            <v>INF192K01DW3</v>
          </cell>
          <cell r="C2327" t="str">
            <v>-</v>
          </cell>
          <cell r="D2327" t="str">
            <v>JM Low Duration Fund (Direct) - Growth</v>
          </cell>
          <cell r="E2327">
            <v>40.6676</v>
          </cell>
        </row>
        <row r="2328">
          <cell r="B2328" t="str">
            <v>-</v>
          </cell>
          <cell r="C2328" t="str">
            <v>INF192K01DU7</v>
          </cell>
          <cell r="D2328" t="str">
            <v>JM Low Duration Fund (Direct) - Weekly IDCW</v>
          </cell>
          <cell r="E2328">
            <v>11.4506</v>
          </cell>
        </row>
        <row r="2329">
          <cell r="B2329" t="str">
            <v>-</v>
          </cell>
          <cell r="C2329" t="str">
            <v>INF192K01AV1</v>
          </cell>
          <cell r="D2329" t="str">
            <v>JM Low Duration Fund (Regular) - Daily IDCW</v>
          </cell>
          <cell r="E2329">
            <v>10.82</v>
          </cell>
        </row>
        <row r="2330">
          <cell r="B2330" t="str">
            <v>-</v>
          </cell>
          <cell r="C2330" t="str">
            <v>INF192K01AX7</v>
          </cell>
          <cell r="D2330" t="str">
            <v xml:space="preserve">JM Low Duration Fund (Regular) - Fortnightly IDCW </v>
          </cell>
          <cell r="E2330">
            <v>11.0977</v>
          </cell>
        </row>
        <row r="2331">
          <cell r="B2331" t="str">
            <v>INF192K01AY5</v>
          </cell>
          <cell r="C2331" t="str">
            <v>-</v>
          </cell>
          <cell r="D2331" t="str">
            <v>JM Low Duration Fund (Regular) - Growth Option</v>
          </cell>
          <cell r="E2331">
            <v>39.384799999999998</v>
          </cell>
        </row>
        <row r="2332">
          <cell r="B2332" t="str">
            <v>-</v>
          </cell>
          <cell r="C2332" t="str">
            <v>INF192K01AW9</v>
          </cell>
          <cell r="D2332" t="str">
            <v>JM Low Duration Fund (Regular) - Weekly IDCW</v>
          </cell>
          <cell r="E2332">
            <v>11.410500000000001</v>
          </cell>
        </row>
        <row r="2333">
          <cell r="B2333" t="str">
            <v>INF192K01FJ5</v>
          </cell>
          <cell r="C2333" t="str">
            <v>-</v>
          </cell>
          <cell r="D2333" t="str">
            <v>JM Low Duration Fund - Bonus Option - Principal Units</v>
          </cell>
          <cell r="E2333">
            <v>23.728400000000001</v>
          </cell>
        </row>
        <row r="2334">
          <cell r="B2334" t="str">
            <v/>
          </cell>
          <cell r="C2334" t="str">
            <v/>
          </cell>
          <cell r="D2334" t="str">
            <v/>
          </cell>
        </row>
        <row r="2335">
          <cell r="B2335" t="str">
            <v/>
          </cell>
          <cell r="C2335" t="str">
            <v/>
          </cell>
          <cell r="D2335" t="str">
            <v/>
          </cell>
        </row>
        <row r="2336">
          <cell r="B2336" t="str">
            <v/>
          </cell>
          <cell r="C2336" t="str">
            <v/>
          </cell>
          <cell r="D2336" t="str">
            <v/>
          </cell>
        </row>
        <row r="2337">
          <cell r="B2337" t="str">
            <v>INF174KA1A03</v>
          </cell>
          <cell r="C2337" t="str">
            <v>INF174KA1ZY9</v>
          </cell>
          <cell r="D2337" t="str">
            <v>Kotak Low Duration Fund - Direct Plan - Monthly - Reinvestment &amp; Payout of Income Distribution cum Capital Withdrawal Option</v>
          </cell>
          <cell r="E2337">
            <v>1015.25</v>
          </cell>
        </row>
        <row r="2338">
          <cell r="B2338" t="str">
            <v>INF174KA1ZW3</v>
          </cell>
          <cell r="C2338" t="str">
            <v>INF174KA1ZU7</v>
          </cell>
          <cell r="D2338" t="str">
            <v>Kotak Low Duration Fund - Direct Plan - Weekly - Reinvestment &amp; Payout of Income Distribution cum Capital Withdrawal Option</v>
          </cell>
          <cell r="E2338">
            <v>1010.8663</v>
          </cell>
        </row>
        <row r="2339">
          <cell r="B2339" t="str">
            <v>INF178L01AZ9</v>
          </cell>
          <cell r="C2339" t="str">
            <v>INF178L01AY2</v>
          </cell>
          <cell r="D2339" t="str">
            <v>Kotak Low Duration Fund - Direct Plan- Standard Income Distribution cum capital withdrawal option</v>
          </cell>
          <cell r="E2339">
            <v>1555.1511</v>
          </cell>
        </row>
        <row r="2340">
          <cell r="B2340" t="str">
            <v>INF174KA1ZZ6</v>
          </cell>
          <cell r="C2340" t="str">
            <v>INF174KA1A11</v>
          </cell>
          <cell r="D2340" t="str">
            <v>Kotak Low Duration Fund - Regular Plan - Monthly - Reinvestment &amp; Payout of Income Distribution cum Capital Withdrawal Option</v>
          </cell>
          <cell r="E2340">
            <v>1006.9028</v>
          </cell>
        </row>
        <row r="2341">
          <cell r="B2341" t="str">
            <v>INF178L01AX4</v>
          </cell>
          <cell r="C2341" t="str">
            <v>-</v>
          </cell>
          <cell r="D2341" t="str">
            <v>Kotak Low Duration Fund- Direct Plan- Growth Option</v>
          </cell>
          <cell r="E2341">
            <v>3903.3312999999998</v>
          </cell>
        </row>
        <row r="2342">
          <cell r="B2342" t="str">
            <v>INF178L01202</v>
          </cell>
          <cell r="C2342" t="str">
            <v>-</v>
          </cell>
          <cell r="D2342" t="str">
            <v>Kotak Low Duration Fund- Regular Plan-Growth Option</v>
          </cell>
          <cell r="E2342">
            <v>3550.1307999999999</v>
          </cell>
        </row>
        <row r="2343">
          <cell r="B2343" t="str">
            <v>INF178L01210</v>
          </cell>
          <cell r="C2343" t="str">
            <v>INF178L01228</v>
          </cell>
          <cell r="D2343" t="str">
            <v>Kotak Low Duration Fund- Regular Plan-Standard Income Distribution cum capital withdrawal option</v>
          </cell>
          <cell r="E2343">
            <v>1268.7813000000001</v>
          </cell>
        </row>
        <row r="2344">
          <cell r="B2344" t="str">
            <v/>
          </cell>
          <cell r="C2344" t="str">
            <v/>
          </cell>
          <cell r="D2344" t="str">
            <v/>
          </cell>
        </row>
        <row r="2345">
          <cell r="B2345" t="str">
            <v/>
          </cell>
          <cell r="C2345" t="str">
            <v/>
          </cell>
          <cell r="D2345" t="str">
            <v/>
          </cell>
        </row>
        <row r="2346">
          <cell r="B2346" t="str">
            <v/>
          </cell>
          <cell r="C2346" t="str">
            <v/>
          </cell>
          <cell r="D2346" t="str">
            <v/>
          </cell>
        </row>
        <row r="2347">
          <cell r="B2347" t="str">
            <v>INF767K01FL0</v>
          </cell>
          <cell r="C2347" t="str">
            <v>INF767K01FN6</v>
          </cell>
          <cell r="D2347" t="str">
            <v>LIC MF Low Duration Fund-Direct Plan-Daily IDCW</v>
          </cell>
          <cell r="E2347">
            <v>10.049799999999999</v>
          </cell>
        </row>
        <row r="2348">
          <cell r="B2348" t="str">
            <v>INF767K01FM8</v>
          </cell>
          <cell r="C2348" t="str">
            <v>-</v>
          </cell>
          <cell r="D2348" t="str">
            <v>LIC MF Low Duration Fund-Direct Plan-Growth</v>
          </cell>
          <cell r="E2348">
            <v>45.85</v>
          </cell>
        </row>
        <row r="2349">
          <cell r="B2349" t="str">
            <v>INF767K01FP1</v>
          </cell>
          <cell r="C2349" t="str">
            <v>INF767K01FO4</v>
          </cell>
          <cell r="D2349" t="str">
            <v>LIC MF Low Duration Fund-Direct Plan-Monthly IDCW</v>
          </cell>
          <cell r="E2349">
            <v>23.9438</v>
          </cell>
        </row>
        <row r="2350">
          <cell r="B2350" t="str">
            <v>INF767K01JJ6</v>
          </cell>
          <cell r="C2350" t="str">
            <v>INF767K01JK4</v>
          </cell>
          <cell r="D2350" t="str">
            <v>LIC MF Low Duration Fund-Direct Plan-Weekly IDCW</v>
          </cell>
          <cell r="E2350">
            <v>15.97</v>
          </cell>
        </row>
        <row r="2351">
          <cell r="B2351" t="str">
            <v>INF767K01AK3</v>
          </cell>
          <cell r="C2351" t="str">
            <v>INF767K01AL1</v>
          </cell>
          <cell r="D2351" t="str">
            <v>LIC MF Low Duration Fund-Regular Plan-Daily IDCW</v>
          </cell>
          <cell r="E2351">
            <v>11.0943</v>
          </cell>
        </row>
        <row r="2352">
          <cell r="B2352" t="str">
            <v>INF767K01AO5</v>
          </cell>
          <cell r="C2352" t="str">
            <v>-</v>
          </cell>
          <cell r="D2352" t="str">
            <v>LIC MF Low Duration Fund-Regular Plan-Growth</v>
          </cell>
          <cell r="E2352">
            <v>42.028799999999997</v>
          </cell>
        </row>
        <row r="2353">
          <cell r="B2353" t="str">
            <v>INF767K01AM9</v>
          </cell>
          <cell r="C2353" t="str">
            <v>INF767K01AN7</v>
          </cell>
          <cell r="D2353" t="str">
            <v>LIC MF Low Duration Fund-Regular Plan-Monthly IDCW</v>
          </cell>
          <cell r="E2353">
            <v>14.432399999999999</v>
          </cell>
        </row>
        <row r="2354">
          <cell r="B2354" t="str">
            <v>INF767K01AP2</v>
          </cell>
          <cell r="C2354" t="str">
            <v>INF767K01AQ0</v>
          </cell>
          <cell r="D2354" t="str">
            <v>LIC MF Low Duration Fund-Regular Plan-Weekly IDCW</v>
          </cell>
          <cell r="E2354">
            <v>14.412800000000001</v>
          </cell>
        </row>
        <row r="2355">
          <cell r="B2355" t="str">
            <v/>
          </cell>
          <cell r="C2355" t="str">
            <v/>
          </cell>
          <cell r="D2355" t="str">
            <v/>
          </cell>
        </row>
        <row r="2356">
          <cell r="B2356" t="str">
            <v/>
          </cell>
          <cell r="C2356" t="str">
            <v/>
          </cell>
          <cell r="D2356" t="str">
            <v/>
          </cell>
        </row>
        <row r="2357">
          <cell r="B2357" t="str">
            <v/>
          </cell>
          <cell r="C2357" t="str">
            <v/>
          </cell>
          <cell r="D2357" t="str">
            <v/>
          </cell>
        </row>
        <row r="2358">
          <cell r="B2358" t="str">
            <v>-</v>
          </cell>
          <cell r="C2358" t="str">
            <v>INF174V01275</v>
          </cell>
          <cell r="D2358" t="str">
            <v>Mahindra Manulife Low Duration Fund - Direct Plan - Daily IDCW</v>
          </cell>
          <cell r="E2358">
            <v>1263.3462999999999</v>
          </cell>
        </row>
        <row r="2359">
          <cell r="B2359" t="str">
            <v>INF174V01309</v>
          </cell>
          <cell r="C2359" t="str">
            <v>INF174V01291</v>
          </cell>
          <cell r="D2359" t="str">
            <v>Mahindra Manulife Low Duration Fund - Direct Plan - Monthly IDCW</v>
          </cell>
          <cell r="E2359">
            <v>1137.0736999999999</v>
          </cell>
        </row>
        <row r="2360">
          <cell r="B2360" t="str">
            <v>-</v>
          </cell>
          <cell r="C2360" t="str">
            <v>INF174V01283</v>
          </cell>
          <cell r="D2360" t="str">
            <v>Mahindra Manulife Low Duration Fund - Direct Plan - Weekly IDCW</v>
          </cell>
          <cell r="E2360">
            <v>1030.2148999999999</v>
          </cell>
        </row>
        <row r="2361">
          <cell r="B2361" t="str">
            <v>INF174V01267</v>
          </cell>
          <cell r="C2361" t="str">
            <v>-</v>
          </cell>
          <cell r="D2361" t="str">
            <v>Mahindra Manulife Low Duration Fund - Direct Plan -Growth</v>
          </cell>
          <cell r="E2361">
            <v>1876.9930999999999</v>
          </cell>
        </row>
        <row r="2362">
          <cell r="B2362" t="str">
            <v>-</v>
          </cell>
          <cell r="C2362" t="str">
            <v>INF174V01226</v>
          </cell>
          <cell r="D2362" t="str">
            <v>Mahindra Manulife Low Duration Fund - Regular Plan - Daily IDCW</v>
          </cell>
          <cell r="E2362">
            <v>999.96690000000001</v>
          </cell>
        </row>
        <row r="2363">
          <cell r="B2363" t="str">
            <v>INF174V01218</v>
          </cell>
          <cell r="C2363" t="str">
            <v>-</v>
          </cell>
          <cell r="D2363" t="str">
            <v>Mahindra Manulife Low Duration Fund - Regular Plan - Growth</v>
          </cell>
          <cell r="E2363">
            <v>1735.6727000000001</v>
          </cell>
        </row>
        <row r="2364">
          <cell r="B2364" t="str">
            <v>INF174V01259</v>
          </cell>
          <cell r="C2364" t="str">
            <v>INF174V01242</v>
          </cell>
          <cell r="D2364" t="str">
            <v>Mahindra Manulife Low Duration Fund - Regular Plan - Monthly IDCW</v>
          </cell>
          <cell r="E2364">
            <v>1116.9598000000001</v>
          </cell>
        </row>
        <row r="2365">
          <cell r="B2365" t="str">
            <v>-</v>
          </cell>
          <cell r="C2365" t="str">
            <v>INF174V01234</v>
          </cell>
          <cell r="D2365" t="str">
            <v>Mahindra Manulife Low Duration Fund - Regular Plan - Weekly IDCW</v>
          </cell>
          <cell r="E2365">
            <v>1052.5487000000001</v>
          </cell>
        </row>
        <row r="2366">
          <cell r="B2366" t="str">
            <v/>
          </cell>
          <cell r="C2366" t="str">
            <v/>
          </cell>
          <cell r="D2366" t="str">
            <v/>
          </cell>
        </row>
        <row r="2367">
          <cell r="B2367" t="str">
            <v/>
          </cell>
          <cell r="C2367" t="str">
            <v/>
          </cell>
          <cell r="D2367" t="str">
            <v/>
          </cell>
        </row>
        <row r="2368">
          <cell r="B2368" t="str">
            <v/>
          </cell>
          <cell r="C2368" t="str">
            <v/>
          </cell>
          <cell r="D2368" t="str">
            <v/>
          </cell>
        </row>
        <row r="2369">
          <cell r="B2369" t="str">
            <v>-</v>
          </cell>
          <cell r="C2369" t="str">
            <v>INF769K01BR2</v>
          </cell>
          <cell r="D2369" t="str">
            <v>Mirae Asset Low Duration Fund - Direct Plan - Daily IDCW</v>
          </cell>
          <cell r="E2369">
            <v>1208.7637999999999</v>
          </cell>
        </row>
        <row r="2370">
          <cell r="B2370" t="str">
            <v>INF769K01BO9</v>
          </cell>
          <cell r="C2370" t="str">
            <v>-</v>
          </cell>
          <cell r="D2370" t="str">
            <v>Mirae Asset Low Duration Fund - Direct Plan - Growth</v>
          </cell>
          <cell r="E2370">
            <v>2630.9218000000001</v>
          </cell>
        </row>
        <row r="2371">
          <cell r="B2371" t="str">
            <v>INF769K01BP6</v>
          </cell>
          <cell r="C2371" t="str">
            <v>INF769K01BT8</v>
          </cell>
          <cell r="D2371" t="str">
            <v>Mirae Asset Low Duration Fund - Direct Plan - Monthly IDCW</v>
          </cell>
          <cell r="E2371">
            <v>1165.6276</v>
          </cell>
        </row>
        <row r="2372">
          <cell r="B2372" t="str">
            <v>INF769K01BQ4</v>
          </cell>
          <cell r="C2372" t="str">
            <v>INF769K01BU6</v>
          </cell>
          <cell r="D2372" t="str">
            <v>Mirae Asset Low Duration Fund - Direct Plan - Quarterly IDCW</v>
          </cell>
          <cell r="E2372">
            <v>1001.672</v>
          </cell>
        </row>
        <row r="2373">
          <cell r="B2373" t="str">
            <v>-</v>
          </cell>
          <cell r="C2373" t="str">
            <v>INF769K01BS0</v>
          </cell>
          <cell r="D2373" t="str">
            <v>Mirae Asset Low Duration Fund - Direct Plan - Weekly IDCW</v>
          </cell>
          <cell r="E2373">
            <v>1454.385</v>
          </cell>
        </row>
        <row r="2374">
          <cell r="B2374" t="str">
            <v>-</v>
          </cell>
          <cell r="C2374" t="str">
            <v>INF769K01986</v>
          </cell>
          <cell r="D2374" t="str">
            <v>Mirae Asset Low Duration Fund - Regular Plan - Daily IDCW</v>
          </cell>
          <cell r="E2374">
            <v>1005.0053</v>
          </cell>
        </row>
        <row r="2375">
          <cell r="B2375" t="str">
            <v>INF769K01937</v>
          </cell>
          <cell r="C2375" t="str">
            <v>-</v>
          </cell>
          <cell r="D2375" t="str">
            <v>Mirae Asset Low Duration Fund - Regular Plan - Growth</v>
          </cell>
          <cell r="E2375">
            <v>2399.7682</v>
          </cell>
        </row>
        <row r="2376">
          <cell r="B2376" t="str">
            <v>INF769K01960</v>
          </cell>
          <cell r="C2376" t="str">
            <v>INF769K01AA0</v>
          </cell>
          <cell r="D2376" t="str">
            <v>Mirae Asset Low Duration Fund - Regular Plan - Monthly IDCW</v>
          </cell>
          <cell r="E2376">
            <v>1092.2599</v>
          </cell>
        </row>
        <row r="2377">
          <cell r="B2377" t="str">
            <v>INF769K01978</v>
          </cell>
          <cell r="C2377" t="str">
            <v>INF769K01AB8</v>
          </cell>
          <cell r="D2377" t="str">
            <v>Mirae Asset Low Duration Fund - Regular Plan - Quarterly IDCW</v>
          </cell>
          <cell r="E2377">
            <v>1001.5438</v>
          </cell>
        </row>
        <row r="2378">
          <cell r="B2378" t="str">
            <v>-</v>
          </cell>
          <cell r="C2378" t="str">
            <v>INF769K01994</v>
          </cell>
          <cell r="D2378" t="str">
            <v>Mirae Asset Low Duration Fund - Regular Plan - Weekly IDCW</v>
          </cell>
          <cell r="E2378">
            <v>1106.6348</v>
          </cell>
        </row>
        <row r="2379">
          <cell r="B2379" t="str">
            <v/>
          </cell>
          <cell r="C2379" t="str">
            <v/>
          </cell>
          <cell r="D2379" t="str">
            <v/>
          </cell>
        </row>
        <row r="2380">
          <cell r="B2380" t="str">
            <v/>
          </cell>
          <cell r="C2380" t="str">
            <v/>
          </cell>
          <cell r="D2380" t="str">
            <v/>
          </cell>
        </row>
        <row r="2381">
          <cell r="B2381" t="str">
            <v/>
          </cell>
          <cell r="C2381" t="str">
            <v/>
          </cell>
          <cell r="D2381" t="str">
            <v/>
          </cell>
        </row>
        <row r="2382">
          <cell r="B2382" t="str">
            <v>-</v>
          </cell>
          <cell r="C2382" t="str">
            <v>INF204K01EX2</v>
          </cell>
          <cell r="D2382" t="str">
            <v>NIPPON INDIA LOW DURATION FUND - DAILY IDCW Option</v>
          </cell>
          <cell r="E2382">
            <v>1012.0995</v>
          </cell>
        </row>
        <row r="2383">
          <cell r="B2383" t="str">
            <v>-</v>
          </cell>
          <cell r="C2383" t="str">
            <v>INF204K01ZV1</v>
          </cell>
          <cell r="D2383" t="str">
            <v>NIPPON INDIA LOW DURATION FUND - DIRECT Plan - DAILY IDCW Option</v>
          </cell>
          <cell r="E2383">
            <v>1012.2329</v>
          </cell>
        </row>
        <row r="2384">
          <cell r="B2384" t="str">
            <v>INF204KA1EK7</v>
          </cell>
          <cell r="C2384" t="str">
            <v>INF204KA1EL5</v>
          </cell>
          <cell r="D2384" t="str">
            <v>NIPPON INDIA LOW DURATION FUND - DIRECT Plan - IDCW Option</v>
          </cell>
          <cell r="E2384">
            <v>2247.3874999999998</v>
          </cell>
        </row>
        <row r="2385">
          <cell r="B2385" t="str">
            <v>INF204K01ZX7</v>
          </cell>
          <cell r="C2385" t="str">
            <v>INF204K01ZY5</v>
          </cell>
          <cell r="D2385" t="str">
            <v>NIPPON INDIA LOW DURATION FUND - DIRECT Plan - MONTHLY IDCW Option</v>
          </cell>
          <cell r="E2385">
            <v>1038.481</v>
          </cell>
        </row>
        <row r="2386">
          <cell r="B2386" t="str">
            <v>INF204K01ZZ2</v>
          </cell>
          <cell r="C2386" t="str">
            <v>INF204K01A09</v>
          </cell>
          <cell r="D2386" t="str">
            <v>NIPPON INDIA LOW DURATION FUND - DIRECT Plan - QUARTERLY IDCW Option</v>
          </cell>
          <cell r="E2386">
            <v>1022.9967</v>
          </cell>
        </row>
        <row r="2387">
          <cell r="B2387" t="str">
            <v>INF204K01A17</v>
          </cell>
          <cell r="C2387" t="str">
            <v>-</v>
          </cell>
          <cell r="D2387" t="str">
            <v>NIPPON INDIA LOW DURATION FUND - DIRECT Plan - WEEKLY IDCW Option</v>
          </cell>
          <cell r="E2387">
            <v>1012.1198000000001</v>
          </cell>
        </row>
        <row r="2388">
          <cell r="B2388" t="str">
            <v>INF204K01G03</v>
          </cell>
          <cell r="C2388" t="str">
            <v>-</v>
          </cell>
          <cell r="D2388" t="str">
            <v>Nippon India Low Duration Fund - Direct Plan Growth Plan - Bonus Option</v>
          </cell>
          <cell r="E2388">
            <v>2468.415</v>
          </cell>
        </row>
        <row r="2389">
          <cell r="B2389" t="str">
            <v>INF204K01ZU3</v>
          </cell>
          <cell r="C2389" t="str">
            <v>-</v>
          </cell>
          <cell r="D2389" t="str">
            <v>Nippon India Low Duration Fund - Direct Plan Growth Plan - Growth Option</v>
          </cell>
          <cell r="E2389">
            <v>4249.3292000000001</v>
          </cell>
        </row>
        <row r="2390">
          <cell r="B2390" t="str">
            <v>INF204KA1EI1</v>
          </cell>
          <cell r="C2390" t="str">
            <v>INF204KA1EJ9</v>
          </cell>
          <cell r="D2390" t="str">
            <v>NIPPON INDIA LOW DURATION FUND - IDCW Option</v>
          </cell>
          <cell r="E2390">
            <v>2116.8667</v>
          </cell>
        </row>
        <row r="2391">
          <cell r="B2391" t="str">
            <v>INF204K01EZ7</v>
          </cell>
          <cell r="C2391" t="str">
            <v>INF204K01FA7</v>
          </cell>
          <cell r="D2391" t="str">
            <v>NIPPON INDIA LOW DURATION FUND - MONTHLY IDCW Option</v>
          </cell>
          <cell r="E2391">
            <v>1030.4157</v>
          </cell>
        </row>
        <row r="2392">
          <cell r="B2392" t="str">
            <v>INF204K01FB5</v>
          </cell>
          <cell r="C2392" t="str">
            <v>INF204K01FC3</v>
          </cell>
          <cell r="D2392" t="str">
            <v>NIPPON INDIA LOW DURATION FUND - QUARTERLY IDCW Option</v>
          </cell>
          <cell r="E2392">
            <v>1022.4106</v>
          </cell>
        </row>
        <row r="2393">
          <cell r="B2393" t="str">
            <v>-</v>
          </cell>
          <cell r="C2393" t="str">
            <v>INF204K01EP8</v>
          </cell>
          <cell r="D2393" t="str">
            <v>NIPPON INDIA LOW DURATION FUND - RETAIL Plan - DAILY IDCW Option</v>
          </cell>
          <cell r="E2393">
            <v>1012.1032</v>
          </cell>
        </row>
        <row r="2394">
          <cell r="B2394" t="str">
            <v>INF204K01EN3</v>
          </cell>
          <cell r="C2394" t="str">
            <v>-</v>
          </cell>
          <cell r="D2394" t="str">
            <v>Nippon India Low Duration Fund - Retail Plan - Growth Plan - Growth Option</v>
          </cell>
          <cell r="E2394">
            <v>3794.1631000000002</v>
          </cell>
        </row>
        <row r="2395">
          <cell r="B2395" t="str">
            <v>INF204K01EO1</v>
          </cell>
          <cell r="C2395" t="str">
            <v>-</v>
          </cell>
          <cell r="D2395" t="str">
            <v>Nippon India Low Duration Fund - Retail Plan - Growth Plan -Bonus Option</v>
          </cell>
          <cell r="E2395">
            <v>2826.5783999999999</v>
          </cell>
        </row>
        <row r="2396">
          <cell r="B2396" t="str">
            <v>INF204K01ER4</v>
          </cell>
          <cell r="C2396" t="str">
            <v>INF204K01ES2</v>
          </cell>
          <cell r="D2396" t="str">
            <v>NIPPON INDIA LOW DURATION FUND - RETAIL Plan - MONTHLY IDCW Option</v>
          </cell>
          <cell r="E2396">
            <v>1032.2294999999999</v>
          </cell>
        </row>
        <row r="2397">
          <cell r="B2397" t="str">
            <v>INF204K01ET0</v>
          </cell>
          <cell r="C2397" t="str">
            <v>INF204K01EU8</v>
          </cell>
          <cell r="D2397" t="str">
            <v>NIPPON INDIA LOW DURATION FUND - RETAIL Plan - QUARTERLY IDCW Option</v>
          </cell>
          <cell r="E2397">
            <v>1022.2443</v>
          </cell>
        </row>
        <row r="2398">
          <cell r="B2398" t="str">
            <v>INF204K01OP7</v>
          </cell>
          <cell r="C2398" t="str">
            <v>INF204K01EQ6</v>
          </cell>
          <cell r="D2398" t="str">
            <v>NIPPON INDIA LOW DURATION FUND - RETAIL Plan - WEEKLY IDCW Option</v>
          </cell>
          <cell r="E2398">
            <v>1012.1488000000001</v>
          </cell>
        </row>
        <row r="2399">
          <cell r="B2399" t="str">
            <v>INF204K01OO0</v>
          </cell>
          <cell r="C2399" t="str">
            <v>INF204K01EY0</v>
          </cell>
          <cell r="D2399" t="str">
            <v>NIPPON INDIA LOW DURATION FUND - WEEKLY IDCW Option</v>
          </cell>
          <cell r="E2399">
            <v>1011.9627</v>
          </cell>
        </row>
        <row r="2400">
          <cell r="B2400" t="str">
            <v>INF204K01EW4</v>
          </cell>
          <cell r="C2400" t="str">
            <v>-</v>
          </cell>
          <cell r="D2400" t="str">
            <v>Nippon India Low Duration Fund -Growth Plan -Bonus Option</v>
          </cell>
          <cell r="E2400">
            <v>2312.2029000000002</v>
          </cell>
        </row>
        <row r="2401">
          <cell r="B2401" t="str">
            <v>INF204K01EV6</v>
          </cell>
          <cell r="C2401" t="str">
            <v>-</v>
          </cell>
          <cell r="D2401" t="str">
            <v>Nippon India Low Duration Fund- Growth Plan - Growth Option</v>
          </cell>
          <cell r="E2401">
            <v>3982.3380000000002</v>
          </cell>
        </row>
        <row r="2402">
          <cell r="B2402" t="str">
            <v/>
          </cell>
          <cell r="C2402" t="str">
            <v/>
          </cell>
          <cell r="D2402" t="str">
            <v/>
          </cell>
        </row>
        <row r="2403">
          <cell r="B2403" t="str">
            <v/>
          </cell>
          <cell r="C2403" t="str">
            <v/>
          </cell>
          <cell r="D2403" t="str">
            <v/>
          </cell>
        </row>
        <row r="2404">
          <cell r="B2404" t="str">
            <v/>
          </cell>
          <cell r="C2404" t="str">
            <v/>
          </cell>
          <cell r="D2404" t="str">
            <v/>
          </cell>
        </row>
        <row r="2405">
          <cell r="B2405" t="str">
            <v>-</v>
          </cell>
          <cell r="C2405" t="str">
            <v>INF200K01VJ3</v>
          </cell>
          <cell r="D2405" t="str">
            <v>SBI Low Duration Fund - Direct Plan - Daily Income Distribution cum Capital Withdrawal Option (IDCW)</v>
          </cell>
          <cell r="E2405">
            <v>1493.8711000000001</v>
          </cell>
        </row>
        <row r="2406">
          <cell r="B2406" t="str">
            <v>INF200K01VK1</v>
          </cell>
          <cell r="C2406" t="str">
            <v>INF200K01VL9</v>
          </cell>
          <cell r="D2406" t="str">
            <v>SBI Low Duration Fund - Direct Plan - Fortnightly Income Distribution cum Capital Withdrawal Option (IDCW)</v>
          </cell>
          <cell r="E2406">
            <v>1519.9872</v>
          </cell>
        </row>
        <row r="2407">
          <cell r="B2407" t="str">
            <v>INF200K01VM7</v>
          </cell>
          <cell r="C2407" t="str">
            <v>-</v>
          </cell>
          <cell r="D2407" t="str">
            <v>SBI LOW DURATION FUND - DIRECT PLAN - GROWTH</v>
          </cell>
          <cell r="E2407">
            <v>3875.2698</v>
          </cell>
        </row>
        <row r="2408">
          <cell r="B2408" t="str">
            <v>INF200K01VN5</v>
          </cell>
          <cell r="C2408" t="str">
            <v>INF200K01VO3</v>
          </cell>
          <cell r="D2408" t="str">
            <v>SBI Low Duration Fund - Direct Plan - Monthly Income Distribution cum Capital Withdrawal Option (IDCW)</v>
          </cell>
          <cell r="E2408">
            <v>1722.0845999999999</v>
          </cell>
        </row>
        <row r="2409">
          <cell r="B2409" t="str">
            <v>INF200K01VP0</v>
          </cell>
          <cell r="C2409" t="str">
            <v>INF200K01VQ8</v>
          </cell>
          <cell r="D2409" t="str">
            <v>SBI Low Duration Fund - Direct Plan - Weekly Income Distribution cum Capital Withdrawal Option (IDCW)</v>
          </cell>
          <cell r="E2409">
            <v>1496.0581</v>
          </cell>
        </row>
        <row r="2410">
          <cell r="B2410" t="str">
            <v>-</v>
          </cell>
          <cell r="C2410" t="str">
            <v>INF200K01ML8</v>
          </cell>
          <cell r="D2410" t="str">
            <v>SBI Low Duration Fund - Regular Plan - Daily Income Distribution cum Capital Withdrawal Option (IDCW)</v>
          </cell>
          <cell r="E2410">
            <v>1443.5074</v>
          </cell>
        </row>
        <row r="2411">
          <cell r="B2411" t="str">
            <v>INF200K01MM6</v>
          </cell>
          <cell r="C2411" t="str">
            <v>INF200K01MN4</v>
          </cell>
          <cell r="D2411" t="str">
            <v>SBI Low Duration Fund - Regular Plan - Fornightly Income Distribution cum Capital Withdrawal Option (IDCW)</v>
          </cell>
          <cell r="E2411">
            <v>1468.7726</v>
          </cell>
        </row>
        <row r="2412">
          <cell r="B2412" t="str">
            <v>INF200K01MO2</v>
          </cell>
          <cell r="C2412" t="str">
            <v>-</v>
          </cell>
          <cell r="D2412" t="str">
            <v>SBI LOW DURATION FUND - REGULAR PLAN - GROWTH</v>
          </cell>
          <cell r="E2412">
            <v>3705.9169000000002</v>
          </cell>
        </row>
        <row r="2413">
          <cell r="B2413" t="str">
            <v>INF200K01MP9</v>
          </cell>
          <cell r="C2413" t="str">
            <v>INF200K01MQ7</v>
          </cell>
          <cell r="D2413" t="str">
            <v>SBI Low Duration Fund - Regular Plan - Monthly Income Distribution cum Capital Withdrawal Option (IDCW)</v>
          </cell>
          <cell r="E2413">
            <v>1625.3669</v>
          </cell>
        </row>
        <row r="2414">
          <cell r="B2414" t="str">
            <v>INF200K01MR5</v>
          </cell>
          <cell r="C2414" t="str">
            <v>INF200K01MS3</v>
          </cell>
          <cell r="D2414" t="str">
            <v>SBI Low Duration Fund - Regular Plan - Weekly Income Distribution cum Capital Withdrawal Option (IDCW)</v>
          </cell>
          <cell r="E2414">
            <v>1443.4938999999999</v>
          </cell>
        </row>
        <row r="2415">
          <cell r="B2415" t="str">
            <v>-</v>
          </cell>
          <cell r="C2415" t="str">
            <v>INF200K01MD5</v>
          </cell>
          <cell r="D2415" t="str">
            <v>SBI Short Horizon Debt Fund - Ultra Short Term Fund - Institutional Plan - Daily Income Distribution cum Capital Withdrawal Option (IDCW)</v>
          </cell>
          <cell r="E2415">
            <v>1443.8472999999999</v>
          </cell>
        </row>
        <row r="2416">
          <cell r="B2416" t="str">
            <v>INF200K01MG8</v>
          </cell>
          <cell r="C2416" t="str">
            <v>-</v>
          </cell>
          <cell r="D2416" t="str">
            <v>SBI Short Horizon Debt Fund - Ultra Short Term Fund - Institutional Plan - Growth</v>
          </cell>
          <cell r="E2416">
            <v>3771.2741000000001</v>
          </cell>
        </row>
        <row r="2417">
          <cell r="B2417" t="str">
            <v>INF200K01MJ2</v>
          </cell>
          <cell r="C2417" t="str">
            <v>INF200K01MK0</v>
          </cell>
          <cell r="D2417" t="str">
            <v>SBI Short Horizon Debt Fund - Ultra Short Term Fund- Institutional Plan - Weekly Income Distribution cum Capital Withdrawal Option (IDCW)</v>
          </cell>
          <cell r="E2417">
            <v>1440.2630999999999</v>
          </cell>
        </row>
        <row r="2418">
          <cell r="B2418" t="str">
            <v/>
          </cell>
          <cell r="C2418" t="str">
            <v/>
          </cell>
          <cell r="D2418" t="str">
            <v/>
          </cell>
        </row>
        <row r="2419">
          <cell r="B2419" t="str">
            <v/>
          </cell>
          <cell r="C2419" t="str">
            <v/>
          </cell>
          <cell r="D2419" t="str">
            <v/>
          </cell>
        </row>
        <row r="2420">
          <cell r="B2420" t="str">
            <v/>
          </cell>
          <cell r="C2420" t="str">
            <v/>
          </cell>
          <cell r="D2420" t="str">
            <v/>
          </cell>
        </row>
        <row r="2421">
          <cell r="B2421" t="str">
            <v>-</v>
          </cell>
          <cell r="C2421" t="str">
            <v>INF903JA1JW8</v>
          </cell>
          <cell r="D2421" t="str">
            <v>Sundaram Low Duration Fund (Formerly Know as Principal Low Duation Fund) Regular Principal Units</v>
          </cell>
          <cell r="E2421">
            <v>1341.6648</v>
          </cell>
        </row>
        <row r="2422">
          <cell r="B2422" t="str">
            <v>-</v>
          </cell>
          <cell r="C2422" t="str">
            <v>INF173K01FR8</v>
          </cell>
          <cell r="D2422" t="str">
            <v>Sundaram Low Duration Fund (Formerly Known as Principal Low Duration Fund) - Direct Plan - Daily Income Distribution CUM Capital Withdrawal Option</v>
          </cell>
          <cell r="E2422">
            <v>1009.6449</v>
          </cell>
        </row>
        <row r="2423">
          <cell r="B2423" t="str">
            <v>INF173K01FS6</v>
          </cell>
          <cell r="C2423" t="str">
            <v>-</v>
          </cell>
          <cell r="D2423" t="str">
            <v>Sundaram Low Duration Fund (Formerly Known as Principal Low Duration Fund) - Direct Plan - Growth Option</v>
          </cell>
          <cell r="E2423">
            <v>3958.3020999999999</v>
          </cell>
        </row>
        <row r="2424">
          <cell r="B2424" t="str">
            <v>INF173K01FT4</v>
          </cell>
          <cell r="C2424" t="str">
            <v>INF173K01FU2</v>
          </cell>
          <cell r="D2424" t="str">
            <v>Sundaram Low Duration Fund (Formerly Known as Principal Low Duration Fund) - Direct Plan - Income Distribution CUM Capital Withdrawal Option (IDCW)</v>
          </cell>
          <cell r="E2424">
            <v>1126.3803</v>
          </cell>
        </row>
        <row r="2425">
          <cell r="B2425" t="str">
            <v>INF903JA1KA2</v>
          </cell>
          <cell r="C2425" t="str">
            <v>INF173K01FW8</v>
          </cell>
          <cell r="D2425" t="str">
            <v>Sundaram Low Duration Fund (Formerly Known as Principal Low Duration Fund) - Direct Plan - Weekly Income Distribution CUM Capital Withdrawal Option</v>
          </cell>
          <cell r="E2425">
            <v>1006.3073000000001</v>
          </cell>
        </row>
        <row r="2426">
          <cell r="B2426" t="str">
            <v>INF903JA1JU2</v>
          </cell>
          <cell r="C2426" t="str">
            <v>INF173K01DI2</v>
          </cell>
          <cell r="D2426" t="str">
            <v>Sundaram Low Duration Fund (Formerly Known as Principal Low Duration Fund) - Weekly Income Distribution CUM Capital Withdrawal Option</v>
          </cell>
          <cell r="E2426">
            <v>1010.4171</v>
          </cell>
        </row>
        <row r="2427">
          <cell r="B2427" t="str">
            <v>-</v>
          </cell>
          <cell r="C2427" t="str">
            <v>INF173K01DH4</v>
          </cell>
          <cell r="D2427" t="str">
            <v>Sundaram Low Duration Fund (Formerly Known as Principal Low Duration Fund) -Daily Income Distribution CUM Capital Withdrawal Option</v>
          </cell>
          <cell r="E2427">
            <v>1015.7943</v>
          </cell>
        </row>
        <row r="2428">
          <cell r="B2428" t="str">
            <v>INF903JA1KB0</v>
          </cell>
          <cell r="C2428" t="str">
            <v>INF903JA1JX6</v>
          </cell>
          <cell r="D2428" t="str">
            <v>Sundaram Low Duration Fund (Formerly Known as Principal Low Duration Fund) Direct Fortnightly IDCW</v>
          </cell>
          <cell r="E2428">
            <v>1098.0392999999999</v>
          </cell>
        </row>
        <row r="2429">
          <cell r="B2429" t="str">
            <v>INF903JA1JV0</v>
          </cell>
          <cell r="C2429" t="str">
            <v>INF903JA1JR8</v>
          </cell>
          <cell r="D2429" t="str">
            <v>Sundaram Low Duration Fund (Formerly Known as Principal Low Duration Fund) Regular Fortnightly IDCW</v>
          </cell>
          <cell r="E2429">
            <v>1088.0155999999999</v>
          </cell>
        </row>
        <row r="2430">
          <cell r="B2430" t="str">
            <v>INF903JA1JT4</v>
          </cell>
          <cell r="C2430" t="str">
            <v>INF903JA1JS6</v>
          </cell>
          <cell r="D2430" t="str">
            <v>Sundaram Low Duration Fund (Formerly Known as Principal Low Duration Fund) Regular Plan IDCW</v>
          </cell>
          <cell r="E2430">
            <v>1210.1093000000001</v>
          </cell>
        </row>
        <row r="2431">
          <cell r="B2431" t="str">
            <v>INF173K01DG6</v>
          </cell>
          <cell r="C2431" t="str">
            <v>-</v>
          </cell>
          <cell r="D2431" t="str">
            <v>Sundaram Low Duration Fund (Formerly Known as Principal Low Duration Fund)- Growth Option</v>
          </cell>
          <cell r="E2431">
            <v>3661.9639000000002</v>
          </cell>
        </row>
        <row r="2432">
          <cell r="B2432" t="str">
            <v>INF173K01DJ0</v>
          </cell>
          <cell r="C2432" t="str">
            <v>INF173K01DK8</v>
          </cell>
          <cell r="D2432" t="str">
            <v>Sundaram Low Duration Fund (Formerly Known as Principal Low Duration Fund)- Income Distribution CUM Capital Withdrawal Option (IDCW)</v>
          </cell>
          <cell r="E2432">
            <v>1104.124</v>
          </cell>
        </row>
        <row r="2433">
          <cell r="B2433" t="str">
            <v>INF903JA1JZ1</v>
          </cell>
          <cell r="C2433" t="str">
            <v>INF903JA1JY4</v>
          </cell>
          <cell r="D2433" t="str">
            <v>Sundaram Low Duration Fund(Formerly Known as Principal Low Duration Fund) Direct Plan - IDCW</v>
          </cell>
          <cell r="E2433">
            <v>1255.0849000000001</v>
          </cell>
        </row>
        <row r="2434">
          <cell r="B2434" t="str">
            <v/>
          </cell>
          <cell r="C2434" t="str">
            <v/>
          </cell>
          <cell r="D2434" t="str">
            <v/>
          </cell>
        </row>
        <row r="2435">
          <cell r="B2435" t="str">
            <v/>
          </cell>
          <cell r="C2435" t="str">
            <v/>
          </cell>
          <cell r="D2435" t="str">
            <v/>
          </cell>
        </row>
        <row r="2436">
          <cell r="B2436" t="str">
            <v/>
          </cell>
          <cell r="C2436" t="str">
            <v/>
          </cell>
          <cell r="D2436" t="str">
            <v/>
          </cell>
        </row>
        <row r="2437">
          <cell r="B2437" t="str">
            <v>INF277K01OK4</v>
          </cell>
          <cell r="C2437" t="str">
            <v>-</v>
          </cell>
          <cell r="D2437" t="str">
            <v>Tata Treasury Advantage Fund - Direct Plan - Growth Option</v>
          </cell>
          <cell r="E2437">
            <v>4321.0963000000002</v>
          </cell>
        </row>
        <row r="2438">
          <cell r="B2438" t="str">
            <v>INF277K01MA9</v>
          </cell>
          <cell r="C2438" t="str">
            <v>-</v>
          </cell>
          <cell r="D2438" t="str">
            <v>Tata Treasury Advantage Fund - Regular Plan - Growth Option</v>
          </cell>
          <cell r="E2438">
            <v>4186.8482000000004</v>
          </cell>
        </row>
        <row r="2439">
          <cell r="B2439" t="str">
            <v>-</v>
          </cell>
          <cell r="C2439" t="str">
            <v>INF277K018B3</v>
          </cell>
          <cell r="D2439" t="str">
            <v>Tata Treasury Advantage Fund Direct Plan - Daily Reinvestment of IDCW Option</v>
          </cell>
          <cell r="E2439">
            <v>1003.5316</v>
          </cell>
        </row>
        <row r="2440">
          <cell r="B2440" t="str">
            <v>INF277K01OL2</v>
          </cell>
          <cell r="C2440" t="str">
            <v>INF277K01OM0</v>
          </cell>
          <cell r="D2440" t="str">
            <v>Tata Treasury Advantage Fund Direct Plan - Periodic Payout of IDCW Option</v>
          </cell>
          <cell r="E2440">
            <v>2740.7788999999998</v>
          </cell>
        </row>
        <row r="2441">
          <cell r="B2441" t="str">
            <v>INF277K019B1</v>
          </cell>
          <cell r="C2441" t="str">
            <v>INF277K010C8</v>
          </cell>
          <cell r="D2441" t="str">
            <v>Tata Treasury Advantage Fund Direct Plan - Weekly Payout of IDCW Option</v>
          </cell>
          <cell r="E2441">
            <v>1008.0988</v>
          </cell>
        </row>
        <row r="2442">
          <cell r="B2442" t="str">
            <v>-</v>
          </cell>
          <cell r="C2442" t="str">
            <v>INF277K01LZ8</v>
          </cell>
          <cell r="D2442" t="str">
            <v>Tata Treasury Advantage Fund Regular Plan - Daily Reinvestment of IDCW Option</v>
          </cell>
          <cell r="E2442">
            <v>1003.5288</v>
          </cell>
        </row>
        <row r="2443">
          <cell r="B2443" t="str">
            <v>INF277K01MC5</v>
          </cell>
          <cell r="C2443" t="str">
            <v>INF277K01ME1</v>
          </cell>
          <cell r="D2443" t="str">
            <v>Tata Treasury Advantage Fund Regular Plan - Periodic Payout of IDCW Option</v>
          </cell>
          <cell r="E2443">
            <v>2653.7433999999998</v>
          </cell>
        </row>
        <row r="2444">
          <cell r="B2444" t="str">
            <v>INF277K01MD3</v>
          </cell>
          <cell r="C2444" t="str">
            <v>INF277K01MB7</v>
          </cell>
          <cell r="D2444" t="str">
            <v>Tata Treasury Advantage Fund Regular Plan - Weekly Payout of IDCW Option</v>
          </cell>
          <cell r="E2444">
            <v>1008.0896</v>
          </cell>
        </row>
        <row r="2445">
          <cell r="B2445" t="str">
            <v/>
          </cell>
          <cell r="C2445" t="str">
            <v/>
          </cell>
          <cell r="D2445" t="str">
            <v/>
          </cell>
        </row>
        <row r="2446">
          <cell r="B2446" t="str">
            <v/>
          </cell>
          <cell r="C2446" t="str">
            <v/>
          </cell>
          <cell r="D2446" t="str">
            <v/>
          </cell>
        </row>
        <row r="2447">
          <cell r="B2447" t="str">
            <v/>
          </cell>
          <cell r="C2447" t="str">
            <v/>
          </cell>
          <cell r="D2447" t="str">
            <v/>
          </cell>
        </row>
        <row r="2448">
          <cell r="B2448" t="str">
            <v>INF582M01LQ6</v>
          </cell>
          <cell r="C2448" t="str">
            <v>-</v>
          </cell>
          <cell r="D2448" t="str">
            <v>Union Low Duration Fund - Direct Plan - Growth Option</v>
          </cell>
          <cell r="E2448">
            <v>10.5969</v>
          </cell>
        </row>
        <row r="2449">
          <cell r="B2449" t="str">
            <v>INF582M01LR4</v>
          </cell>
          <cell r="C2449" t="str">
            <v>INF582M01LS2</v>
          </cell>
          <cell r="D2449" t="str">
            <v>Union Low Duration Fund - Direct Plan - IDCW Option</v>
          </cell>
          <cell r="E2449">
            <v>10.148300000000001</v>
          </cell>
        </row>
        <row r="2450">
          <cell r="B2450" t="str">
            <v>INF582M01LU8</v>
          </cell>
          <cell r="C2450" t="str">
            <v>-</v>
          </cell>
          <cell r="D2450" t="str">
            <v>Union Low Duration Fund - Regular Plan - Growth Option</v>
          </cell>
          <cell r="E2450">
            <v>10.517799999999999</v>
          </cell>
        </row>
        <row r="2451">
          <cell r="B2451" t="str">
            <v>INF582M01LN3</v>
          </cell>
          <cell r="C2451" t="str">
            <v>INF582M01LO1</v>
          </cell>
          <cell r="D2451" t="str">
            <v>Union Low Duration Fund - Regular Plan - IDCW Option</v>
          </cell>
          <cell r="E2451">
            <v>10.0708</v>
          </cell>
        </row>
        <row r="2452">
          <cell r="B2452" t="str">
            <v/>
          </cell>
          <cell r="C2452" t="str">
            <v/>
          </cell>
          <cell r="D2452" t="str">
            <v/>
          </cell>
        </row>
        <row r="2453">
          <cell r="B2453" t="str">
            <v/>
          </cell>
          <cell r="C2453" t="str">
            <v/>
          </cell>
          <cell r="D2453" t="str">
            <v/>
          </cell>
        </row>
        <row r="2454">
          <cell r="B2454" t="str">
            <v/>
          </cell>
          <cell r="C2454" t="str">
            <v/>
          </cell>
          <cell r="D2454" t="str">
            <v/>
          </cell>
        </row>
        <row r="2455">
          <cell r="B2455" t="str">
            <v>INF789F01XF9</v>
          </cell>
          <cell r="C2455" t="str">
            <v>INF789F01XG7</v>
          </cell>
          <cell r="D2455" t="str">
            <v>UTI Low Duration Fund - Direct Plan - Annual IDCW</v>
          </cell>
          <cell r="E2455">
            <v>1425.1913999999999</v>
          </cell>
        </row>
        <row r="2456">
          <cell r="B2456" t="str">
            <v>INF789F01XH5</v>
          </cell>
          <cell r="C2456" t="str">
            <v>-</v>
          </cell>
          <cell r="D2456" t="str">
            <v>UTI Low Duration Fund - Direct Plan - Bonus Option</v>
          </cell>
          <cell r="E2456">
            <v>2199.7192</v>
          </cell>
        </row>
        <row r="2457">
          <cell r="B2457" t="str">
            <v>-</v>
          </cell>
          <cell r="C2457" t="str">
            <v>INF789F01XE2</v>
          </cell>
          <cell r="D2457" t="str">
            <v>UTI Low Duration Fund - Direct Plan - Daily IDCW (Reinvestment)</v>
          </cell>
          <cell r="E2457">
            <v>1469.9646</v>
          </cell>
        </row>
        <row r="2458">
          <cell r="B2458" t="str">
            <v>INF789FA1O44</v>
          </cell>
          <cell r="C2458" t="str">
            <v>INF789FA1O51</v>
          </cell>
          <cell r="D2458" t="str">
            <v>UTI Low Duration Fund - Direct Plan - Flexi IDCW</v>
          </cell>
          <cell r="E2458">
            <v>1634.4641999999999</v>
          </cell>
        </row>
        <row r="2459">
          <cell r="B2459" t="str">
            <v>INF789FA1O02</v>
          </cell>
          <cell r="C2459" t="str">
            <v>INF789FA1O10</v>
          </cell>
          <cell r="D2459" t="str">
            <v>UTI Low Duration Fund - Direct Plan - Fortnightly IDCW</v>
          </cell>
          <cell r="E2459">
            <v>1339.9259999999999</v>
          </cell>
        </row>
        <row r="2460">
          <cell r="B2460" t="str">
            <v>INF789F01XI3</v>
          </cell>
          <cell r="C2460" t="str">
            <v>-</v>
          </cell>
          <cell r="D2460" t="str">
            <v>UTI Low Duration Fund - Direct Plan - Growth Option</v>
          </cell>
          <cell r="E2460">
            <v>3850.1345999999999</v>
          </cell>
        </row>
        <row r="2461">
          <cell r="B2461" t="str">
            <v>INF789FA1O28</v>
          </cell>
          <cell r="C2461" t="str">
            <v>INF789FA1O36</v>
          </cell>
          <cell r="D2461" t="str">
            <v>UTI Low Duration Fund - Direct Plan - Half-Yearly IDCW</v>
          </cell>
          <cell r="E2461">
            <v>1489.7035000000001</v>
          </cell>
        </row>
        <row r="2462">
          <cell r="B2462" t="str">
            <v>INF789F01XJ1</v>
          </cell>
          <cell r="C2462" t="str">
            <v>INF789F01XK9</v>
          </cell>
          <cell r="D2462" t="str">
            <v>UTI Low Duration Fund - Direct Plan - Monthly IDCW</v>
          </cell>
          <cell r="E2462">
            <v>1503.2031999999999</v>
          </cell>
        </row>
        <row r="2463">
          <cell r="B2463" t="str">
            <v>INF789F01XL7</v>
          </cell>
          <cell r="C2463" t="str">
            <v>INF789F01XM5</v>
          </cell>
          <cell r="D2463" t="str">
            <v>UTI Low Duration Fund - Direct Plan - Quarterly IDCW</v>
          </cell>
          <cell r="E2463">
            <v>2064.3278</v>
          </cell>
        </row>
        <row r="2464">
          <cell r="B2464" t="str">
            <v>INF789F01XN3</v>
          </cell>
          <cell r="C2464" t="str">
            <v>INF789F01XO1</v>
          </cell>
          <cell r="D2464" t="str">
            <v>UTI Low Duration Fund - Direct Plan - Weekly IDCW</v>
          </cell>
          <cell r="E2464">
            <v>1021.3613</v>
          </cell>
        </row>
        <row r="2465">
          <cell r="B2465" t="str">
            <v>INF789F01OK8</v>
          </cell>
          <cell r="C2465" t="str">
            <v>INF789F01OL6</v>
          </cell>
          <cell r="D2465" t="str">
            <v>UTI Low Duration Fund - Discontinued - Annaul Dividend Option</v>
          </cell>
          <cell r="E2465">
            <v>3598.0805</v>
          </cell>
        </row>
        <row r="2466">
          <cell r="B2466" t="str">
            <v>-</v>
          </cell>
          <cell r="C2466" t="str">
            <v>INF789F01349</v>
          </cell>
          <cell r="D2466" t="str">
            <v>UTI Low Duration Fund - Discontinued - Periodic Dividend Plan</v>
          </cell>
          <cell r="E2466">
            <v>1077.7677000000001</v>
          </cell>
        </row>
        <row r="2467">
          <cell r="B2467" t="str">
            <v>INF789F01OO0</v>
          </cell>
          <cell r="C2467" t="str">
            <v>INF789F01OP7</v>
          </cell>
          <cell r="D2467" t="str">
            <v>UTI Low Duration Fund - Discontinued - Quarterly Dividend Option</v>
          </cell>
          <cell r="E2467">
            <v>2367.7420999999999</v>
          </cell>
        </row>
        <row r="2468">
          <cell r="B2468" t="str">
            <v>INF789F01OM4</v>
          </cell>
          <cell r="C2468" t="str">
            <v>-</v>
          </cell>
          <cell r="D2468" t="str">
            <v>UTI Low Duration Fund - Discontinued Bonus Option</v>
          </cell>
          <cell r="E2468">
            <v>4463.7253000000001</v>
          </cell>
        </row>
        <row r="2469">
          <cell r="B2469" t="str">
            <v>INF789F01PA6</v>
          </cell>
          <cell r="C2469" t="str">
            <v>-</v>
          </cell>
          <cell r="D2469" t="str">
            <v>UTI Low Duration Fund - Discontinued Flexi Dividend Plan</v>
          </cell>
          <cell r="E2469">
            <v>1086.8276000000001</v>
          </cell>
        </row>
        <row r="2470">
          <cell r="B2470" t="str">
            <v>INF789F01331</v>
          </cell>
          <cell r="C2470" t="str">
            <v>-</v>
          </cell>
          <cell r="D2470" t="str">
            <v>UTI Low Duration Fund - Discontinued Growth Option</v>
          </cell>
          <cell r="E2470">
            <v>6696.3469999999998</v>
          </cell>
        </row>
        <row r="2471">
          <cell r="B2471" t="str">
            <v>INF789F01OY9</v>
          </cell>
          <cell r="C2471" t="str">
            <v>INF789F01OZ6</v>
          </cell>
          <cell r="D2471" t="str">
            <v>UTI Low Duration Fund - Discontinued Monthly Dividend Option</v>
          </cell>
          <cell r="E2471">
            <v>1014.9092000000001</v>
          </cell>
        </row>
        <row r="2472">
          <cell r="B2472" t="str">
            <v>INF789F01OS1</v>
          </cell>
          <cell r="C2472" t="str">
            <v>-</v>
          </cell>
          <cell r="D2472" t="str">
            <v>UTI Low Duration Fund - Regular Plan - Bonus Option</v>
          </cell>
          <cell r="E2472">
            <v>3164.3996999999999</v>
          </cell>
        </row>
        <row r="2473">
          <cell r="B2473" t="str">
            <v>-</v>
          </cell>
          <cell r="C2473" t="str">
            <v>INF789F01ON2</v>
          </cell>
          <cell r="D2473" t="str">
            <v>UTI Low Duration Fund - Regular Plan - Daily IDCW (Reinvestment)</v>
          </cell>
          <cell r="E2473">
            <v>1459.2568000000001</v>
          </cell>
        </row>
        <row r="2474">
          <cell r="B2474" t="str">
            <v>INF789FA1N86</v>
          </cell>
          <cell r="C2474" t="str">
            <v>INF789FA1N94</v>
          </cell>
          <cell r="D2474" t="str">
            <v>UTI Low Duration Fund - Regular Plan - Flexi IDCW</v>
          </cell>
          <cell r="E2474">
            <v>1440.03</v>
          </cell>
        </row>
        <row r="2475">
          <cell r="B2475" t="str">
            <v>INF789FA1N45</v>
          </cell>
          <cell r="C2475" t="str">
            <v>INF789FA1N52</v>
          </cell>
          <cell r="D2475" t="str">
            <v>UTI Low Duration Fund - Regular Plan - Fortnightly IDCW</v>
          </cell>
          <cell r="E2475">
            <v>1331.2103999999999</v>
          </cell>
        </row>
        <row r="2476">
          <cell r="B2476" t="str">
            <v>INF789F01OT9</v>
          </cell>
          <cell r="C2476" t="str">
            <v>-</v>
          </cell>
          <cell r="D2476" t="str">
            <v>UTI Low Duration Fund - Regular Plan - Growth Option</v>
          </cell>
          <cell r="E2476">
            <v>3786.1307000000002</v>
          </cell>
        </row>
        <row r="2477">
          <cell r="B2477" t="str">
            <v>INF789FA1N60</v>
          </cell>
          <cell r="C2477" t="str">
            <v>INF789FA1N78</v>
          </cell>
          <cell r="D2477" t="str">
            <v>UTI Low Duration Fund - Regular Plan - Half-Yearly IDCW</v>
          </cell>
          <cell r="E2477">
            <v>1494.5718999999999</v>
          </cell>
        </row>
        <row r="2478">
          <cell r="B2478" t="str">
            <v>INF789F01OU7</v>
          </cell>
          <cell r="C2478" t="str">
            <v>INF789F01OV5</v>
          </cell>
          <cell r="D2478" t="str">
            <v>UTI Low Duration Fund - Regular Plan - Monthly IDCW</v>
          </cell>
          <cell r="E2478">
            <v>1488.4722999999999</v>
          </cell>
        </row>
        <row r="2479">
          <cell r="B2479" t="str">
            <v>INF789F01OW3</v>
          </cell>
          <cell r="C2479" t="str">
            <v>INF789F01OX1</v>
          </cell>
          <cell r="D2479" t="str">
            <v>UTI Low Duration Fund - Regular Plan - Quarterly IDCW</v>
          </cell>
          <cell r="E2479">
            <v>1442.6742999999999</v>
          </cell>
        </row>
        <row r="2480">
          <cell r="B2480" t="str">
            <v>INF789F01PB4</v>
          </cell>
          <cell r="C2480" t="str">
            <v>INF789F01PC2</v>
          </cell>
          <cell r="D2480" t="str">
            <v>UTI Low Duration Fund - Regular Plan - Weekly IDCW</v>
          </cell>
          <cell r="E2480">
            <v>1462.9484</v>
          </cell>
        </row>
        <row r="2481">
          <cell r="B2481" t="str">
            <v/>
          </cell>
          <cell r="C2481" t="str">
            <v/>
          </cell>
          <cell r="D2481" t="str">
            <v/>
          </cell>
        </row>
        <row r="2482">
          <cell r="B2482" t="str">
            <v/>
          </cell>
          <cell r="C2482" t="str">
            <v/>
          </cell>
          <cell r="D2482" t="str">
            <v/>
          </cell>
        </row>
        <row r="2483">
          <cell r="B2483" t="str">
            <v/>
          </cell>
          <cell r="C2483" t="str">
            <v/>
          </cell>
          <cell r="D2483" t="str">
            <v/>
          </cell>
        </row>
        <row r="2484">
          <cell r="B2484" t="str">
            <v/>
          </cell>
          <cell r="C2484" t="str">
            <v/>
          </cell>
          <cell r="D2484" t="str">
            <v/>
          </cell>
        </row>
        <row r="2485">
          <cell r="B2485" t="str">
            <v/>
          </cell>
          <cell r="C2485" t="str">
            <v/>
          </cell>
          <cell r="D2485" t="str">
            <v/>
          </cell>
        </row>
        <row r="2486">
          <cell r="B2486" t="str">
            <v>INF209KA1KN3</v>
          </cell>
          <cell r="C2486" t="str">
            <v>-</v>
          </cell>
          <cell r="D2486" t="str">
            <v>Aditya Birla Sun Life Medium Term Plan - DIRECT - HALF YEARLY IDCW</v>
          </cell>
          <cell r="E2486">
            <v>15.0402</v>
          </cell>
        </row>
        <row r="2487">
          <cell r="B2487" t="str">
            <v>INF209KA1KO1</v>
          </cell>
          <cell r="C2487" t="str">
            <v>-</v>
          </cell>
          <cell r="D2487" t="str">
            <v>Aditya Birla Sun Life Medium Term Plan - Direct - IDCW</v>
          </cell>
          <cell r="E2487">
            <v>18.183199999999999</v>
          </cell>
        </row>
        <row r="2488">
          <cell r="B2488" t="str">
            <v>INF209KA1KP8</v>
          </cell>
          <cell r="C2488" t="str">
            <v>-</v>
          </cell>
          <cell r="D2488" t="str">
            <v>Aditya Birla Sun Life Medium Term Plan - DIRECT - Quarterly IDCW</v>
          </cell>
          <cell r="E2488">
            <v>14.439299999999999</v>
          </cell>
        </row>
        <row r="2489">
          <cell r="B2489" t="str">
            <v>INF209K01XA9</v>
          </cell>
          <cell r="C2489" t="str">
            <v>-</v>
          </cell>
          <cell r="D2489" t="str">
            <v>Aditya Birla Sun Life Medium Term Plan - Growth - Direct Plan</v>
          </cell>
          <cell r="E2489">
            <v>47.730699999999999</v>
          </cell>
        </row>
        <row r="2490">
          <cell r="B2490" t="str">
            <v>INF209K01603</v>
          </cell>
          <cell r="C2490" t="str">
            <v>-</v>
          </cell>
          <cell r="D2490" t="str">
            <v>Aditya Birla Sun Life Medium Term Plan - Growth - Regular Plan</v>
          </cell>
          <cell r="E2490">
            <v>43.551400000000001</v>
          </cell>
        </row>
        <row r="2491">
          <cell r="B2491" t="str">
            <v>INF209K01660</v>
          </cell>
          <cell r="C2491" t="str">
            <v>-</v>
          </cell>
          <cell r="D2491" t="str">
            <v>Aditya Birla Sun Life Medium Term Plan - Institutional - Growth Plan</v>
          </cell>
          <cell r="E2491">
            <v>22.144200000000001</v>
          </cell>
        </row>
        <row r="2492">
          <cell r="B2492" t="str">
            <v>INF209K01595</v>
          </cell>
          <cell r="C2492" t="str">
            <v>INF209K01CZ0</v>
          </cell>
          <cell r="D2492" t="str">
            <v>Aditya Birla Sun Life Medium Term Plan - REGULAR - HALFYEARLY IDCW</v>
          </cell>
          <cell r="E2492">
            <v>14.0618</v>
          </cell>
        </row>
        <row r="2493">
          <cell r="B2493" t="str">
            <v>INF209K01611</v>
          </cell>
          <cell r="C2493" t="str">
            <v>INF209K01DA1</v>
          </cell>
          <cell r="D2493" t="str">
            <v>Aditya Birla Sun Life Medium Term Plan - Regular - IDCW</v>
          </cell>
          <cell r="E2493">
            <v>16.534300000000002</v>
          </cell>
        </row>
        <row r="2494">
          <cell r="B2494" t="str">
            <v>INF209K01637</v>
          </cell>
          <cell r="C2494" t="str">
            <v>INF209KB1OJ2</v>
          </cell>
          <cell r="D2494" t="str">
            <v>Aditya Birla Sun Life Medium Term Plan - REGULAR - Quarterly IDCW</v>
          </cell>
          <cell r="E2494">
            <v>13.6823</v>
          </cell>
        </row>
        <row r="2495">
          <cell r="B2495" t="str">
            <v/>
          </cell>
          <cell r="C2495" t="str">
            <v/>
          </cell>
          <cell r="D2495" t="str">
            <v/>
          </cell>
        </row>
        <row r="2496">
          <cell r="B2496" t="str">
            <v/>
          </cell>
          <cell r="C2496" t="str">
            <v/>
          </cell>
          <cell r="D2496" t="str">
            <v/>
          </cell>
        </row>
        <row r="2497">
          <cell r="B2497" t="str">
            <v/>
          </cell>
          <cell r="C2497" t="str">
            <v/>
          </cell>
          <cell r="D2497" t="str">
            <v/>
          </cell>
        </row>
        <row r="2498">
          <cell r="B2498" t="str">
            <v>INF846K01DT0</v>
          </cell>
          <cell r="C2498" t="str">
            <v>-</v>
          </cell>
          <cell r="D2498" t="str">
            <v>Axis Strategic Bond Fund - Direct Plan - Growth Option</v>
          </cell>
          <cell r="E2498">
            <v>33.149000000000001</v>
          </cell>
        </row>
        <row r="2499">
          <cell r="B2499" t="str">
            <v>INF846K01DU8</v>
          </cell>
          <cell r="C2499" t="str">
            <v>INF846K01DV6</v>
          </cell>
          <cell r="D2499" t="str">
            <v>Axis Strategic Bond Fund - Direct Plan - Half Yearly IDCW</v>
          </cell>
          <cell r="E2499">
            <v>12.043699999999999</v>
          </cell>
        </row>
        <row r="2500">
          <cell r="B2500" t="str">
            <v>INF846K01DW4</v>
          </cell>
          <cell r="C2500" t="str">
            <v>INF846K01DX2</v>
          </cell>
          <cell r="D2500" t="str">
            <v>Axis Strategic Bond Fund - Direct Plan - Quarterly IDCW</v>
          </cell>
          <cell r="E2500">
            <v>10.418100000000001</v>
          </cell>
        </row>
        <row r="2501">
          <cell r="B2501" t="str">
            <v>INF846K01NO0</v>
          </cell>
          <cell r="C2501" t="str">
            <v>-</v>
          </cell>
          <cell r="D2501" t="str">
            <v>Axis Strategic Bond Fund - Regular Plan - Bonus Option</v>
          </cell>
          <cell r="E2501">
            <v>13.256</v>
          </cell>
        </row>
        <row r="2502">
          <cell r="B2502" t="str">
            <v>INF846K01BP2</v>
          </cell>
          <cell r="C2502" t="str">
            <v>-</v>
          </cell>
          <cell r="D2502" t="str">
            <v>Axis Strategic Bond Fund - Regular Plan - Growth Option</v>
          </cell>
          <cell r="E2502">
            <v>29.972100000000001</v>
          </cell>
        </row>
        <row r="2503">
          <cell r="B2503" t="str">
            <v>INF846K01BR8</v>
          </cell>
          <cell r="C2503" t="str">
            <v>INF846K01BT4</v>
          </cell>
          <cell r="D2503" t="str">
            <v>Axis Strategic Bond Fund - Regular Plan - Half Yearly IDCW</v>
          </cell>
          <cell r="E2503">
            <v>10.5479</v>
          </cell>
        </row>
        <row r="2504">
          <cell r="B2504" t="str">
            <v>INF846K01BQ0</v>
          </cell>
          <cell r="C2504" t="str">
            <v>INF846K01BS6</v>
          </cell>
          <cell r="D2504" t="str">
            <v>Axis Strategic Bond Fund - Regular Plan - Quarterly IDCW</v>
          </cell>
          <cell r="E2504">
            <v>10.206300000000001</v>
          </cell>
        </row>
        <row r="2505">
          <cell r="B2505" t="str">
            <v/>
          </cell>
          <cell r="C2505" t="str">
            <v/>
          </cell>
          <cell r="D2505" t="str">
            <v/>
          </cell>
        </row>
        <row r="2506">
          <cell r="B2506" t="str">
            <v/>
          </cell>
          <cell r="C2506" t="str">
            <v/>
          </cell>
          <cell r="D2506" t="str">
            <v/>
          </cell>
        </row>
        <row r="2507">
          <cell r="B2507" t="str">
            <v/>
          </cell>
          <cell r="C2507" t="str">
            <v/>
          </cell>
          <cell r="D2507" t="str">
            <v/>
          </cell>
        </row>
        <row r="2508">
          <cell r="B2508" t="str">
            <v>INF194K01T59</v>
          </cell>
          <cell r="C2508" t="str">
            <v>INF194K01T42</v>
          </cell>
          <cell r="D2508" t="str">
            <v>Bandhan Medium Duration Fund - Direct Plan - Bi Monthly IDCW</v>
          </cell>
          <cell r="E2508">
            <v>10.8005</v>
          </cell>
        </row>
        <row r="2509">
          <cell r="B2509" t="str">
            <v>-</v>
          </cell>
          <cell r="C2509" t="str">
            <v>INF194K01S68</v>
          </cell>
          <cell r="D2509" t="str">
            <v>Bandhan Medium Duration Fund - Direct Plan - Daily IDCW</v>
          </cell>
          <cell r="E2509">
            <v>10.3933</v>
          </cell>
        </row>
        <row r="2510">
          <cell r="B2510" t="str">
            <v>INF194K01T83</v>
          </cell>
          <cell r="C2510" t="str">
            <v>INF194K01T75</v>
          </cell>
          <cell r="D2510" t="str">
            <v>Bandhan Medium Duration Fund - Direct Plan - Fortnightly IDCW</v>
          </cell>
          <cell r="E2510">
            <v>10.2659</v>
          </cell>
        </row>
        <row r="2511">
          <cell r="B2511" t="str">
            <v>INF194K01S50</v>
          </cell>
          <cell r="C2511" t="str">
            <v>-</v>
          </cell>
          <cell r="D2511" t="str">
            <v>Bandhan Medium Duration Fund - Direct Plan - Growth</v>
          </cell>
          <cell r="E2511">
            <v>53.002899999999997</v>
          </cell>
        </row>
        <row r="2512">
          <cell r="B2512" t="str">
            <v>INF194K01T26</v>
          </cell>
          <cell r="C2512" t="str">
            <v>INF194K01T18</v>
          </cell>
          <cell r="D2512" t="str">
            <v>Bandhan Medium Duration Fund - Direct Plan - Monthly IDCW</v>
          </cell>
          <cell r="E2512">
            <v>10.4573</v>
          </cell>
        </row>
        <row r="2513">
          <cell r="B2513" t="str">
            <v>INF194KA1TD2</v>
          </cell>
          <cell r="C2513" t="str">
            <v>INF194KA1TE0</v>
          </cell>
          <cell r="D2513" t="str">
            <v>Bandhan Medium Duration Fund - Direct Plan - Periodic IDCW</v>
          </cell>
          <cell r="E2513">
            <v>13.836499999999999</v>
          </cell>
        </row>
        <row r="2514">
          <cell r="B2514" t="str">
            <v>INF194K01S92</v>
          </cell>
          <cell r="C2514" t="str">
            <v>INF194K01S84</v>
          </cell>
          <cell r="D2514" t="str">
            <v>Bandhan Medium Duration Fund - Direct Plan - Quarterly IDCW</v>
          </cell>
          <cell r="E2514">
            <v>11.392099999999999</v>
          </cell>
        </row>
        <row r="2515">
          <cell r="B2515" t="str">
            <v>INF194K01KF9</v>
          </cell>
          <cell r="C2515" t="str">
            <v>INF194K01KE2</v>
          </cell>
          <cell r="D2515" t="str">
            <v>Bandhan Medium Duration Fund - Regular Plan - Bi-Monthly IDCW</v>
          </cell>
          <cell r="E2515">
            <v>10.4697</v>
          </cell>
        </row>
        <row r="2516">
          <cell r="B2516" t="str">
            <v>INF194K01JW6</v>
          </cell>
          <cell r="C2516" t="str">
            <v>INF194K01JV8</v>
          </cell>
          <cell r="D2516" t="str">
            <v>Bandhan Medium Duration Fund - Regular Plan - Daily IDCW</v>
          </cell>
          <cell r="E2516">
            <v>10.2498</v>
          </cell>
        </row>
        <row r="2517">
          <cell r="B2517" t="str">
            <v>INF194K01KI3</v>
          </cell>
          <cell r="C2517" t="str">
            <v>INF194K01KH5</v>
          </cell>
          <cell r="D2517" t="str">
            <v>Bandhan Medium Duration Fund - Regular Plan - Fortnightly IDCW</v>
          </cell>
          <cell r="E2517">
            <v>10.2437</v>
          </cell>
        </row>
        <row r="2518">
          <cell r="B2518" t="str">
            <v>INF194K01JU0</v>
          </cell>
          <cell r="C2518" t="str">
            <v>-</v>
          </cell>
          <cell r="D2518" t="str">
            <v>Bandhan Medium Duration Fund - Regular Plan - Growth</v>
          </cell>
          <cell r="E2518">
            <v>48.270699999999998</v>
          </cell>
        </row>
        <row r="2519">
          <cell r="B2519" t="str">
            <v>INF194K01KC6</v>
          </cell>
          <cell r="C2519" t="str">
            <v>INF194K01KB8</v>
          </cell>
          <cell r="D2519" t="str">
            <v>Bandhan Medium Duration Fund - Regular Plan - Monthly IDCW</v>
          </cell>
          <cell r="E2519">
            <v>10.221299999999999</v>
          </cell>
        </row>
        <row r="2520">
          <cell r="B2520" t="str">
            <v>INF194KA1TA8</v>
          </cell>
          <cell r="C2520" t="str">
            <v>INF194KA1TB6</v>
          </cell>
          <cell r="D2520" t="str">
            <v>Bandhan Medium Duration Fund - Regular Plan - Periodic IDCW</v>
          </cell>
          <cell r="E2520">
            <v>15.2059</v>
          </cell>
        </row>
        <row r="2521">
          <cell r="B2521" t="str">
            <v>INF194K01JZ9</v>
          </cell>
          <cell r="C2521" t="str">
            <v>INF194K01JY2</v>
          </cell>
          <cell r="D2521" t="str">
            <v>Bandhan Medium Duration Fund - Regular Plan - Quarterly IDCW</v>
          </cell>
          <cell r="E2521">
            <v>11.187799999999999</v>
          </cell>
        </row>
        <row r="2522">
          <cell r="B2522" t="str">
            <v/>
          </cell>
          <cell r="C2522" t="str">
            <v/>
          </cell>
          <cell r="D2522" t="str">
            <v/>
          </cell>
        </row>
        <row r="2523">
          <cell r="B2523" t="str">
            <v/>
          </cell>
          <cell r="C2523" t="str">
            <v/>
          </cell>
          <cell r="D2523" t="str">
            <v/>
          </cell>
        </row>
        <row r="2524">
          <cell r="B2524" t="str">
            <v/>
          </cell>
          <cell r="C2524" t="str">
            <v/>
          </cell>
          <cell r="D2524" t="str">
            <v/>
          </cell>
        </row>
        <row r="2525">
          <cell r="B2525" t="str">
            <v>INF740K01MZ3</v>
          </cell>
          <cell r="C2525" t="str">
            <v>-</v>
          </cell>
          <cell r="D2525" t="str">
            <v>DSP Bond Fund - Direct Plan - Growth</v>
          </cell>
          <cell r="E2525">
            <v>92.221299999999999</v>
          </cell>
        </row>
        <row r="2526">
          <cell r="B2526" t="str">
            <v>INF740K01NB2</v>
          </cell>
          <cell r="C2526" t="str">
            <v>INF740K01ND8</v>
          </cell>
          <cell r="D2526" t="str">
            <v>DSP Bond Fund - Direct Plan - IDCW</v>
          </cell>
          <cell r="E2526">
            <v>11.7887</v>
          </cell>
        </row>
        <row r="2527">
          <cell r="B2527" t="str">
            <v>INF740K01NA4</v>
          </cell>
          <cell r="C2527" t="str">
            <v>INF740K01NC0</v>
          </cell>
          <cell r="D2527" t="str">
            <v>DSP Bond Fund - Direct Plan - IDCW - Monthly</v>
          </cell>
          <cell r="E2527">
            <v>11.3314</v>
          </cell>
        </row>
        <row r="2528">
          <cell r="B2528" t="str">
            <v>INF740K01557</v>
          </cell>
          <cell r="C2528" t="str">
            <v>-</v>
          </cell>
          <cell r="D2528" t="str">
            <v>DSP Bond Fund - Growth</v>
          </cell>
          <cell r="E2528">
            <v>86.516599999999997</v>
          </cell>
        </row>
        <row r="2529">
          <cell r="B2529" t="str">
            <v>INF740K01565</v>
          </cell>
          <cell r="C2529" t="str">
            <v>INF740K01995</v>
          </cell>
          <cell r="D2529" t="str">
            <v>DSP Bond Fund - IDCW</v>
          </cell>
          <cell r="E2529">
            <v>11.6638</v>
          </cell>
        </row>
        <row r="2530">
          <cell r="B2530" t="str">
            <v>INF740K01573</v>
          </cell>
          <cell r="C2530" t="str">
            <v>INF740K01AA1</v>
          </cell>
          <cell r="D2530" t="str">
            <v>DSP Bond Fund - IDCW - Monthly</v>
          </cell>
          <cell r="E2530">
            <v>11.2242</v>
          </cell>
        </row>
        <row r="2531">
          <cell r="B2531" t="str">
            <v/>
          </cell>
          <cell r="C2531" t="str">
            <v/>
          </cell>
          <cell r="D2531" t="str">
            <v/>
          </cell>
        </row>
        <row r="2532">
          <cell r="B2532" t="str">
            <v/>
          </cell>
          <cell r="C2532" t="str">
            <v/>
          </cell>
          <cell r="D2532" t="str">
            <v/>
          </cell>
        </row>
        <row r="2533">
          <cell r="B2533" t="str">
            <v/>
          </cell>
          <cell r="C2533" t="str">
            <v/>
          </cell>
          <cell r="D2533" t="str">
            <v/>
          </cell>
        </row>
        <row r="2534">
          <cell r="B2534" t="str">
            <v>INF090I01JI9</v>
          </cell>
          <cell r="C2534" t="str">
            <v>-</v>
          </cell>
          <cell r="D2534" t="str">
            <v>Franklin India Income Opportunities Fund - Direct - Growth</v>
          </cell>
          <cell r="E2534">
            <v>26.575900000000001</v>
          </cell>
        </row>
        <row r="2535">
          <cell r="B2535" t="str">
            <v>INF090I01JG3</v>
          </cell>
          <cell r="C2535" t="str">
            <v>INF090I01JH1</v>
          </cell>
          <cell r="D2535" t="str">
            <v xml:space="preserve">Franklin India Income Opportunities Fund - Direct - IDCW </v>
          </cell>
          <cell r="E2535">
            <v>12.480700000000001</v>
          </cell>
        </row>
        <row r="2536">
          <cell r="B2536" t="str">
            <v>INF090I01445</v>
          </cell>
          <cell r="C2536" t="str">
            <v>-</v>
          </cell>
          <cell r="D2536" t="str">
            <v>Franklin India Income Opportunities Fund - Growth</v>
          </cell>
          <cell r="E2536">
            <v>24.933800000000002</v>
          </cell>
        </row>
        <row r="2537">
          <cell r="B2537" t="str">
            <v>INF090I01452</v>
          </cell>
          <cell r="C2537" t="str">
            <v>INF090I01460</v>
          </cell>
          <cell r="D2537" t="str">
            <v xml:space="preserve">Franklin India Income Opportunities Fund - IDCW </v>
          </cell>
          <cell r="E2537">
            <v>11.5593</v>
          </cell>
        </row>
        <row r="2538">
          <cell r="B2538" t="str">
            <v>INF090I01TC1</v>
          </cell>
          <cell r="C2538" t="str">
            <v>-</v>
          </cell>
          <cell r="D2538" t="str">
            <v>Franklin India Income Opportunities Fund- Segregated Portfolio 1- 8.25% Vodafone Idea Ltd-10JUL20-Direct Dividend Plan</v>
          </cell>
          <cell r="E2538">
            <v>0</v>
          </cell>
        </row>
        <row r="2539">
          <cell r="B2539" t="str">
            <v>INF090I01TD9</v>
          </cell>
          <cell r="C2539" t="str">
            <v>-</v>
          </cell>
          <cell r="D2539" t="str">
            <v>Franklin India Income Opportunities Fund- Segregated Portfolio 1- 8.25% Vodafone Idea Ltd-10JUL20-Direct Growth Plan</v>
          </cell>
          <cell r="E2539">
            <v>0</v>
          </cell>
        </row>
        <row r="2540">
          <cell r="B2540" t="str">
            <v>INF090I01TA5</v>
          </cell>
          <cell r="C2540" t="str">
            <v>-</v>
          </cell>
          <cell r="D2540" t="str">
            <v>Franklin India Income Opportunities Fund- Segregated Portfolio 1- 8.25% Vodafone Idea Ltd-10JUL20-Dividend Plan</v>
          </cell>
          <cell r="E2540">
            <v>0</v>
          </cell>
        </row>
        <row r="2541">
          <cell r="B2541" t="str">
            <v>INF090I01TB3</v>
          </cell>
          <cell r="C2541" t="str">
            <v>-</v>
          </cell>
          <cell r="D2541" t="str">
            <v>Franklin India Income Opportunities Fund- Segregated Portfolio 1- 8.25% Vodafone Idea Ltd-10JUL20-Growth Plan</v>
          </cell>
          <cell r="E2541">
            <v>0</v>
          </cell>
        </row>
        <row r="2542">
          <cell r="B2542" t="str">
            <v>INF090I01TG2</v>
          </cell>
          <cell r="C2542" t="str">
            <v>-</v>
          </cell>
          <cell r="D2542" t="str">
            <v>Franklin India Income Opportunities Fund- Segregated Portfolio 2 - 10.90% Vodafone Idea Ltd (02-Sep-2023) - Direct IDCW</v>
          </cell>
          <cell r="E2542">
            <v>0</v>
          </cell>
        </row>
        <row r="2543">
          <cell r="B2543" t="str">
            <v>INF090I01TE7</v>
          </cell>
          <cell r="C2543" t="str">
            <v>-</v>
          </cell>
          <cell r="D2543" t="str">
            <v>Franklin India Income Opportunities Fund- Segregated Portfolio 2 - 10.90% Vodafone Idea Ltd (02-Sep-2023) - IDCW</v>
          </cell>
          <cell r="E2543">
            <v>0</v>
          </cell>
        </row>
        <row r="2544">
          <cell r="B2544" t="str">
            <v>INF090I01TH0</v>
          </cell>
          <cell r="C2544" t="str">
            <v>-</v>
          </cell>
          <cell r="D2544" t="str">
            <v>Franklin India Income Opportunities Fund- Segregated Portfolio 2- 10.90% Vodafone Idea Ltd 02Sep2023-Direct Growth Plan</v>
          </cell>
          <cell r="E2544">
            <v>0</v>
          </cell>
        </row>
        <row r="2545">
          <cell r="B2545" t="str">
            <v>INF090I01TF4</v>
          </cell>
          <cell r="C2545" t="str">
            <v>-</v>
          </cell>
          <cell r="D2545" t="str">
            <v>Franklin India Income Opportunities Fund- Segregated Portfolio 2- 10.90% Vodafone Idea Ltd 02Sep2023-Growth Plan</v>
          </cell>
          <cell r="E2545">
            <v>0</v>
          </cell>
        </row>
        <row r="2546">
          <cell r="B2546" t="str">
            <v/>
          </cell>
          <cell r="C2546" t="str">
            <v/>
          </cell>
          <cell r="D2546" t="str">
            <v/>
          </cell>
        </row>
        <row r="2547">
          <cell r="B2547" t="str">
            <v/>
          </cell>
          <cell r="C2547" t="str">
            <v/>
          </cell>
          <cell r="D2547" t="str">
            <v/>
          </cell>
        </row>
        <row r="2548">
          <cell r="B2548" t="str">
            <v/>
          </cell>
          <cell r="C2548" t="str">
            <v/>
          </cell>
          <cell r="D2548" t="str">
            <v/>
          </cell>
        </row>
        <row r="2549">
          <cell r="B2549" t="str">
            <v>INF179K01897</v>
          </cell>
          <cell r="C2549" t="str">
            <v>INF179K01905</v>
          </cell>
          <cell r="D2549" t="str">
            <v>HDFC Medium Term Debt Fund - Fornightly IDCW Option</v>
          </cell>
          <cell r="E2549">
            <v>10.0898</v>
          </cell>
        </row>
        <row r="2550">
          <cell r="B2550" t="str">
            <v>INF179KA1NP8</v>
          </cell>
          <cell r="C2550" t="str">
            <v>INF179KA1NO1</v>
          </cell>
          <cell r="D2550" t="str">
            <v>HDFC Medium Term Debt Fund - Fortnightly IDCW Opt - Direct Plan</v>
          </cell>
          <cell r="E2550">
            <v>10.091900000000001</v>
          </cell>
        </row>
        <row r="2551">
          <cell r="B2551" t="str">
            <v>INF179K01913</v>
          </cell>
          <cell r="C2551" t="str">
            <v>-</v>
          </cell>
          <cell r="D2551" t="str">
            <v>HDFC Medium Term Debt Fund - Growth Option</v>
          </cell>
          <cell r="E2551">
            <v>59.965600000000002</v>
          </cell>
        </row>
        <row r="2552">
          <cell r="B2552" t="str">
            <v>INF179K01WI9</v>
          </cell>
          <cell r="C2552" t="str">
            <v>-</v>
          </cell>
          <cell r="D2552" t="str">
            <v>HDFC Medium Term Debt Fund - Growth Option - Direct Plan</v>
          </cell>
          <cell r="E2552">
            <v>65.522900000000007</v>
          </cell>
        </row>
        <row r="2553">
          <cell r="B2553" t="str">
            <v>INF179KA1E16</v>
          </cell>
          <cell r="C2553" t="str">
            <v>INF179KA1E08</v>
          </cell>
          <cell r="D2553" t="str">
            <v>HDFC Medium Term Debt Fund - IDCW Option</v>
          </cell>
          <cell r="E2553">
            <v>20.235900000000001</v>
          </cell>
        </row>
        <row r="2554">
          <cell r="B2554" t="str">
            <v>INF179KA1D90</v>
          </cell>
          <cell r="C2554" t="str">
            <v>INF179KA1D82</v>
          </cell>
          <cell r="D2554" t="str">
            <v>HDFC Medium Term Debt Fund - IDCW Option - Direct Plan</v>
          </cell>
          <cell r="E2554">
            <v>21.893799999999999</v>
          </cell>
        </row>
        <row r="2555">
          <cell r="B2555" t="str">
            <v/>
          </cell>
          <cell r="C2555" t="str">
            <v/>
          </cell>
          <cell r="D2555" t="str">
            <v/>
          </cell>
        </row>
        <row r="2556">
          <cell r="B2556" t="str">
            <v/>
          </cell>
          <cell r="C2556" t="str">
            <v/>
          </cell>
          <cell r="D2556" t="str">
            <v/>
          </cell>
        </row>
        <row r="2557">
          <cell r="B2557" t="str">
            <v/>
          </cell>
          <cell r="C2557" t="str">
            <v/>
          </cell>
          <cell r="D2557" t="str">
            <v/>
          </cell>
        </row>
        <row r="2558">
          <cell r="B2558" t="str">
            <v>INF917K01WF8</v>
          </cell>
          <cell r="C2558" t="str">
            <v>INF917K01WC5</v>
          </cell>
          <cell r="D2558" t="str">
            <v>HSBC Medium Duration Fund - Direct Annual IDCW</v>
          </cell>
          <cell r="E2558">
            <v>11.6614</v>
          </cell>
        </row>
        <row r="2559">
          <cell r="B2559" t="str">
            <v>INF917K01TK4</v>
          </cell>
          <cell r="C2559" t="str">
            <v>-</v>
          </cell>
          <cell r="D2559" t="str">
            <v>HSBC Medium Duration Fund - Direct Growth</v>
          </cell>
          <cell r="E2559">
            <v>23.7972</v>
          </cell>
        </row>
        <row r="2560">
          <cell r="B2560" t="str">
            <v>INF917K01TM0</v>
          </cell>
          <cell r="C2560" t="str">
            <v>INF917K01TL2</v>
          </cell>
          <cell r="D2560" t="str">
            <v>HSBC Medium Duration Fund - Direct IDCW</v>
          </cell>
          <cell r="E2560">
            <v>11.5831</v>
          </cell>
        </row>
        <row r="2561">
          <cell r="B2561" t="str">
            <v>INF917K01WE1</v>
          </cell>
          <cell r="C2561" t="str">
            <v>INF917K01WD3</v>
          </cell>
          <cell r="D2561" t="str">
            <v>HSBC Medium Duration Fund - Regular Annual IDCW</v>
          </cell>
          <cell r="E2561">
            <v>10.5657</v>
          </cell>
        </row>
        <row r="2562">
          <cell r="B2562" t="str">
            <v>INF917K01TH0</v>
          </cell>
          <cell r="C2562" t="str">
            <v>-</v>
          </cell>
          <cell r="D2562" t="str">
            <v>HSBC Medium Duration Fund - Regular Growth</v>
          </cell>
          <cell r="E2562">
            <v>21.653500000000001</v>
          </cell>
        </row>
        <row r="2563">
          <cell r="B2563" t="str">
            <v>INF917K01TJ6</v>
          </cell>
          <cell r="C2563" t="str">
            <v>INF917K01TI8</v>
          </cell>
          <cell r="D2563" t="str">
            <v>HSBC Medium Duration Fund - Regular IDCW</v>
          </cell>
          <cell r="E2563">
            <v>10.639799999999999</v>
          </cell>
        </row>
        <row r="2564">
          <cell r="B2564" t="str">
            <v/>
          </cell>
          <cell r="C2564" t="str">
            <v/>
          </cell>
          <cell r="D2564" t="str">
            <v/>
          </cell>
        </row>
        <row r="2565">
          <cell r="B2565" t="str">
            <v/>
          </cell>
          <cell r="C2565" t="str">
            <v/>
          </cell>
          <cell r="D2565" t="str">
            <v/>
          </cell>
        </row>
        <row r="2566">
          <cell r="B2566" t="str">
            <v/>
          </cell>
          <cell r="C2566" t="str">
            <v/>
          </cell>
          <cell r="D2566" t="str">
            <v/>
          </cell>
        </row>
        <row r="2567">
          <cell r="B2567" t="str">
            <v>INF109KA12G3</v>
          </cell>
          <cell r="C2567" t="str">
            <v>INF109KA13G1</v>
          </cell>
          <cell r="D2567" t="str">
            <v>ICICI Prudential Medium Term Bond Fund - Annual IDCW</v>
          </cell>
          <cell r="E2567">
            <v>12.935700000000001</v>
          </cell>
        </row>
        <row r="2568">
          <cell r="B2568" t="str">
            <v>INF109KA1B99</v>
          </cell>
          <cell r="C2568" t="str">
            <v>-</v>
          </cell>
          <cell r="D2568" t="str">
            <v>ICICI Prudential Medium Term Bond Fund - Bonus</v>
          </cell>
          <cell r="E2568">
            <v>15.001300000000001</v>
          </cell>
        </row>
        <row r="2569">
          <cell r="B2569" t="str">
            <v>INF109K015A5</v>
          </cell>
          <cell r="C2569" t="str">
            <v>-</v>
          </cell>
          <cell r="D2569" t="str">
            <v>ICICI Prudential Medium Term Bond Fund - Direct Plan - Growth</v>
          </cell>
          <cell r="E2569">
            <v>53.346699999999998</v>
          </cell>
        </row>
        <row r="2570">
          <cell r="B2570" t="str">
            <v>INF109K016A3</v>
          </cell>
          <cell r="C2570" t="str">
            <v>INF109K017A1</v>
          </cell>
          <cell r="D2570" t="str">
            <v>ICICI Prudential Medium Term Bond Fund - Direct Plan - Half Yearly IDCW</v>
          </cell>
          <cell r="E2570">
            <v>11.1332</v>
          </cell>
        </row>
        <row r="2571">
          <cell r="B2571" t="str">
            <v>INF109K018A9</v>
          </cell>
          <cell r="C2571" t="str">
            <v>INF109K019A7</v>
          </cell>
          <cell r="D2571" t="str">
            <v>ICICI Prudential Medium Term Bond Fund - Direct Plan - Quarterly IDCW</v>
          </cell>
          <cell r="E2571">
            <v>11.5716</v>
          </cell>
        </row>
        <row r="2572">
          <cell r="B2572" t="str">
            <v>INF109KA1B81</v>
          </cell>
          <cell r="C2572" t="str">
            <v>-</v>
          </cell>
          <cell r="D2572" t="str">
            <v>ICICI Prudential Medium Term Bond Fund - Direct Plan Bonus</v>
          </cell>
          <cell r="E2572">
            <v>16.170100000000001</v>
          </cell>
        </row>
        <row r="2573">
          <cell r="B2573" t="str">
            <v>INF109K01AH4</v>
          </cell>
          <cell r="C2573" t="str">
            <v>-</v>
          </cell>
          <cell r="D2573" t="str">
            <v>ICICI Prudential Medium Term Bond Fund - Growth</v>
          </cell>
          <cell r="E2573">
            <v>48.259500000000003</v>
          </cell>
        </row>
        <row r="2574">
          <cell r="B2574" t="str">
            <v>INF109K01B53</v>
          </cell>
          <cell r="C2574" t="str">
            <v>INF109K01B61</v>
          </cell>
          <cell r="D2574" t="str">
            <v>ICICI Prudential Medium Term Bond Fund - Half Yearly IDCW</v>
          </cell>
          <cell r="E2574">
            <v>10.633100000000001</v>
          </cell>
        </row>
        <row r="2575">
          <cell r="B2575" t="str">
            <v>INF109K01UF6</v>
          </cell>
          <cell r="C2575" t="str">
            <v>INF109K01IO3</v>
          </cell>
          <cell r="D2575" t="str">
            <v>ICICI Prudential Medium Term Bond Fund - Quarterly IDCW</v>
          </cell>
          <cell r="E2575">
            <v>10.9732</v>
          </cell>
        </row>
        <row r="2576">
          <cell r="B2576" t="str">
            <v>INF109KA10G7</v>
          </cell>
          <cell r="C2576" t="str">
            <v>INF109KA11G5</v>
          </cell>
          <cell r="D2576" t="str">
            <v>ICICI Prudential Medium Term Bond Fund -Direct Plan - Annual IDCW</v>
          </cell>
          <cell r="E2576">
            <v>14.348800000000001</v>
          </cell>
        </row>
        <row r="2577">
          <cell r="B2577" t="str">
            <v>INF109K01UD1</v>
          </cell>
          <cell r="C2577" t="str">
            <v>INF109K01IP0</v>
          </cell>
          <cell r="D2577" t="str">
            <v>ICICI Prudential Medium Term Bond Fund Plan A - Weekly Dividend</v>
          </cell>
          <cell r="E2577">
            <v>10.0458</v>
          </cell>
        </row>
        <row r="2578">
          <cell r="B2578" t="str">
            <v>INF109K01B87</v>
          </cell>
          <cell r="C2578" t="str">
            <v>-</v>
          </cell>
          <cell r="D2578" t="str">
            <v>ICICI Prudential Medium Term Bond Fund Plan B - Half Yearly Dividend</v>
          </cell>
          <cell r="E2578">
            <v>10.8612</v>
          </cell>
        </row>
        <row r="2579">
          <cell r="B2579" t="str">
            <v>INF109K01UI0</v>
          </cell>
          <cell r="C2579" t="str">
            <v>INF109K01IQ8</v>
          </cell>
          <cell r="D2579" t="str">
            <v>ICICI Prudential Medium Term Bond Fund Plan B - Quarterly Dividend</v>
          </cell>
          <cell r="E2579">
            <v>10.600199999999999</v>
          </cell>
        </row>
        <row r="2580">
          <cell r="B2580" t="str">
            <v>INF109K01UO8</v>
          </cell>
          <cell r="C2580" t="str">
            <v>INF109K01UN0</v>
          </cell>
          <cell r="D2580" t="str">
            <v>ICICI Prudential Medium Term Bond Fund Plan C - Quarterly Dividend</v>
          </cell>
          <cell r="E2580">
            <v>10.4491</v>
          </cell>
        </row>
        <row r="2581">
          <cell r="B2581" t="str">
            <v>INF109K01AJ0</v>
          </cell>
          <cell r="C2581" t="str">
            <v>-</v>
          </cell>
          <cell r="D2581" t="str">
            <v>ICICI Prudential Medium Term Bond Fund-Plan B-Growth</v>
          </cell>
          <cell r="E2581">
            <v>32.058399999999999</v>
          </cell>
        </row>
        <row r="2582">
          <cell r="B2582" t="str">
            <v/>
          </cell>
          <cell r="C2582" t="str">
            <v/>
          </cell>
          <cell r="D2582" t="str">
            <v/>
          </cell>
        </row>
        <row r="2583">
          <cell r="B2583" t="str">
            <v/>
          </cell>
          <cell r="C2583" t="str">
            <v/>
          </cell>
          <cell r="D2583" t="str">
            <v/>
          </cell>
        </row>
        <row r="2584">
          <cell r="B2584" t="str">
            <v/>
          </cell>
          <cell r="C2584" t="str">
            <v/>
          </cell>
          <cell r="D2584" t="str">
            <v/>
          </cell>
        </row>
        <row r="2585">
          <cell r="B2585" t="str">
            <v>INF205KA1411</v>
          </cell>
          <cell r="C2585" t="str">
            <v>INF205KA1445</v>
          </cell>
          <cell r="D2585" t="str">
            <v>Invesco India Medium Duration Fund - Direct Plan - Discretionary IDCW (Payout/Reinvestment)</v>
          </cell>
          <cell r="E2585">
            <v>1354.0652</v>
          </cell>
        </row>
        <row r="2586">
          <cell r="B2586" t="str">
            <v>INF205KA1429</v>
          </cell>
          <cell r="C2586" t="str">
            <v>-</v>
          </cell>
          <cell r="D2586" t="str">
            <v>Invesco India Medium Duration Fund - Direct Plan - Growth</v>
          </cell>
          <cell r="E2586">
            <v>1354.1592000000001</v>
          </cell>
        </row>
        <row r="2587">
          <cell r="B2587" t="str">
            <v>INF205KA1403</v>
          </cell>
          <cell r="C2587" t="str">
            <v>INF205KA1437</v>
          </cell>
          <cell r="D2587" t="str">
            <v>Invesco India Medium Duration Fund - Direct Plan - Quarterly IDCW (Payout / Reinvestment))</v>
          </cell>
          <cell r="E2587">
            <v>1042.3671999999999</v>
          </cell>
        </row>
        <row r="2588">
          <cell r="B2588" t="str">
            <v>INF205KA1361</v>
          </cell>
          <cell r="C2588" t="str">
            <v>INF205KA1395</v>
          </cell>
          <cell r="D2588" t="str">
            <v>Invesco India Medium Duration Fund - Regular Plan - Discretionary IDCW(Payout / Reinvestment))</v>
          </cell>
          <cell r="E2588">
            <v>1298.4333999999999</v>
          </cell>
        </row>
        <row r="2589">
          <cell r="B2589" t="str">
            <v>INF205KA1379</v>
          </cell>
          <cell r="C2589" t="str">
            <v>-</v>
          </cell>
          <cell r="D2589" t="str">
            <v>Invesco India Medium Duration Fund - Regular Plan - Growth</v>
          </cell>
          <cell r="E2589">
            <v>1298.4269999999999</v>
          </cell>
        </row>
        <row r="2590">
          <cell r="B2590" t="str">
            <v>INF205KA1353</v>
          </cell>
          <cell r="C2590" t="str">
            <v>INF205KA1387</v>
          </cell>
          <cell r="D2590" t="str">
            <v>Invesco India Medium Duration Fund - Regular Plan - Quarterly IDCW (Payout / Reinvestment)</v>
          </cell>
          <cell r="E2590">
            <v>1041.0250000000001</v>
          </cell>
        </row>
        <row r="2591">
          <cell r="B2591" t="str">
            <v/>
          </cell>
          <cell r="C2591" t="str">
            <v/>
          </cell>
          <cell r="D2591" t="str">
            <v/>
          </cell>
        </row>
        <row r="2592">
          <cell r="B2592" t="str">
            <v/>
          </cell>
          <cell r="C2592" t="str">
            <v/>
          </cell>
          <cell r="D2592" t="str">
            <v/>
          </cell>
        </row>
        <row r="2593">
          <cell r="B2593" t="str">
            <v/>
          </cell>
          <cell r="C2593" t="str">
            <v/>
          </cell>
          <cell r="D2593" t="str">
            <v/>
          </cell>
        </row>
        <row r="2594">
          <cell r="B2594" t="str">
            <v>INF174K01VS1</v>
          </cell>
          <cell r="C2594" t="str">
            <v>INF174K01VU7</v>
          </cell>
          <cell r="D2594" t="str">
            <v>Kotak Medium Term Fund - Direct - Standard Income Distribution cum capital withdrawal option</v>
          </cell>
          <cell r="E2594">
            <v>27.3857</v>
          </cell>
        </row>
        <row r="2595">
          <cell r="B2595" t="str">
            <v>INF174K01VQ5</v>
          </cell>
          <cell r="C2595" t="str">
            <v>-</v>
          </cell>
          <cell r="D2595" t="str">
            <v>Kotak Medium Term Fund - Direct Growth</v>
          </cell>
          <cell r="E2595">
            <v>27.383199999999999</v>
          </cell>
        </row>
        <row r="2596">
          <cell r="B2596" t="str">
            <v>INF174K01VL6</v>
          </cell>
          <cell r="C2596" t="str">
            <v>-</v>
          </cell>
          <cell r="D2596" t="str">
            <v>Kotak Medium Term Fund - Growth</v>
          </cell>
          <cell r="E2596">
            <v>24.386199999999999</v>
          </cell>
        </row>
        <row r="2597">
          <cell r="B2597" t="str">
            <v>INF174K01VN2</v>
          </cell>
          <cell r="C2597" t="str">
            <v>INF174K01VP7</v>
          </cell>
          <cell r="D2597" t="str">
            <v>Kotak Medium Term Fund - Standard Income Distribution cum capital withdrawal option</v>
          </cell>
          <cell r="E2597">
            <v>14.968</v>
          </cell>
        </row>
        <row r="2598">
          <cell r="B2598" t="str">
            <v/>
          </cell>
          <cell r="C2598" t="str">
            <v/>
          </cell>
          <cell r="D2598" t="str">
            <v/>
          </cell>
        </row>
        <row r="2599">
          <cell r="B2599" t="str">
            <v/>
          </cell>
          <cell r="C2599" t="str">
            <v/>
          </cell>
          <cell r="D2599" t="str">
            <v/>
          </cell>
        </row>
        <row r="2600">
          <cell r="B2600" t="str">
            <v/>
          </cell>
          <cell r="C2600" t="str">
            <v/>
          </cell>
          <cell r="D2600" t="str">
            <v/>
          </cell>
        </row>
        <row r="2601">
          <cell r="B2601" t="str">
            <v>INF204KA1QA2</v>
          </cell>
          <cell r="C2601" t="str">
            <v>-</v>
          </cell>
          <cell r="D2601" t="str">
            <v>Nippon India Medium Duration  Fund - Bonus Option</v>
          </cell>
          <cell r="E2601">
            <v>10.521699999999999</v>
          </cell>
        </row>
        <row r="2602">
          <cell r="B2602" t="str">
            <v>INF204KB16M9</v>
          </cell>
          <cell r="C2602" t="str">
            <v>INF204KB17M7</v>
          </cell>
          <cell r="D2602" t="str">
            <v>NIPPON INDIA MEDIUM DURATION  FUND - SEGREGATED PORTFOLIO 1 - Direct Plan - QUARTERLY IDCW Option</v>
          </cell>
          <cell r="E2602">
            <v>0.1343</v>
          </cell>
        </row>
        <row r="2603">
          <cell r="B2603" t="str">
            <v>INF204KB12N6</v>
          </cell>
          <cell r="C2603" t="str">
            <v>INF204KB13N4</v>
          </cell>
          <cell r="D2603" t="str">
            <v>NIPPON INDIA MEDIUM DURATION  FUND - SEGREGATED PORTFOLIO 1 - QUARTERLY IDCW Option</v>
          </cell>
          <cell r="E2603">
            <v>0.1323</v>
          </cell>
        </row>
        <row r="2604">
          <cell r="B2604" t="str">
            <v>INF204KB11R9</v>
          </cell>
          <cell r="C2604" t="str">
            <v>-</v>
          </cell>
          <cell r="D2604" t="str">
            <v>Nippon India Medium Duration  Fund - Segregated Portfolio 2 - Bonus Option</v>
          </cell>
          <cell r="E2604">
            <v>0</v>
          </cell>
        </row>
        <row r="2605">
          <cell r="B2605" t="str">
            <v>INF204KB16Q0</v>
          </cell>
          <cell r="C2605" t="str">
            <v>INF204KB17Q8</v>
          </cell>
          <cell r="D2605" t="str">
            <v>NIPPON INDIA MEDIUM DURATION FUND -  SEGREGATED PORTFOLIO 2 - DIRECT Plan - IDCW Option</v>
          </cell>
          <cell r="E2605">
            <v>0</v>
          </cell>
        </row>
        <row r="2606">
          <cell r="B2606" t="str">
            <v>INF204KB18Q6</v>
          </cell>
          <cell r="C2606" t="str">
            <v>INF204KB19Q4</v>
          </cell>
          <cell r="D2606" t="str">
            <v>NIPPON INDIA MEDIUM DURATION FUND -  SEGREGATED PORTFOLIO 2 - DIRECT Plan - QUARTERLY IDCW Option</v>
          </cell>
          <cell r="E2606">
            <v>0</v>
          </cell>
        </row>
        <row r="2607">
          <cell r="B2607" t="str">
            <v>INF204KB12R7</v>
          </cell>
          <cell r="C2607" t="str">
            <v>INF204KB13R5</v>
          </cell>
          <cell r="D2607" t="str">
            <v>NIPPON INDIA MEDIUM DURATION FUND -  SEGREGATED PORTFOLIO 2 - IDCW Option</v>
          </cell>
          <cell r="E2607">
            <v>0</v>
          </cell>
        </row>
        <row r="2608">
          <cell r="B2608" t="str">
            <v>INF204KB14R3</v>
          </cell>
          <cell r="C2608" t="str">
            <v>INF204KB15R0</v>
          </cell>
          <cell r="D2608" t="str">
            <v>NIPPON INDIA MEDIUM DURATION FUND -  SEGREGATED PORTFOLIO 2 - QUARTERLY IDCW Option</v>
          </cell>
          <cell r="E2608">
            <v>0</v>
          </cell>
        </row>
        <row r="2609">
          <cell r="B2609" t="str">
            <v>INF204KA1QG9</v>
          </cell>
          <cell r="C2609" t="str">
            <v>-</v>
          </cell>
          <cell r="D2609" t="str">
            <v>Nippon India Medium Duration Fund - Direct Plan - Bonus Option</v>
          </cell>
          <cell r="E2609">
            <v>18.280799999999999</v>
          </cell>
        </row>
        <row r="2610">
          <cell r="B2610" t="str">
            <v>INF204KA1QF1</v>
          </cell>
          <cell r="C2610" t="str">
            <v>-</v>
          </cell>
          <cell r="D2610" t="str">
            <v>Nippon India Medium Duration Fund - Direct Plan - Growth Option</v>
          </cell>
          <cell r="E2610">
            <v>18.2773</v>
          </cell>
        </row>
        <row r="2611">
          <cell r="B2611" t="str">
            <v>INF204KA1QH7</v>
          </cell>
          <cell r="C2611" t="str">
            <v>INF204KA1QJ3</v>
          </cell>
          <cell r="D2611" t="str">
            <v>NIPPON INDIA MEDIUM DURATION FUND - DIRECT Plan - IDCW Option</v>
          </cell>
          <cell r="E2611">
            <v>15.416</v>
          </cell>
        </row>
        <row r="2612">
          <cell r="B2612" t="str">
            <v>INF204KA1QI5</v>
          </cell>
          <cell r="C2612" t="str">
            <v>INF204KA1QK1</v>
          </cell>
          <cell r="D2612" t="str">
            <v>NIPPON INDIA MEDIUM DURATION FUND - DIRECT Plan - QUARTERLY IDCW Option</v>
          </cell>
          <cell r="E2612">
            <v>11.052099999999999</v>
          </cell>
        </row>
        <row r="2613">
          <cell r="B2613" t="str">
            <v>INF204KA1PZ1</v>
          </cell>
          <cell r="C2613" t="str">
            <v>-</v>
          </cell>
          <cell r="D2613" t="str">
            <v>Nippon India Medium Duration Fund - Growth Option</v>
          </cell>
          <cell r="E2613">
            <v>16.782399999999999</v>
          </cell>
        </row>
        <row r="2614">
          <cell r="B2614" t="str">
            <v>INF204KA1QB0</v>
          </cell>
          <cell r="C2614" t="str">
            <v>INF204KA1QD6</v>
          </cell>
          <cell r="D2614" t="str">
            <v>NIPPON INDIA MEDIUM DURATION FUND - IDCW Option</v>
          </cell>
          <cell r="E2614">
            <v>14.3612</v>
          </cell>
        </row>
        <row r="2615">
          <cell r="B2615" t="str">
            <v>INF204KA1QC8</v>
          </cell>
          <cell r="C2615" t="str">
            <v>INF204KA1QE4</v>
          </cell>
          <cell r="D2615" t="str">
            <v>NIPPON INDIA MEDIUM DURATION FUND - QUARTERLY IDCW Option</v>
          </cell>
          <cell r="E2615">
            <v>10.955299999999999</v>
          </cell>
        </row>
        <row r="2616">
          <cell r="B2616" t="str">
            <v>INF204KB19M3</v>
          </cell>
          <cell r="C2616" t="str">
            <v>-</v>
          </cell>
          <cell r="D2616" t="str">
            <v>Nippon India Medium Duration Fund - Segregated Portfolio 1 - Bonus Option</v>
          </cell>
          <cell r="E2616">
            <v>0.1794</v>
          </cell>
        </row>
        <row r="2617">
          <cell r="B2617" t="str">
            <v>INF204KB13M6</v>
          </cell>
          <cell r="C2617" t="str">
            <v>-</v>
          </cell>
          <cell r="D2617" t="str">
            <v>Nippon India Medium Duration Fund - Segregated Portfolio 1 - Direct Plan - Bonus Option</v>
          </cell>
          <cell r="E2617">
            <v>0.1888</v>
          </cell>
        </row>
        <row r="2618">
          <cell r="B2618" t="str">
            <v>INF204KB18M5</v>
          </cell>
          <cell r="C2618" t="str">
            <v>-</v>
          </cell>
          <cell r="D2618" t="str">
            <v>Nippon India Medium Duration Fund - Segregated Portfolio 1 - Direct Plan - Growth Option</v>
          </cell>
          <cell r="E2618">
            <v>0.18859999999999999</v>
          </cell>
        </row>
        <row r="2619">
          <cell r="B2619" t="str">
            <v>INF204KB14M4</v>
          </cell>
          <cell r="C2619" t="str">
            <v>INF204KB15M1</v>
          </cell>
          <cell r="D2619" t="str">
            <v>NIPPON INDIA MEDIUM DURATION FUND - SEGREGATED PORTFOLIO 1 - Direct Plan - IDCW Option</v>
          </cell>
          <cell r="E2619">
            <v>0.15909999999999999</v>
          </cell>
        </row>
        <row r="2620">
          <cell r="B2620" t="str">
            <v>INF204KB14N2</v>
          </cell>
          <cell r="C2620" t="str">
            <v>-</v>
          </cell>
          <cell r="D2620" t="str">
            <v>Nippon India Medium Duration Fund - Segregated Portfolio 1 - Growth Option</v>
          </cell>
          <cell r="E2620">
            <v>0.1794</v>
          </cell>
        </row>
        <row r="2621">
          <cell r="B2621" t="str">
            <v>INF204KB10N0</v>
          </cell>
          <cell r="C2621" t="str">
            <v>INF204KB11N8</v>
          </cell>
          <cell r="D2621" t="str">
            <v>NIPPON INDIA MEDIUM DURATION FUND - SEGREGATED PORTFOLIO 1 - IDCW Option</v>
          </cell>
          <cell r="E2621">
            <v>0.1535</v>
          </cell>
        </row>
        <row r="2622">
          <cell r="B2622" t="str">
            <v>INF204KB15Q2</v>
          </cell>
          <cell r="C2622" t="str">
            <v>-</v>
          </cell>
          <cell r="D2622" t="str">
            <v>Nippon India Medium Duration Fund - Segregated Portfolio 2 - Direct Plan - Bonus Option</v>
          </cell>
          <cell r="E2622">
            <v>0</v>
          </cell>
        </row>
        <row r="2623">
          <cell r="B2623" t="str">
            <v>INF204KB10R1</v>
          </cell>
          <cell r="C2623" t="str">
            <v>-</v>
          </cell>
          <cell r="D2623" t="str">
            <v>Nippon India Medium Duration Fund - Segregated Portfolio 2 - Direct Plan - Growth Option</v>
          </cell>
          <cell r="E2623">
            <v>0</v>
          </cell>
        </row>
        <row r="2624">
          <cell r="B2624" t="str">
            <v>INF204KB16R8</v>
          </cell>
          <cell r="C2624" t="str">
            <v>-</v>
          </cell>
          <cell r="D2624" t="str">
            <v>Nippon India Medium Duration Fund - Segregated Portfolio 2 - Growth Option</v>
          </cell>
          <cell r="E2624">
            <v>0</v>
          </cell>
        </row>
        <row r="2625">
          <cell r="B2625" t="str">
            <v/>
          </cell>
          <cell r="C2625" t="str">
            <v/>
          </cell>
          <cell r="D2625" t="str">
            <v/>
          </cell>
        </row>
        <row r="2626">
          <cell r="B2626" t="str">
            <v/>
          </cell>
          <cell r="C2626" t="str">
            <v/>
          </cell>
          <cell r="D2626" t="str">
            <v/>
          </cell>
        </row>
        <row r="2627">
          <cell r="B2627" t="str">
            <v/>
          </cell>
          <cell r="C2627" t="str">
            <v/>
          </cell>
          <cell r="D2627" t="str">
            <v/>
          </cell>
        </row>
        <row r="2628">
          <cell r="B2628" t="str">
            <v>INF200K01VB0</v>
          </cell>
          <cell r="C2628" t="str">
            <v>-</v>
          </cell>
          <cell r="D2628" t="str">
            <v>SBI MEDIUM DURATION FUND - DIRECT PLAN - GROWTH</v>
          </cell>
          <cell r="E2628">
            <v>59.238500000000002</v>
          </cell>
        </row>
        <row r="2629">
          <cell r="B2629" t="str">
            <v>INF200K01UZ1</v>
          </cell>
          <cell r="C2629" t="str">
            <v>INF200K01VA2</v>
          </cell>
          <cell r="D2629" t="str">
            <v>SBI Medium Duration Fund - Direct Plan - Income Distribution cum Capital Withdrawal Option (IDCW)</v>
          </cell>
          <cell r="E2629">
            <v>23.027000000000001</v>
          </cell>
        </row>
        <row r="2630">
          <cell r="B2630" t="str">
            <v>INF200K01719</v>
          </cell>
          <cell r="C2630" t="str">
            <v>-</v>
          </cell>
          <cell r="D2630" t="str">
            <v>SBI MEDIUM DURATION FUND - REGULAR PLAN - GROWTH</v>
          </cell>
          <cell r="E2630">
            <v>54.522399999999998</v>
          </cell>
        </row>
        <row r="2631">
          <cell r="B2631" t="str">
            <v>INF200K01727</v>
          </cell>
          <cell r="C2631" t="str">
            <v>INF200K01735</v>
          </cell>
          <cell r="D2631" t="str">
            <v>SBI Medium Duration Fund - Regular Plan - Income Distribution cum Capital Withdrawal Option (IDCW)</v>
          </cell>
          <cell r="E2631">
            <v>21.134399999999999</v>
          </cell>
        </row>
        <row r="2632">
          <cell r="B2632" t="str">
            <v/>
          </cell>
          <cell r="C2632" t="str">
            <v/>
          </cell>
          <cell r="D2632" t="str">
            <v/>
          </cell>
        </row>
        <row r="2633">
          <cell r="B2633" t="str">
            <v/>
          </cell>
          <cell r="C2633" t="str">
            <v/>
          </cell>
          <cell r="D2633" t="str">
            <v/>
          </cell>
        </row>
        <row r="2634">
          <cell r="B2634" t="str">
            <v/>
          </cell>
          <cell r="C2634" t="str">
            <v/>
          </cell>
          <cell r="D2634" t="str">
            <v/>
          </cell>
        </row>
        <row r="2635">
          <cell r="B2635" t="str">
            <v>INF903J01PO6</v>
          </cell>
          <cell r="C2635" t="str">
            <v>-</v>
          </cell>
          <cell r="D2635" t="str">
            <v>Sundaram Medium Duration Fund (Formerly Known as Sundaram Medium Term Bond Fund) Direct Plan - Growth</v>
          </cell>
          <cell r="E2635">
            <v>80.618600000000001</v>
          </cell>
        </row>
        <row r="2636">
          <cell r="B2636" t="str">
            <v>INF903J01PH0</v>
          </cell>
          <cell r="C2636" t="str">
            <v>INF903J01PM0</v>
          </cell>
          <cell r="D2636" t="str">
            <v>Sundaram Medium Duration Fund (Formerly Known as Sundaram Medium Term Bond Fund) Direct Plan -Income Distribution cum Capital Withdrawal (IDCW)</v>
          </cell>
          <cell r="E2636">
            <v>15.6036</v>
          </cell>
        </row>
        <row r="2637">
          <cell r="B2637" t="str">
            <v>INF903J01PK4</v>
          </cell>
          <cell r="C2637" t="str">
            <v>INF903J01PL2</v>
          </cell>
          <cell r="D2637" t="str">
            <v>Sundaram Medium Duration Fund (Formerly Known as Sundaram Medium Term Bond Fund) Direct Plan-Income Distribution cum Capital Withdrawal (IDCW)</v>
          </cell>
          <cell r="E2637">
            <v>27.316600000000001</v>
          </cell>
        </row>
        <row r="2638">
          <cell r="B2638" t="str">
            <v>INF903J01FY6</v>
          </cell>
          <cell r="C2638" t="str">
            <v>-</v>
          </cell>
          <cell r="D2638" t="str">
            <v>Sundaram Medium Duration Fund (Formerly Known as Sundaram Medium Term Bond Fund) Institutional Plan - Growth</v>
          </cell>
          <cell r="E2638">
            <v>75.247600000000006</v>
          </cell>
        </row>
        <row r="2639">
          <cell r="B2639" t="str">
            <v>INF903J01FQ2</v>
          </cell>
          <cell r="C2639" t="str">
            <v>-</v>
          </cell>
          <cell r="D2639" t="str">
            <v>Sundaram Medium Duration Fund (Formerly Known as Sundaram Medium Term Bond Fund) Regular Plan - Growth</v>
          </cell>
          <cell r="E2639">
            <v>71.585800000000006</v>
          </cell>
        </row>
        <row r="2640">
          <cell r="B2640" t="str">
            <v>INF903J01FX8</v>
          </cell>
          <cell r="C2640" t="str">
            <v>-</v>
          </cell>
          <cell r="D2640" t="str">
            <v>Sundaram Medium Duration Fund (Formerly Known as Sundaram Medium Term Bond Fund) Regular Plan -Growth</v>
          </cell>
          <cell r="E2640">
            <v>23.624199999999998</v>
          </cell>
        </row>
        <row r="2641">
          <cell r="B2641" t="str">
            <v>INF903J01FT6</v>
          </cell>
          <cell r="C2641" t="str">
            <v>INF903J01FW0</v>
          </cell>
          <cell r="D2641" t="str">
            <v>Sundaram Medium Duration Fund (Formerly Known as Sundaram Medium Term Bond Fund) Regular Plan -Income Distribution cum Capital Withdrawal (IDCW)</v>
          </cell>
          <cell r="E2641">
            <v>13.742599999999999</v>
          </cell>
        </row>
        <row r="2642">
          <cell r="B2642" t="str">
            <v>INF903J01FS8</v>
          </cell>
          <cell r="C2642" t="str">
            <v>INF903J01FV2</v>
          </cell>
          <cell r="D2642" t="str">
            <v>Sundaram Medium Duration Fund (Formerly Known as Sundaram Medium Term Bond Fund) Regular Plan- Income Distribution cum Capital Withdrawal(IDCW)</v>
          </cell>
          <cell r="E2642">
            <v>13.592700000000001</v>
          </cell>
        </row>
        <row r="2643">
          <cell r="B2643" t="str">
            <v>INF903J01FR0</v>
          </cell>
          <cell r="C2643" t="str">
            <v>INF903J01FU4</v>
          </cell>
          <cell r="D2643" t="str">
            <v>Sundaram Medium Duration Fund (Formerly Known as Sundaram Medium Term Bond Fund) Regular Plan-Income Distribution cum Capital Withdrawal(IDCW)</v>
          </cell>
          <cell r="E2643">
            <v>13.3131</v>
          </cell>
        </row>
        <row r="2644">
          <cell r="B2644" t="str">
            <v/>
          </cell>
          <cell r="C2644" t="str">
            <v/>
          </cell>
          <cell r="D2644" t="str">
            <v/>
          </cell>
        </row>
        <row r="2645">
          <cell r="B2645" t="str">
            <v/>
          </cell>
          <cell r="C2645" t="str">
            <v/>
          </cell>
          <cell r="D2645" t="str">
            <v/>
          </cell>
        </row>
        <row r="2646">
          <cell r="B2646" t="str">
            <v/>
          </cell>
          <cell r="C2646" t="str">
            <v/>
          </cell>
          <cell r="D2646" t="str">
            <v/>
          </cell>
        </row>
        <row r="2647">
          <cell r="B2647" t="str">
            <v>INF277K01717</v>
          </cell>
          <cell r="C2647" t="str">
            <v>-</v>
          </cell>
          <cell r="D2647" t="str">
            <v>Tata Medium Term Fund -Regular Plan - Growth Option</v>
          </cell>
          <cell r="E2647">
            <v>29.787199999999999</v>
          </cell>
        </row>
        <row r="2648">
          <cell r="B2648" t="str">
            <v>INF277K01PG9</v>
          </cell>
          <cell r="C2648" t="str">
            <v>INF277K01PH7</v>
          </cell>
          <cell r="D2648" t="str">
            <v>Tata Medium Term Fund- Direct Plan - Payout of IDCW Option</v>
          </cell>
          <cell r="E2648">
            <v>15.2302</v>
          </cell>
        </row>
        <row r="2649">
          <cell r="B2649" t="str">
            <v>INF277K01PI5</v>
          </cell>
          <cell r="C2649" t="str">
            <v>-</v>
          </cell>
          <cell r="D2649" t="str">
            <v>Tata Medium Term Fund- Direct Plan- Growth Option</v>
          </cell>
          <cell r="E2649">
            <v>32.764499999999998</v>
          </cell>
        </row>
        <row r="2650">
          <cell r="B2650" t="str">
            <v>INF277K01DW2</v>
          </cell>
          <cell r="C2650" t="str">
            <v>INF277K01709</v>
          </cell>
          <cell r="D2650" t="str">
            <v>Tata Medium Term Fund- Regular Plan - Payout of IDCW option</v>
          </cell>
          <cell r="E2650">
            <v>13.5481</v>
          </cell>
        </row>
        <row r="2651">
          <cell r="B2651" t="str">
            <v/>
          </cell>
          <cell r="C2651" t="str">
            <v/>
          </cell>
          <cell r="D2651" t="str">
            <v/>
          </cell>
        </row>
        <row r="2652">
          <cell r="B2652" t="str">
            <v/>
          </cell>
          <cell r="C2652" t="str">
            <v/>
          </cell>
          <cell r="D2652" t="str">
            <v/>
          </cell>
        </row>
        <row r="2653">
          <cell r="B2653" t="str">
            <v/>
          </cell>
          <cell r="C2653" t="str">
            <v/>
          </cell>
          <cell r="D2653" t="str">
            <v/>
          </cell>
        </row>
        <row r="2654">
          <cell r="B2654" t="str">
            <v>INF789F1ASC5</v>
          </cell>
          <cell r="C2654" t="str">
            <v>INF789F1ASD3</v>
          </cell>
          <cell r="D2654" t="str">
            <v>UTI - Medium Term Fund (Segregated - 06032020) - Direct Plan - Annual Dividend Option</v>
          </cell>
          <cell r="E2654">
            <v>0</v>
          </cell>
        </row>
        <row r="2655">
          <cell r="B2655" t="str">
            <v>INF789F1ASG6</v>
          </cell>
          <cell r="C2655" t="str">
            <v>INF789F1ASH4</v>
          </cell>
          <cell r="D2655" t="str">
            <v>UTI - Medium Term Fund (Segregated - 06032020) - Direct Plan - Flexi Dividend Option</v>
          </cell>
          <cell r="E2655">
            <v>0</v>
          </cell>
        </row>
        <row r="2656">
          <cell r="B2656" t="str">
            <v>INF789F1ASB7</v>
          </cell>
          <cell r="C2656" t="str">
            <v>-</v>
          </cell>
          <cell r="D2656" t="str">
            <v>UTI - Medium Term Fund (Segregated - 06032020) - Direct Plan - Growth Option</v>
          </cell>
          <cell r="E2656">
            <v>0</v>
          </cell>
        </row>
        <row r="2657">
          <cell r="B2657" t="str">
            <v>INF789F1ASE1</v>
          </cell>
          <cell r="C2657" t="str">
            <v>INF789F1ASF8</v>
          </cell>
          <cell r="D2657" t="str">
            <v>UTI - Medium Term Fund (Segregated - 06032020) - Direct Plan - Half Yearly Dividend Option</v>
          </cell>
          <cell r="E2657">
            <v>0</v>
          </cell>
        </row>
        <row r="2658">
          <cell r="B2658" t="str">
            <v>INF789F1ASI2</v>
          </cell>
          <cell r="C2658" t="str">
            <v>INF789F1ASJ0</v>
          </cell>
          <cell r="D2658" t="str">
            <v>UTI - Medium Term Fund (Segregated - 06032020) - Direct Plan - Monthly Dividend Option</v>
          </cell>
          <cell r="E2658">
            <v>0</v>
          </cell>
        </row>
        <row r="2659">
          <cell r="B2659" t="str">
            <v>INF789F1ARZ8</v>
          </cell>
          <cell r="C2659" t="str">
            <v>INF789F1ASA9</v>
          </cell>
          <cell r="D2659" t="str">
            <v>UTI - Medium Term Fund (Segregated - 06032020) - Direct Plan - Quarterly Dividend Option</v>
          </cell>
          <cell r="E2659">
            <v>0</v>
          </cell>
        </row>
        <row r="2660">
          <cell r="B2660" t="str">
            <v>INF789F1ASN2</v>
          </cell>
          <cell r="C2660" t="str">
            <v>INF789F1ASO0</v>
          </cell>
          <cell r="D2660" t="str">
            <v>UTI - Medium Term Fund (Segregated - 06032020) - Regular Plan - Annual Dividend Option</v>
          </cell>
          <cell r="E2660">
            <v>0</v>
          </cell>
        </row>
        <row r="2661">
          <cell r="B2661" t="str">
            <v>INF789F1ASR3</v>
          </cell>
          <cell r="C2661" t="str">
            <v>INF789F1ASS1</v>
          </cell>
          <cell r="D2661" t="str">
            <v>UTI - Medium Term Fund (Segregated - 06032020) - Regular Plan - Flexi Dividend Option</v>
          </cell>
          <cell r="E2661">
            <v>0</v>
          </cell>
        </row>
        <row r="2662">
          <cell r="B2662" t="str">
            <v>INF789F1ASM4</v>
          </cell>
          <cell r="C2662" t="str">
            <v>-</v>
          </cell>
          <cell r="D2662" t="str">
            <v>UTI - Medium Term Fund (Segregated - 06032020) - Regular Plan - Growth Option</v>
          </cell>
          <cell r="E2662">
            <v>0</v>
          </cell>
        </row>
        <row r="2663">
          <cell r="B2663" t="str">
            <v>INF789F1ASP7</v>
          </cell>
          <cell r="C2663" t="str">
            <v>INF789F1ASQ5</v>
          </cell>
          <cell r="D2663" t="str">
            <v>UTI - Medium Term Fund (Segregated - 06032020) - Regular Plan - Half Yearly Dividend Option</v>
          </cell>
          <cell r="E2663">
            <v>0</v>
          </cell>
        </row>
        <row r="2664">
          <cell r="B2664" t="str">
            <v>INF789F1AST9</v>
          </cell>
          <cell r="C2664" t="str">
            <v>INF789F1ASU7</v>
          </cell>
          <cell r="D2664" t="str">
            <v>UTI - Medium Term Fund (Segregated - 06032020) - Regular Plan - Monthly Dividend Option</v>
          </cell>
          <cell r="E2664">
            <v>0</v>
          </cell>
        </row>
        <row r="2665">
          <cell r="B2665" t="str">
            <v>INF789F1ASK8</v>
          </cell>
          <cell r="C2665" t="str">
            <v>INF789F1ASL6</v>
          </cell>
          <cell r="D2665" t="str">
            <v>UTI - Medium Term Fund (Segregated - 06032020) - Regular Plan - Quarterly Dividend Option</v>
          </cell>
          <cell r="E2665">
            <v>0</v>
          </cell>
        </row>
        <row r="2666">
          <cell r="B2666" t="str">
            <v>-</v>
          </cell>
          <cell r="C2666" t="str">
            <v>-</v>
          </cell>
          <cell r="D2666" t="str">
            <v>UTI - Medium Term Fund (Segregated - 07072020) - Direct  Plan - Monthly Dividend Option</v>
          </cell>
          <cell r="E2666">
            <v>0</v>
          </cell>
        </row>
        <row r="2667">
          <cell r="B2667" t="str">
            <v>-</v>
          </cell>
          <cell r="C2667" t="str">
            <v>-</v>
          </cell>
          <cell r="D2667" t="str">
            <v>UTI - Medium Term Fund (Segregated - 07072020) - Direct Plan - Annual Dividend Option</v>
          </cell>
          <cell r="E2667">
            <v>0</v>
          </cell>
        </row>
        <row r="2668">
          <cell r="B2668" t="str">
            <v>-</v>
          </cell>
          <cell r="C2668" t="str">
            <v>-</v>
          </cell>
          <cell r="D2668" t="str">
            <v>UTI - Medium Term Fund (Segregated - 07072020) - Direct Plan - Flexi Dividend Option</v>
          </cell>
          <cell r="E2668">
            <v>0</v>
          </cell>
        </row>
        <row r="2669">
          <cell r="B2669" t="str">
            <v>-</v>
          </cell>
          <cell r="C2669" t="str">
            <v>-</v>
          </cell>
          <cell r="D2669" t="str">
            <v>UTI - Medium Term Fund (Segregated - 07072020) - Direct Plan - Growth Option</v>
          </cell>
          <cell r="E2669">
            <v>0</v>
          </cell>
        </row>
        <row r="2670">
          <cell r="B2670" t="str">
            <v>-</v>
          </cell>
          <cell r="C2670" t="str">
            <v>-</v>
          </cell>
          <cell r="D2670" t="str">
            <v>UTI - Medium Term Fund (Segregated - 07072020) - Direct Plan - Half Yearly Dividend Option</v>
          </cell>
          <cell r="E2670">
            <v>0</v>
          </cell>
        </row>
        <row r="2671">
          <cell r="B2671" t="str">
            <v>-</v>
          </cell>
          <cell r="C2671" t="str">
            <v>-</v>
          </cell>
          <cell r="D2671" t="str">
            <v>UTI - Medium Term Fund (Segregated - 07072020) - Direct Plan - Quarterly Dividend Option</v>
          </cell>
          <cell r="E2671">
            <v>0</v>
          </cell>
        </row>
        <row r="2672">
          <cell r="B2672" t="str">
            <v>-</v>
          </cell>
          <cell r="C2672" t="str">
            <v>-</v>
          </cell>
          <cell r="D2672" t="str">
            <v>UTI - Medium Term Fund (Segregated - 07072020) - Regular Plan - Annual Dividend Option</v>
          </cell>
          <cell r="E2672">
            <v>0</v>
          </cell>
        </row>
        <row r="2673">
          <cell r="B2673" t="str">
            <v>-</v>
          </cell>
          <cell r="C2673" t="str">
            <v>-</v>
          </cell>
          <cell r="D2673" t="str">
            <v>UTI - Medium Term Fund (Segregated - 07072020) - Regular Plan - Flexi Dividend Option</v>
          </cell>
          <cell r="E2673">
            <v>0</v>
          </cell>
        </row>
        <row r="2674">
          <cell r="B2674" t="str">
            <v>-</v>
          </cell>
          <cell r="C2674" t="str">
            <v>-</v>
          </cell>
          <cell r="D2674" t="str">
            <v>UTI - Medium Term Fund (Segregated - 07072020) - Regular Plan - Growth Option</v>
          </cell>
          <cell r="E2674">
            <v>0</v>
          </cell>
        </row>
        <row r="2675">
          <cell r="B2675" t="str">
            <v>-</v>
          </cell>
          <cell r="C2675" t="str">
            <v>-</v>
          </cell>
          <cell r="D2675" t="str">
            <v>UTI - Medium Term Fund (Segregated - 07072020) - Regular Plan - Half Yearly Dividend Option</v>
          </cell>
          <cell r="E2675">
            <v>0</v>
          </cell>
        </row>
        <row r="2676">
          <cell r="B2676" t="str">
            <v>-</v>
          </cell>
          <cell r="C2676" t="str">
            <v>-</v>
          </cell>
          <cell r="D2676" t="str">
            <v>UTI - Medium Term Fund (Segregated - 07072020) - Regular Plan - Monthly Dividend Option</v>
          </cell>
          <cell r="E2676">
            <v>0</v>
          </cell>
        </row>
        <row r="2677">
          <cell r="B2677" t="str">
            <v>-</v>
          </cell>
          <cell r="C2677" t="str">
            <v>-</v>
          </cell>
          <cell r="D2677" t="str">
            <v>UTI - Medium Term Fund (Segregated - 07072020) - Regular Plan - Quarterly Dividend Option</v>
          </cell>
          <cell r="E2677">
            <v>0</v>
          </cell>
        </row>
        <row r="2678">
          <cell r="B2678" t="str">
            <v>INF789F1AOC4</v>
          </cell>
          <cell r="C2678" t="str">
            <v>-</v>
          </cell>
          <cell r="D2678" t="str">
            <v>UTI - Medium Term Fund (Segregated - 17022020) - Direct Plan - Growth Option</v>
          </cell>
          <cell r="E2678">
            <v>0.36630000000000001</v>
          </cell>
        </row>
        <row r="2679">
          <cell r="B2679" t="str">
            <v>INF789F1AON1</v>
          </cell>
          <cell r="C2679" t="str">
            <v>-</v>
          </cell>
          <cell r="D2679" t="str">
            <v>UTI - Medium Term Fund (Segregated - 17022020) - Regular Plan - Growth Option</v>
          </cell>
          <cell r="E2679">
            <v>0.3488</v>
          </cell>
        </row>
        <row r="2680">
          <cell r="B2680" t="str">
            <v>INF789F1AOD2</v>
          </cell>
          <cell r="C2680" t="str">
            <v>INF789F1AOE0</v>
          </cell>
          <cell r="D2680" t="str">
            <v>UTI Medium Term Fund ( Segregated - 17022020 ) - Direct Plan - Annual IDCW</v>
          </cell>
          <cell r="E2680">
            <v>0.29730000000000001</v>
          </cell>
        </row>
        <row r="2681">
          <cell r="B2681" t="str">
            <v>INF789F1AOH3</v>
          </cell>
          <cell r="C2681" t="str">
            <v>INF789F1AOI1</v>
          </cell>
          <cell r="D2681" t="str">
            <v>UTI Medium Term Fund ( Segregated - 17022020 ) - Direct Plan - Flexi IDCW</v>
          </cell>
          <cell r="E2681">
            <v>0.28639999999999999</v>
          </cell>
        </row>
        <row r="2682">
          <cell r="B2682" t="str">
            <v>INF789F1AOF7</v>
          </cell>
          <cell r="C2682" t="str">
            <v>INF789F1AOG5</v>
          </cell>
          <cell r="D2682" t="str">
            <v>UTI Medium Term Fund ( Segregated - 17022020 ) - Direct Plan - Half-Yearly IDCW</v>
          </cell>
          <cell r="E2682">
            <v>0.28949999999999998</v>
          </cell>
        </row>
        <row r="2683">
          <cell r="B2683" t="str">
            <v>INF789F1AOJ9</v>
          </cell>
          <cell r="C2683" t="str">
            <v>INF789F1AOK7</v>
          </cell>
          <cell r="D2683" t="str">
            <v>UTI Medium Term Fund ( Segregated - 17022020 ) - Direct Plan - Monthly IDCW</v>
          </cell>
          <cell r="E2683">
            <v>0.25950000000000001</v>
          </cell>
        </row>
        <row r="2684">
          <cell r="B2684" t="str">
            <v>INF789F1AOA8</v>
          </cell>
          <cell r="C2684" t="str">
            <v>INF789F1AOB6</v>
          </cell>
          <cell r="D2684" t="str">
            <v>UTI Medium Term Fund ( Segregated - 17022020 ) - Direct Plan - Quarterly IDCW</v>
          </cell>
          <cell r="E2684">
            <v>0.28670000000000001</v>
          </cell>
        </row>
        <row r="2685">
          <cell r="B2685" t="str">
            <v>INF789F1AOO9</v>
          </cell>
          <cell r="C2685" t="str">
            <v>INF789F1AOP6</v>
          </cell>
          <cell r="D2685" t="str">
            <v>UTI Medium Term Fund ( Segregated - 17022020 ) - Regular Plan - Annual IDCW</v>
          </cell>
          <cell r="E2685">
            <v>0.28179999999999999</v>
          </cell>
        </row>
        <row r="2686">
          <cell r="B2686" t="str">
            <v>INF789F1AOS0</v>
          </cell>
          <cell r="C2686" t="str">
            <v>INF789F1AOT8</v>
          </cell>
          <cell r="D2686" t="str">
            <v>UTI Medium Term Fund ( Segregated - 17022020 ) - Regular Plan - Flexi IDCW</v>
          </cell>
          <cell r="E2686">
            <v>0.24879999999999999</v>
          </cell>
        </row>
        <row r="2687">
          <cell r="B2687" t="str">
            <v>INF789F1AOQ4</v>
          </cell>
          <cell r="C2687" t="str">
            <v>INF789F1AOR2</v>
          </cell>
          <cell r="D2687" t="str">
            <v>UTI Medium Term Fund ( Segregated - 17022020 ) - Regular Plan - Half-Yearly IDCW</v>
          </cell>
          <cell r="E2687">
            <v>0.27639999999999998</v>
          </cell>
        </row>
        <row r="2688">
          <cell r="B2688" t="str">
            <v>INF789F1AOU6</v>
          </cell>
          <cell r="C2688" t="str">
            <v>INF789F1AOV4</v>
          </cell>
          <cell r="D2688" t="str">
            <v>UTI Medium Term Fund ( Segregated - 17022020 ) - Regular Plan - Monthly IDCW</v>
          </cell>
          <cell r="E2688">
            <v>0.2515</v>
          </cell>
        </row>
        <row r="2689">
          <cell r="B2689" t="str">
            <v>INF789F1AOL5</v>
          </cell>
          <cell r="C2689" t="str">
            <v>INF789F1AOM3</v>
          </cell>
          <cell r="D2689" t="str">
            <v>UTI Medium Term Fund ( Segregated - 17022020 ) - Regular Plan - Quarterly IDCW</v>
          </cell>
          <cell r="E2689">
            <v>0.27210000000000001</v>
          </cell>
        </row>
        <row r="2690">
          <cell r="B2690" t="str">
            <v>INF789FB1KL1</v>
          </cell>
          <cell r="C2690" t="str">
            <v>INF789FB1KM9</v>
          </cell>
          <cell r="D2690" t="str">
            <v>UTI Medium Duration Fund - Direct Plan - Annual IDCW</v>
          </cell>
          <cell r="E2690">
            <v>15.3245</v>
          </cell>
        </row>
        <row r="2691">
          <cell r="B2691" t="str">
            <v>INF789FB1KO5</v>
          </cell>
          <cell r="C2691" t="str">
            <v>INF789FB1KN7</v>
          </cell>
          <cell r="D2691" t="str">
            <v>UTI Medium Duration Fund - Direct Plan - Flexi IDCW</v>
          </cell>
          <cell r="E2691">
            <v>16.046700000000001</v>
          </cell>
        </row>
        <row r="2692">
          <cell r="B2692" t="str">
            <v>INF789FB1KE6</v>
          </cell>
          <cell r="C2692" t="str">
            <v>-</v>
          </cell>
          <cell r="D2692" t="str">
            <v>UTI Medium Duration Fund - Direct Plan - Growth Option</v>
          </cell>
          <cell r="E2692">
            <v>20.689900000000002</v>
          </cell>
        </row>
        <row r="2693">
          <cell r="B2693" t="str">
            <v>INF789FB1KJ5</v>
          </cell>
          <cell r="C2693" t="str">
            <v>INF789FB1KK3</v>
          </cell>
          <cell r="D2693" t="str">
            <v>UTI Medium Duration Fund - Direct Plan - Half-Yearly IDCW</v>
          </cell>
          <cell r="E2693">
            <v>15.497199999999999</v>
          </cell>
        </row>
        <row r="2694">
          <cell r="B2694" t="str">
            <v>INF789FB1KF3</v>
          </cell>
          <cell r="C2694" t="str">
            <v>INF789FB1KG1</v>
          </cell>
          <cell r="D2694" t="str">
            <v>UTI Medium Duration Fund - Direct Plan - Monthly IDCW</v>
          </cell>
          <cell r="E2694">
            <v>10.4839</v>
          </cell>
        </row>
        <row r="2695">
          <cell r="B2695" t="str">
            <v>INF789FB1KH9</v>
          </cell>
          <cell r="C2695" t="str">
            <v>INF789FB1KI7</v>
          </cell>
          <cell r="D2695" t="str">
            <v>UTI Medium Duration Fund - Direct Plan - Quarterly IDCW</v>
          </cell>
          <cell r="E2695">
            <v>15.480600000000001</v>
          </cell>
        </row>
        <row r="2696">
          <cell r="B2696" t="str">
            <v>INF789FB1KA4</v>
          </cell>
          <cell r="C2696" t="str">
            <v>INF789FB1KB2</v>
          </cell>
          <cell r="D2696" t="str">
            <v>UTI Medium Duration Fund - Regular Plan - Annual IDCW</v>
          </cell>
          <cell r="E2696">
            <v>14.0528</v>
          </cell>
        </row>
        <row r="2697">
          <cell r="B2697" t="str">
            <v>INF789FB1KC0</v>
          </cell>
          <cell r="C2697" t="str">
            <v>INF789FB1KD8</v>
          </cell>
          <cell r="D2697" t="str">
            <v>UTI Medium Duration Fund - Regular Plan - Flexi IDCW</v>
          </cell>
          <cell r="E2697">
            <v>14.1546</v>
          </cell>
        </row>
        <row r="2698">
          <cell r="B2698" t="str">
            <v>INF789FB1JU4</v>
          </cell>
          <cell r="C2698" t="str">
            <v>-</v>
          </cell>
          <cell r="D2698" t="str">
            <v>UTI Medium Duration Fund - Regular Plan - Growth Option</v>
          </cell>
          <cell r="E2698">
            <v>19.159700000000001</v>
          </cell>
        </row>
        <row r="2699">
          <cell r="B2699" t="str">
            <v>INF789FB1JY6</v>
          </cell>
          <cell r="C2699" t="str">
            <v>INF789FB1JZ3</v>
          </cell>
          <cell r="D2699" t="str">
            <v>UTI Medium Duration Fund - Regular Plan - Half-Yearly IDCW</v>
          </cell>
          <cell r="E2699">
            <v>10.1904</v>
          </cell>
        </row>
        <row r="2700">
          <cell r="B2700" t="str">
            <v>INF789FB1JV2</v>
          </cell>
          <cell r="C2700" t="str">
            <v>INF789FB1KP2</v>
          </cell>
          <cell r="D2700" t="str">
            <v>UTI Medium Duration Fund - Regular Plan - Monthly IDCW</v>
          </cell>
          <cell r="E2700">
            <v>13.817600000000001</v>
          </cell>
        </row>
        <row r="2701">
          <cell r="B2701" t="str">
            <v>INF789FB1JW0</v>
          </cell>
          <cell r="C2701" t="str">
            <v>INF789FB1JX8</v>
          </cell>
          <cell r="D2701" t="str">
            <v>UTI Medium Duration Fund - Regular Plan - Quarterly IDCW</v>
          </cell>
          <cell r="E2701">
            <v>14.1332</v>
          </cell>
        </row>
        <row r="2702">
          <cell r="B2702" t="str">
            <v/>
          </cell>
          <cell r="C2702" t="str">
            <v/>
          </cell>
          <cell r="D2702" t="str">
            <v/>
          </cell>
        </row>
        <row r="2703">
          <cell r="B2703" t="str">
            <v/>
          </cell>
          <cell r="C2703" t="str">
            <v/>
          </cell>
          <cell r="D2703" t="str">
            <v/>
          </cell>
        </row>
        <row r="2704">
          <cell r="B2704" t="str">
            <v/>
          </cell>
          <cell r="C2704" t="str">
            <v/>
          </cell>
          <cell r="D2704" t="str">
            <v/>
          </cell>
        </row>
        <row r="2705">
          <cell r="B2705" t="str">
            <v/>
          </cell>
          <cell r="C2705" t="str">
            <v/>
          </cell>
          <cell r="D2705" t="str">
            <v/>
          </cell>
        </row>
        <row r="2706">
          <cell r="B2706" t="str">
            <v/>
          </cell>
          <cell r="C2706" t="str">
            <v/>
          </cell>
          <cell r="D2706" t="str">
            <v/>
          </cell>
        </row>
        <row r="2707">
          <cell r="B2707" t="str">
            <v>INF209K01LD8</v>
          </cell>
          <cell r="C2707" t="str">
            <v>-</v>
          </cell>
          <cell r="D2707" t="str">
            <v>Aditya Birla Sun Life Income Fund (Discipline Advantage Plan)</v>
          </cell>
          <cell r="E2707">
            <v>30.0154</v>
          </cell>
        </row>
        <row r="2708">
          <cell r="B2708" t="str">
            <v>INF209KA1WL2</v>
          </cell>
          <cell r="C2708" t="str">
            <v>INF209KA1WM0</v>
          </cell>
          <cell r="D2708" t="str">
            <v>Aditya Birla Sun Life Income Fund - Direct - IDCW</v>
          </cell>
          <cell r="E2708">
            <v>13.130699999999999</v>
          </cell>
        </row>
        <row r="2709">
          <cell r="B2709" t="str">
            <v>INF209K01R13</v>
          </cell>
          <cell r="C2709" t="str">
            <v>INF209K01WZ8</v>
          </cell>
          <cell r="D2709" t="str">
            <v>Aditya Birla Sun Life Income Fund - Direct - Quarterly IDCW</v>
          </cell>
          <cell r="E2709">
            <v>14.0974</v>
          </cell>
        </row>
        <row r="2710">
          <cell r="B2710" t="str">
            <v>INF209K01WY1</v>
          </cell>
          <cell r="C2710" t="str">
            <v>-</v>
          </cell>
          <cell r="D2710" t="str">
            <v>Aditya Birla Sun Life Income Fund - Growth - Direct Plan</v>
          </cell>
          <cell r="E2710">
            <v>140.61259999999999</v>
          </cell>
        </row>
        <row r="2711">
          <cell r="B2711" t="str">
            <v>INF209K01579</v>
          </cell>
          <cell r="C2711" t="str">
            <v>-</v>
          </cell>
          <cell r="D2711" t="str">
            <v>Aditya Birla Sun Life Income Fund - Growth - Regular Plan</v>
          </cell>
          <cell r="E2711">
            <v>129.79679999999999</v>
          </cell>
        </row>
        <row r="2712">
          <cell r="B2712" t="str">
            <v>INF209KA1WJ6</v>
          </cell>
          <cell r="C2712" t="str">
            <v>INF209KA1WK4</v>
          </cell>
          <cell r="D2712" t="str">
            <v>Aditya Birla Sun Life Income Fund - Regular - IDCW</v>
          </cell>
          <cell r="E2712">
            <v>12.2639</v>
          </cell>
        </row>
        <row r="2713">
          <cell r="B2713" t="str">
            <v>INF209K01587</v>
          </cell>
          <cell r="C2713" t="str">
            <v>INF209K01CY3</v>
          </cell>
          <cell r="D2713" t="str">
            <v>Aditya Birla Sun Life Income Fund - Regular - Quarterly IDCW</v>
          </cell>
          <cell r="E2713">
            <v>13.069000000000001</v>
          </cell>
        </row>
        <row r="2714">
          <cell r="B2714" t="str">
            <v/>
          </cell>
          <cell r="C2714" t="str">
            <v/>
          </cell>
          <cell r="D2714" t="str">
            <v/>
          </cell>
        </row>
        <row r="2715">
          <cell r="B2715" t="str">
            <v/>
          </cell>
          <cell r="C2715" t="str">
            <v/>
          </cell>
          <cell r="D2715" t="str">
            <v/>
          </cell>
        </row>
        <row r="2716">
          <cell r="B2716" t="str">
            <v/>
          </cell>
          <cell r="C2716" t="str">
            <v/>
          </cell>
          <cell r="D2716" t="str">
            <v/>
          </cell>
        </row>
        <row r="2717">
          <cell r="B2717" t="str">
            <v>INF194K01R77</v>
          </cell>
          <cell r="C2717" t="str">
            <v>INF194K01R69</v>
          </cell>
          <cell r="D2717" t="str">
            <v>Bandhan Medium to Long Duration Fund - Direct Plan - Annual IDCW</v>
          </cell>
          <cell r="E2717">
            <v>16.362200000000001</v>
          </cell>
        </row>
        <row r="2718">
          <cell r="B2718" t="str">
            <v>INF194K01R51</v>
          </cell>
          <cell r="C2718" t="str">
            <v>-</v>
          </cell>
          <cell r="D2718" t="str">
            <v>Bandhan Medium to Long Duration Fund - Direct Plan - Growth</v>
          </cell>
          <cell r="E2718">
            <v>74.733999999999995</v>
          </cell>
        </row>
        <row r="2719">
          <cell r="B2719" t="str">
            <v>INF194K01S01</v>
          </cell>
          <cell r="C2719" t="str">
            <v>INF194K01R93</v>
          </cell>
          <cell r="D2719" t="str">
            <v>Bandhan Medium to Long Duration Fund - Direct Plan - Half Yearly IDCW</v>
          </cell>
          <cell r="E2719">
            <v>13.1271</v>
          </cell>
        </row>
        <row r="2720">
          <cell r="B2720" t="str">
            <v>INF194KA1SX2</v>
          </cell>
          <cell r="C2720" t="str">
            <v>INF194KA1SY0</v>
          </cell>
          <cell r="D2720" t="str">
            <v>Bandhan Medium to Long Duration Fund - Direct Plan - Periodic IDCW</v>
          </cell>
          <cell r="E2720">
            <v>18.160499999999999</v>
          </cell>
        </row>
        <row r="2721">
          <cell r="B2721" t="str">
            <v>INF194K01S35</v>
          </cell>
          <cell r="C2721" t="str">
            <v>INF194K01S27</v>
          </cell>
          <cell r="D2721" t="str">
            <v>Bandhan Medium to Long Duration Fund - Direct Plan - Quarterly IDCW</v>
          </cell>
          <cell r="E2721">
            <v>12.7425</v>
          </cell>
        </row>
        <row r="2722">
          <cell r="B2722" t="str">
            <v>INF194K01IN7</v>
          </cell>
          <cell r="C2722" t="str">
            <v>INF194K01IM9</v>
          </cell>
          <cell r="D2722" t="str">
            <v>Bandhan Medium to Long Duration Fund - Regular Plan - Annual IDCW</v>
          </cell>
          <cell r="E2722">
            <v>11.9369</v>
          </cell>
        </row>
        <row r="2723">
          <cell r="B2723" t="str">
            <v>INF194K01IL1</v>
          </cell>
          <cell r="C2723" t="str">
            <v>-</v>
          </cell>
          <cell r="D2723" t="str">
            <v>Bandhan Medium to Long Duration Fund - Regular Plan - Growth</v>
          </cell>
          <cell r="E2723">
            <v>67.806399999999996</v>
          </cell>
        </row>
        <row r="2724">
          <cell r="B2724" t="str">
            <v>INF194K01IQ0</v>
          </cell>
          <cell r="C2724" t="str">
            <v>INF194K01IP2</v>
          </cell>
          <cell r="D2724" t="str">
            <v>Bandhan Medium to Long Duration Fund - Regular Plan - Half-yearly IDCW</v>
          </cell>
          <cell r="E2724">
            <v>12.1839</v>
          </cell>
        </row>
        <row r="2725">
          <cell r="B2725" t="str">
            <v>INF194KA1SU8</v>
          </cell>
          <cell r="C2725" t="str">
            <v>INF194KA1SV6</v>
          </cell>
          <cell r="D2725" t="str">
            <v>Bandhan Medium to Long Duration Fund - Regular Plan - Periodic IDCW</v>
          </cell>
          <cell r="E2725">
            <v>14.5527</v>
          </cell>
        </row>
        <row r="2726">
          <cell r="B2726" t="str">
            <v>INF194K01IT4</v>
          </cell>
          <cell r="C2726" t="str">
            <v>INF194K01IS6</v>
          </cell>
          <cell r="D2726" t="str">
            <v>Bandhan Medium to Long Duration Fund - Regular Plan - Quarterly IDCW</v>
          </cell>
          <cell r="E2726">
            <v>12.1515</v>
          </cell>
        </row>
        <row r="2727">
          <cell r="B2727" t="str">
            <v>INF194K01HF5</v>
          </cell>
          <cell r="C2727" t="str">
            <v>-</v>
          </cell>
          <cell r="D2727" t="str">
            <v>Bandhan Short Duration Fund - Regular Plan - Growth</v>
          </cell>
          <cell r="E2727">
            <v>60.756799999999998</v>
          </cell>
        </row>
        <row r="2728">
          <cell r="B2728" t="str">
            <v>INF194K01HH1</v>
          </cell>
          <cell r="C2728" t="str">
            <v>INF194K01HG3</v>
          </cell>
          <cell r="D2728" t="str">
            <v>Bandhan Short Duration Fund - Regular Plan - Monthly IDCW</v>
          </cell>
          <cell r="E2728">
            <v>10.3657</v>
          </cell>
        </row>
        <row r="2729">
          <cell r="B2729" t="str">
            <v/>
          </cell>
          <cell r="C2729" t="str">
            <v/>
          </cell>
          <cell r="D2729" t="str">
            <v/>
          </cell>
        </row>
        <row r="2730">
          <cell r="B2730" t="str">
            <v/>
          </cell>
          <cell r="C2730" t="str">
            <v/>
          </cell>
          <cell r="D2730" t="str">
            <v/>
          </cell>
        </row>
        <row r="2731">
          <cell r="B2731" t="str">
            <v/>
          </cell>
          <cell r="C2731" t="str">
            <v/>
          </cell>
          <cell r="D2731" t="str">
            <v/>
          </cell>
        </row>
        <row r="2732">
          <cell r="B2732" t="str">
            <v>INF761K01850</v>
          </cell>
          <cell r="C2732" t="str">
            <v>INF761K01843</v>
          </cell>
          <cell r="D2732" t="str">
            <v>BANK OF INDIA Conservative Hybrid  Fund-Direct Plan-Quarterly IDCW</v>
          </cell>
          <cell r="E2732">
            <v>18.652699999999999</v>
          </cell>
        </row>
        <row r="2733">
          <cell r="B2733" t="str">
            <v>INF761K01439</v>
          </cell>
          <cell r="C2733" t="str">
            <v>INF761K01421</v>
          </cell>
          <cell r="D2733" t="str">
            <v>BANK OF INDIA Conservative Hybrid  Fund-ECO Plan-Quarterly IDCW</v>
          </cell>
          <cell r="E2733">
            <v>10.3674</v>
          </cell>
        </row>
        <row r="2734">
          <cell r="B2734" t="str">
            <v>INF761K01819</v>
          </cell>
          <cell r="C2734" t="str">
            <v>-</v>
          </cell>
          <cell r="D2734" t="str">
            <v>BANK OF INDIA Conservative Hybrid Fund Fund-Direct Plan-Growth</v>
          </cell>
          <cell r="E2734">
            <v>37.965200000000003</v>
          </cell>
        </row>
        <row r="2735">
          <cell r="B2735" t="str">
            <v>INF761K01793</v>
          </cell>
          <cell r="C2735" t="str">
            <v>INF761K01801</v>
          </cell>
          <cell r="D2735" t="str">
            <v>BANK OF INDIA Conservative Hybrid Fund-Direct Plan-Annual IDCW</v>
          </cell>
          <cell r="E2735">
            <v>17.299099999999999</v>
          </cell>
        </row>
        <row r="2736">
          <cell r="B2736" t="str">
            <v>INF761K01835</v>
          </cell>
          <cell r="C2736" t="str">
            <v>INF761K01827</v>
          </cell>
          <cell r="D2736" t="str">
            <v>BANK OF INDIA Conservative Hybrid Fund-Direct Plan-Monthly IDCW</v>
          </cell>
          <cell r="E2736">
            <v>16.911100000000001</v>
          </cell>
        </row>
        <row r="2737">
          <cell r="B2737" t="str">
            <v>INF761K01397</v>
          </cell>
          <cell r="C2737" t="str">
            <v>-</v>
          </cell>
          <cell r="D2737" t="str">
            <v>BANK OF INDIA Conservative Hybrid Fund-ECO Plan-Growth</v>
          </cell>
          <cell r="E2737">
            <v>36.516199999999998</v>
          </cell>
        </row>
        <row r="2738">
          <cell r="B2738" t="str">
            <v>INF761K01413</v>
          </cell>
          <cell r="C2738" t="str">
            <v>INF761K01405</v>
          </cell>
          <cell r="D2738" t="str">
            <v>BANK OF INDIA Conservative Hybrid Fund-ECO Plan-Monthly IDCW</v>
          </cell>
          <cell r="E2738">
            <v>27.660900000000002</v>
          </cell>
        </row>
        <row r="2739">
          <cell r="B2739" t="str">
            <v>INF761K01454</v>
          </cell>
          <cell r="C2739" t="str">
            <v>INF761K01447</v>
          </cell>
          <cell r="D2739" t="str">
            <v>BANK OF INDIA Conservative Hybrid Fund-Regular Plan-Annual IDCW</v>
          </cell>
          <cell r="E2739">
            <v>17.0639</v>
          </cell>
        </row>
        <row r="2740">
          <cell r="B2740" t="str">
            <v>INF761K01462</v>
          </cell>
          <cell r="C2740" t="str">
            <v>-</v>
          </cell>
          <cell r="D2740" t="str">
            <v>BANK OF INDIA Conservative Hybrid Fund-Regular Plan-Growth</v>
          </cell>
          <cell r="E2740">
            <v>35.151499999999999</v>
          </cell>
        </row>
        <row r="2741">
          <cell r="B2741" t="str">
            <v>INF761K01488</v>
          </cell>
          <cell r="C2741" t="str">
            <v>INF761K01470</v>
          </cell>
          <cell r="D2741" t="str">
            <v>BANK OF INDIA Conservative Hybrid Fund-Regular Plan-Monthly IDCW</v>
          </cell>
          <cell r="E2741">
            <v>18.0975</v>
          </cell>
        </row>
        <row r="2742">
          <cell r="B2742" t="str">
            <v>INF761K01504</v>
          </cell>
          <cell r="C2742" t="str">
            <v>INF761K01496</v>
          </cell>
          <cell r="D2742" t="str">
            <v>BANK OF INDIA Conservative Hybrid Fund-Regular Plan-Quarterly IDCW</v>
          </cell>
          <cell r="E2742">
            <v>18.757400000000001</v>
          </cell>
        </row>
        <row r="2743">
          <cell r="B2743" t="str">
            <v/>
          </cell>
          <cell r="C2743" t="str">
            <v/>
          </cell>
          <cell r="D2743" t="str">
            <v/>
          </cell>
        </row>
        <row r="2744">
          <cell r="B2744" t="str">
            <v/>
          </cell>
          <cell r="C2744" t="str">
            <v/>
          </cell>
          <cell r="D2744" t="str">
            <v/>
          </cell>
        </row>
        <row r="2745">
          <cell r="B2745" t="str">
            <v/>
          </cell>
          <cell r="C2745" t="str">
            <v/>
          </cell>
          <cell r="D2745" t="str">
            <v/>
          </cell>
        </row>
        <row r="2746">
          <cell r="B2746" t="str">
            <v>INF760K01FI1</v>
          </cell>
          <cell r="C2746" t="str">
            <v>-</v>
          </cell>
          <cell r="D2746" t="str">
            <v>CANARA ROBECO INCOME FUND - DIRECT PLAN - GROWTH OPTION</v>
          </cell>
          <cell r="E2746">
            <v>64.590800000000002</v>
          </cell>
        </row>
        <row r="2747">
          <cell r="B2747" t="str">
            <v>INF760K01FG5</v>
          </cell>
          <cell r="C2747" t="str">
            <v>INF760K01FH3</v>
          </cell>
          <cell r="D2747" t="str">
            <v>CANARA ROBECO INCOME FUND - DIRECT PLAN - QUARTERLY IDCW (Payout/Reinvestment)</v>
          </cell>
          <cell r="E2747">
            <v>16.883199999999999</v>
          </cell>
        </row>
        <row r="2748">
          <cell r="B2748" t="str">
            <v>INF760K01324</v>
          </cell>
          <cell r="C2748" t="str">
            <v>-</v>
          </cell>
          <cell r="D2748" t="str">
            <v>CANARA ROBECO INCOME FUND - REGULAR PLAN - GROWTH OPTION</v>
          </cell>
          <cell r="E2748">
            <v>56.921399999999998</v>
          </cell>
        </row>
        <row r="2749">
          <cell r="B2749" t="str">
            <v>INF760K01340</v>
          </cell>
          <cell r="C2749" t="str">
            <v>INF760K01357</v>
          </cell>
          <cell r="D2749" t="str">
            <v>CANARA ROBECO INCOME FUND - REGULAR PLAN - QUARTERLY IDCW (Payout/Reinvestment)</v>
          </cell>
          <cell r="E2749">
            <v>14.6418</v>
          </cell>
        </row>
        <row r="2750">
          <cell r="B2750" t="str">
            <v/>
          </cell>
          <cell r="C2750" t="str">
            <v/>
          </cell>
          <cell r="D2750" t="str">
            <v/>
          </cell>
        </row>
        <row r="2751">
          <cell r="B2751" t="str">
            <v/>
          </cell>
          <cell r="C2751" t="str">
            <v/>
          </cell>
          <cell r="D2751" t="str">
            <v/>
          </cell>
        </row>
        <row r="2752">
          <cell r="B2752" t="str">
            <v/>
          </cell>
          <cell r="C2752" t="str">
            <v/>
          </cell>
          <cell r="D2752" t="str">
            <v/>
          </cell>
        </row>
        <row r="2753">
          <cell r="B2753" t="str">
            <v>INF090I01XH2</v>
          </cell>
          <cell r="C2753" t="str">
            <v>INF090I01XI0</v>
          </cell>
          <cell r="D2753" t="str">
            <v>Franklin India Medium to Long Duration Fund - Direct - IDCW</v>
          </cell>
          <cell r="E2753">
            <v>10.676600000000001</v>
          </cell>
        </row>
        <row r="2754">
          <cell r="B2754" t="str">
            <v>INF090I01XG4</v>
          </cell>
          <cell r="C2754" t="str">
            <v>-</v>
          </cell>
          <cell r="D2754" t="str">
            <v>Franklin India Medium to Long Duration Fund - Direct Growth</v>
          </cell>
          <cell r="E2754">
            <v>11.288399999999999</v>
          </cell>
        </row>
        <row r="2755">
          <cell r="B2755" t="str">
            <v>INF090I01XD1</v>
          </cell>
          <cell r="C2755" t="str">
            <v>-</v>
          </cell>
          <cell r="D2755" t="str">
            <v>Franklin India Medium to Long Duration Fund - Growth</v>
          </cell>
          <cell r="E2755">
            <v>11.183299999999999</v>
          </cell>
        </row>
        <row r="2756">
          <cell r="B2756" t="str">
            <v>INF090I01XE9</v>
          </cell>
          <cell r="C2756" t="str">
            <v>INF090I01XF6</v>
          </cell>
          <cell r="D2756" t="str">
            <v>Franklin India Medium to Long Duration Fund - IDCW</v>
          </cell>
          <cell r="E2756">
            <v>10.594099999999999</v>
          </cell>
        </row>
        <row r="2757">
          <cell r="B2757" t="str">
            <v/>
          </cell>
          <cell r="C2757" t="str">
            <v/>
          </cell>
          <cell r="D2757" t="str">
            <v/>
          </cell>
        </row>
        <row r="2758">
          <cell r="B2758" t="str">
            <v/>
          </cell>
          <cell r="C2758" t="str">
            <v/>
          </cell>
          <cell r="D2758" t="str">
            <v/>
          </cell>
        </row>
        <row r="2759">
          <cell r="B2759" t="str">
            <v/>
          </cell>
          <cell r="C2759" t="str">
            <v/>
          </cell>
          <cell r="D2759" t="str">
            <v/>
          </cell>
        </row>
        <row r="2760">
          <cell r="B2760" t="str">
            <v>INF179K01962</v>
          </cell>
          <cell r="C2760" t="str">
            <v>-</v>
          </cell>
          <cell r="D2760" t="str">
            <v>HDFC Income Fund - Growth Option</v>
          </cell>
          <cell r="E2760">
            <v>60.526899999999998</v>
          </cell>
        </row>
        <row r="2761">
          <cell r="B2761" t="str">
            <v>INF179K01WL3</v>
          </cell>
          <cell r="C2761" t="str">
            <v>-</v>
          </cell>
          <cell r="D2761" t="str">
            <v>HDFC Income Fund - Growth Option - Direct Plan</v>
          </cell>
          <cell r="E2761">
            <v>67.378699999999995</v>
          </cell>
        </row>
        <row r="2762">
          <cell r="B2762" t="str">
            <v>INF179KA1Q12</v>
          </cell>
          <cell r="C2762" t="str">
            <v>-</v>
          </cell>
          <cell r="D2762" t="str">
            <v>HDFC Income Fund - Normal IDCW - Direct Plan</v>
          </cell>
          <cell r="E2762">
            <v>21.308</v>
          </cell>
        </row>
        <row r="2763">
          <cell r="B2763" t="str">
            <v>INF179KA1Q38</v>
          </cell>
          <cell r="C2763" t="str">
            <v>-</v>
          </cell>
          <cell r="D2763" t="str">
            <v>HDFC Income Fund - Normal IDCW Option</v>
          </cell>
          <cell r="E2763">
            <v>19.087800000000001</v>
          </cell>
        </row>
        <row r="2764">
          <cell r="B2764" t="str">
            <v>INF179K01947</v>
          </cell>
          <cell r="C2764" t="str">
            <v>INF179K01954</v>
          </cell>
          <cell r="D2764" t="str">
            <v>HDFC Income Fund - Quarterly IDCW Option</v>
          </cell>
          <cell r="E2764">
            <v>11.5061</v>
          </cell>
        </row>
        <row r="2765">
          <cell r="B2765" t="str">
            <v>INF179K01WJ7</v>
          </cell>
          <cell r="C2765" t="str">
            <v>INF179K01WK5</v>
          </cell>
          <cell r="D2765" t="str">
            <v>HDFC Income Fund - Quarterly IDCW- Direct Plan</v>
          </cell>
          <cell r="E2765">
            <v>12.904500000000001</v>
          </cell>
        </row>
        <row r="2766">
          <cell r="B2766" t="str">
            <v/>
          </cell>
          <cell r="C2766" t="str">
            <v/>
          </cell>
          <cell r="D2766" t="str">
            <v/>
          </cell>
        </row>
        <row r="2767">
          <cell r="B2767" t="str">
            <v/>
          </cell>
          <cell r="C2767" t="str">
            <v/>
          </cell>
          <cell r="D2767" t="str">
            <v/>
          </cell>
        </row>
        <row r="2768">
          <cell r="B2768" t="str">
            <v/>
          </cell>
          <cell r="C2768" t="str">
            <v/>
          </cell>
          <cell r="D2768" t="str">
            <v/>
          </cell>
        </row>
        <row r="2769">
          <cell r="B2769" t="str">
            <v>INF336L01DE2</v>
          </cell>
          <cell r="C2769" t="str">
            <v>-</v>
          </cell>
          <cell r="D2769" t="str">
            <v>HSBC Medium to Long Duration Fund - Direct Growth</v>
          </cell>
          <cell r="E2769">
            <v>48.820599999999999</v>
          </cell>
        </row>
        <row r="2770">
          <cell r="B2770" t="str">
            <v>INF336L01EO9</v>
          </cell>
          <cell r="C2770" t="str">
            <v>INF336L01EP6</v>
          </cell>
          <cell r="D2770" t="str">
            <v>HSBC Medium to Long Duration Fund - Direct Quarterly IDCW</v>
          </cell>
          <cell r="E2770">
            <v>10.484999999999999</v>
          </cell>
        </row>
        <row r="2771">
          <cell r="B2771" t="str">
            <v>INF336L01776</v>
          </cell>
          <cell r="C2771" t="str">
            <v>-</v>
          </cell>
          <cell r="D2771" t="str">
            <v>HSBC Medium to Long Duration Fund - Regular Growth</v>
          </cell>
          <cell r="E2771">
            <v>43.700499999999998</v>
          </cell>
        </row>
        <row r="2772">
          <cell r="B2772" t="str">
            <v>INF336L01784</v>
          </cell>
          <cell r="C2772" t="str">
            <v>INF336L01792</v>
          </cell>
          <cell r="D2772" t="str">
            <v>HSBC Medium to Long Duration Fund - Regular Quarterly IDCW</v>
          </cell>
          <cell r="E2772">
            <v>10.651300000000001</v>
          </cell>
        </row>
        <row r="2773">
          <cell r="B2773" t="str">
            <v/>
          </cell>
          <cell r="C2773" t="str">
            <v/>
          </cell>
          <cell r="D2773" t="str">
            <v/>
          </cell>
        </row>
        <row r="2774">
          <cell r="B2774" t="str">
            <v/>
          </cell>
          <cell r="C2774" t="str">
            <v/>
          </cell>
          <cell r="D2774" t="str">
            <v/>
          </cell>
        </row>
        <row r="2775">
          <cell r="B2775" t="str">
            <v/>
          </cell>
          <cell r="C2775" t="str">
            <v/>
          </cell>
          <cell r="D2775" t="str">
            <v/>
          </cell>
        </row>
        <row r="2776">
          <cell r="B2776" t="str">
            <v>INF109KA1C72</v>
          </cell>
          <cell r="C2776" t="str">
            <v>-</v>
          </cell>
          <cell r="D2776" t="str">
            <v>ICICI Prudential Bond Fund - Bonus</v>
          </cell>
          <cell r="E2776">
            <v>12.4602</v>
          </cell>
        </row>
        <row r="2777">
          <cell r="B2777" t="str">
            <v>INF109K01V83</v>
          </cell>
          <cell r="C2777" t="str">
            <v>-</v>
          </cell>
          <cell r="D2777" t="str">
            <v>ICICI Prudential Bond Fund - Direct Plan - Growth</v>
          </cell>
          <cell r="E2777">
            <v>44.856900000000003</v>
          </cell>
        </row>
        <row r="2778">
          <cell r="B2778" t="str">
            <v>INF109KA1X77</v>
          </cell>
          <cell r="C2778" t="str">
            <v>INF109KA1X69</v>
          </cell>
          <cell r="D2778" t="str">
            <v>ICICI Prudential Bond Fund - Direct Plan - Half Yearly IDCW</v>
          </cell>
          <cell r="E2778">
            <v>11.0014</v>
          </cell>
        </row>
        <row r="2779">
          <cell r="B2779" t="str">
            <v>INF109K01V59</v>
          </cell>
          <cell r="C2779" t="str">
            <v>INF109K01V67</v>
          </cell>
          <cell r="D2779" t="str">
            <v>ICICI Prudential Bond Fund - Direct Plan - IDCW Monthly</v>
          </cell>
          <cell r="E2779">
            <v>11.486499999999999</v>
          </cell>
        </row>
        <row r="2780">
          <cell r="B2780" t="str">
            <v>INF109K01V75</v>
          </cell>
          <cell r="C2780" t="str">
            <v>INF109K01V91</v>
          </cell>
          <cell r="D2780" t="str">
            <v>ICICI Prudential Bond Fund - Direct Plan - IDCW Quarterly</v>
          </cell>
          <cell r="E2780">
            <v>11.9375</v>
          </cell>
        </row>
        <row r="2781">
          <cell r="B2781" t="str">
            <v>INF109K01BO8</v>
          </cell>
          <cell r="C2781" t="str">
            <v>-</v>
          </cell>
          <cell r="D2781" t="str">
            <v>ICICI Prudential Bond Fund - Growth</v>
          </cell>
          <cell r="E2781">
            <v>42.175899999999999</v>
          </cell>
        </row>
        <row r="2782">
          <cell r="B2782" t="str">
            <v>INF109KA1X51</v>
          </cell>
          <cell r="C2782" t="str">
            <v>INF109KA1X44</v>
          </cell>
          <cell r="D2782" t="str">
            <v>ICICI Prudential Bond Fund - Half Yearly IDCW</v>
          </cell>
          <cell r="E2782">
            <v>11.3208</v>
          </cell>
        </row>
        <row r="2783">
          <cell r="B2783" t="str">
            <v>INF109K01EU9</v>
          </cell>
          <cell r="C2783" t="str">
            <v>INF109K01BP5</v>
          </cell>
          <cell r="D2783" t="str">
            <v>ICICI Prudential Bond Fund - IDCW Monthly</v>
          </cell>
          <cell r="E2783">
            <v>11.2766</v>
          </cell>
        </row>
        <row r="2784">
          <cell r="B2784" t="str">
            <v>INF109K01EV7</v>
          </cell>
          <cell r="C2784" t="str">
            <v>INF109K01BS9</v>
          </cell>
          <cell r="D2784" t="str">
            <v>ICICI Prudential Bond Fund - IDCW Quarterly</v>
          </cell>
          <cell r="E2784">
            <v>11.5464</v>
          </cell>
        </row>
        <row r="2785">
          <cell r="B2785" t="str">
            <v>INF109K01BQ3</v>
          </cell>
          <cell r="C2785" t="str">
            <v>-</v>
          </cell>
          <cell r="D2785" t="str">
            <v>ICICI Prudential Bond Fund- Institutional Growth</v>
          </cell>
          <cell r="E2785">
            <v>25.0654</v>
          </cell>
        </row>
        <row r="2786">
          <cell r="B2786" t="str">
            <v>INF109K01ES3</v>
          </cell>
          <cell r="C2786" t="str">
            <v>INF109K01BR1</v>
          </cell>
          <cell r="D2786" t="str">
            <v>ICICI Prudential Bond Fund- Institutional Monthly Dividend</v>
          </cell>
          <cell r="E2786">
            <v>10.644399999999999</v>
          </cell>
        </row>
        <row r="2787">
          <cell r="B2787" t="str">
            <v>INF109K01ET1</v>
          </cell>
          <cell r="C2787" t="str">
            <v>INF109K01BT7</v>
          </cell>
          <cell r="D2787" t="str">
            <v>ICICI Prudential Bond Fund- Institutional Quarterly Dividend</v>
          </cell>
          <cell r="E2787">
            <v>11.429399999999999</v>
          </cell>
        </row>
        <row r="2788">
          <cell r="B2788" t="str">
            <v/>
          </cell>
          <cell r="C2788" t="str">
            <v/>
          </cell>
          <cell r="D2788" t="str">
            <v/>
          </cell>
        </row>
        <row r="2789">
          <cell r="B2789" t="str">
            <v/>
          </cell>
          <cell r="C2789" t="str">
            <v/>
          </cell>
          <cell r="D2789" t="str">
            <v/>
          </cell>
        </row>
        <row r="2790">
          <cell r="B2790" t="str">
            <v/>
          </cell>
          <cell r="C2790" t="str">
            <v/>
          </cell>
          <cell r="D2790" t="str">
            <v/>
          </cell>
        </row>
        <row r="2791">
          <cell r="B2791" t="str">
            <v>INF192K01CX3</v>
          </cell>
          <cell r="C2791" t="str">
            <v>-</v>
          </cell>
          <cell r="D2791" t="str">
            <v>JM Medium to Long Duration Fund (Direct) - Bonus Option - Principal Units</v>
          </cell>
          <cell r="E2791">
            <v>28.556000000000001</v>
          </cell>
        </row>
        <row r="2792">
          <cell r="B2792" t="str">
            <v>INF192K01CW5</v>
          </cell>
          <cell r="C2792" t="str">
            <v>-</v>
          </cell>
          <cell r="D2792" t="str">
            <v>JM Medium to Long Duration Fund (Direct) - Growth Option</v>
          </cell>
          <cell r="E2792">
            <v>72.212299999999999</v>
          </cell>
        </row>
        <row r="2793">
          <cell r="B2793" t="str">
            <v>INF192K01CU9</v>
          </cell>
          <cell r="C2793" t="str">
            <v>INF192K01CV7</v>
          </cell>
          <cell r="D2793" t="str">
            <v>JM Medium to Long Duration Fund (Direct) - Quarterly IDCW</v>
          </cell>
          <cell r="E2793">
            <v>25.5167</v>
          </cell>
        </row>
        <row r="2794">
          <cell r="B2794" t="str">
            <v>INF192K01AB3</v>
          </cell>
          <cell r="C2794" t="str">
            <v>-</v>
          </cell>
          <cell r="D2794" t="str">
            <v>JM Medium to Long Duration Fund (Regular) - Growth Option</v>
          </cell>
          <cell r="E2794">
            <v>64.481800000000007</v>
          </cell>
        </row>
        <row r="2795">
          <cell r="B2795" t="str">
            <v>INF192K01999</v>
          </cell>
          <cell r="C2795" t="str">
            <v>INF192K01AA5</v>
          </cell>
          <cell r="D2795" t="str">
            <v>JM Medium to Long Duration Fund (Regular) - Quarterly IDCW</v>
          </cell>
          <cell r="E2795">
            <v>21.924199999999999</v>
          </cell>
        </row>
        <row r="2796">
          <cell r="B2796" t="str">
            <v>INF192K01AC1</v>
          </cell>
          <cell r="C2796" t="str">
            <v>-</v>
          </cell>
          <cell r="D2796" t="str">
            <v>JM Medium to Long Duration Fund (Regular) - Bonus Option- Principal Units</v>
          </cell>
          <cell r="E2796">
            <v>26.381399999999999</v>
          </cell>
        </row>
        <row r="2797">
          <cell r="B2797" t="str">
            <v/>
          </cell>
          <cell r="C2797" t="str">
            <v/>
          </cell>
          <cell r="D2797" t="str">
            <v/>
          </cell>
        </row>
        <row r="2798">
          <cell r="B2798" t="str">
            <v/>
          </cell>
          <cell r="C2798" t="str">
            <v/>
          </cell>
          <cell r="D2798" t="str">
            <v/>
          </cell>
        </row>
        <row r="2799">
          <cell r="B2799" t="str">
            <v/>
          </cell>
          <cell r="C2799" t="str">
            <v/>
          </cell>
          <cell r="D2799" t="str">
            <v/>
          </cell>
        </row>
        <row r="2800">
          <cell r="B2800" t="str">
            <v>INF174K01JD8</v>
          </cell>
          <cell r="C2800" t="str">
            <v>-</v>
          </cell>
          <cell r="D2800" t="str">
            <v>Kotak Bond Fund - Direct Plan - Standard IDCW option</v>
          </cell>
          <cell r="E2800">
            <v>30.147500000000001</v>
          </cell>
        </row>
        <row r="2801">
          <cell r="B2801" t="str">
            <v>INF174K01JC0</v>
          </cell>
          <cell r="C2801" t="str">
            <v>-</v>
          </cell>
          <cell r="D2801" t="str">
            <v>Kotak Bond Fund - Growth - Direct</v>
          </cell>
          <cell r="E2801">
            <v>90.578699999999998</v>
          </cell>
        </row>
        <row r="2802">
          <cell r="B2802" t="str">
            <v>INF174K01EQ1</v>
          </cell>
          <cell r="C2802" t="str">
            <v>INF174K01EP3</v>
          </cell>
          <cell r="D2802" t="str">
            <v>Kotak Bond Fund - Regular Plan - Standard IDCW Option</v>
          </cell>
          <cell r="E2802">
            <v>48.925600000000003</v>
          </cell>
        </row>
        <row r="2803">
          <cell r="B2803" t="str">
            <v>INF174K01EM0</v>
          </cell>
          <cell r="C2803" t="str">
            <v>-</v>
          </cell>
          <cell r="D2803" t="str">
            <v>Kotak Bond Fund - Regular Plan Growth</v>
          </cell>
          <cell r="E2803">
            <v>79.856399999999994</v>
          </cell>
        </row>
        <row r="2804">
          <cell r="B2804" t="str">
            <v>INF174K01EK4</v>
          </cell>
          <cell r="C2804" t="str">
            <v>INF174K01EL2</v>
          </cell>
          <cell r="D2804" t="str">
            <v>Kotak Bond-Deposit-Dividend</v>
          </cell>
          <cell r="E2804">
            <v>13.6554</v>
          </cell>
        </row>
        <row r="2805">
          <cell r="B2805" t="str">
            <v>INF174K01EJ6</v>
          </cell>
          <cell r="C2805" t="str">
            <v>-</v>
          </cell>
          <cell r="D2805" t="str">
            <v>Kotak Bond-Deposit-Growth</v>
          </cell>
          <cell r="E2805">
            <v>42.935400000000001</v>
          </cell>
        </row>
        <row r="2806">
          <cell r="B2806" t="str">
            <v/>
          </cell>
          <cell r="C2806" t="str">
            <v/>
          </cell>
          <cell r="D2806" t="str">
            <v/>
          </cell>
        </row>
        <row r="2807">
          <cell r="B2807" t="str">
            <v/>
          </cell>
          <cell r="C2807" t="str">
            <v/>
          </cell>
          <cell r="D2807" t="str">
            <v/>
          </cell>
        </row>
        <row r="2808">
          <cell r="B2808" t="str">
            <v/>
          </cell>
          <cell r="C2808" t="str">
            <v/>
          </cell>
          <cell r="D2808" t="str">
            <v/>
          </cell>
        </row>
        <row r="2809">
          <cell r="B2809" t="str">
            <v>INF397L01GD9</v>
          </cell>
          <cell r="C2809" t="str">
            <v>-</v>
          </cell>
          <cell r="D2809" t="str">
            <v>LIC MF Medium to Long Duration Fund-Direct Plan-Annual IDCW</v>
          </cell>
          <cell r="E2809">
            <v>19.809200000000001</v>
          </cell>
        </row>
        <row r="2810">
          <cell r="B2810" t="str">
            <v>INF767K01EW0</v>
          </cell>
          <cell r="C2810" t="str">
            <v>-</v>
          </cell>
          <cell r="D2810" t="str">
            <v>LIC MF Medium to Long Duration Fund-Direct Plan-Growth</v>
          </cell>
          <cell r="E2810">
            <v>81.990300000000005</v>
          </cell>
        </row>
        <row r="2811">
          <cell r="B2811" t="str">
            <v>INF767K01EV2</v>
          </cell>
          <cell r="C2811" t="str">
            <v>INF767K01EX8</v>
          </cell>
          <cell r="D2811" t="str">
            <v>LIC MF Medium to Long Duration Fund-Direct Plan-IDCW</v>
          </cell>
          <cell r="E2811">
            <v>19.8093</v>
          </cell>
        </row>
        <row r="2812">
          <cell r="B2812" t="str">
            <v>INF397L01GA5</v>
          </cell>
          <cell r="C2812" t="str">
            <v>-</v>
          </cell>
          <cell r="D2812" t="str">
            <v>LIC MF Medium to Long Duration Fund-Direct Plan-Quarterly IDCW</v>
          </cell>
          <cell r="E2812">
            <v>19.8094</v>
          </cell>
        </row>
        <row r="2813">
          <cell r="B2813" t="str">
            <v>INF397L01FX9</v>
          </cell>
          <cell r="C2813" t="str">
            <v>-</v>
          </cell>
          <cell r="D2813" t="str">
            <v>LIC MF Medium to Long Duration Fund-Regular Plan-Annual IDCW</v>
          </cell>
          <cell r="E2813">
            <v>16.552700000000002</v>
          </cell>
        </row>
        <row r="2814">
          <cell r="B2814" t="str">
            <v>INF767K01923</v>
          </cell>
          <cell r="C2814" t="str">
            <v>-</v>
          </cell>
          <cell r="D2814" t="str">
            <v>LIC MF Medium to Long Duration Fund-Regular Plan-Growth</v>
          </cell>
          <cell r="E2814">
            <v>75.515900000000002</v>
          </cell>
        </row>
        <row r="2815">
          <cell r="B2815" t="str">
            <v>INF767K01907</v>
          </cell>
          <cell r="C2815" t="str">
            <v>INF767K01915</v>
          </cell>
          <cell r="D2815" t="str">
            <v>LIC MF Medium to Long Duration Fund-Regular Plan-IDCW</v>
          </cell>
          <cell r="E2815">
            <v>16.552800000000001</v>
          </cell>
        </row>
        <row r="2816">
          <cell r="B2816" t="str">
            <v>INF397L01FU5</v>
          </cell>
          <cell r="C2816" t="str">
            <v>-</v>
          </cell>
          <cell r="D2816" t="str">
            <v>LIC MF Medium to Long Duration Fund-Regular Plan-Quarterly IDCW</v>
          </cell>
          <cell r="E2816">
            <v>16.302800000000001</v>
          </cell>
        </row>
        <row r="2817">
          <cell r="B2817" t="str">
            <v/>
          </cell>
          <cell r="C2817" t="str">
            <v/>
          </cell>
          <cell r="D2817" t="str">
            <v/>
          </cell>
        </row>
        <row r="2818">
          <cell r="B2818" t="str">
            <v/>
          </cell>
          <cell r="C2818" t="str">
            <v/>
          </cell>
          <cell r="D2818" t="str">
            <v/>
          </cell>
        </row>
        <row r="2819">
          <cell r="B2819" t="str">
            <v/>
          </cell>
          <cell r="C2819" t="str">
            <v/>
          </cell>
          <cell r="D2819" t="str">
            <v/>
          </cell>
        </row>
        <row r="2820">
          <cell r="B2820" t="str">
            <v>INF204K01CT4</v>
          </cell>
          <cell r="C2820" t="str">
            <v>INF204K01CU2</v>
          </cell>
          <cell r="D2820" t="str">
            <v>NIPPON INDIA MEDIUM TO LONG DURATION  FUND - ANNUAL IDCW Option</v>
          </cell>
          <cell r="E2820">
            <v>13.0878</v>
          </cell>
        </row>
        <row r="2821">
          <cell r="B2821" t="str">
            <v>INF204K01YT8</v>
          </cell>
          <cell r="C2821" t="str">
            <v>INF204K01YU6</v>
          </cell>
          <cell r="D2821" t="str">
            <v>NIPPON INDIA MEDIUM TO LONG DURATION  FUND - Direct Plan - ANNUAL IDCW Option</v>
          </cell>
          <cell r="E2821">
            <v>14.382899999999999</v>
          </cell>
        </row>
        <row r="2822">
          <cell r="B2822" t="str">
            <v>INF204K01YR2</v>
          </cell>
          <cell r="C2822" t="str">
            <v>INF204K01YS0</v>
          </cell>
          <cell r="D2822" t="str">
            <v>NIPPON INDIA MEDIUM TO LONG DURATION  FUND - Direct Plan - HALF YEARLY IDCW Option</v>
          </cell>
          <cell r="E2822">
            <v>13.792999999999999</v>
          </cell>
        </row>
        <row r="2823">
          <cell r="B2823" t="str">
            <v>INF204K01YN1</v>
          </cell>
          <cell r="C2823" t="str">
            <v>-</v>
          </cell>
          <cell r="D2823" t="str">
            <v>NIPPON INDIA MEDIUM TO LONG DURATION  FUND - Direct Plan - MONTHLY IDCW Option</v>
          </cell>
          <cell r="E2823">
            <v>11.4292</v>
          </cell>
        </row>
        <row r="2824">
          <cell r="B2824" t="str">
            <v>INF204K01F38</v>
          </cell>
          <cell r="C2824" t="str">
            <v>-</v>
          </cell>
          <cell r="D2824" t="str">
            <v>Nippon India Medium to Long Duration  Fund - Direct Plan Growth Plan-Bonus Option</v>
          </cell>
          <cell r="E2824">
            <v>30.0199</v>
          </cell>
        </row>
        <row r="2825">
          <cell r="B2825" t="str">
            <v>INF204K01CM9</v>
          </cell>
          <cell r="C2825" t="str">
            <v>-</v>
          </cell>
          <cell r="D2825" t="str">
            <v>Nippon India Medium to Long Duration  Fund - Growth Plan Bonus Option</v>
          </cell>
          <cell r="E2825">
            <v>26.765499999999999</v>
          </cell>
        </row>
        <row r="2826">
          <cell r="B2826" t="str">
            <v>INF204K01CL1</v>
          </cell>
          <cell r="C2826" t="str">
            <v>-</v>
          </cell>
          <cell r="D2826" t="str">
            <v>Nippon India Medium to Long Duration  Fund - Growth Plan Growth Option</v>
          </cell>
          <cell r="E2826">
            <v>93.099699999999999</v>
          </cell>
        </row>
        <row r="2827">
          <cell r="B2827" t="str">
            <v>INF204K01CR8</v>
          </cell>
          <cell r="C2827" t="str">
            <v>INF204K01CS6</v>
          </cell>
          <cell r="D2827" t="str">
            <v>NIPPON INDIA MEDIUM TO LONG DURATION  FUND - HALF YEARLY IDCW Option</v>
          </cell>
          <cell r="E2827">
            <v>12.789400000000001</v>
          </cell>
        </row>
        <row r="2828">
          <cell r="B2828" t="str">
            <v>INF204K01CP2</v>
          </cell>
          <cell r="C2828" t="str">
            <v>INF204K01CQ0</v>
          </cell>
          <cell r="D2828" t="str">
            <v>NIPPON INDIA MEDIUM TO LONG DURATION  FUND - QUARTERLY IDCW Option</v>
          </cell>
          <cell r="E2828">
            <v>13.2864</v>
          </cell>
        </row>
        <row r="2829">
          <cell r="B2829" t="str">
            <v>INF204K01YP6</v>
          </cell>
          <cell r="C2829" t="str">
            <v>INF204K01YQ4</v>
          </cell>
          <cell r="D2829" t="str">
            <v>NIPPON INDIA MEDIUM TO LONG DURATION FUND - Direct Plan - QUARTERLY IDCW Option</v>
          </cell>
          <cell r="E2829">
            <v>14.023899999999999</v>
          </cell>
        </row>
        <row r="2830">
          <cell r="B2830" t="str">
            <v>INF204K01XS2</v>
          </cell>
          <cell r="C2830" t="str">
            <v>-</v>
          </cell>
          <cell r="D2830" t="str">
            <v>Nippon India Medium to Long Duration Fund - Direct Plan Growth Plan - Growth Option</v>
          </cell>
          <cell r="E2830">
            <v>105.0531</v>
          </cell>
        </row>
        <row r="2831">
          <cell r="B2831" t="str">
            <v>INF204K01CN7</v>
          </cell>
          <cell r="C2831" t="str">
            <v>INF204K01CO5</v>
          </cell>
          <cell r="D2831" t="str">
            <v>NIPPON INDIA MEDIUM TO LONG DURATION FUND - MONTHLY IDCW Option</v>
          </cell>
          <cell r="E2831">
            <v>10.8</v>
          </cell>
        </row>
        <row r="2832">
          <cell r="B2832" t="str">
            <v/>
          </cell>
          <cell r="C2832" t="str">
            <v/>
          </cell>
          <cell r="D2832" t="str">
            <v/>
          </cell>
        </row>
        <row r="2833">
          <cell r="B2833" t="str">
            <v/>
          </cell>
          <cell r="C2833" t="str">
            <v/>
          </cell>
          <cell r="D2833" t="str">
            <v/>
          </cell>
        </row>
        <row r="2834">
          <cell r="B2834" t="str">
            <v/>
          </cell>
          <cell r="C2834" t="str">
            <v/>
          </cell>
          <cell r="D2834" t="str">
            <v/>
          </cell>
        </row>
        <row r="2835">
          <cell r="B2835" t="str">
            <v>INF200K01SP6</v>
          </cell>
          <cell r="C2835" t="str">
            <v>INF200K01SQ4</v>
          </cell>
          <cell r="D2835" t="str">
            <v>SBI Medium to Long Duration Fund - Direct Plan - Half Yearly - Income Distribution cum Capital Withdrawal Option (IDCW)</v>
          </cell>
          <cell r="E2835">
            <v>22.7227</v>
          </cell>
        </row>
        <row r="2836">
          <cell r="B2836" t="str">
            <v>INF200K01YS8</v>
          </cell>
          <cell r="C2836" t="str">
            <v>INF200K01YT6</v>
          </cell>
          <cell r="D2836" t="str">
            <v>SBI Medium to Long Duration Fund - Direct Plan - Quarterly Income Distribution cum Capital Withdrawal Option (IDCW)</v>
          </cell>
          <cell r="E2836">
            <v>23.262599999999999</v>
          </cell>
        </row>
        <row r="2837">
          <cell r="B2837" t="str">
            <v>INF200K01610</v>
          </cell>
          <cell r="C2837" t="str">
            <v>INF200K01628</v>
          </cell>
          <cell r="D2837" t="str">
            <v>SBI Medium to Long Duration Fund - Regular Plan - Half Yearly - Income Distribution cum Capital Withdrawal Option (IDCW)</v>
          </cell>
          <cell r="E2837">
            <v>19.270199999999999</v>
          </cell>
        </row>
        <row r="2838">
          <cell r="B2838" t="str">
            <v>INF200K01YQ2</v>
          </cell>
          <cell r="C2838" t="str">
            <v>INF200K01YR0</v>
          </cell>
          <cell r="D2838" t="str">
            <v>SBI Medium to Long Duration Fund - Regular Plan - Quarterly Income Distribution cum Capital Withdrawal Option (IDCW)</v>
          </cell>
          <cell r="E2838">
            <v>20.747499999999999</v>
          </cell>
        </row>
        <row r="2839">
          <cell r="B2839" t="str">
            <v>INF200K01SO9</v>
          </cell>
          <cell r="C2839" t="str">
            <v>-</v>
          </cell>
          <cell r="D2839" t="str">
            <v>SBI Medium to Long Duration Fund-DIRECT PLAN - Bonus</v>
          </cell>
          <cell r="E2839">
            <v>48.564599999999999</v>
          </cell>
        </row>
        <row r="2840">
          <cell r="B2840" t="str">
            <v>INF200K01SR2</v>
          </cell>
          <cell r="C2840" t="str">
            <v>-</v>
          </cell>
          <cell r="D2840" t="str">
            <v>SBI Medium to Long Duration Fund-DIRECT PLAN -Growth</v>
          </cell>
          <cell r="E2840">
            <v>80.087299999999999</v>
          </cell>
        </row>
        <row r="2841">
          <cell r="B2841" t="str">
            <v>INF200K01602</v>
          </cell>
          <cell r="C2841" t="str">
            <v>-</v>
          </cell>
          <cell r="D2841" t="str">
            <v>SBI Medium to Long Duration Fund-REGULAR PLAN-Bonus</v>
          </cell>
          <cell r="E2841">
            <v>44.639600000000002</v>
          </cell>
        </row>
        <row r="2842">
          <cell r="B2842" t="str">
            <v>INF200K01594</v>
          </cell>
          <cell r="C2842" t="str">
            <v>-</v>
          </cell>
          <cell r="D2842" t="str">
            <v>SBI Medium to Long Duration Fund-REGULAR PLAN-Growth</v>
          </cell>
          <cell r="E2842">
            <v>73.673699999999997</v>
          </cell>
        </row>
        <row r="2843">
          <cell r="B2843" t="str">
            <v/>
          </cell>
          <cell r="C2843" t="str">
            <v/>
          </cell>
          <cell r="D2843" t="str">
            <v/>
          </cell>
        </row>
        <row r="2844">
          <cell r="B2844" t="str">
            <v/>
          </cell>
          <cell r="C2844" t="str">
            <v/>
          </cell>
          <cell r="D2844" t="str">
            <v/>
          </cell>
        </row>
        <row r="2845">
          <cell r="B2845" t="str">
            <v/>
          </cell>
          <cell r="C2845" t="str">
            <v/>
          </cell>
          <cell r="D2845" t="str">
            <v/>
          </cell>
        </row>
        <row r="2846">
          <cell r="B2846" t="str">
            <v>INF277K01OY5</v>
          </cell>
          <cell r="C2846" t="str">
            <v>-</v>
          </cell>
          <cell r="D2846" t="str">
            <v>Tata Income Fund - Direct Plan - Growth Option</v>
          </cell>
          <cell r="E2846">
            <v>72.199200000000005</v>
          </cell>
        </row>
        <row r="2847">
          <cell r="B2847" t="str">
            <v>INF277K01659</v>
          </cell>
          <cell r="C2847" t="str">
            <v>-</v>
          </cell>
          <cell r="D2847" t="str">
            <v>Tata Income Fund -Regular Plan - Growth Option</v>
          </cell>
          <cell r="E2847">
            <v>66.614000000000004</v>
          </cell>
        </row>
        <row r="2848">
          <cell r="B2848" t="str">
            <v>INF277K01PC8</v>
          </cell>
          <cell r="C2848" t="str">
            <v>INF277K01PD6</v>
          </cell>
          <cell r="D2848" t="str">
            <v xml:space="preserve">TATA Income Fund Direct Plan - Periodic Payout of Income Distribution cum capital withdrawal option </v>
          </cell>
          <cell r="E2848">
            <v>41.096200000000003</v>
          </cell>
        </row>
        <row r="2849">
          <cell r="B2849" t="str">
            <v>INF277K01DT8</v>
          </cell>
          <cell r="C2849" t="str">
            <v>INF277K01667</v>
          </cell>
          <cell r="D2849" t="str">
            <v>Tata Income Fund- Regular Plan - Periodic Payout of IDCW Option</v>
          </cell>
          <cell r="E2849">
            <v>38.648699999999998</v>
          </cell>
        </row>
        <row r="2850">
          <cell r="B2850" t="str">
            <v>INF277K01PA2</v>
          </cell>
          <cell r="C2850" t="str">
            <v>INF277K01PB0</v>
          </cell>
          <cell r="D2850" t="str">
            <v>TATA Income Fund-Direct Plan - Half Yearly Payout of IDCW Option</v>
          </cell>
          <cell r="E2850">
            <v>16.845400000000001</v>
          </cell>
        </row>
        <row r="2851">
          <cell r="B2851" t="str">
            <v>INF277K01DU6</v>
          </cell>
          <cell r="C2851" t="str">
            <v>INF277K01675</v>
          </cell>
          <cell r="D2851" t="str">
            <v>Tata Income Fund-Regular Plan - Half Yearly Payout of IDCW Option</v>
          </cell>
          <cell r="E2851">
            <v>15.3414</v>
          </cell>
        </row>
        <row r="2852">
          <cell r="B2852" t="str">
            <v/>
          </cell>
          <cell r="C2852" t="str">
            <v/>
          </cell>
          <cell r="D2852" t="str">
            <v/>
          </cell>
        </row>
        <row r="2853">
          <cell r="B2853" t="str">
            <v/>
          </cell>
          <cell r="C2853" t="str">
            <v/>
          </cell>
          <cell r="D2853" t="str">
            <v/>
          </cell>
        </row>
        <row r="2854">
          <cell r="B2854" t="str">
            <v/>
          </cell>
          <cell r="C2854" t="str">
            <v/>
          </cell>
          <cell r="D2854" t="str">
            <v/>
          </cell>
        </row>
        <row r="2855">
          <cell r="B2855" t="str">
            <v>INF789FA1T80</v>
          </cell>
          <cell r="C2855" t="str">
            <v>-</v>
          </cell>
          <cell r="D2855" t="str">
            <v>UTI Medium to Long Duration Fund - Direct Plan - Annual IDCW</v>
          </cell>
          <cell r="E2855">
            <v>13.3531</v>
          </cell>
        </row>
        <row r="2856">
          <cell r="B2856" t="str">
            <v>INF789FA1U04</v>
          </cell>
          <cell r="C2856" t="str">
            <v>INF789FA1U12</v>
          </cell>
          <cell r="D2856" t="str">
            <v>UTI Medium to Long Duration Fund - Direct Plan - Flexi IDCW</v>
          </cell>
          <cell r="E2856">
            <v>16.183700000000002</v>
          </cell>
        </row>
        <row r="2857">
          <cell r="B2857" t="str">
            <v>INF789FA1T64</v>
          </cell>
          <cell r="C2857" t="str">
            <v>INF789FA1T72</v>
          </cell>
          <cell r="D2857" t="str">
            <v>UTI Medium to Long Duration Fund - Direct Plan - Half-Yearly IDCW</v>
          </cell>
          <cell r="E2857">
            <v>15.5755</v>
          </cell>
        </row>
        <row r="2858">
          <cell r="B2858" t="str">
            <v>INF789F01SO1</v>
          </cell>
          <cell r="C2858" t="str">
            <v>INF789F01SP8</v>
          </cell>
          <cell r="D2858" t="str">
            <v>UTI Medium to Long Duration Fund - Direct Plan - Quarterly IDCW</v>
          </cell>
          <cell r="E2858">
            <v>26.2515</v>
          </cell>
        </row>
        <row r="2859">
          <cell r="B2859" t="str">
            <v>INF789FA1T23</v>
          </cell>
          <cell r="C2859" t="str">
            <v>INF789FA1T31</v>
          </cell>
          <cell r="D2859" t="str">
            <v>UTI Medium to Long Duration Fund - Regular Plan - Annual IDCW</v>
          </cell>
          <cell r="E2859">
            <v>13.1151</v>
          </cell>
        </row>
        <row r="2860">
          <cell r="B2860" t="str">
            <v>INF789FA1T49</v>
          </cell>
          <cell r="C2860" t="str">
            <v>INF789FA1T56</v>
          </cell>
          <cell r="D2860" t="str">
            <v>UTI Medium to Long Duration Fund - Regular Plan - Flexi IDCW</v>
          </cell>
          <cell r="E2860">
            <v>14.787000000000001</v>
          </cell>
        </row>
        <row r="2861">
          <cell r="B2861" t="str">
            <v>INF789FA1T07</v>
          </cell>
          <cell r="C2861" t="str">
            <v>INF789FA1T15</v>
          </cell>
          <cell r="D2861" t="str">
            <v>UTI Medium to Long Duration Fund - Regular Plan - Half-Yearly IDCW</v>
          </cell>
          <cell r="E2861">
            <v>15.0244</v>
          </cell>
        </row>
        <row r="2862">
          <cell r="B2862" t="str">
            <v>INF789F01380</v>
          </cell>
          <cell r="C2862" t="str">
            <v>INF789F01398</v>
          </cell>
          <cell r="D2862" t="str">
            <v>UTI Medium to Long Duration Fund - Regular Plan - Quarterly IDCW</v>
          </cell>
          <cell r="E2862">
            <v>19.5318</v>
          </cell>
        </row>
        <row r="2863">
          <cell r="B2863" t="str">
            <v>INF789F01406</v>
          </cell>
          <cell r="C2863" t="str">
            <v>-</v>
          </cell>
          <cell r="D2863" t="str">
            <v>UTI Medium to Long Duration Fund- Regular Plan - Growth</v>
          </cell>
          <cell r="E2863">
            <v>76.047600000000003</v>
          </cell>
        </row>
        <row r="2864">
          <cell r="B2864" t="str">
            <v>INF789F01SQ6</v>
          </cell>
          <cell r="C2864" t="str">
            <v>-</v>
          </cell>
          <cell r="D2864" t="str">
            <v>UTI Medium to Long Duration Fund-Growth - Direct</v>
          </cell>
          <cell r="E2864">
            <v>83.183899999999994</v>
          </cell>
        </row>
        <row r="2865">
          <cell r="B2865" t="str">
            <v/>
          </cell>
          <cell r="C2865" t="str">
            <v/>
          </cell>
          <cell r="D2865" t="str">
            <v/>
          </cell>
        </row>
        <row r="2866">
          <cell r="B2866" t="str">
            <v/>
          </cell>
          <cell r="C2866" t="str">
            <v/>
          </cell>
          <cell r="D2866" t="str">
            <v/>
          </cell>
        </row>
        <row r="2867">
          <cell r="B2867" t="str">
            <v/>
          </cell>
          <cell r="C2867" t="str">
            <v/>
          </cell>
          <cell r="D2867" t="str">
            <v/>
          </cell>
        </row>
        <row r="2868">
          <cell r="B2868" t="str">
            <v/>
          </cell>
          <cell r="C2868" t="str">
            <v/>
          </cell>
          <cell r="D2868" t="str">
            <v/>
          </cell>
        </row>
        <row r="2869">
          <cell r="B2869" t="str">
            <v/>
          </cell>
          <cell r="C2869" t="str">
            <v/>
          </cell>
          <cell r="D2869" t="str">
            <v/>
          </cell>
        </row>
        <row r="2870">
          <cell r="B2870" t="str">
            <v>-</v>
          </cell>
          <cell r="C2870" t="str">
            <v>INF209K01SZ6</v>
          </cell>
          <cell r="D2870" t="str">
            <v>Aditya Birla Sun Life Money Manager Fund - Daily IDCW</v>
          </cell>
          <cell r="E2870">
            <v>100.02</v>
          </cell>
        </row>
        <row r="2871">
          <cell r="B2871" t="str">
            <v>-</v>
          </cell>
          <cell r="C2871" t="str">
            <v>INF209K01UT5</v>
          </cell>
          <cell r="D2871" t="str">
            <v>Aditya Birla Sun Life Money Manager Fund - Direct - daily IDCW</v>
          </cell>
          <cell r="E2871">
            <v>100.02</v>
          </cell>
        </row>
        <row r="2872">
          <cell r="B2872" t="str">
            <v>INF209K01UV1</v>
          </cell>
          <cell r="C2872" t="str">
            <v>INF209KA1LM3</v>
          </cell>
          <cell r="D2872" t="str">
            <v>Aditya Birla Sun Life Money Manager Fund - Direct - weekly IDCW</v>
          </cell>
          <cell r="E2872">
            <v>100.1584</v>
          </cell>
        </row>
        <row r="2873">
          <cell r="B2873" t="str">
            <v>INF209K01RV7</v>
          </cell>
          <cell r="C2873" t="str">
            <v>-</v>
          </cell>
          <cell r="D2873" t="str">
            <v>Aditya Birla Sun Life Money Manager Fund - Growth</v>
          </cell>
          <cell r="E2873">
            <v>395.35579999999999</v>
          </cell>
        </row>
        <row r="2874">
          <cell r="B2874" t="str">
            <v>INF209K01UU3</v>
          </cell>
          <cell r="C2874" t="str">
            <v>-</v>
          </cell>
          <cell r="D2874" t="str">
            <v>Aditya Birla Sun Life Money Manager Fund - Growth - Direct Plan</v>
          </cell>
          <cell r="E2874">
            <v>401.10019999999997</v>
          </cell>
        </row>
        <row r="2875">
          <cell r="B2875" t="str">
            <v>-</v>
          </cell>
          <cell r="C2875" t="str">
            <v>INF209K01JZ5</v>
          </cell>
          <cell r="D2875" t="str">
            <v>Aditya Birla Sun Life Money Manager Fund - Retail - Daily IDCW</v>
          </cell>
          <cell r="E2875">
            <v>100.015</v>
          </cell>
        </row>
        <row r="2876">
          <cell r="B2876" t="str">
            <v>-</v>
          </cell>
          <cell r="C2876" t="str">
            <v>INF209K01SY9</v>
          </cell>
          <cell r="D2876" t="str">
            <v>Aditya Birla Sun Life Money Manager Fund - WEEKLY IDCW</v>
          </cell>
          <cell r="E2876">
            <v>100.1564</v>
          </cell>
        </row>
        <row r="2877">
          <cell r="B2877" t="str">
            <v/>
          </cell>
          <cell r="C2877" t="str">
            <v/>
          </cell>
          <cell r="D2877" t="str">
            <v/>
          </cell>
        </row>
        <row r="2878">
          <cell r="B2878" t="str">
            <v/>
          </cell>
          <cell r="C2878" t="str">
            <v/>
          </cell>
          <cell r="D2878" t="str">
            <v/>
          </cell>
        </row>
        <row r="2879">
          <cell r="B2879" t="str">
            <v/>
          </cell>
          <cell r="C2879" t="str">
            <v/>
          </cell>
          <cell r="D2879" t="str">
            <v/>
          </cell>
        </row>
        <row r="2880">
          <cell r="B2880" t="str">
            <v>INF846K01Q96</v>
          </cell>
          <cell r="C2880" t="str">
            <v>INF846K01Q88</v>
          </cell>
          <cell r="D2880" t="str">
            <v>Axis Money Market Fund - Direct Plan - Annual IDCW</v>
          </cell>
          <cell r="E2880">
            <v>1309.6346000000001</v>
          </cell>
        </row>
        <row r="2881">
          <cell r="B2881" t="str">
            <v>-</v>
          </cell>
          <cell r="C2881" t="str">
            <v>INF846K01Q70</v>
          </cell>
          <cell r="D2881" t="str">
            <v>Axis Money Market Fund - Direct Plan - Daily IDCW</v>
          </cell>
          <cell r="E2881">
            <v>1005.6131</v>
          </cell>
        </row>
        <row r="2882">
          <cell r="B2882" t="str">
            <v>INF846K01Q62</v>
          </cell>
          <cell r="C2882" t="str">
            <v>-</v>
          </cell>
          <cell r="D2882" t="str">
            <v>Axis Money Market Fund - Direct Plan - Growth Option</v>
          </cell>
          <cell r="E2882">
            <v>1546.2176999999999</v>
          </cell>
        </row>
        <row r="2883">
          <cell r="B2883" t="str">
            <v>INF846K01R12</v>
          </cell>
          <cell r="C2883" t="str">
            <v>INF846K01R04</v>
          </cell>
          <cell r="D2883" t="str">
            <v>Axis Money Market Fund - Direct Plan - Monthly IDCW</v>
          </cell>
          <cell r="E2883">
            <v>1013.2295</v>
          </cell>
        </row>
        <row r="2884">
          <cell r="B2884" t="str">
            <v>INF846K01R38</v>
          </cell>
          <cell r="C2884" t="str">
            <v>INF846K01R20</v>
          </cell>
          <cell r="D2884" t="str">
            <v>Axis Money Market Fund - Direct Plan - Quarterly IDCW</v>
          </cell>
          <cell r="E2884">
            <v>1198.623</v>
          </cell>
        </row>
        <row r="2885">
          <cell r="B2885" t="str">
            <v>INF846K01R79</v>
          </cell>
          <cell r="C2885" t="str">
            <v>INF846K01R61</v>
          </cell>
          <cell r="D2885" t="str">
            <v>Axis Money Market Fund - Regular Plan - Annual IDCW</v>
          </cell>
          <cell r="E2885">
            <v>1293.8377</v>
          </cell>
        </row>
        <row r="2886">
          <cell r="B2886" t="str">
            <v>-</v>
          </cell>
          <cell r="C2886" t="str">
            <v>INF846K01R53</v>
          </cell>
          <cell r="D2886" t="str">
            <v>Axis Money Market Fund - Regular Plan - Daily IDCW</v>
          </cell>
          <cell r="E2886">
            <v>1005.6127</v>
          </cell>
        </row>
        <row r="2887">
          <cell r="B2887" t="str">
            <v>INF846K01R46</v>
          </cell>
          <cell r="C2887" t="str">
            <v>-</v>
          </cell>
          <cell r="D2887" t="str">
            <v>Axis Money Market Fund - Regular Plan - Growth Option</v>
          </cell>
          <cell r="E2887">
            <v>1529.4753000000001</v>
          </cell>
        </row>
        <row r="2888">
          <cell r="B2888" t="str">
            <v>INF846K01R95</v>
          </cell>
          <cell r="C2888" t="str">
            <v>INF846K01R87</v>
          </cell>
          <cell r="D2888" t="str">
            <v>Axis Money Market Fund - Regular Plan - Monthly IDCW</v>
          </cell>
          <cell r="E2888">
            <v>1010.2320999999999</v>
          </cell>
        </row>
        <row r="2889">
          <cell r="B2889" t="str">
            <v>INF846K01S11</v>
          </cell>
          <cell r="C2889" t="str">
            <v>INF846K01S03</v>
          </cell>
          <cell r="D2889" t="str">
            <v>Axis Money Market Fund - Regular Plan - Quarterly IDCW</v>
          </cell>
          <cell r="E2889">
            <v>1182.8140000000001</v>
          </cell>
        </row>
        <row r="2890">
          <cell r="B2890" t="str">
            <v/>
          </cell>
          <cell r="C2890" t="str">
            <v/>
          </cell>
          <cell r="D2890" t="str">
            <v/>
          </cell>
        </row>
        <row r="2891">
          <cell r="B2891" t="str">
            <v/>
          </cell>
          <cell r="C2891" t="str">
            <v/>
          </cell>
          <cell r="D2891" t="str">
            <v/>
          </cell>
        </row>
        <row r="2892">
          <cell r="B2892" t="str">
            <v/>
          </cell>
          <cell r="C2892" t="str">
            <v/>
          </cell>
          <cell r="D2892" t="str">
            <v/>
          </cell>
        </row>
        <row r="2893">
          <cell r="B2893" t="str">
            <v>INF0QA701334</v>
          </cell>
          <cell r="C2893" t="str">
            <v>-</v>
          </cell>
          <cell r="D2893" t="str">
            <v>Bajaj Finserv Money Market Fund-Direct Plan-Growth</v>
          </cell>
          <cell r="E2893">
            <v>1242.3620000000001</v>
          </cell>
        </row>
        <row r="2894">
          <cell r="B2894" t="str">
            <v>INF0QA701391</v>
          </cell>
          <cell r="C2894" t="str">
            <v>INF0QA701375</v>
          </cell>
          <cell r="D2894" t="str">
            <v>Bajaj Finserv Money Market Fund-Direct Plan-IDCW</v>
          </cell>
          <cell r="E2894">
            <v>1242.3620000000001</v>
          </cell>
        </row>
        <row r="2895">
          <cell r="B2895" t="str">
            <v>INF0QA701433</v>
          </cell>
          <cell r="C2895" t="str">
            <v>INF0QA701425</v>
          </cell>
          <cell r="D2895" t="str">
            <v>Bajaj Finserv Money Market Fund-Direct Plan-Monthly-IDCW</v>
          </cell>
          <cell r="E2895">
            <v>1036.8976</v>
          </cell>
        </row>
        <row r="2896">
          <cell r="B2896" t="str">
            <v>INF0QA701441</v>
          </cell>
          <cell r="C2896" t="str">
            <v>-</v>
          </cell>
          <cell r="D2896" t="str">
            <v>Bajaj Finserv Money Market Fund-Regular Plan-Growth</v>
          </cell>
          <cell r="E2896">
            <v>1220.2008000000001</v>
          </cell>
        </row>
        <row r="2897">
          <cell r="B2897" t="str">
            <v>INF0QA701466</v>
          </cell>
          <cell r="C2897" t="str">
            <v>INF0QA701458</v>
          </cell>
          <cell r="D2897" t="str">
            <v>Bajaj Finserv Money Market Fund-Regular Plan-IDCW</v>
          </cell>
          <cell r="E2897">
            <v>1220.2008000000001</v>
          </cell>
        </row>
        <row r="2898">
          <cell r="B2898" t="str">
            <v>INF0QA701482</v>
          </cell>
          <cell r="C2898" t="str">
            <v>INF0QA701474</v>
          </cell>
          <cell r="D2898" t="str">
            <v>Bajaj Finserv Money Market Fund-Regular Plan-Monthly-IDCW</v>
          </cell>
          <cell r="E2898">
            <v>1044.9774</v>
          </cell>
        </row>
        <row r="2899">
          <cell r="B2899" t="str">
            <v/>
          </cell>
          <cell r="C2899" t="str">
            <v/>
          </cell>
          <cell r="D2899" t="str">
            <v/>
          </cell>
        </row>
        <row r="2900">
          <cell r="B2900" t="str">
            <v/>
          </cell>
          <cell r="C2900" t="str">
            <v/>
          </cell>
          <cell r="D2900" t="str">
            <v/>
          </cell>
        </row>
        <row r="2901">
          <cell r="B2901" t="str">
            <v/>
          </cell>
          <cell r="C2901" t="str">
            <v/>
          </cell>
          <cell r="D2901" t="str">
            <v/>
          </cell>
        </row>
        <row r="2902">
          <cell r="B2902" t="str">
            <v>INF194KA1TG5</v>
          </cell>
          <cell r="C2902" t="str">
            <v>INF194KA1TH3</v>
          </cell>
          <cell r="D2902" t="str">
            <v>Bandhan Money Market Fund - Regular Plan - Periodic IDCW</v>
          </cell>
          <cell r="E2902">
            <v>14.120900000000001</v>
          </cell>
        </row>
        <row r="2903">
          <cell r="B2903" t="str">
            <v>INF194K01LR2</v>
          </cell>
          <cell r="C2903" t="str">
            <v>INF194K01LQ4</v>
          </cell>
          <cell r="D2903" t="str">
            <v>Bandhan Money Market Fund - Regular Plan - Weekly IDCW</v>
          </cell>
          <cell r="E2903">
            <v>10.1273</v>
          </cell>
        </row>
        <row r="2904">
          <cell r="B2904" t="str">
            <v>-</v>
          </cell>
          <cell r="C2904" t="str">
            <v>INF194K01M98</v>
          </cell>
          <cell r="D2904" t="str">
            <v>Bandhan Money Market Fund -Direct Plan-Daily IDCW</v>
          </cell>
          <cell r="E2904">
            <v>10.099399999999999</v>
          </cell>
        </row>
        <row r="2905">
          <cell r="B2905" t="str">
            <v>INF194K01M80</v>
          </cell>
          <cell r="C2905" t="str">
            <v>-</v>
          </cell>
          <cell r="D2905" t="str">
            <v>Bandhan Money Market Fund -Direct Plan-Growth</v>
          </cell>
          <cell r="E2905">
            <v>46.744999999999997</v>
          </cell>
        </row>
        <row r="2906">
          <cell r="B2906" t="str">
            <v>INF194K01N22</v>
          </cell>
          <cell r="C2906" t="str">
            <v>INF194K01N14</v>
          </cell>
          <cell r="D2906" t="str">
            <v>Bandhan Money Market Fund -Direct Plan-Monthly IDCW</v>
          </cell>
          <cell r="E2906">
            <v>10.221299999999999</v>
          </cell>
        </row>
        <row r="2907">
          <cell r="B2907" t="str">
            <v>INF194KA1TJ9</v>
          </cell>
          <cell r="C2907" t="str">
            <v>INF194KA1TK7</v>
          </cell>
          <cell r="D2907" t="str">
            <v>Bandhan Money Market Fund -Direct Plan-Periodic IDCW</v>
          </cell>
          <cell r="E2907">
            <v>17.145099999999999</v>
          </cell>
        </row>
        <row r="2908">
          <cell r="B2908" t="str">
            <v>-</v>
          </cell>
          <cell r="C2908" t="str">
            <v>INF194K01N48</v>
          </cell>
          <cell r="D2908" t="str">
            <v>Bandhan Money Market Fund -Direct Plan-Weekly IDCW</v>
          </cell>
          <cell r="E2908">
            <v>10.1051</v>
          </cell>
        </row>
        <row r="2909">
          <cell r="B2909" t="str">
            <v>INF194K01LL5</v>
          </cell>
          <cell r="C2909" t="str">
            <v>INF194K01LK7</v>
          </cell>
          <cell r="D2909" t="str">
            <v>BANDHAN Money Market Fund - Regular Plan - Daily IDCW</v>
          </cell>
          <cell r="E2909">
            <v>10.099399999999999</v>
          </cell>
        </row>
        <row r="2910">
          <cell r="B2910" t="str">
            <v>INF194K01LJ9</v>
          </cell>
          <cell r="C2910" t="str">
            <v>-</v>
          </cell>
          <cell r="D2910" t="str">
            <v>BANDHAN Money Market Fund - Regular Plan - Growth</v>
          </cell>
          <cell r="E2910">
            <v>43.0535</v>
          </cell>
        </row>
        <row r="2911">
          <cell r="B2911" t="str">
            <v>INF194K01LO9</v>
          </cell>
          <cell r="C2911" t="str">
            <v>INF194K01LN1</v>
          </cell>
          <cell r="D2911" t="str">
            <v>BANDHAN Money Market Fund - Regular Plan - Monthly IDCW</v>
          </cell>
          <cell r="E2911">
            <v>10.2841</v>
          </cell>
        </row>
        <row r="2912">
          <cell r="B2912" t="str">
            <v/>
          </cell>
          <cell r="C2912" t="str">
            <v/>
          </cell>
          <cell r="D2912" t="str">
            <v/>
          </cell>
        </row>
        <row r="2913">
          <cell r="B2913" t="str">
            <v/>
          </cell>
          <cell r="C2913" t="str">
            <v/>
          </cell>
          <cell r="D2913" t="str">
            <v/>
          </cell>
        </row>
        <row r="2914">
          <cell r="B2914" t="str">
            <v/>
          </cell>
          <cell r="C2914" t="str">
            <v/>
          </cell>
          <cell r="D2914" t="str">
            <v/>
          </cell>
        </row>
        <row r="2915">
          <cell r="B2915" t="str">
            <v>-</v>
          </cell>
          <cell r="C2915" t="str">
            <v>INF761K01GP2</v>
          </cell>
          <cell r="D2915" t="str">
            <v>Bank of India Money Market Fund - Direct - Daily IDCW</v>
          </cell>
          <cell r="E2915">
            <v>10.049899999999999</v>
          </cell>
        </row>
        <row r="2916">
          <cell r="B2916" t="str">
            <v>INF761K01GO5</v>
          </cell>
          <cell r="C2916" t="str">
            <v>-</v>
          </cell>
          <cell r="D2916" t="str">
            <v>Bank of India Money Market Fund - Direct - Growth</v>
          </cell>
          <cell r="E2916">
            <v>11.0707</v>
          </cell>
        </row>
        <row r="2917">
          <cell r="B2917" t="str">
            <v>INF761K01GR8</v>
          </cell>
          <cell r="C2917" t="str">
            <v>INF761K01GX6</v>
          </cell>
          <cell r="D2917" t="str">
            <v>Bank of India Money Market Fund - Direct - Monthly IDCW</v>
          </cell>
          <cell r="E2917">
            <v>10.0832</v>
          </cell>
        </row>
        <row r="2918">
          <cell r="B2918" t="str">
            <v>-</v>
          </cell>
          <cell r="C2918" t="str">
            <v>INF761K01GT4</v>
          </cell>
          <cell r="D2918" t="str">
            <v>Bank of India Money Market Fund - Regular - Daily IDCW</v>
          </cell>
          <cell r="E2918">
            <v>10.049799999999999</v>
          </cell>
        </row>
        <row r="2919">
          <cell r="B2919" t="str">
            <v>INF761K01GS6</v>
          </cell>
          <cell r="C2919" t="str">
            <v>-</v>
          </cell>
          <cell r="D2919" t="str">
            <v>Bank of India Money Market Fund - Regular - Growth</v>
          </cell>
          <cell r="E2919">
            <v>10.992800000000001</v>
          </cell>
        </row>
        <row r="2920">
          <cell r="B2920" t="str">
            <v>INF761K01GW8</v>
          </cell>
          <cell r="C2920" t="str">
            <v>INF761K01GV0</v>
          </cell>
          <cell r="D2920" t="str">
            <v>Bank of India Money Market Fund - Regular - Monthly IDCW</v>
          </cell>
          <cell r="E2920">
            <v>10.0815</v>
          </cell>
        </row>
        <row r="2921">
          <cell r="B2921" t="str">
            <v>-</v>
          </cell>
          <cell r="C2921" t="str">
            <v>INF761K01GU2</v>
          </cell>
          <cell r="D2921" t="str">
            <v>Bank of India Money Market Fund - Regular - Weekly IDCW</v>
          </cell>
          <cell r="E2921">
            <v>10.055199999999999</v>
          </cell>
        </row>
        <row r="2922">
          <cell r="B2922" t="str">
            <v/>
          </cell>
          <cell r="C2922" t="str">
            <v/>
          </cell>
          <cell r="D2922" t="str">
            <v/>
          </cell>
        </row>
        <row r="2923">
          <cell r="B2923" t="str">
            <v/>
          </cell>
          <cell r="C2923" t="str">
            <v/>
          </cell>
          <cell r="D2923" t="str">
            <v/>
          </cell>
        </row>
        <row r="2924">
          <cell r="B2924" t="str">
            <v/>
          </cell>
          <cell r="C2924" t="str">
            <v/>
          </cell>
          <cell r="D2924" t="str">
            <v/>
          </cell>
        </row>
        <row r="2925">
          <cell r="B2925" t="str">
            <v>INF955L01IG3</v>
          </cell>
          <cell r="C2925" t="str">
            <v>-</v>
          </cell>
          <cell r="D2925" t="str">
            <v>Baroda BNP Paribas Money Market Fund - Direct Plan - Monthly IDCW</v>
          </cell>
          <cell r="E2925">
            <v>1036.5682999999999</v>
          </cell>
        </row>
        <row r="2926">
          <cell r="B2926" t="str">
            <v>-</v>
          </cell>
          <cell r="C2926" t="str">
            <v>INF955L01IE8</v>
          </cell>
          <cell r="D2926" t="str">
            <v>Baroda BNP Paribas Money Market Fund - Direct Plan-Daily IDCW</v>
          </cell>
          <cell r="E2926">
            <v>1000</v>
          </cell>
        </row>
        <row r="2927">
          <cell r="B2927" t="str">
            <v>INF955L01IB4</v>
          </cell>
          <cell r="C2927" t="str">
            <v>-</v>
          </cell>
          <cell r="D2927" t="str">
            <v>Baroda BNP Paribas Money Market Fund - Regular Plan - Monthly IDCW</v>
          </cell>
          <cell r="E2927">
            <v>1016.6411000000001</v>
          </cell>
        </row>
        <row r="2928">
          <cell r="B2928" t="str">
            <v>INF251K01VT5</v>
          </cell>
          <cell r="C2928" t="str">
            <v>INF955L01IF5</v>
          </cell>
          <cell r="D2928" t="str">
            <v>Baroda BNP Paribas Money Market Fund -Direct Plan - Weekly IDCW</v>
          </cell>
          <cell r="E2928">
            <v>1000.042</v>
          </cell>
        </row>
        <row r="2929">
          <cell r="B2929" t="str">
            <v>INF955L01ID0</v>
          </cell>
          <cell r="C2929" t="str">
            <v>-</v>
          </cell>
          <cell r="D2929" t="str">
            <v>Baroda BNP Paribas Money Market Fund- Direct Plan - Growth</v>
          </cell>
          <cell r="E2929">
            <v>1496.5383999999999</v>
          </cell>
        </row>
        <row r="2930">
          <cell r="B2930" t="str">
            <v>INF955L01HY8</v>
          </cell>
          <cell r="C2930" t="str">
            <v>-</v>
          </cell>
          <cell r="D2930" t="str">
            <v>Baroda BNP Paribas Money Market Fund-Regular Plan - Growth</v>
          </cell>
          <cell r="E2930">
            <v>1471.7102</v>
          </cell>
        </row>
        <row r="2931">
          <cell r="B2931" t="str">
            <v>-</v>
          </cell>
          <cell r="C2931" t="str">
            <v>INF955L01HZ5</v>
          </cell>
          <cell r="D2931" t="str">
            <v>Baroda BNP Paribas Money Market Fund-Regular Plan- Daily IDCW</v>
          </cell>
          <cell r="E2931">
            <v>1005.9752</v>
          </cell>
        </row>
        <row r="2932">
          <cell r="B2932" t="str">
            <v>INF251K01VS7</v>
          </cell>
          <cell r="C2932" t="str">
            <v>INF955L01IA6</v>
          </cell>
          <cell r="D2932" t="str">
            <v>Baroda BNP Paribas Money Market Fund-Regular Plan-Weekly IDCW</v>
          </cell>
          <cell r="E2932">
            <v>1000.1921</v>
          </cell>
        </row>
        <row r="2933">
          <cell r="B2933" t="str">
            <v/>
          </cell>
          <cell r="C2933" t="str">
            <v/>
          </cell>
          <cell r="D2933" t="str">
            <v/>
          </cell>
        </row>
        <row r="2934">
          <cell r="B2934" t="str">
            <v/>
          </cell>
          <cell r="C2934" t="str">
            <v/>
          </cell>
          <cell r="D2934" t="str">
            <v/>
          </cell>
        </row>
        <row r="2935">
          <cell r="B2935" t="str">
            <v/>
          </cell>
          <cell r="C2935" t="str">
            <v/>
          </cell>
          <cell r="D2935" t="str">
            <v/>
          </cell>
        </row>
        <row r="2936">
          <cell r="B2936" t="str">
            <v>-</v>
          </cell>
          <cell r="C2936" t="str">
            <v>INF740KA1PB3</v>
          </cell>
          <cell r="D2936" t="str">
            <v>DSP Savings Fund - Direct Plan -  IDCW - Daily</v>
          </cell>
          <cell r="E2936">
            <v>10.152699999999999</v>
          </cell>
        </row>
        <row r="2937">
          <cell r="B2937" t="str">
            <v>INF740K01NU2</v>
          </cell>
          <cell r="C2937" t="str">
            <v>-</v>
          </cell>
          <cell r="D2937" t="str">
            <v>DSP Savings Fund - Direct Plan - Growth</v>
          </cell>
          <cell r="E2937">
            <v>58.034300000000002</v>
          </cell>
        </row>
        <row r="2938">
          <cell r="B2938" t="str">
            <v>INF740K01NV0</v>
          </cell>
          <cell r="C2938" t="str">
            <v>INF740K01NX6</v>
          </cell>
          <cell r="D2938" t="str">
            <v>DSP Savings Fund - Direct Plan - IDCW</v>
          </cell>
          <cell r="E2938">
            <v>12.5467</v>
          </cell>
        </row>
        <row r="2939">
          <cell r="B2939" t="str">
            <v>INF740K01NT4</v>
          </cell>
          <cell r="C2939" t="str">
            <v>INF740K01NW8</v>
          </cell>
          <cell r="D2939" t="str">
            <v>DSP Savings Fund - Direct Plan - IDCW - Monthly</v>
          </cell>
          <cell r="E2939">
            <v>11.077</v>
          </cell>
        </row>
        <row r="2940">
          <cell r="B2940" t="str">
            <v>INF740KA1ZD8</v>
          </cell>
          <cell r="C2940" t="str">
            <v>INF740KA1ZE6</v>
          </cell>
          <cell r="D2940" t="str">
            <v>DSP Savings Fund - Direct Plan - IDCW Weekly</v>
          </cell>
          <cell r="E2940">
            <v>10.0252</v>
          </cell>
        </row>
        <row r="2941">
          <cell r="B2941" t="str">
            <v>INF740K01714</v>
          </cell>
          <cell r="C2941" t="str">
            <v>-</v>
          </cell>
          <cell r="D2941" t="str">
            <v>DSP Savings Fund - Regular Plan - Growth</v>
          </cell>
          <cell r="E2941">
            <v>56.175800000000002</v>
          </cell>
        </row>
        <row r="2942">
          <cell r="B2942" t="str">
            <v>INF740K01706</v>
          </cell>
          <cell r="C2942" t="str">
            <v>INF740K01AJ2</v>
          </cell>
          <cell r="D2942" t="str">
            <v>DSP Savings Fund - Regular Plan - IDCW</v>
          </cell>
          <cell r="E2942">
            <v>12.5038</v>
          </cell>
        </row>
        <row r="2943">
          <cell r="B2943" t="str">
            <v>-</v>
          </cell>
          <cell r="C2943" t="str">
            <v>INF740KA1PC1</v>
          </cell>
          <cell r="D2943" t="str">
            <v>DSP Savings Fund - Regular Plan - IDCW - Daily</v>
          </cell>
          <cell r="E2943">
            <v>10.1021</v>
          </cell>
        </row>
        <row r="2944">
          <cell r="B2944" t="str">
            <v>INF740K01722</v>
          </cell>
          <cell r="C2944" t="str">
            <v>INF740K01AK0</v>
          </cell>
          <cell r="D2944" t="str">
            <v>DSP Savings Fund - Regular Plan - IDCW - Monthly</v>
          </cell>
          <cell r="E2944">
            <v>11.041</v>
          </cell>
        </row>
        <row r="2945">
          <cell r="B2945" t="str">
            <v/>
          </cell>
          <cell r="C2945" t="str">
            <v/>
          </cell>
          <cell r="D2945" t="str">
            <v/>
          </cell>
        </row>
        <row r="2946">
          <cell r="B2946" t="str">
            <v/>
          </cell>
          <cell r="C2946" t="str">
            <v/>
          </cell>
          <cell r="D2946" t="str">
            <v/>
          </cell>
        </row>
        <row r="2947">
          <cell r="B2947" t="str">
            <v/>
          </cell>
          <cell r="C2947" t="str">
            <v/>
          </cell>
          <cell r="D2947" t="str">
            <v/>
          </cell>
        </row>
        <row r="2948">
          <cell r="B2948" t="str">
            <v>INF843K01CI2</v>
          </cell>
          <cell r="C2948" t="str">
            <v>INF843K01CH4</v>
          </cell>
          <cell r="D2948" t="str">
            <v>Edelweiss Money Market Fund - Direct Plan - Annual - IDCW Option</v>
          </cell>
          <cell r="E2948">
            <v>33.5259</v>
          </cell>
        </row>
        <row r="2949">
          <cell r="B2949" t="str">
            <v>INF843K01CE1</v>
          </cell>
          <cell r="C2949" t="str">
            <v>-</v>
          </cell>
          <cell r="D2949" t="str">
            <v>Edelweiss Money Market Fund - Direct Plan - Growth Option</v>
          </cell>
          <cell r="E2949">
            <v>33.533499999999997</v>
          </cell>
        </row>
        <row r="2950">
          <cell r="B2950" t="str">
            <v>INF843K01CF8</v>
          </cell>
          <cell r="C2950" t="str">
            <v>INF843K01CG6</v>
          </cell>
          <cell r="D2950" t="str">
            <v>Edelweiss Money Market Fund - Direct Plan - IDCW Option</v>
          </cell>
          <cell r="E2950">
            <v>31.274100000000001</v>
          </cell>
        </row>
        <row r="2951">
          <cell r="B2951" t="str">
            <v>INF843K01377</v>
          </cell>
          <cell r="C2951" t="str">
            <v>-</v>
          </cell>
          <cell r="D2951" t="str">
            <v>Edelweiss Money Market Fund - Institutional Plan - Growth Option</v>
          </cell>
          <cell r="E2951">
            <v>25.8613</v>
          </cell>
        </row>
        <row r="2952">
          <cell r="B2952" t="str">
            <v>INF843K01922</v>
          </cell>
          <cell r="C2952" t="str">
            <v>INF843K01914</v>
          </cell>
          <cell r="D2952" t="str">
            <v>Edelweiss Money Market Fund - Regular Plan - Annual - IDCW Option</v>
          </cell>
          <cell r="E2952">
            <v>29.972200000000001</v>
          </cell>
        </row>
        <row r="2953">
          <cell r="B2953" t="str">
            <v>INF843K01344</v>
          </cell>
          <cell r="C2953" t="str">
            <v>-</v>
          </cell>
          <cell r="D2953" t="str">
            <v>Edelweiss Money Market Fund - Regular Plan - Growth Option</v>
          </cell>
          <cell r="E2953">
            <v>30.2211</v>
          </cell>
        </row>
        <row r="2954">
          <cell r="B2954" t="str">
            <v>INF843K01351</v>
          </cell>
          <cell r="C2954" t="str">
            <v>INF843K01369</v>
          </cell>
          <cell r="D2954" t="str">
            <v>Edelweiss Money Market Fund - Regular Plan - IDCW Option</v>
          </cell>
          <cell r="E2954">
            <v>28.4298</v>
          </cell>
        </row>
        <row r="2955">
          <cell r="B2955" t="str">
            <v/>
          </cell>
          <cell r="C2955" t="str">
            <v/>
          </cell>
          <cell r="D2955" t="str">
            <v/>
          </cell>
        </row>
        <row r="2956">
          <cell r="B2956" t="str">
            <v/>
          </cell>
          <cell r="C2956" t="str">
            <v/>
          </cell>
          <cell r="D2956" t="str">
            <v/>
          </cell>
        </row>
        <row r="2957">
          <cell r="B2957" t="str">
            <v/>
          </cell>
          <cell r="C2957" t="str">
            <v/>
          </cell>
          <cell r="D2957" t="str">
            <v/>
          </cell>
        </row>
        <row r="2958">
          <cell r="B2958" t="str">
            <v>INF090I01GV8</v>
          </cell>
          <cell r="C2958" t="str">
            <v>-</v>
          </cell>
          <cell r="D2958" t="str">
            <v>Franklin India Money Market Fund - Direct - Growth</v>
          </cell>
          <cell r="E2958">
            <v>55.468200000000003</v>
          </cell>
        </row>
        <row r="2959">
          <cell r="B2959" t="str">
            <v>INF090I01WV5</v>
          </cell>
          <cell r="C2959" t="str">
            <v>INF090I01WW3</v>
          </cell>
          <cell r="D2959" t="str">
            <v>Franklin India Money Market Fund - DP - Wkly IDCW R</v>
          </cell>
          <cell r="E2959">
            <v>10.096399999999999</v>
          </cell>
        </row>
        <row r="2960">
          <cell r="B2960" t="str">
            <v>INF090I01CA1</v>
          </cell>
          <cell r="C2960" t="str">
            <v>-</v>
          </cell>
          <cell r="D2960" t="str">
            <v>Franklin India Money Market Fund - Growth Option</v>
          </cell>
          <cell r="E2960">
            <v>53.597700000000003</v>
          </cell>
        </row>
        <row r="2961">
          <cell r="B2961" t="str">
            <v>INF090I01BW7</v>
          </cell>
          <cell r="C2961" t="str">
            <v>INF090I01BV9</v>
          </cell>
          <cell r="D2961" t="str">
            <v>Franklin India Money Market Fund - Institutional Option - Dividend</v>
          </cell>
          <cell r="E2961">
            <v>0</v>
          </cell>
        </row>
        <row r="2962">
          <cell r="B2962" t="str">
            <v>INF090I01BX5</v>
          </cell>
          <cell r="C2962" t="str">
            <v>-</v>
          </cell>
          <cell r="D2962" t="str">
            <v>Franklin India Money Market Fund - Institutional Option - Growth</v>
          </cell>
          <cell r="E2962">
            <v>0</v>
          </cell>
        </row>
        <row r="2963">
          <cell r="B2963" t="str">
            <v>-</v>
          </cell>
          <cell r="C2963" t="str">
            <v>INF090I01KM9</v>
          </cell>
          <cell r="D2963" t="str">
            <v>Franklin India Money Market Fund Retail Option - Daily - IDCW</v>
          </cell>
          <cell r="E2963">
            <v>10.0496</v>
          </cell>
        </row>
        <row r="2964">
          <cell r="B2964" t="str">
            <v>-</v>
          </cell>
          <cell r="C2964" t="str">
            <v>INF090I01KN7</v>
          </cell>
          <cell r="D2964" t="str">
            <v>Franklin India Money Market Fund Retail Option - Direct - Daily - IDCW</v>
          </cell>
          <cell r="E2964">
            <v>10.053699999999999</v>
          </cell>
        </row>
        <row r="2965">
          <cell r="B2965" t="str">
            <v>INF090I01LC8</v>
          </cell>
          <cell r="C2965" t="str">
            <v>INF090I01LD6</v>
          </cell>
          <cell r="D2965" t="str">
            <v>Franklin India Money Market Fund Retail Option - Direct - Monthly - IDCW</v>
          </cell>
          <cell r="E2965">
            <v>10.908200000000001</v>
          </cell>
        </row>
        <row r="2966">
          <cell r="B2966" t="str">
            <v>INF090I01GT2</v>
          </cell>
          <cell r="C2966" t="str">
            <v>INF090I01GU0</v>
          </cell>
          <cell r="D2966" t="str">
            <v>Franklin India Money Market Fund Retail Option - Direct - Quarterly - IDCW</v>
          </cell>
          <cell r="E2966">
            <v>11.688599999999999</v>
          </cell>
        </row>
        <row r="2967">
          <cell r="B2967" t="str">
            <v>INF090I01LA2</v>
          </cell>
          <cell r="C2967" t="str">
            <v>INF090I01LB0</v>
          </cell>
          <cell r="D2967" t="str">
            <v>Franklin India Money Market Fund Retail Option - Monthly - IDCW</v>
          </cell>
          <cell r="E2967">
            <v>10.510899999999999</v>
          </cell>
        </row>
        <row r="2968">
          <cell r="B2968" t="str">
            <v>INF090I01BZ0</v>
          </cell>
          <cell r="C2968" t="str">
            <v>INF090I01BY3</v>
          </cell>
          <cell r="D2968" t="str">
            <v>Franklin India Money Market Fund Retail Option - Quarterly - IDCW</v>
          </cell>
          <cell r="E2968">
            <v>11.157400000000001</v>
          </cell>
        </row>
        <row r="2969">
          <cell r="B2969" t="str">
            <v>INF090I01WT9</v>
          </cell>
          <cell r="C2969" t="str">
            <v>INF090I01WU7</v>
          </cell>
          <cell r="D2969" t="str">
            <v>Franklin India Money Market Fund Wkly IDCW R</v>
          </cell>
          <cell r="E2969">
            <v>10.0852</v>
          </cell>
        </row>
        <row r="2970">
          <cell r="B2970" t="str">
            <v/>
          </cell>
          <cell r="C2970" t="str">
            <v/>
          </cell>
          <cell r="D2970" t="str">
            <v/>
          </cell>
        </row>
        <row r="2971">
          <cell r="B2971" t="str">
            <v/>
          </cell>
          <cell r="C2971" t="str">
            <v/>
          </cell>
          <cell r="D2971" t="str">
            <v/>
          </cell>
        </row>
        <row r="2972">
          <cell r="B2972" t="str">
            <v/>
          </cell>
          <cell r="C2972" t="str">
            <v/>
          </cell>
          <cell r="D2972" t="str">
            <v/>
          </cell>
        </row>
        <row r="2973">
          <cell r="B2973" t="str">
            <v>INF666M01MW3</v>
          </cell>
          <cell r="C2973" t="str">
            <v>-</v>
          </cell>
          <cell r="D2973" t="str">
            <v>Groww Money Market Fund Direct Growth</v>
          </cell>
          <cell r="E2973">
            <v>10.3848</v>
          </cell>
        </row>
        <row r="2974">
          <cell r="B2974" t="str">
            <v>INF666M01MX1</v>
          </cell>
          <cell r="C2974" t="str">
            <v>INF666M01MY9</v>
          </cell>
          <cell r="D2974" t="str">
            <v>Groww Money Market Fund Direct IDCW</v>
          </cell>
          <cell r="E2974">
            <v>10.3847</v>
          </cell>
        </row>
        <row r="2975">
          <cell r="B2975" t="str">
            <v>INF666M01MZ6</v>
          </cell>
          <cell r="C2975" t="str">
            <v>-</v>
          </cell>
          <cell r="D2975" t="str">
            <v>Groww Money Market Fund Regular Growth</v>
          </cell>
          <cell r="E2975">
            <v>10.3444</v>
          </cell>
        </row>
        <row r="2976">
          <cell r="B2976" t="str">
            <v>INF666M01NA7</v>
          </cell>
          <cell r="C2976" t="str">
            <v>INF666M01NB5</v>
          </cell>
          <cell r="D2976" t="str">
            <v>Groww Money Market Fund Regular IDCW</v>
          </cell>
          <cell r="E2976">
            <v>10.3446</v>
          </cell>
        </row>
        <row r="2977">
          <cell r="B2977" t="str">
            <v/>
          </cell>
          <cell r="C2977" t="str">
            <v/>
          </cell>
          <cell r="D2977" t="str">
            <v/>
          </cell>
        </row>
        <row r="2978">
          <cell r="B2978" t="str">
            <v/>
          </cell>
          <cell r="C2978" t="str">
            <v/>
          </cell>
          <cell r="D2978" t="str">
            <v/>
          </cell>
        </row>
        <row r="2979">
          <cell r="B2979" t="str">
            <v/>
          </cell>
          <cell r="C2979" t="str">
            <v/>
          </cell>
          <cell r="D2979" t="str">
            <v/>
          </cell>
        </row>
        <row r="2980">
          <cell r="B2980" t="str">
            <v>-</v>
          </cell>
          <cell r="C2980" t="str">
            <v>INF179KB1IG6</v>
          </cell>
          <cell r="D2980" t="str">
            <v>HDFC Money Market Fund - Daily IDCW Option</v>
          </cell>
          <cell r="E2980">
            <v>1063.6229000000001</v>
          </cell>
        </row>
        <row r="2981">
          <cell r="B2981" t="str">
            <v>-</v>
          </cell>
          <cell r="C2981" t="str">
            <v>INF179KB1HZ8</v>
          </cell>
          <cell r="D2981" t="str">
            <v>HDFC Money Market Fund - Daily IDCW Option - Direct Plan</v>
          </cell>
          <cell r="E2981">
            <v>1063.6279999999999</v>
          </cell>
        </row>
        <row r="2982">
          <cell r="B2982" t="str">
            <v>INF179KB1HR5</v>
          </cell>
          <cell r="C2982" t="str">
            <v>-</v>
          </cell>
          <cell r="D2982" t="str">
            <v>HDFC Money Market Fund - Growth Option</v>
          </cell>
          <cell r="E2982">
            <v>6105.4441999999999</v>
          </cell>
        </row>
        <row r="2983">
          <cell r="B2983" t="str">
            <v>INF179KB1HU9</v>
          </cell>
          <cell r="C2983" t="str">
            <v>-</v>
          </cell>
          <cell r="D2983" t="str">
            <v>HDFC Money Market Fund - Growth Option - Direct Plan</v>
          </cell>
          <cell r="E2983">
            <v>6238.7028</v>
          </cell>
        </row>
        <row r="2984">
          <cell r="B2984" t="str">
            <v>INF179KB1IH4</v>
          </cell>
          <cell r="C2984" t="str">
            <v>INF179KB1II2</v>
          </cell>
          <cell r="D2984" t="str">
            <v>HDFC Money Market Fund - Weekly IDCW Option</v>
          </cell>
          <cell r="E2984">
            <v>1063.0425</v>
          </cell>
        </row>
        <row r="2985">
          <cell r="B2985" t="str">
            <v>INF179KB1IA9</v>
          </cell>
          <cell r="C2985" t="str">
            <v>INF179KB1IB7</v>
          </cell>
          <cell r="D2985" t="str">
            <v>HDFC Money Market Fund - Weekly IDCW Option -Direct Plan</v>
          </cell>
          <cell r="E2985">
            <v>1063.0535</v>
          </cell>
        </row>
        <row r="2986">
          <cell r="B2986" t="str">
            <v/>
          </cell>
          <cell r="C2986" t="str">
            <v/>
          </cell>
          <cell r="D2986" t="str">
            <v/>
          </cell>
        </row>
        <row r="2987">
          <cell r="B2987" t="str">
            <v/>
          </cell>
          <cell r="C2987" t="str">
            <v/>
          </cell>
          <cell r="D2987" t="str">
            <v/>
          </cell>
        </row>
        <row r="2988">
          <cell r="B2988" t="str">
            <v/>
          </cell>
          <cell r="C2988" t="str">
            <v/>
          </cell>
          <cell r="D2988" t="str">
            <v/>
          </cell>
        </row>
        <row r="2989">
          <cell r="B2989" t="str">
            <v>-</v>
          </cell>
          <cell r="C2989" t="str">
            <v>INF917K01FD8</v>
          </cell>
          <cell r="D2989" t="str">
            <v>HSBC Money Market Fund - Direct Daily IDCW</v>
          </cell>
          <cell r="E2989">
            <v>10.8591</v>
          </cell>
        </row>
        <row r="2990">
          <cell r="B2990" t="str">
            <v>INF917K01FE6</v>
          </cell>
          <cell r="C2990" t="str">
            <v>-</v>
          </cell>
          <cell r="D2990" t="str">
            <v>HSBC Money Market Fund - Direct Growth</v>
          </cell>
          <cell r="E2990">
            <v>29.601900000000001</v>
          </cell>
        </row>
        <row r="2991">
          <cell r="B2991" t="str">
            <v>INF917K01E86</v>
          </cell>
          <cell r="C2991" t="str">
            <v>INF917K01FF3</v>
          </cell>
          <cell r="D2991" t="str">
            <v>HSBC Money Market Fund - Direct Monthly IDCW</v>
          </cell>
          <cell r="E2991">
            <v>12.2461</v>
          </cell>
        </row>
        <row r="2992">
          <cell r="B2992" t="str">
            <v>-</v>
          </cell>
          <cell r="C2992" t="str">
            <v>INF917K01FH9</v>
          </cell>
          <cell r="D2992" t="str">
            <v>HSBC Money Market Fund - Direct Weekly IDCW</v>
          </cell>
          <cell r="E2992">
            <v>13.179399999999999</v>
          </cell>
        </row>
        <row r="2993">
          <cell r="B2993" t="str">
            <v>-</v>
          </cell>
          <cell r="C2993" t="str">
            <v>INF917K01AY5</v>
          </cell>
          <cell r="D2993" t="str">
            <v>HSBC Money Market Fund - Regular Daily IDCW</v>
          </cell>
          <cell r="E2993">
            <v>10.8591</v>
          </cell>
        </row>
        <row r="2994">
          <cell r="B2994" t="str">
            <v>INF917K01BC9</v>
          </cell>
          <cell r="C2994" t="str">
            <v>-</v>
          </cell>
          <cell r="D2994" t="str">
            <v>HSBC Money Market Fund - Regular Growth</v>
          </cell>
          <cell r="E2994">
            <v>28.167899999999999</v>
          </cell>
        </row>
        <row r="2995">
          <cell r="B2995" t="str">
            <v>INF917K01BB1</v>
          </cell>
          <cell r="C2995" t="str">
            <v>INF917K01BA3</v>
          </cell>
          <cell r="D2995" t="str">
            <v>HSBC Money Market Fund - Regular Monthly IDCW</v>
          </cell>
          <cell r="E2995">
            <v>11.591900000000001</v>
          </cell>
        </row>
        <row r="2996">
          <cell r="B2996" t="str">
            <v>-</v>
          </cell>
          <cell r="C2996" t="str">
            <v>INF917K01AZ2</v>
          </cell>
          <cell r="D2996" t="str">
            <v>HSBC Money Market Fund - Regular Weekly IDCW</v>
          </cell>
          <cell r="E2996">
            <v>13.092499999999999</v>
          </cell>
        </row>
        <row r="2997">
          <cell r="B2997" t="str">
            <v/>
          </cell>
          <cell r="C2997" t="str">
            <v/>
          </cell>
          <cell r="D2997" t="str">
            <v/>
          </cell>
        </row>
        <row r="2998">
          <cell r="B2998" t="str">
            <v/>
          </cell>
          <cell r="C2998" t="str">
            <v/>
          </cell>
          <cell r="D2998" t="str">
            <v/>
          </cell>
        </row>
        <row r="2999">
          <cell r="B2999" t="str">
            <v/>
          </cell>
          <cell r="C2999" t="str">
            <v/>
          </cell>
          <cell r="D2999" t="str">
            <v/>
          </cell>
        </row>
        <row r="3000">
          <cell r="B3000" t="str">
            <v>INF109KA1H85</v>
          </cell>
          <cell r="C3000" t="str">
            <v>-</v>
          </cell>
          <cell r="D3000" t="str">
            <v>ICICI Prudential Money Market Fund - Direct Plan Bonus</v>
          </cell>
          <cell r="E3000">
            <v>151.2089</v>
          </cell>
        </row>
        <row r="3001">
          <cell r="B3001" t="str">
            <v>INF109KA1H93</v>
          </cell>
          <cell r="C3001" t="str">
            <v>-</v>
          </cell>
          <cell r="D3001" t="str">
            <v>ICICI Prudential Money Market Fund -Bonus</v>
          </cell>
          <cell r="E3001">
            <v>118.0134</v>
          </cell>
        </row>
        <row r="3002">
          <cell r="B3002" t="str">
            <v>INF109K01I72</v>
          </cell>
          <cell r="C3002" t="str">
            <v>-</v>
          </cell>
          <cell r="D3002" t="str">
            <v>ICICI Prudential Money Market Fund Dividend</v>
          </cell>
          <cell r="E3002">
            <v>100.09520000000001</v>
          </cell>
        </row>
        <row r="3003">
          <cell r="B3003" t="str">
            <v>-</v>
          </cell>
          <cell r="C3003" t="str">
            <v>INF109K01R22</v>
          </cell>
          <cell r="D3003" t="str">
            <v>ICICI Prudential Money Market Fund Option - Direct Plan -  Daily IDCW</v>
          </cell>
          <cell r="E3003">
            <v>100.1435</v>
          </cell>
        </row>
        <row r="3004">
          <cell r="B3004" t="str">
            <v>INF109K01R55</v>
          </cell>
          <cell r="C3004" t="str">
            <v>-</v>
          </cell>
          <cell r="D3004" t="str">
            <v>ICICI Prudential Money Market Fund Option - Direct Plan -  Fortnightly IDCW</v>
          </cell>
          <cell r="E3004">
            <v>101.3351</v>
          </cell>
        </row>
        <row r="3005">
          <cell r="B3005" t="str">
            <v>INF109K01R14</v>
          </cell>
          <cell r="C3005" t="str">
            <v>-</v>
          </cell>
          <cell r="D3005" t="str">
            <v>ICICI Prudential Money Market Fund Option - Direct Plan -  Growth</v>
          </cell>
          <cell r="E3005">
            <v>410.89499999999998</v>
          </cell>
        </row>
        <row r="3006">
          <cell r="B3006" t="str">
            <v>INF109K01R30</v>
          </cell>
          <cell r="C3006" t="str">
            <v>-</v>
          </cell>
          <cell r="D3006" t="str">
            <v>ICICI Prudential Money Market Fund Option - Direct Plan -  IDCW Others</v>
          </cell>
          <cell r="E3006">
            <v>188.27010000000001</v>
          </cell>
        </row>
        <row r="3007">
          <cell r="B3007" t="str">
            <v>INF109K01R63</v>
          </cell>
          <cell r="C3007" t="str">
            <v>INF109K01R71</v>
          </cell>
          <cell r="D3007" t="str">
            <v>ICICI Prudential Money Market Fund Option - Direct Plan -  Monthly IDCW</v>
          </cell>
          <cell r="E3007">
            <v>101.04559999999999</v>
          </cell>
        </row>
        <row r="3008">
          <cell r="B3008" t="str">
            <v>INF109K01R89</v>
          </cell>
          <cell r="C3008" t="str">
            <v>-</v>
          </cell>
          <cell r="D3008" t="str">
            <v>ICICI Prudential Money Market Fund Option - Direct Plan -  Weekly IDCW</v>
          </cell>
          <cell r="E3008">
            <v>100.8182</v>
          </cell>
        </row>
        <row r="3009">
          <cell r="B3009" t="str">
            <v>INF109K01TW3</v>
          </cell>
          <cell r="C3009" t="str">
            <v>-</v>
          </cell>
          <cell r="D3009" t="str">
            <v>ICICI Prudential Money Market Fund Retail Growth (erstwhile Cash Option)</v>
          </cell>
          <cell r="E3009">
            <v>306.67039999999997</v>
          </cell>
        </row>
        <row r="3010">
          <cell r="B3010" t="str">
            <v>INF109K01TY9</v>
          </cell>
          <cell r="C3010" t="str">
            <v>-</v>
          </cell>
          <cell r="D3010" t="str">
            <v>ICICI Prudential Money Market Fund Option - Daily IDCW</v>
          </cell>
          <cell r="E3010">
            <v>100.12949999999999</v>
          </cell>
        </row>
        <row r="3011">
          <cell r="B3011" t="str">
            <v>INF109K01TX1</v>
          </cell>
          <cell r="C3011" t="str">
            <v>-</v>
          </cell>
          <cell r="D3011" t="str">
            <v>ICICI Prudential Money Market Fund Option - Growth</v>
          </cell>
          <cell r="E3011">
            <v>405.3759</v>
          </cell>
        </row>
        <row r="3012">
          <cell r="B3012" t="str">
            <v>INF109K01I64</v>
          </cell>
          <cell r="C3012" t="str">
            <v>-</v>
          </cell>
          <cell r="D3012" t="str">
            <v>ICICI Prudential Money Market Fund Option - IDCW Others</v>
          </cell>
          <cell r="E3012">
            <v>186.1825</v>
          </cell>
        </row>
        <row r="3013">
          <cell r="B3013" t="str">
            <v>INF109K01UC3</v>
          </cell>
          <cell r="C3013" t="str">
            <v>INF109K01UB5</v>
          </cell>
          <cell r="D3013" t="str">
            <v>ICICI Prudential Money Market Fund Option - Monthly IDCW</v>
          </cell>
          <cell r="E3013">
            <v>100.8819</v>
          </cell>
        </row>
        <row r="3014">
          <cell r="B3014" t="str">
            <v>INF109K01TZ6</v>
          </cell>
          <cell r="C3014" t="str">
            <v>-</v>
          </cell>
          <cell r="D3014" t="str">
            <v>ICICI Prudential Money Market Fund Option - Weekly IDCW</v>
          </cell>
          <cell r="E3014">
            <v>100.7548</v>
          </cell>
        </row>
        <row r="3015">
          <cell r="B3015" t="str">
            <v>INF109K01UA7</v>
          </cell>
          <cell r="C3015" t="str">
            <v>-</v>
          </cell>
          <cell r="D3015" t="str">
            <v>ICICI Prudential Money Market Fund Option -Fortnightly IDCW</v>
          </cell>
          <cell r="E3015">
            <v>100.6605</v>
          </cell>
        </row>
        <row r="3016">
          <cell r="B3016" t="str">
            <v/>
          </cell>
          <cell r="C3016" t="str">
            <v/>
          </cell>
          <cell r="D3016" t="str">
            <v/>
          </cell>
        </row>
        <row r="3017">
          <cell r="B3017" t="str">
            <v/>
          </cell>
          <cell r="C3017" t="str">
            <v/>
          </cell>
          <cell r="D3017" t="str">
            <v/>
          </cell>
        </row>
        <row r="3018">
          <cell r="B3018" t="str">
            <v/>
          </cell>
          <cell r="C3018" t="str">
            <v/>
          </cell>
          <cell r="D3018" t="str">
            <v/>
          </cell>
        </row>
        <row r="3019">
          <cell r="B3019" t="str">
            <v>-</v>
          </cell>
          <cell r="C3019" t="str">
            <v>INF205K01RU7</v>
          </cell>
          <cell r="D3019" t="str">
            <v>Invesco India Money Market Fund - Daily IDCW (Reinvestment)</v>
          </cell>
          <cell r="E3019">
            <v>1000.29</v>
          </cell>
        </row>
        <row r="3020">
          <cell r="B3020" t="str">
            <v>-</v>
          </cell>
          <cell r="C3020" t="str">
            <v>INF205K01RV5</v>
          </cell>
          <cell r="D3020" t="str">
            <v>Invesco India Money Market Fund - Direct Plan - Daily IDCW (Reinvestment)</v>
          </cell>
          <cell r="E3020">
            <v>1012.2021</v>
          </cell>
        </row>
        <row r="3021">
          <cell r="B3021" t="str">
            <v>INF205K01RW3</v>
          </cell>
          <cell r="C3021" t="str">
            <v>INF205K01RX1</v>
          </cell>
          <cell r="D3021" t="str">
            <v>Invesco India Money Market Fund - Direct Plan - Discretionary IDCW (Payout / Reinvestment)</v>
          </cell>
          <cell r="E3021">
            <v>3017.7539999999999</v>
          </cell>
        </row>
        <row r="3022">
          <cell r="B3022" t="str">
            <v>INF205K01RY9</v>
          </cell>
          <cell r="C3022" t="str">
            <v>-</v>
          </cell>
          <cell r="D3022" t="str">
            <v>Invesco India Money Market Fund - Direct Plan - Growth</v>
          </cell>
          <cell r="E3022">
            <v>3368.5646000000002</v>
          </cell>
        </row>
        <row r="3023">
          <cell r="B3023" t="str">
            <v>INF205K01RZ6</v>
          </cell>
          <cell r="C3023" t="str">
            <v>INF205K01SA7</v>
          </cell>
          <cell r="D3023" t="str">
            <v>Invesco India Money Market Fund - Direct Plan - Monthly IDCW (Payout / Reinvestment)</v>
          </cell>
          <cell r="E3023">
            <v>1228.4677999999999</v>
          </cell>
        </row>
        <row r="3024">
          <cell r="B3024" t="str">
            <v>INF205KA1858</v>
          </cell>
          <cell r="C3024" t="str">
            <v>INF205KA1866</v>
          </cell>
          <cell r="D3024" t="str">
            <v>Invesco India Money Market Fund - Direct Plan - Weekly IDCW (Payout / Reinvestment)</v>
          </cell>
          <cell r="E3024">
            <v>1021.7267000000001</v>
          </cell>
        </row>
        <row r="3025">
          <cell r="B3025" t="str">
            <v>INF205K01SB5</v>
          </cell>
          <cell r="C3025" t="str">
            <v>INF205K01SC3</v>
          </cell>
          <cell r="D3025" t="str">
            <v>Invesco India Money Market Fund - Discretionary IDCW (Payout / Reinvestment)</v>
          </cell>
          <cell r="E3025">
            <v>3251.0010000000002</v>
          </cell>
        </row>
        <row r="3026">
          <cell r="B3026" t="str">
            <v>INF205K01SD1</v>
          </cell>
          <cell r="C3026" t="str">
            <v>-</v>
          </cell>
          <cell r="D3026" t="str">
            <v>Invesco India Money Market Fund - Growth</v>
          </cell>
          <cell r="E3026">
            <v>3247.6931</v>
          </cell>
        </row>
        <row r="3027">
          <cell r="B3027" t="str">
            <v>INF205K01SE9</v>
          </cell>
          <cell r="C3027" t="str">
            <v>INF205K01SF6</v>
          </cell>
          <cell r="D3027" t="str">
            <v>Invesco India Money Market Fund - Monthly IDCW (Payout / Reinvestment)</v>
          </cell>
          <cell r="E3027">
            <v>1021.019</v>
          </cell>
        </row>
        <row r="3028">
          <cell r="B3028" t="str">
            <v>INF205K01SG4</v>
          </cell>
          <cell r="C3028" t="str">
            <v>-</v>
          </cell>
          <cell r="D3028" t="str">
            <v>Invesco India Money Market Fund - Regular - Growth</v>
          </cell>
          <cell r="E3028">
            <v>2848.5963999999999</v>
          </cell>
        </row>
        <row r="3029">
          <cell r="B3029" t="str">
            <v>INF205K01SH2</v>
          </cell>
          <cell r="C3029" t="str">
            <v>INF205K01SI0</v>
          </cell>
          <cell r="D3029" t="str">
            <v>Invesco India Money Market Fund - Regular - Monthly IDCW (Payout / Reinvestment)</v>
          </cell>
          <cell r="E3029">
            <v>1512.9713999999999</v>
          </cell>
        </row>
        <row r="3030">
          <cell r="B3030" t="str">
            <v>-</v>
          </cell>
          <cell r="C3030" t="str">
            <v>INF205K01UW7</v>
          </cell>
          <cell r="D3030" t="str">
            <v>Invesco India Money Market Fund - Regular Plan - Daily IDCW (Reinvestment)</v>
          </cell>
          <cell r="E3030">
            <v>1008.5979</v>
          </cell>
        </row>
        <row r="3031">
          <cell r="B3031" t="str">
            <v>INF205KA1833</v>
          </cell>
          <cell r="C3031" t="str">
            <v>INF205KA1841</v>
          </cell>
          <cell r="D3031" t="str">
            <v>Invesco India Money Market Fund - Weekly IDCW (Payout / Reinvestment)</v>
          </cell>
          <cell r="E3031">
            <v>1001.0653</v>
          </cell>
        </row>
        <row r="3032">
          <cell r="B3032" t="str">
            <v/>
          </cell>
          <cell r="C3032" t="str">
            <v/>
          </cell>
          <cell r="D3032" t="str">
            <v/>
          </cell>
        </row>
        <row r="3033">
          <cell r="B3033" t="str">
            <v/>
          </cell>
          <cell r="C3033" t="str">
            <v/>
          </cell>
          <cell r="D3033" t="str">
            <v/>
          </cell>
        </row>
        <row r="3034">
          <cell r="B3034" t="str">
            <v/>
          </cell>
          <cell r="C3034" t="str">
            <v/>
          </cell>
          <cell r="D3034" t="str">
            <v/>
          </cell>
        </row>
        <row r="3035">
          <cell r="B3035" t="str">
            <v>INF22M001028</v>
          </cell>
          <cell r="C3035" t="str">
            <v>-</v>
          </cell>
          <cell r="D3035" t="str">
            <v>JioBlackRock Money Market Fund - Direct Plan - Growth Option</v>
          </cell>
          <cell r="E3035">
            <v>1065.3634999999999</v>
          </cell>
        </row>
        <row r="3036">
          <cell r="B3036" t="str">
            <v/>
          </cell>
          <cell r="C3036" t="str">
            <v/>
          </cell>
          <cell r="D3036" t="str">
            <v/>
          </cell>
        </row>
        <row r="3037">
          <cell r="B3037" t="str">
            <v/>
          </cell>
          <cell r="C3037" t="str">
            <v/>
          </cell>
          <cell r="D3037" t="str">
            <v/>
          </cell>
        </row>
        <row r="3038">
          <cell r="B3038" t="str">
            <v/>
          </cell>
          <cell r="C3038" t="str">
            <v/>
          </cell>
          <cell r="D3038" t="str">
            <v/>
          </cell>
        </row>
        <row r="3039">
          <cell r="B3039" t="str">
            <v>-</v>
          </cell>
          <cell r="C3039" t="str">
            <v>INF192K01DR3</v>
          </cell>
          <cell r="D3039" t="str">
            <v>JM Money Market Fund (Direct) - Fortnightly Dividend Option</v>
          </cell>
          <cell r="E3039">
            <v>10.3279</v>
          </cell>
        </row>
        <row r="3040">
          <cell r="B3040" t="str">
            <v>INF192K01DS1</v>
          </cell>
          <cell r="C3040" t="str">
            <v>-</v>
          </cell>
          <cell r="D3040" t="str">
            <v>JM Money Market Fund (Direct) - Growth</v>
          </cell>
          <cell r="E3040">
            <v>28.750599999999999</v>
          </cell>
        </row>
        <row r="3041">
          <cell r="B3041" t="str">
            <v>-</v>
          </cell>
          <cell r="C3041" t="str">
            <v>INF192K01DQ5</v>
          </cell>
          <cell r="D3041" t="str">
            <v>JM Money Market Fund (Direct) - Weekly Dividend</v>
          </cell>
          <cell r="E3041">
            <v>10.674300000000001</v>
          </cell>
        </row>
        <row r="3042">
          <cell r="B3042" t="str">
            <v>INF192K01FH9</v>
          </cell>
          <cell r="C3042" t="str">
            <v>-</v>
          </cell>
          <cell r="D3042" t="str">
            <v>JM Money Market Fund (Direct) Bonus Option - Principal Units</v>
          </cell>
          <cell r="E3042">
            <v>15.960599999999999</v>
          </cell>
        </row>
        <row r="3043">
          <cell r="B3043" t="str">
            <v>-</v>
          </cell>
          <cell r="C3043" t="str">
            <v>INF192K01DP7</v>
          </cell>
          <cell r="D3043" t="str">
            <v>JM Money Market Fund (Direct)- Daily Dividend Option</v>
          </cell>
          <cell r="E3043">
            <v>10.050800000000001</v>
          </cell>
        </row>
        <row r="3044">
          <cell r="B3044" t="str">
            <v>INF192K01FF3</v>
          </cell>
          <cell r="C3044" t="str">
            <v>-</v>
          </cell>
          <cell r="D3044" t="str">
            <v>JM Money Market Fund - Bonus Option - Principal Units</v>
          </cell>
          <cell r="E3044">
            <v>15.7555</v>
          </cell>
        </row>
        <row r="3045">
          <cell r="B3045" t="str">
            <v>-</v>
          </cell>
          <cell r="C3045" t="str">
            <v>INF192K01AR9</v>
          </cell>
          <cell r="D3045" t="str">
            <v>JM Money Market Fund - Daily Dividend</v>
          </cell>
          <cell r="E3045">
            <v>10.0418</v>
          </cell>
        </row>
        <row r="3046">
          <cell r="B3046" t="str">
            <v>-</v>
          </cell>
          <cell r="C3046" t="str">
            <v>INF192K01AT5</v>
          </cell>
          <cell r="D3046" t="str">
            <v>JM Money Market Fund - Fortnighly Dividend</v>
          </cell>
          <cell r="E3046">
            <v>10.311</v>
          </cell>
        </row>
        <row r="3047">
          <cell r="B3047" t="str">
            <v>INF192K01AU3</v>
          </cell>
          <cell r="C3047" t="str">
            <v>-</v>
          </cell>
          <cell r="D3047" t="str">
            <v>JM Money Market Fund - Growth</v>
          </cell>
          <cell r="E3047">
            <v>28.281199999999998</v>
          </cell>
        </row>
        <row r="3048">
          <cell r="B3048" t="str">
            <v>-</v>
          </cell>
          <cell r="C3048" t="str">
            <v>INF192K01AS7</v>
          </cell>
          <cell r="D3048" t="str">
            <v>JM Money Market Fund - Weekly Dividend</v>
          </cell>
          <cell r="E3048">
            <v>10.6454</v>
          </cell>
        </row>
        <row r="3049">
          <cell r="B3049" t="str">
            <v/>
          </cell>
          <cell r="C3049" t="str">
            <v/>
          </cell>
          <cell r="D3049" t="str">
            <v/>
          </cell>
        </row>
        <row r="3050">
          <cell r="B3050" t="str">
            <v/>
          </cell>
          <cell r="C3050" t="str">
            <v/>
          </cell>
          <cell r="D3050" t="str">
            <v/>
          </cell>
        </row>
        <row r="3051">
          <cell r="B3051" t="str">
            <v/>
          </cell>
          <cell r="C3051" t="str">
            <v/>
          </cell>
          <cell r="D3051" t="str">
            <v/>
          </cell>
        </row>
        <row r="3052">
          <cell r="B3052" t="str">
            <v>INF767K01RE0</v>
          </cell>
          <cell r="C3052" t="str">
            <v>-</v>
          </cell>
          <cell r="D3052" t="str">
            <v>LIC MF Money Market Fund-Direct Plan-Growth</v>
          </cell>
          <cell r="E3052">
            <v>1289.1746000000001</v>
          </cell>
        </row>
        <row r="3053">
          <cell r="B3053" t="str">
            <v>INF767K01RF7</v>
          </cell>
          <cell r="C3053" t="str">
            <v>INF767K01RG5</v>
          </cell>
          <cell r="D3053" t="str">
            <v>LIC MF Money Market Fund-Direct Plan-IDCW</v>
          </cell>
          <cell r="E3053">
            <v>1289.1745000000001</v>
          </cell>
        </row>
        <row r="3054">
          <cell r="B3054" t="str">
            <v>INF767K01RB6</v>
          </cell>
          <cell r="C3054" t="str">
            <v>-</v>
          </cell>
          <cell r="D3054" t="str">
            <v>LIC MF Money Market Fund-Regular Plan-Growth</v>
          </cell>
          <cell r="E3054">
            <v>1269.7997</v>
          </cell>
        </row>
        <row r="3055">
          <cell r="B3055" t="str">
            <v>INF767K01RC4</v>
          </cell>
          <cell r="C3055" t="str">
            <v>INF767K01RD2</v>
          </cell>
          <cell r="D3055" t="str">
            <v>LIC MF Money Market Fund-Regular Plan-IDCW</v>
          </cell>
          <cell r="E3055">
            <v>1269.7997</v>
          </cell>
        </row>
        <row r="3056">
          <cell r="B3056" t="str">
            <v/>
          </cell>
          <cell r="C3056" t="str">
            <v/>
          </cell>
          <cell r="D3056" t="str">
            <v/>
          </cell>
        </row>
        <row r="3057">
          <cell r="B3057" t="str">
            <v/>
          </cell>
          <cell r="C3057" t="str">
            <v/>
          </cell>
          <cell r="D3057" t="str">
            <v/>
          </cell>
        </row>
        <row r="3058">
          <cell r="B3058" t="str">
            <v/>
          </cell>
          <cell r="C3058" t="str">
            <v/>
          </cell>
          <cell r="D3058" t="str">
            <v/>
          </cell>
        </row>
        <row r="3059">
          <cell r="B3059" t="str">
            <v>-</v>
          </cell>
          <cell r="C3059" t="str">
            <v>INF769K01RA4</v>
          </cell>
          <cell r="D3059" t="str">
            <v>Mirae Asset Money Market Fund - Direct Plan - Weekly IDCW</v>
          </cell>
          <cell r="E3059">
            <v>1362.4331999999999</v>
          </cell>
        </row>
        <row r="3060">
          <cell r="B3060" t="str">
            <v>INF769K01HN8</v>
          </cell>
          <cell r="C3060" t="str">
            <v>-</v>
          </cell>
          <cell r="D3060" t="str">
            <v>Mirae Asset Money Market Fund Direct Growth</v>
          </cell>
          <cell r="E3060">
            <v>1366.2463</v>
          </cell>
        </row>
        <row r="3061">
          <cell r="B3061" t="str">
            <v>INF769K01HM0</v>
          </cell>
          <cell r="C3061" t="str">
            <v>INF769K01HO6</v>
          </cell>
          <cell r="D3061" t="str">
            <v>Mirae Asset Money Market Fund Direct IDCW</v>
          </cell>
          <cell r="E3061">
            <v>1363.9996000000001</v>
          </cell>
        </row>
        <row r="3062">
          <cell r="B3062" t="str">
            <v>INF769K01HK4</v>
          </cell>
          <cell r="C3062" t="str">
            <v>-</v>
          </cell>
          <cell r="D3062" t="str">
            <v>Mirae Asset Money Market Fund Regular Growth</v>
          </cell>
          <cell r="E3062">
            <v>1342.6103000000001</v>
          </cell>
        </row>
        <row r="3063">
          <cell r="B3063" t="str">
            <v>INF769K01HJ6</v>
          </cell>
          <cell r="C3063" t="str">
            <v>INF769K01HL2</v>
          </cell>
          <cell r="D3063" t="str">
            <v>Mirae Asset Money Market Fund Regular IDCW</v>
          </cell>
          <cell r="E3063">
            <v>1342.6002000000001</v>
          </cell>
        </row>
        <row r="3064">
          <cell r="B3064" t="str">
            <v/>
          </cell>
          <cell r="C3064" t="str">
            <v/>
          </cell>
          <cell r="D3064" t="str">
            <v/>
          </cell>
        </row>
        <row r="3065">
          <cell r="B3065" t="str">
            <v/>
          </cell>
          <cell r="C3065" t="str">
            <v/>
          </cell>
          <cell r="D3065" t="str">
            <v/>
          </cell>
        </row>
        <row r="3066">
          <cell r="B3066" t="str">
            <v/>
          </cell>
          <cell r="C3066" t="str">
            <v/>
          </cell>
          <cell r="D3066" t="str">
            <v/>
          </cell>
        </row>
        <row r="3067">
          <cell r="B3067" t="str">
            <v>-</v>
          </cell>
          <cell r="C3067" t="str">
            <v>INF204K01UY6</v>
          </cell>
          <cell r="D3067" t="str">
            <v>NIPPON INDIA MONEY MARKET FUND - DAILY IDCW Option</v>
          </cell>
          <cell r="E3067">
            <v>1006.3913</v>
          </cell>
        </row>
        <row r="3068">
          <cell r="B3068" t="str">
            <v>-</v>
          </cell>
          <cell r="C3068" t="str">
            <v>INF204K01ZN8</v>
          </cell>
          <cell r="D3068" t="str">
            <v>NIPPON INDIA MONEY MARKET FUND - DIRECT Plan - DAILY IDCW Option</v>
          </cell>
          <cell r="E3068">
            <v>1006.298</v>
          </cell>
        </row>
        <row r="3069">
          <cell r="B3069" t="str">
            <v>INF204K01ZQ1</v>
          </cell>
          <cell r="C3069" t="str">
            <v>INF204K01ZR9</v>
          </cell>
          <cell r="D3069" t="str">
            <v>NIPPON INDIA MONEY MARKET FUND - DIRECT Plan - MONTHLY IDCW Option</v>
          </cell>
          <cell r="E3069">
            <v>1027.9446</v>
          </cell>
        </row>
        <row r="3070">
          <cell r="B3070" t="str">
            <v>INF204K01ZS7</v>
          </cell>
          <cell r="C3070" t="str">
            <v>INF204K01ZT5</v>
          </cell>
          <cell r="D3070" t="str">
            <v>NIPPON INDIA MONEY MARKET FUND - DIRECT Plan - QUARTERLY IDCW Option</v>
          </cell>
          <cell r="E3070">
            <v>1019.2462</v>
          </cell>
        </row>
        <row r="3071">
          <cell r="B3071" t="str">
            <v>-</v>
          </cell>
          <cell r="C3071" t="str">
            <v>INF204K01ZO6</v>
          </cell>
          <cell r="D3071" t="str">
            <v>NIPPON INDIA MONEY MARKET FUND - DIRECT Plan - WEEKLY IDCW Option</v>
          </cell>
          <cell r="E3071">
            <v>1007.5496000000001</v>
          </cell>
        </row>
        <row r="3072">
          <cell r="B3072" t="str">
            <v>INF204K01G11</v>
          </cell>
          <cell r="C3072" t="str">
            <v>-</v>
          </cell>
          <cell r="D3072" t="str">
            <v>Nippon India Money Market Fund - Direct Plan Growth Plan - Bonus Option</v>
          </cell>
          <cell r="E3072">
            <v>2645.5109000000002</v>
          </cell>
        </row>
        <row r="3073">
          <cell r="B3073" t="str">
            <v>INF204K01ZP3</v>
          </cell>
          <cell r="C3073" t="str">
            <v>-</v>
          </cell>
          <cell r="D3073" t="str">
            <v>Nippon India Money Market Fund - Direct Plan Growth Plan - Growth Option</v>
          </cell>
          <cell r="E3073">
            <v>4499.0025999999998</v>
          </cell>
        </row>
        <row r="3074">
          <cell r="B3074" t="str">
            <v>INF204K01VB2</v>
          </cell>
          <cell r="C3074" t="str">
            <v>INF204K01VC0</v>
          </cell>
          <cell r="D3074" t="str">
            <v>NIPPON INDIA MONEY MARKET FUND - MONTHLY IDCW Option</v>
          </cell>
          <cell r="E3074">
            <v>1027.5341000000001</v>
          </cell>
        </row>
        <row r="3075">
          <cell r="B3075" t="str">
            <v>INF204K01VD8</v>
          </cell>
          <cell r="C3075" t="str">
            <v>INF204K01VE6</v>
          </cell>
          <cell r="D3075" t="str">
            <v>NIPPON INDIA MONEY MARKET FUND - QUARTERLY IDCW Option</v>
          </cell>
          <cell r="E3075">
            <v>1019.159</v>
          </cell>
        </row>
        <row r="3076">
          <cell r="B3076" t="str">
            <v>-</v>
          </cell>
          <cell r="C3076" t="str">
            <v>INF204K01UZ3</v>
          </cell>
          <cell r="D3076" t="str">
            <v>NIPPON INDIA MONEY MARKET FUND - WEEKLY IDCW Option</v>
          </cell>
          <cell r="E3076">
            <v>1007.548</v>
          </cell>
        </row>
        <row r="3077">
          <cell r="B3077" t="str">
            <v>INF204K01UX8</v>
          </cell>
          <cell r="C3077" t="str">
            <v>-</v>
          </cell>
          <cell r="D3077" t="str">
            <v>Nippon India Money Market Fund-Growth Plan-Bonus Option</v>
          </cell>
          <cell r="E3077">
            <v>1713.3216</v>
          </cell>
        </row>
        <row r="3078">
          <cell r="B3078" t="str">
            <v>INF204K01VA4</v>
          </cell>
          <cell r="C3078" t="str">
            <v>-</v>
          </cell>
          <cell r="D3078" t="str">
            <v>Nippon India Money Market Fund-Growth Plan-Growth Option</v>
          </cell>
          <cell r="E3078">
            <v>4433.8707999999997</v>
          </cell>
        </row>
        <row r="3079">
          <cell r="B3079" t="str">
            <v/>
          </cell>
          <cell r="C3079" t="str">
            <v/>
          </cell>
          <cell r="D3079" t="str">
            <v/>
          </cell>
        </row>
        <row r="3080">
          <cell r="B3080" t="str">
            <v/>
          </cell>
          <cell r="C3080" t="str">
            <v/>
          </cell>
          <cell r="D3080" t="str">
            <v/>
          </cell>
        </row>
        <row r="3081">
          <cell r="B3081" t="str">
            <v/>
          </cell>
          <cell r="C3081" t="str">
            <v/>
          </cell>
          <cell r="D3081" t="str">
            <v/>
          </cell>
        </row>
        <row r="3082">
          <cell r="B3082" t="str">
            <v>-</v>
          </cell>
          <cell r="C3082" t="str">
            <v>INF663L01U16</v>
          </cell>
          <cell r="D3082" t="str">
            <v>PGIM India Money Market Fund - Direct Plan - Daily Dividend Option</v>
          </cell>
          <cell r="E3082">
            <v>1010.4294</v>
          </cell>
        </row>
        <row r="3083">
          <cell r="B3083" t="str">
            <v>INF663L01T84</v>
          </cell>
          <cell r="C3083" t="str">
            <v>-</v>
          </cell>
          <cell r="D3083" t="str">
            <v>PGIM India Money Market Fund - Direct Plan - Growth Option</v>
          </cell>
          <cell r="E3083">
            <v>1460.2117000000001</v>
          </cell>
        </row>
        <row r="3084">
          <cell r="B3084" t="str">
            <v>INF663L01T92</v>
          </cell>
          <cell r="C3084" t="str">
            <v>-</v>
          </cell>
          <cell r="D3084" t="str">
            <v>PGIM India Money Market Fund - Direct Plan - Monthly Dividend Option</v>
          </cell>
          <cell r="E3084">
            <v>1059.0816</v>
          </cell>
        </row>
        <row r="3085">
          <cell r="B3085" t="str">
            <v>-</v>
          </cell>
          <cell r="C3085" t="str">
            <v>INF663L01U08</v>
          </cell>
          <cell r="D3085" t="str">
            <v>PGIM India Money Market Fund - Direct Plan - Weekly Dividend Option</v>
          </cell>
          <cell r="E3085">
            <v>1001.8392</v>
          </cell>
        </row>
        <row r="3086">
          <cell r="B3086" t="str">
            <v>-</v>
          </cell>
          <cell r="C3086" t="str">
            <v>INF663L01U57</v>
          </cell>
          <cell r="D3086" t="str">
            <v>PGIM India Money Market Fund - Regular Plan - Daily Dividend Option</v>
          </cell>
          <cell r="E3086">
            <v>1009.0934999999999</v>
          </cell>
        </row>
        <row r="3087">
          <cell r="B3087" t="str">
            <v>INF663L01U24</v>
          </cell>
          <cell r="C3087" t="str">
            <v>-</v>
          </cell>
          <cell r="D3087" t="str">
            <v>PGIM India Money Market Fund - Regular Plan - Growth Option</v>
          </cell>
          <cell r="E3087">
            <v>1413.6983</v>
          </cell>
        </row>
        <row r="3088">
          <cell r="B3088" t="str">
            <v>INF663L01U32</v>
          </cell>
          <cell r="C3088" t="str">
            <v>-</v>
          </cell>
          <cell r="D3088" t="str">
            <v>PGIM India Money Market Fund - Regular Plan - Monthly Dividend Option</v>
          </cell>
          <cell r="E3088">
            <v>1048.8320000000001</v>
          </cell>
        </row>
        <row r="3089">
          <cell r="B3089" t="str">
            <v>-</v>
          </cell>
          <cell r="C3089" t="str">
            <v>INF663L01U40</v>
          </cell>
          <cell r="D3089" t="str">
            <v>PGIM India Money Market Fund - Regular Plan - Weekly Dividend Option</v>
          </cell>
          <cell r="E3089">
            <v>1001.9338</v>
          </cell>
        </row>
        <row r="3090">
          <cell r="B3090" t="str">
            <v>-</v>
          </cell>
          <cell r="C3090" t="str">
            <v>-</v>
          </cell>
          <cell r="D3090" t="str">
            <v>PGIM India Money Market Fund - Segregated Portfolio 1 - Direct Plan - Annual IDCW option</v>
          </cell>
          <cell r="E3090">
            <v>0</v>
          </cell>
        </row>
        <row r="3091">
          <cell r="B3091" t="str">
            <v>-</v>
          </cell>
          <cell r="C3091" t="str">
            <v>-</v>
          </cell>
          <cell r="D3091" t="str">
            <v>PGIM India Money Market Fund - Segregated Portfolio 1 - Direct Plan - Growth Option</v>
          </cell>
          <cell r="E3091">
            <v>0</v>
          </cell>
        </row>
        <row r="3092">
          <cell r="B3092" t="str">
            <v>-</v>
          </cell>
          <cell r="C3092" t="str">
            <v>-</v>
          </cell>
          <cell r="D3092" t="str">
            <v>PGIM India Money Market Fund - Segregated Portfolio 1 - Direct Plan - Monthly IDCW Option</v>
          </cell>
          <cell r="E3092">
            <v>0</v>
          </cell>
        </row>
        <row r="3093">
          <cell r="B3093" t="str">
            <v>-</v>
          </cell>
          <cell r="C3093" t="str">
            <v>-</v>
          </cell>
          <cell r="D3093" t="str">
            <v>PGIM India Money Market Fund - Segregated Portfolio 1 - Direct Plan - Quarterly IDCW option</v>
          </cell>
          <cell r="E3093">
            <v>0</v>
          </cell>
        </row>
        <row r="3094">
          <cell r="B3094" t="str">
            <v>-</v>
          </cell>
          <cell r="C3094" t="str">
            <v>-</v>
          </cell>
          <cell r="D3094" t="str">
            <v>PGIM India Money Market Fund - Segregated Portfolio 1 - Regular Plan - Annual IDCW Option</v>
          </cell>
          <cell r="E3094">
            <v>0</v>
          </cell>
        </row>
        <row r="3095">
          <cell r="B3095" t="str">
            <v>-</v>
          </cell>
          <cell r="C3095" t="str">
            <v>-</v>
          </cell>
          <cell r="D3095" t="str">
            <v>PGIM India Money Market Fund - Segregated Portfolio 1 - Regular plan - Growth option</v>
          </cell>
          <cell r="E3095">
            <v>0</v>
          </cell>
        </row>
        <row r="3096">
          <cell r="B3096" t="str">
            <v>-</v>
          </cell>
          <cell r="C3096" t="str">
            <v>-</v>
          </cell>
          <cell r="D3096" t="str">
            <v>PGIM India Money Market Fund - Segregated Portfolio 1 - Regular Plan - Monthly IDCW option</v>
          </cell>
          <cell r="E3096">
            <v>0</v>
          </cell>
        </row>
        <row r="3097">
          <cell r="B3097" t="str">
            <v>-</v>
          </cell>
          <cell r="C3097" t="str">
            <v>-</v>
          </cell>
          <cell r="D3097" t="str">
            <v>PGIM India Money Market Fund - Segregated Portfolio 1 - Regular Plan - Quarterly IDCW Option</v>
          </cell>
          <cell r="E3097">
            <v>0</v>
          </cell>
        </row>
        <row r="3098">
          <cell r="B3098" t="str">
            <v/>
          </cell>
          <cell r="C3098" t="str">
            <v/>
          </cell>
          <cell r="D3098" t="str">
            <v/>
          </cell>
        </row>
        <row r="3099">
          <cell r="B3099" t="str">
            <v/>
          </cell>
          <cell r="C3099" t="str">
            <v/>
          </cell>
          <cell r="D3099" t="str">
            <v/>
          </cell>
        </row>
        <row r="3100">
          <cell r="B3100" t="str">
            <v/>
          </cell>
          <cell r="C3100" t="str">
            <v/>
          </cell>
          <cell r="D3100" t="str">
            <v/>
          </cell>
        </row>
        <row r="3101">
          <cell r="B3101" t="str">
            <v>INF200K01SZ5</v>
          </cell>
          <cell r="C3101" t="str">
            <v>-</v>
          </cell>
          <cell r="D3101" t="str">
            <v>SBI  SAVINGS FUND - DIRECT PLAN - GROWTH</v>
          </cell>
          <cell r="E3101">
            <v>47.526400000000002</v>
          </cell>
        </row>
        <row r="3102">
          <cell r="B3102" t="str">
            <v>INF200K01636</v>
          </cell>
          <cell r="C3102" t="str">
            <v>-</v>
          </cell>
          <cell r="D3102" t="str">
            <v>SBI  SAVINGS FUND - REGULAR PLAN - GROWTH</v>
          </cell>
          <cell r="E3102">
            <v>44.1098</v>
          </cell>
        </row>
        <row r="3103">
          <cell r="B3103" t="str">
            <v>INF200K01SX0</v>
          </cell>
          <cell r="C3103" t="str">
            <v>INF200K01SY8</v>
          </cell>
          <cell r="D3103" t="str">
            <v>SBI Savings Fund - Direct Plan - Income Distribution cum Capital Withdrawal Option (IDCW)</v>
          </cell>
          <cell r="E3103">
            <v>18.838000000000001</v>
          </cell>
        </row>
        <row r="3104">
          <cell r="B3104" t="str">
            <v>-</v>
          </cell>
          <cell r="C3104" t="str">
            <v>INF200K01SW2</v>
          </cell>
          <cell r="D3104" t="str">
            <v>SBI Savings Fund - Direct Plan Daily Income Distribution cum Capital Withdrawal Option (IDCW)</v>
          </cell>
          <cell r="E3104">
            <v>14.840299999999999</v>
          </cell>
        </row>
        <row r="3105">
          <cell r="B3105" t="str">
            <v>INF200K01TA6</v>
          </cell>
          <cell r="C3105" t="str">
            <v>INF200K01TB4</v>
          </cell>
          <cell r="D3105" t="str">
            <v>SBI Savings Fund - Direct Plan Weekly Income Distribution cum Capital Withdrawal Option (IDCW)</v>
          </cell>
          <cell r="E3105">
            <v>16.9253</v>
          </cell>
        </row>
        <row r="3106">
          <cell r="B3106" t="str">
            <v>INF200K01644</v>
          </cell>
          <cell r="C3106" t="str">
            <v>INF200K01651</v>
          </cell>
          <cell r="D3106" t="str">
            <v>SBI Savings Fund - Regular Plan - Income Distribution cum Capital Withdrawal Option (IDCW)</v>
          </cell>
          <cell r="E3106">
            <v>17.392600000000002</v>
          </cell>
        </row>
        <row r="3107">
          <cell r="B3107" t="str">
            <v>-</v>
          </cell>
          <cell r="C3107" t="str">
            <v>INF200KA1K20</v>
          </cell>
          <cell r="D3107" t="str">
            <v>SBI Savings Fund - Regular Plan Daily Income Distribution cum Capital Withdrawal Option (IDCW)</v>
          </cell>
          <cell r="E3107">
            <v>14.378399999999999</v>
          </cell>
        </row>
        <row r="3108">
          <cell r="B3108" t="str">
            <v>INF200K01669</v>
          </cell>
          <cell r="C3108" t="str">
            <v>INF200K01677</v>
          </cell>
          <cell r="D3108" t="str">
            <v>SBI Savings Fund - Regular Plan Weekly Income Distribution cum Capital Withdrawal Option (IDCW)</v>
          </cell>
          <cell r="E3108">
            <v>16.204899999999999</v>
          </cell>
        </row>
        <row r="3109">
          <cell r="B3109" t="str">
            <v/>
          </cell>
          <cell r="C3109" t="str">
            <v/>
          </cell>
          <cell r="D3109" t="str">
            <v/>
          </cell>
        </row>
        <row r="3110">
          <cell r="B3110" t="str">
            <v/>
          </cell>
          <cell r="C3110" t="str">
            <v/>
          </cell>
          <cell r="D3110" t="str">
            <v/>
          </cell>
        </row>
        <row r="3111">
          <cell r="B3111" t="str">
            <v/>
          </cell>
          <cell r="C3111" t="str">
            <v/>
          </cell>
          <cell r="D3111" t="str">
            <v/>
          </cell>
        </row>
        <row r="3112">
          <cell r="B3112" t="str">
            <v>INF680P01471</v>
          </cell>
          <cell r="C3112" t="str">
            <v>-</v>
          </cell>
          <cell r="D3112" t="str">
            <v>Shriram Money Market Fund - Direct Plan Growth Option</v>
          </cell>
          <cell r="E3112">
            <v>1032.0275999999999</v>
          </cell>
        </row>
        <row r="3113">
          <cell r="B3113" t="str">
            <v>INF680P01489</v>
          </cell>
          <cell r="C3113" t="str">
            <v>-</v>
          </cell>
          <cell r="D3113" t="str">
            <v>Shriram Money Market Fund - Regular Plan Growth Option</v>
          </cell>
          <cell r="E3113">
            <v>1030.8307</v>
          </cell>
        </row>
        <row r="3114">
          <cell r="B3114" t="str">
            <v/>
          </cell>
          <cell r="C3114" t="str">
            <v/>
          </cell>
          <cell r="D3114" t="str">
            <v/>
          </cell>
        </row>
        <row r="3115">
          <cell r="B3115" t="str">
            <v/>
          </cell>
          <cell r="C3115" t="str">
            <v/>
          </cell>
          <cell r="D3115" t="str">
            <v/>
          </cell>
        </row>
        <row r="3116">
          <cell r="B3116" t="str">
            <v/>
          </cell>
          <cell r="C3116" t="str">
            <v/>
          </cell>
          <cell r="D3116" t="str">
            <v/>
          </cell>
        </row>
        <row r="3117">
          <cell r="B3117" t="str">
            <v>-</v>
          </cell>
          <cell r="C3117" t="str">
            <v>INF903JA1FU0</v>
          </cell>
          <cell r="D3117" t="str">
            <v>Sundaram Money Market Fund Direct Plan - Daily Reinvestment of Income Distribution cum Capital Withdrawal (IDCW)</v>
          </cell>
          <cell r="E3117">
            <v>10.061999999999999</v>
          </cell>
        </row>
        <row r="3118">
          <cell r="B3118" t="str">
            <v>-</v>
          </cell>
          <cell r="C3118" t="str">
            <v>INF903JA1FW6</v>
          </cell>
          <cell r="D3118" t="str">
            <v>Sundaram Money Market Fund Direct Plan - Fortnightly Reinvestment of Income Distribution cum Capital Withdrawal (IDCW)</v>
          </cell>
          <cell r="E3118">
            <v>10.3782</v>
          </cell>
        </row>
        <row r="3119">
          <cell r="B3119" t="str">
            <v>INF903JA1FR6</v>
          </cell>
          <cell r="C3119" t="str">
            <v>-</v>
          </cell>
          <cell r="D3119" t="str">
            <v>Sundaram Money Market Fund Direct Plan - Growth</v>
          </cell>
          <cell r="E3119">
            <v>16.143599999999999</v>
          </cell>
        </row>
        <row r="3120">
          <cell r="B3120" t="str">
            <v>INF903JA1FS4</v>
          </cell>
          <cell r="C3120" t="str">
            <v>-</v>
          </cell>
          <cell r="D3120" t="str">
            <v>Sundaram Money Market Fund Direct Plan - Income Distribution cum Capital Withdrawal (IDCW)</v>
          </cell>
          <cell r="E3120">
            <v>11.3507</v>
          </cell>
        </row>
        <row r="3121">
          <cell r="B3121" t="str">
            <v>-</v>
          </cell>
          <cell r="C3121" t="str">
            <v>INF903JA1FX4</v>
          </cell>
          <cell r="D3121" t="str">
            <v>Sundaram Money Market Fund Direct Plan - Income Distribution cum Capital Withdrawal(IDCW)</v>
          </cell>
          <cell r="E3121">
            <v>11.3507</v>
          </cell>
        </row>
        <row r="3122">
          <cell r="B3122" t="str">
            <v>-</v>
          </cell>
          <cell r="C3122" t="str">
            <v>INF903JA1FV8</v>
          </cell>
          <cell r="D3122" t="str">
            <v>Sundaram Money Market Fund Direct Plan - Weekly Reinvestment of Income Distribution cum Capital Withdrawal (IDCW)</v>
          </cell>
          <cell r="E3122">
            <v>10.4933</v>
          </cell>
        </row>
        <row r="3123">
          <cell r="B3123" t="str">
            <v>INF903JA1FT2</v>
          </cell>
          <cell r="C3123" t="str">
            <v>-</v>
          </cell>
          <cell r="D3123" t="str">
            <v>Sundaram Money Market Fund Direct Plan- Income Distribution cum Capital Withdrawal(IDCW)</v>
          </cell>
          <cell r="E3123">
            <v>12.742599999999999</v>
          </cell>
        </row>
        <row r="3124">
          <cell r="B3124" t="str">
            <v>-</v>
          </cell>
          <cell r="C3124" t="str">
            <v>INF903JA1FY2</v>
          </cell>
          <cell r="D3124" t="str">
            <v>Sundaram Money Market Fund Direct Plan-Income Distribution cum Capital Withdrawal(IDCW)</v>
          </cell>
          <cell r="E3124">
            <v>12.742599999999999</v>
          </cell>
        </row>
        <row r="3125">
          <cell r="B3125" t="str">
            <v>-</v>
          </cell>
          <cell r="C3125" t="str">
            <v>INF903JA1FM7</v>
          </cell>
          <cell r="D3125" t="str">
            <v>Sundaram Money Market Fund Regular Plan - Daily Reinvestment of Income Distribution cum Capital Withdrawal (IDCW)</v>
          </cell>
          <cell r="E3125">
            <v>10.061999999999999</v>
          </cell>
        </row>
        <row r="3126">
          <cell r="B3126" t="str">
            <v>-</v>
          </cell>
          <cell r="C3126" t="str">
            <v>INF903JA1FO3</v>
          </cell>
          <cell r="D3126" t="str">
            <v>Sundaram Money Market Fund Regular Plan - Fortnightly Reinvestment of Income Distribution cum Capital Withdrawal (IDCW)</v>
          </cell>
          <cell r="E3126">
            <v>11.231999999999999</v>
          </cell>
        </row>
        <row r="3127">
          <cell r="B3127" t="str">
            <v>INF903JA1FJ3</v>
          </cell>
          <cell r="C3127" t="str">
            <v>-</v>
          </cell>
          <cell r="D3127" t="str">
            <v>Sundaram Money Market Fund Regular Plan - Growth</v>
          </cell>
          <cell r="E3127">
            <v>16.011399999999998</v>
          </cell>
        </row>
        <row r="3128">
          <cell r="B3128" t="str">
            <v>INF903JA1FL9</v>
          </cell>
          <cell r="C3128" t="str">
            <v>-</v>
          </cell>
          <cell r="D3128" t="str">
            <v>Sundaram Money Market Fund Regular Plan - Income Distribution cum Capital Withdrawal (IDCW )</v>
          </cell>
          <cell r="E3128">
            <v>12.6568</v>
          </cell>
        </row>
        <row r="3129">
          <cell r="B3129" t="str">
            <v>-</v>
          </cell>
          <cell r="C3129" t="str">
            <v>INF903JA1FN5</v>
          </cell>
          <cell r="D3129" t="str">
            <v>Sundaram Money Market Fund Regular Plan - Weekly Reinvestment of Income Distribution cum Capital Withdrawal (IDCW)</v>
          </cell>
          <cell r="E3129">
            <v>10.494400000000001</v>
          </cell>
        </row>
        <row r="3130">
          <cell r="B3130" t="str">
            <v>-</v>
          </cell>
          <cell r="C3130" t="str">
            <v>INF903JA1FQ8</v>
          </cell>
          <cell r="D3130" t="str">
            <v>Sundaram Money Market Fund Regular Plan -Income Distribution cum Capital Withdrawal (IDCW )</v>
          </cell>
          <cell r="E3130">
            <v>12.6568</v>
          </cell>
        </row>
        <row r="3131">
          <cell r="B3131" t="str">
            <v>-</v>
          </cell>
          <cell r="C3131" t="str">
            <v>INF903JA1FP0</v>
          </cell>
          <cell r="D3131" t="str">
            <v>Sundaram Money Market Fund Regular Plan -Income Distribution cum Capital Withdrawal(IDCW)</v>
          </cell>
          <cell r="E3131">
            <v>11.305199999999999</v>
          </cell>
        </row>
        <row r="3132">
          <cell r="B3132" t="str">
            <v>INF903JA1FK1</v>
          </cell>
          <cell r="C3132" t="str">
            <v>-</v>
          </cell>
          <cell r="D3132" t="str">
            <v>Sundaram Money Market Fund Regular Plan- Income Distribution cum Capital Withdrawal (IDCW)</v>
          </cell>
          <cell r="E3132">
            <v>11.305199999999999</v>
          </cell>
        </row>
        <row r="3133">
          <cell r="B3133" t="str">
            <v/>
          </cell>
          <cell r="C3133" t="str">
            <v/>
          </cell>
          <cell r="D3133" t="str">
            <v/>
          </cell>
        </row>
        <row r="3134">
          <cell r="B3134" t="str">
            <v/>
          </cell>
          <cell r="C3134" t="str">
            <v/>
          </cell>
          <cell r="D3134" t="str">
            <v/>
          </cell>
        </row>
        <row r="3135">
          <cell r="B3135" t="str">
            <v/>
          </cell>
          <cell r="C3135" t="str">
            <v/>
          </cell>
          <cell r="D3135" t="str">
            <v/>
          </cell>
        </row>
        <row r="3136">
          <cell r="B3136" t="str">
            <v>-</v>
          </cell>
          <cell r="C3136" t="str">
            <v>INF277K011C6</v>
          </cell>
          <cell r="D3136" t="str">
            <v>Tata Money Market Fund- Direct Plan - Daily Reinvestment of IDCW Option</v>
          </cell>
          <cell r="E3136">
            <v>1114.52</v>
          </cell>
        </row>
        <row r="3137">
          <cell r="B3137" t="str">
            <v>INF277K01PR6</v>
          </cell>
          <cell r="C3137" t="str">
            <v>-</v>
          </cell>
          <cell r="D3137" t="str">
            <v>Tata Money Market Fund- Direct Plan- Growth Option</v>
          </cell>
          <cell r="E3137">
            <v>5153.6040000000003</v>
          </cell>
        </row>
        <row r="3138">
          <cell r="B3138" t="str">
            <v>-</v>
          </cell>
          <cell r="C3138" t="str">
            <v>INF277K014C0</v>
          </cell>
          <cell r="D3138" t="str">
            <v>Tata Money Market Fund- Regular Plan - Daily Reinvestment of IDCW Option</v>
          </cell>
          <cell r="E3138">
            <v>1114.52</v>
          </cell>
        </row>
        <row r="3139">
          <cell r="B3139" t="str">
            <v>INF277K01LQ7</v>
          </cell>
          <cell r="C3139" t="str">
            <v>-</v>
          </cell>
          <cell r="D3139" t="str">
            <v>Tata Money Market Fund-Regular Plan - Growth Option</v>
          </cell>
          <cell r="E3139">
            <v>5045.7884999999997</v>
          </cell>
        </row>
        <row r="3140">
          <cell r="B3140" t="str">
            <v/>
          </cell>
          <cell r="C3140" t="str">
            <v/>
          </cell>
          <cell r="D3140" t="str">
            <v/>
          </cell>
        </row>
        <row r="3141">
          <cell r="B3141" t="str">
            <v/>
          </cell>
          <cell r="C3141" t="str">
            <v/>
          </cell>
          <cell r="D3141" t="str">
            <v/>
          </cell>
        </row>
        <row r="3142">
          <cell r="B3142" t="str">
            <v/>
          </cell>
          <cell r="C3142" t="str">
            <v/>
          </cell>
          <cell r="D3142" t="str">
            <v/>
          </cell>
        </row>
        <row r="3143">
          <cell r="B3143" t="str">
            <v>INF0GCD01503</v>
          </cell>
          <cell r="C3143" t="str">
            <v>-</v>
          </cell>
          <cell r="D3143" t="str">
            <v>TRUSTMF MONEY MARKET FUND-DIRECT PLAN-GROWTH</v>
          </cell>
          <cell r="E3143">
            <v>1309.2561000000001</v>
          </cell>
        </row>
        <row r="3144">
          <cell r="B3144" t="str">
            <v>INF0GCD01529</v>
          </cell>
          <cell r="C3144" t="str">
            <v>INF0GCD01511</v>
          </cell>
          <cell r="D3144" t="str">
            <v>TRUSTMF MONEY MARKET FUND-DIRECT PLAN-MONTHLY IDCW</v>
          </cell>
          <cell r="E3144">
            <v>1163.1651999999999</v>
          </cell>
        </row>
        <row r="3145">
          <cell r="B3145" t="str">
            <v>INF0GCD01479</v>
          </cell>
          <cell r="C3145" t="str">
            <v>-</v>
          </cell>
          <cell r="D3145" t="str">
            <v>TRUSTMF MONEY MARKET FUND-REGULAR PLAN-GROWTH</v>
          </cell>
          <cell r="E3145">
            <v>1298.5655999999999</v>
          </cell>
        </row>
        <row r="3146">
          <cell r="B3146" t="str">
            <v>INF0GCD01495</v>
          </cell>
          <cell r="C3146" t="str">
            <v>INF0GCD01487</v>
          </cell>
          <cell r="D3146" t="str">
            <v>TRUSTMF MONEY MARKET FUND-REGULAR PLAN-MONTHLY IDCW</v>
          </cell>
          <cell r="E3146">
            <v>1153.229</v>
          </cell>
        </row>
        <row r="3147">
          <cell r="B3147" t="str">
            <v/>
          </cell>
          <cell r="C3147" t="str">
            <v/>
          </cell>
          <cell r="D3147" t="str">
            <v/>
          </cell>
        </row>
        <row r="3148">
          <cell r="B3148" t="str">
            <v/>
          </cell>
          <cell r="C3148" t="str">
            <v/>
          </cell>
          <cell r="D3148" t="str">
            <v/>
          </cell>
        </row>
        <row r="3149">
          <cell r="B3149" t="str">
            <v/>
          </cell>
          <cell r="C3149" t="str">
            <v/>
          </cell>
          <cell r="D3149" t="str">
            <v/>
          </cell>
        </row>
        <row r="3150">
          <cell r="B3150" t="str">
            <v>INF582M01HG5</v>
          </cell>
          <cell r="C3150" t="str">
            <v>-</v>
          </cell>
          <cell r="D3150" t="str">
            <v>Union Money Market Fund - Direct Plan -  Growth Option</v>
          </cell>
          <cell r="E3150">
            <v>1356.1566</v>
          </cell>
        </row>
        <row r="3151">
          <cell r="B3151" t="str">
            <v>INF582M01HK7</v>
          </cell>
          <cell r="C3151" t="str">
            <v>INF582M01HJ9</v>
          </cell>
          <cell r="D3151" t="str">
            <v>Union Money Market Fund - Direct Plan -  Monthly IDCW Option</v>
          </cell>
          <cell r="E3151">
            <v>1013.9734</v>
          </cell>
        </row>
        <row r="3152">
          <cell r="B3152" t="str">
            <v>-</v>
          </cell>
          <cell r="C3152" t="str">
            <v>INF582M01HI1</v>
          </cell>
          <cell r="D3152" t="str">
            <v>Union Money Market Fund - Direct Plan -  Weekly IDCW Option</v>
          </cell>
          <cell r="E3152">
            <v>1000.2588</v>
          </cell>
        </row>
        <row r="3153">
          <cell r="B3153" t="str">
            <v>-</v>
          </cell>
          <cell r="C3153" t="str">
            <v>INF582M01HH3</v>
          </cell>
          <cell r="D3153" t="str">
            <v>Union Money Market Fund - Direct Plan - Daily IDCW Option</v>
          </cell>
          <cell r="E3153">
            <v>1000.0024</v>
          </cell>
        </row>
        <row r="3154">
          <cell r="B3154" t="str">
            <v>INF582M01HO9</v>
          </cell>
          <cell r="C3154" t="str">
            <v>-</v>
          </cell>
          <cell r="D3154" t="str">
            <v>Union Money Market Fund - Regular Plan -  Growth Option</v>
          </cell>
          <cell r="E3154">
            <v>1310.0717</v>
          </cell>
        </row>
        <row r="3155">
          <cell r="B3155" t="str">
            <v>INF582M01HS0</v>
          </cell>
          <cell r="C3155" t="str">
            <v>INF582M01HR2</v>
          </cell>
          <cell r="D3155" t="str">
            <v>Union Money Market Fund - Regular Plan -  Monthly IDCW Option</v>
          </cell>
          <cell r="E3155">
            <v>1000.9295</v>
          </cell>
        </row>
        <row r="3156">
          <cell r="B3156" t="str">
            <v>-</v>
          </cell>
          <cell r="C3156" t="str">
            <v>INF582M01HQ4</v>
          </cell>
          <cell r="D3156" t="str">
            <v>Union Money Market Fund - Regular Plan -  Weekly IDCW Option</v>
          </cell>
          <cell r="E3156">
            <v>1002.2894</v>
          </cell>
        </row>
        <row r="3157">
          <cell r="B3157" t="str">
            <v>-</v>
          </cell>
          <cell r="C3157" t="str">
            <v>INF582M01HP6</v>
          </cell>
          <cell r="D3157" t="str">
            <v>Union Money Market Fund - Regular Plan - Daily IDCW Option</v>
          </cell>
          <cell r="E3157">
            <v>1003.203</v>
          </cell>
        </row>
        <row r="3158">
          <cell r="B3158" t="str">
            <v/>
          </cell>
          <cell r="C3158" t="str">
            <v/>
          </cell>
          <cell r="D3158" t="str">
            <v/>
          </cell>
        </row>
        <row r="3159">
          <cell r="B3159" t="str">
            <v/>
          </cell>
          <cell r="C3159" t="str">
            <v/>
          </cell>
          <cell r="D3159" t="str">
            <v/>
          </cell>
        </row>
        <row r="3160">
          <cell r="B3160" t="str">
            <v/>
          </cell>
          <cell r="C3160" t="str">
            <v/>
          </cell>
          <cell r="D3160" t="str">
            <v/>
          </cell>
        </row>
        <row r="3161">
          <cell r="B3161" t="str">
            <v>INF789F01XV6</v>
          </cell>
          <cell r="C3161" t="str">
            <v>-</v>
          </cell>
          <cell r="D3161" t="str">
            <v>UTI MMF - Direct Plan - Growth Option</v>
          </cell>
          <cell r="E3161">
            <v>3339.2501999999999</v>
          </cell>
        </row>
        <row r="3162">
          <cell r="B3162" t="str">
            <v>INF789FA1M04</v>
          </cell>
          <cell r="C3162" t="str">
            <v>INF789FA1M12</v>
          </cell>
          <cell r="D3162" t="str">
            <v>UTI MMF - Regular Plan - Flexi Dividend Option</v>
          </cell>
          <cell r="E3162">
            <v>1275.4444000000001</v>
          </cell>
        </row>
        <row r="3163">
          <cell r="B3163" t="str">
            <v>INF789F01PX8</v>
          </cell>
          <cell r="C3163" t="str">
            <v>-</v>
          </cell>
          <cell r="D3163" t="str">
            <v>UTI MMF - Regular Plan - Growth Option</v>
          </cell>
          <cell r="E3163">
            <v>3296.3229999999999</v>
          </cell>
        </row>
        <row r="3164">
          <cell r="B3164" t="str">
            <v>-</v>
          </cell>
          <cell r="C3164" t="str">
            <v>INF789F01BD0</v>
          </cell>
          <cell r="D3164" t="str">
            <v>UTI MMF- Discontinued - Regular Plan - Flexi Dividend Option</v>
          </cell>
          <cell r="E3164">
            <v>4109.9890999999998</v>
          </cell>
        </row>
        <row r="3165">
          <cell r="B3165" t="str">
            <v>INF789F01BE8</v>
          </cell>
          <cell r="C3165" t="str">
            <v>-</v>
          </cell>
          <cell r="D3165" t="str">
            <v>UTI MMF- Discontinued - Regular Plan - Periodic Dividend Option</v>
          </cell>
          <cell r="E3165">
            <v>2641.2894000000001</v>
          </cell>
        </row>
        <row r="3166">
          <cell r="B3166" t="str">
            <v>INF789F01BF5</v>
          </cell>
          <cell r="C3166" t="str">
            <v>-</v>
          </cell>
          <cell r="D3166" t="str">
            <v>UTI MMF-Discontinued - Regular Plan -Growth</v>
          </cell>
          <cell r="E3166">
            <v>7616.9503999999997</v>
          </cell>
        </row>
        <row r="3167">
          <cell r="B3167" t="str">
            <v>INF789FA1N03</v>
          </cell>
          <cell r="C3167" t="str">
            <v>INF789FA1N11</v>
          </cell>
          <cell r="D3167" t="str">
            <v>UTI Money Market Fund - Direct Plan - Annual IDCW</v>
          </cell>
          <cell r="E3167">
            <v>1982.0043000000001</v>
          </cell>
        </row>
        <row r="3168">
          <cell r="B3168" t="str">
            <v>-</v>
          </cell>
          <cell r="C3168" t="str">
            <v>INF789F01XU8</v>
          </cell>
          <cell r="D3168" t="str">
            <v>UTI Money Market Fund - Direct Plan - Daily IDCW (Reinvestment)</v>
          </cell>
          <cell r="E3168">
            <v>1030.8669</v>
          </cell>
        </row>
        <row r="3169">
          <cell r="B3169" t="str">
            <v>INF789FA1N29</v>
          </cell>
          <cell r="C3169" t="str">
            <v>INF789FA1N37</v>
          </cell>
          <cell r="D3169" t="str">
            <v>UTI Money Market Fund - Direct Plan - Flexi IDCW</v>
          </cell>
          <cell r="E3169">
            <v>1711.6787999999999</v>
          </cell>
        </row>
        <row r="3170">
          <cell r="B3170" t="str">
            <v>INF789FA1M20</v>
          </cell>
          <cell r="C3170" t="str">
            <v>INF789FA1M38</v>
          </cell>
          <cell r="D3170" t="str">
            <v>UTI Money Market Fund - Direct Plan - Fortnightly IDCW</v>
          </cell>
          <cell r="E3170">
            <v>1252.2484999999999</v>
          </cell>
        </row>
        <row r="3171">
          <cell r="B3171" t="str">
            <v>INF789FA1M87</v>
          </cell>
          <cell r="C3171" t="str">
            <v>INF789FA1M95</v>
          </cell>
          <cell r="D3171" t="str">
            <v>UTI Money Market Fund - Direct Plan - Half-Yearly IDCW</v>
          </cell>
          <cell r="E3171">
            <v>1865.8507999999999</v>
          </cell>
        </row>
        <row r="3172">
          <cell r="B3172" t="str">
            <v>INF789FA1M46</v>
          </cell>
          <cell r="C3172" t="str">
            <v>INF789FA1M53</v>
          </cell>
          <cell r="D3172" t="str">
            <v>UTI Money Market Fund - Direct Plan - Monthly IDCW</v>
          </cell>
          <cell r="E3172">
            <v>1634.5668000000001</v>
          </cell>
        </row>
        <row r="3173">
          <cell r="B3173" t="str">
            <v>INF789FA1M61</v>
          </cell>
          <cell r="C3173" t="str">
            <v>INF789FA1M79</v>
          </cell>
          <cell r="D3173" t="str">
            <v>UTI Money Market Fund - Direct Plan - Quarterly IDCW</v>
          </cell>
          <cell r="E3173">
            <v>1771.8478</v>
          </cell>
        </row>
        <row r="3174">
          <cell r="B3174" t="str">
            <v>INF789F01XW4</v>
          </cell>
          <cell r="C3174" t="str">
            <v>INF789F01XX2</v>
          </cell>
          <cell r="D3174" t="str">
            <v>UTI Money Market Fund - Direct Plan - Weekly IDCW</v>
          </cell>
          <cell r="E3174">
            <v>1130.8104000000001</v>
          </cell>
        </row>
        <row r="3175">
          <cell r="B3175" t="str">
            <v>INF789FA1L88</v>
          </cell>
          <cell r="C3175" t="str">
            <v>INF789FA1L96</v>
          </cell>
          <cell r="D3175" t="str">
            <v>UTI Money Market Fund - Regular Plan - Annual IDCW</v>
          </cell>
          <cell r="E3175">
            <v>1963.3684000000001</v>
          </cell>
        </row>
        <row r="3176">
          <cell r="B3176" t="str">
            <v>-</v>
          </cell>
          <cell r="C3176" t="str">
            <v>INF789F01PW0</v>
          </cell>
          <cell r="D3176" t="str">
            <v>UTI Money Market Fund - Regular Plan - Daily IDCW (Reinvestment)</v>
          </cell>
          <cell r="E3176">
            <v>1065.4105999999999</v>
          </cell>
        </row>
        <row r="3177">
          <cell r="B3177" t="str">
            <v>INF789FA1L05</v>
          </cell>
          <cell r="C3177" t="str">
            <v>INF789FA1L13</v>
          </cell>
          <cell r="D3177" t="str">
            <v>UTI Money Market Fund - Regular Plan - Fortnightly IDCW</v>
          </cell>
          <cell r="E3177">
            <v>1160.2591</v>
          </cell>
        </row>
        <row r="3178">
          <cell r="B3178" t="str">
            <v>INF789FA1L62</v>
          </cell>
          <cell r="C3178" t="str">
            <v>INF789FA1L70</v>
          </cell>
          <cell r="D3178" t="str">
            <v>UTI Money Market Fund - Regular Plan - Half-Yearly IDCW</v>
          </cell>
          <cell r="E3178">
            <v>1852.3116</v>
          </cell>
        </row>
        <row r="3179">
          <cell r="B3179" t="str">
            <v>INF789FA1L21</v>
          </cell>
          <cell r="C3179" t="str">
            <v>INF789FA1L39</v>
          </cell>
          <cell r="D3179" t="str">
            <v>UTI Money Market Fund - Regular Plan - Monthly IDCW</v>
          </cell>
          <cell r="E3179">
            <v>1039.2347</v>
          </cell>
        </row>
        <row r="3180">
          <cell r="B3180" t="str">
            <v>INF789FA1L47</v>
          </cell>
          <cell r="C3180" t="str">
            <v>INF789FA1L54</v>
          </cell>
          <cell r="D3180" t="str">
            <v>UTI Money Market Fund - Regular Plan - Quarterly IDCW</v>
          </cell>
          <cell r="E3180">
            <v>1014.7506</v>
          </cell>
        </row>
        <row r="3181">
          <cell r="B3181" t="str">
            <v>INF789F01PY6</v>
          </cell>
          <cell r="C3181" t="str">
            <v>INF789F01PZ3</v>
          </cell>
          <cell r="D3181" t="str">
            <v>UTI Money Market Fund - Regular Plan - Weekly IDCW</v>
          </cell>
          <cell r="E3181">
            <v>1110.2571</v>
          </cell>
        </row>
        <row r="3182">
          <cell r="B3182" t="str">
            <v/>
          </cell>
          <cell r="C3182" t="str">
            <v/>
          </cell>
          <cell r="D3182" t="str">
            <v/>
          </cell>
        </row>
        <row r="3183">
          <cell r="B3183" t="str">
            <v/>
          </cell>
          <cell r="C3183" t="str">
            <v/>
          </cell>
          <cell r="D3183" t="str">
            <v/>
          </cell>
        </row>
        <row r="3184">
          <cell r="B3184" t="str">
            <v/>
          </cell>
          <cell r="C3184" t="str">
            <v/>
          </cell>
          <cell r="D3184" t="str">
            <v/>
          </cell>
        </row>
        <row r="3185">
          <cell r="B3185" t="str">
            <v/>
          </cell>
          <cell r="C3185" t="str">
            <v/>
          </cell>
          <cell r="D3185" t="str">
            <v/>
          </cell>
        </row>
        <row r="3186">
          <cell r="B3186" t="str">
            <v/>
          </cell>
          <cell r="C3186" t="str">
            <v/>
          </cell>
          <cell r="D3186" t="str">
            <v/>
          </cell>
        </row>
        <row r="3187">
          <cell r="B3187" t="str">
            <v>INF579M01BG4</v>
          </cell>
          <cell r="C3187" t="str">
            <v>-</v>
          </cell>
          <cell r="D3187" t="str">
            <v>360 ONE Overnight Fund - Direct Plan - Growth</v>
          </cell>
          <cell r="E3187">
            <v>1055.9828</v>
          </cell>
        </row>
        <row r="3188">
          <cell r="B3188" t="str">
            <v>INF579M01BD1</v>
          </cell>
          <cell r="C3188" t="str">
            <v>-</v>
          </cell>
          <cell r="D3188" t="str">
            <v>360 ONE Overnight Fund - Regular Plan - Growth</v>
          </cell>
          <cell r="E3188">
            <v>1055.1097</v>
          </cell>
        </row>
        <row r="3189">
          <cell r="B3189" t="str">
            <v>INF579M01BE9</v>
          </cell>
          <cell r="C3189" t="str">
            <v>INF579M01BF6</v>
          </cell>
          <cell r="D3189" t="str">
            <v>360 ONE Overnight Fund - Regular Plan - IDCW</v>
          </cell>
          <cell r="E3189">
            <v>1055.1097</v>
          </cell>
        </row>
        <row r="3190">
          <cell r="B3190" t="str">
            <v>INF579M01BH2</v>
          </cell>
          <cell r="C3190" t="str">
            <v>INF579M01BI0</v>
          </cell>
          <cell r="D3190" t="str">
            <v>360 ONE Overnight Fund- Direct Plan - IDCW</v>
          </cell>
          <cell r="E3190">
            <v>1055.9828</v>
          </cell>
        </row>
        <row r="3191">
          <cell r="B3191" t="str">
            <v/>
          </cell>
          <cell r="C3191" t="str">
            <v/>
          </cell>
          <cell r="D3191" t="str">
            <v/>
          </cell>
        </row>
        <row r="3192">
          <cell r="B3192" t="str">
            <v/>
          </cell>
          <cell r="C3192" t="str">
            <v/>
          </cell>
          <cell r="D3192" t="str">
            <v/>
          </cell>
        </row>
        <row r="3193">
          <cell r="B3193" t="str">
            <v/>
          </cell>
          <cell r="C3193" t="str">
            <v/>
          </cell>
          <cell r="D3193" t="str">
            <v/>
          </cell>
        </row>
        <row r="3194">
          <cell r="B3194" t="str">
            <v>INF209KB1ZL4</v>
          </cell>
          <cell r="C3194" t="str">
            <v>-</v>
          </cell>
          <cell r="D3194" t="str">
            <v>ADITYA BIRLA SUN LIFE OVERNIGHT FUND-  Direct - Monthly Payout of IDCW</v>
          </cell>
          <cell r="E3194">
            <v>1003.2922</v>
          </cell>
        </row>
        <row r="3195">
          <cell r="B3195" t="str">
            <v>-</v>
          </cell>
          <cell r="C3195" t="str">
            <v>INF209KB1ZJ8</v>
          </cell>
          <cell r="D3195" t="str">
            <v>ADITYA BIRLA SUN LIFE OVERNIGHT FUND-  Direct - Weekly Reinvestment of IDCW</v>
          </cell>
          <cell r="E3195">
            <v>1000.7401</v>
          </cell>
        </row>
        <row r="3196">
          <cell r="B3196" t="str">
            <v>-</v>
          </cell>
          <cell r="C3196" t="str">
            <v>INF209KB1ZE9</v>
          </cell>
          <cell r="D3196" t="str">
            <v>ADITYA BIRLA SUN LIFE OVERNIGHT FUND-  Regular - Weekly Reinvestment of IDCW option</v>
          </cell>
          <cell r="E3196">
            <v>1000.7222</v>
          </cell>
        </row>
        <row r="3197">
          <cell r="B3197" t="str">
            <v>-</v>
          </cell>
          <cell r="C3197" t="str">
            <v>INF209KB1ZI0</v>
          </cell>
          <cell r="D3197" t="str">
            <v>ADITYA BIRLA SUN LIFE OVERNIGHT FUND- Direct - Daily Reinvestment of IDCW</v>
          </cell>
          <cell r="E3197">
            <v>1000.02</v>
          </cell>
        </row>
        <row r="3198">
          <cell r="B3198" t="str">
            <v>-</v>
          </cell>
          <cell r="C3198" t="str">
            <v>INF209KB1ZD1</v>
          </cell>
          <cell r="D3198" t="str">
            <v>ADITYA BIRLA SUN LIFE OVERNIGHT FUND- Regular - Daily Reinvestment of IDCW</v>
          </cell>
          <cell r="E3198">
            <v>1000.02</v>
          </cell>
        </row>
        <row r="3199">
          <cell r="B3199" t="str">
            <v>INF209KB1ZG4</v>
          </cell>
          <cell r="C3199" t="str">
            <v>-</v>
          </cell>
          <cell r="D3199" t="str">
            <v>ADITYA BIRLA SUN LIFE OVERNIGHT FUND- Regular- Monthly Payout of IDCW option</v>
          </cell>
          <cell r="E3199">
            <v>1003.2216</v>
          </cell>
        </row>
        <row r="3200">
          <cell r="B3200" t="str">
            <v>INF209KB1ZH2</v>
          </cell>
          <cell r="C3200" t="str">
            <v>-</v>
          </cell>
          <cell r="D3200" t="str">
            <v>ADITYA BIRLA SUN LIFE OVERNIGHT FUND-DIRECT PLAN-GROWTH</v>
          </cell>
          <cell r="E3200">
            <v>1479.9704999999999</v>
          </cell>
        </row>
        <row r="3201">
          <cell r="B3201" t="str">
            <v>INF209KB1ZC3</v>
          </cell>
          <cell r="C3201" t="str">
            <v>-</v>
          </cell>
          <cell r="D3201" t="str">
            <v>ADITYA BIRLA SUNLIFE OVERNIGHT FUND-REGULAR PLAN-GROWTH</v>
          </cell>
          <cell r="E3201">
            <v>1466.9677999999999</v>
          </cell>
        </row>
        <row r="3202">
          <cell r="B3202" t="str">
            <v/>
          </cell>
          <cell r="C3202" t="str">
            <v/>
          </cell>
          <cell r="D3202" t="str">
            <v/>
          </cell>
        </row>
        <row r="3203">
          <cell r="B3203" t="str">
            <v/>
          </cell>
          <cell r="C3203" t="str">
            <v/>
          </cell>
          <cell r="D3203" t="str">
            <v/>
          </cell>
        </row>
        <row r="3204">
          <cell r="B3204" t="str">
            <v/>
          </cell>
          <cell r="C3204" t="str">
            <v/>
          </cell>
          <cell r="D3204" t="str">
            <v/>
          </cell>
        </row>
        <row r="3205">
          <cell r="B3205" t="str">
            <v>-</v>
          </cell>
          <cell r="C3205" t="str">
            <v>INF846K01N99</v>
          </cell>
          <cell r="D3205" t="str">
            <v>Axis Overnight Fund - Direct Plan - Daily IDCW</v>
          </cell>
          <cell r="E3205">
            <v>1000.5073</v>
          </cell>
        </row>
        <row r="3206">
          <cell r="B3206" t="str">
            <v>INF846K01N65</v>
          </cell>
          <cell r="C3206" t="str">
            <v>-</v>
          </cell>
          <cell r="D3206" t="str">
            <v>Axis Overnight Fund - Direct Plan - Growth Option</v>
          </cell>
          <cell r="E3206">
            <v>1448.5829000000001</v>
          </cell>
        </row>
        <row r="3207">
          <cell r="B3207" t="str">
            <v>INF846K01N73</v>
          </cell>
          <cell r="C3207" t="str">
            <v>INF846K01N81</v>
          </cell>
          <cell r="D3207" t="str">
            <v>Axis Overnight Fund - Direct Plan - Monthly IDCW</v>
          </cell>
          <cell r="E3207">
            <v>1004.7136</v>
          </cell>
        </row>
        <row r="3208">
          <cell r="B3208" t="str">
            <v>INF846K01N40</v>
          </cell>
          <cell r="C3208" t="str">
            <v>INF846K01N57</v>
          </cell>
          <cell r="D3208" t="str">
            <v>Axis Overnight Fund - Direct Plan - Weekly IDCW</v>
          </cell>
          <cell r="E3208">
            <v>1000.9895</v>
          </cell>
        </row>
        <row r="3209">
          <cell r="B3209" t="str">
            <v>-</v>
          </cell>
          <cell r="C3209" t="str">
            <v>INF846K01O56</v>
          </cell>
          <cell r="D3209" t="str">
            <v>Axis Overnight Fund - Regular Plan - Daily IDCW</v>
          </cell>
          <cell r="E3209">
            <v>1000.5032</v>
          </cell>
        </row>
        <row r="3210">
          <cell r="B3210" t="str">
            <v>INF846K01O23</v>
          </cell>
          <cell r="C3210" t="str">
            <v>-</v>
          </cell>
          <cell r="D3210" t="str">
            <v>Axis Overnight Fund - Regular Plan - Growth Option</v>
          </cell>
          <cell r="E3210">
            <v>1443.0587</v>
          </cell>
        </row>
        <row r="3211">
          <cell r="B3211" t="str">
            <v>INF846K01O31</v>
          </cell>
          <cell r="C3211" t="str">
            <v>INF846K01O49</v>
          </cell>
          <cell r="D3211" t="str">
            <v>Axis Overnight Fund - Regular Plan - Monthly IDCW</v>
          </cell>
          <cell r="E3211">
            <v>1004.6784</v>
          </cell>
        </row>
        <row r="3212">
          <cell r="B3212" t="str">
            <v>INF846K01O07</v>
          </cell>
          <cell r="C3212" t="str">
            <v>INF846K01O15</v>
          </cell>
          <cell r="D3212" t="str">
            <v>Axis Overnight Fund - Regular Plan - Weekly IDCW</v>
          </cell>
          <cell r="E3212">
            <v>1000.9596</v>
          </cell>
        </row>
        <row r="3213">
          <cell r="B3213" t="str">
            <v/>
          </cell>
          <cell r="C3213" t="str">
            <v/>
          </cell>
          <cell r="D3213" t="str">
            <v/>
          </cell>
        </row>
        <row r="3214">
          <cell r="B3214" t="str">
            <v/>
          </cell>
          <cell r="C3214" t="str">
            <v/>
          </cell>
          <cell r="D3214" t="str">
            <v/>
          </cell>
        </row>
        <row r="3215">
          <cell r="B3215" t="str">
            <v/>
          </cell>
          <cell r="C3215" t="str">
            <v/>
          </cell>
          <cell r="D3215" t="str">
            <v/>
          </cell>
        </row>
        <row r="3216">
          <cell r="B3216" t="str">
            <v>INF0QA701AE3</v>
          </cell>
          <cell r="C3216" t="str">
            <v>-</v>
          </cell>
          <cell r="D3216" t="str">
            <v>Bajaj Finserv Overnight Fund - Direct - Unclaimed less than 3 years IDCW Plan</v>
          </cell>
          <cell r="E3216">
            <v>1067.069</v>
          </cell>
        </row>
        <row r="3217">
          <cell r="B3217" t="str">
            <v>INF0QA701AF0</v>
          </cell>
          <cell r="C3217" t="str">
            <v>-</v>
          </cell>
          <cell r="D3217" t="str">
            <v>Bajaj Finserv Overnight Fund - Direct - Unclaimed less than 3 years Redemption Plan</v>
          </cell>
          <cell r="E3217">
            <v>1073.0839000000001</v>
          </cell>
        </row>
        <row r="3218">
          <cell r="B3218" t="str">
            <v>-</v>
          </cell>
          <cell r="C3218" t="str">
            <v>INF0QA701185</v>
          </cell>
          <cell r="D3218" t="str">
            <v>Bajaj Finserv Overnight Fund - Direct Plan - Daily - IDCW</v>
          </cell>
          <cell r="E3218">
            <v>1033.1412</v>
          </cell>
        </row>
        <row r="3219">
          <cell r="B3219" t="str">
            <v>INF0QA701235</v>
          </cell>
          <cell r="C3219" t="str">
            <v>INF0QA701201</v>
          </cell>
          <cell r="D3219" t="str">
            <v>Bajaj Finserv Overnight Fund - Direct Plan - Fortnightly - IDCW</v>
          </cell>
          <cell r="E3219">
            <v>1034.4828</v>
          </cell>
        </row>
        <row r="3220">
          <cell r="B3220" t="str">
            <v>INF0QA701177</v>
          </cell>
          <cell r="C3220" t="str">
            <v>-</v>
          </cell>
          <cell r="D3220" t="str">
            <v>Bajaj Finserv Overnight Fund - Direct Plan - Growth</v>
          </cell>
          <cell r="E3220">
            <v>1200.6932999999999</v>
          </cell>
        </row>
        <row r="3221">
          <cell r="B3221" t="str">
            <v>INF0QA701243</v>
          </cell>
          <cell r="C3221" t="str">
            <v>INF0QA701219</v>
          </cell>
          <cell r="D3221" t="str">
            <v>Bajaj Finserv Overnight Fund - Direct Plan - Monthly - IDCW</v>
          </cell>
          <cell r="E3221">
            <v>1034.1853000000001</v>
          </cell>
        </row>
        <row r="3222">
          <cell r="B3222" t="str">
            <v>INF0QA701227</v>
          </cell>
          <cell r="C3222" t="str">
            <v>INF0QA701193</v>
          </cell>
          <cell r="D3222" t="str">
            <v>Bajaj Finserv Overnight Fund - Direct Plan - Weekly - IDCW</v>
          </cell>
          <cell r="E3222">
            <v>1033.4354000000001</v>
          </cell>
        </row>
        <row r="3223">
          <cell r="B3223" t="str">
            <v>-</v>
          </cell>
          <cell r="C3223" t="str">
            <v>INF0QA701292</v>
          </cell>
          <cell r="D3223" t="str">
            <v>Bajaj Finserv Overnight Fund - Regular Plan - Daily - IDCW</v>
          </cell>
          <cell r="E3223">
            <v>1032.8859</v>
          </cell>
        </row>
        <row r="3224">
          <cell r="B3224" t="str">
            <v>INF0QA701318</v>
          </cell>
          <cell r="C3224" t="str">
            <v>INF0QA701276</v>
          </cell>
          <cell r="D3224" t="str">
            <v>Bajaj Finserv Overnight Fund - Regular Plan - Fortnightly - IDCW</v>
          </cell>
          <cell r="E3224">
            <v>1034.2181</v>
          </cell>
        </row>
        <row r="3225">
          <cell r="B3225" t="str">
            <v>INF0QA701250</v>
          </cell>
          <cell r="C3225" t="str">
            <v>-</v>
          </cell>
          <cell r="D3225" t="str">
            <v>Bajaj Finserv Overnight Fund - Regular Plan - Growth</v>
          </cell>
          <cell r="E3225">
            <v>1198.8647000000001</v>
          </cell>
        </row>
        <row r="3226">
          <cell r="B3226" t="str">
            <v>INF0QA701326</v>
          </cell>
          <cell r="C3226" t="str">
            <v>INF0QA701284</v>
          </cell>
          <cell r="D3226" t="str">
            <v>Bajaj Finserv Overnight Fund - Regular Plan - Monthly - IDCW</v>
          </cell>
          <cell r="E3226">
            <v>1033.9347</v>
          </cell>
        </row>
        <row r="3227">
          <cell r="B3227" t="str">
            <v>INF0QA701300</v>
          </cell>
          <cell r="C3227" t="str">
            <v>INF0QA701268</v>
          </cell>
          <cell r="D3227" t="str">
            <v>Bajaj Finserv Overnight Fund - Regular Plan - Weekly - IDCW</v>
          </cell>
          <cell r="E3227">
            <v>1033.1484</v>
          </cell>
        </row>
        <row r="3228">
          <cell r="B3228" t="str">
            <v/>
          </cell>
          <cell r="C3228" t="str">
            <v/>
          </cell>
          <cell r="D3228" t="str">
            <v/>
          </cell>
        </row>
        <row r="3229">
          <cell r="B3229" t="str">
            <v/>
          </cell>
          <cell r="C3229" t="str">
            <v/>
          </cell>
          <cell r="D3229" t="str">
            <v/>
          </cell>
        </row>
        <row r="3230">
          <cell r="B3230" t="str">
            <v/>
          </cell>
          <cell r="C3230" t="str">
            <v/>
          </cell>
          <cell r="D3230" t="str">
            <v/>
          </cell>
        </row>
        <row r="3231">
          <cell r="B3231" t="str">
            <v>INF194KB1462</v>
          </cell>
          <cell r="C3231" t="str">
            <v>INF194KB1470</v>
          </cell>
          <cell r="D3231" t="str">
            <v>BANDHAN Overnight Fund - Direct Plan - Daily IDCW</v>
          </cell>
          <cell r="E3231">
            <v>1000.0098</v>
          </cell>
        </row>
        <row r="3232">
          <cell r="B3232" t="str">
            <v>INF194KB1447</v>
          </cell>
          <cell r="C3232" t="str">
            <v>-</v>
          </cell>
          <cell r="D3232" t="str">
            <v>BANDHAN Overnight Fund - Direct Plan - Growth</v>
          </cell>
          <cell r="E3232">
            <v>1459.3666000000001</v>
          </cell>
        </row>
        <row r="3233">
          <cell r="B3233" t="str">
            <v>INF194KB1496</v>
          </cell>
          <cell r="C3233" t="str">
            <v>INF194KB1504</v>
          </cell>
          <cell r="D3233" t="str">
            <v>BANDHAN Overnight Fund - Direct Plan - Monthly IDCW</v>
          </cell>
          <cell r="E3233">
            <v>1003.2919000000001</v>
          </cell>
        </row>
        <row r="3234">
          <cell r="B3234" t="str">
            <v>INF194KB1520</v>
          </cell>
          <cell r="C3234" t="str">
            <v>INF194KB1538</v>
          </cell>
          <cell r="D3234" t="str">
            <v>BANDHAN Overnight Fund - Direct Plan - Periodic IDCW</v>
          </cell>
          <cell r="E3234">
            <v>1329.8987999999999</v>
          </cell>
        </row>
        <row r="3235">
          <cell r="B3235" t="str">
            <v>INF194KB1553</v>
          </cell>
          <cell r="C3235" t="str">
            <v>INF194KB1561</v>
          </cell>
          <cell r="D3235" t="str">
            <v>BANDHAN Overnight Fund - Direct Plan - Weekly IDCW</v>
          </cell>
          <cell r="E3235">
            <v>1000.7257</v>
          </cell>
        </row>
        <row r="3236">
          <cell r="B3236" t="str">
            <v>INF194KB1330</v>
          </cell>
          <cell r="C3236" t="str">
            <v>INF194KB1348</v>
          </cell>
          <cell r="D3236" t="str">
            <v>BANDHAN Overnight Fund - Regular Plan - Daily IDCW</v>
          </cell>
          <cell r="E3236">
            <v>1000.0098</v>
          </cell>
        </row>
        <row r="3237">
          <cell r="B3237" t="str">
            <v>INF194KB1314</v>
          </cell>
          <cell r="C3237" t="str">
            <v>-</v>
          </cell>
          <cell r="D3237" t="str">
            <v>BANDHAN Overnight Fund - Regular Plan - Growth</v>
          </cell>
          <cell r="E3237">
            <v>1447.6351</v>
          </cell>
        </row>
        <row r="3238">
          <cell r="B3238" t="str">
            <v>INF194KB1363</v>
          </cell>
          <cell r="C3238" t="str">
            <v>INF194KB1371</v>
          </cell>
          <cell r="D3238" t="str">
            <v>BANDHAN Overnight Fund - Regular Plan - Monthly IDCW</v>
          </cell>
          <cell r="E3238">
            <v>1003.2127</v>
          </cell>
        </row>
        <row r="3239">
          <cell r="B3239" t="str">
            <v>INF194KB1421</v>
          </cell>
          <cell r="C3239" t="str">
            <v>INF194KB1439</v>
          </cell>
          <cell r="D3239" t="str">
            <v>BANDHAN Overnight Fund - Regular Plan - Weekly IDCW</v>
          </cell>
          <cell r="E3239">
            <v>1001.6055</v>
          </cell>
        </row>
        <row r="3240">
          <cell r="B3240" t="str">
            <v>INF194KB1397</v>
          </cell>
          <cell r="C3240" t="str">
            <v>INF194KB1405</v>
          </cell>
          <cell r="D3240" t="str">
            <v>BANDHAN Overnight Fund - REGULAR PLAN PERIODIC IDCW</v>
          </cell>
          <cell r="E3240">
            <v>1324.6119000000001</v>
          </cell>
        </row>
        <row r="3241">
          <cell r="B3241" t="str">
            <v/>
          </cell>
          <cell r="C3241" t="str">
            <v/>
          </cell>
          <cell r="D3241" t="str">
            <v/>
          </cell>
        </row>
        <row r="3242">
          <cell r="B3242" t="str">
            <v/>
          </cell>
          <cell r="C3242" t="str">
            <v/>
          </cell>
          <cell r="D3242" t="str">
            <v/>
          </cell>
        </row>
        <row r="3243">
          <cell r="B3243" t="str">
            <v/>
          </cell>
          <cell r="C3243" t="str">
            <v/>
          </cell>
          <cell r="D3243" t="str">
            <v/>
          </cell>
        </row>
        <row r="3244">
          <cell r="B3244" t="str">
            <v>INF761K01EU7</v>
          </cell>
          <cell r="C3244" t="str">
            <v>-</v>
          </cell>
          <cell r="D3244" t="str">
            <v>BANK OF INDIA Overnight Fund Direct Plan Growth</v>
          </cell>
          <cell r="E3244">
            <v>1392.1063999999999</v>
          </cell>
        </row>
        <row r="3245">
          <cell r="B3245" t="str">
            <v>-</v>
          </cell>
          <cell r="C3245" t="str">
            <v>INF761K01EV5</v>
          </cell>
          <cell r="D3245" t="str">
            <v>BANK OF INDIA Overnight Fund Direct Plan- Daily IDCW</v>
          </cell>
          <cell r="E3245">
            <v>1000</v>
          </cell>
        </row>
        <row r="3246">
          <cell r="B3246" t="str">
            <v>INF761K01EY9</v>
          </cell>
          <cell r="C3246" t="str">
            <v>INF761K01EX1</v>
          </cell>
          <cell r="D3246" t="str">
            <v>BANK OF INDIA Overnight Fund Direct Plan- Monthly IDCW</v>
          </cell>
          <cell r="E3246">
            <v>1003.3052</v>
          </cell>
        </row>
        <row r="3247">
          <cell r="B3247" t="str">
            <v>-</v>
          </cell>
          <cell r="C3247" t="str">
            <v>INF761K01EW3</v>
          </cell>
          <cell r="D3247" t="str">
            <v>BANK OF INDIA Overnight Fund Direct Plan- Weekly IDCW</v>
          </cell>
          <cell r="E3247">
            <v>1000.0019</v>
          </cell>
        </row>
        <row r="3248">
          <cell r="B3248" t="str">
            <v>INF761K01EZ6</v>
          </cell>
          <cell r="C3248" t="str">
            <v>-</v>
          </cell>
          <cell r="D3248" t="str">
            <v>BANK OF INDIA Overnight Fund Regular Plan Growth</v>
          </cell>
          <cell r="E3248">
            <v>1387.8157000000001</v>
          </cell>
        </row>
        <row r="3249">
          <cell r="B3249" t="str">
            <v>-</v>
          </cell>
          <cell r="C3249" t="str">
            <v>INF761K01FA6</v>
          </cell>
          <cell r="D3249" t="str">
            <v>BANK OF INDIA Overnight Fund Regular Plan- Daily IDCW</v>
          </cell>
          <cell r="E3249">
            <v>1000</v>
          </cell>
        </row>
        <row r="3250">
          <cell r="B3250" t="str">
            <v>INF761K01FD0</v>
          </cell>
          <cell r="C3250" t="str">
            <v>INF761K01FC2</v>
          </cell>
          <cell r="D3250" t="str">
            <v>BANK OF INDIA Overnight Fund Regular Plan- Monthly IDCW</v>
          </cell>
          <cell r="E3250">
            <v>1003.2771</v>
          </cell>
        </row>
        <row r="3251">
          <cell r="B3251" t="str">
            <v>-</v>
          </cell>
          <cell r="C3251" t="str">
            <v>INF761K01FB4</v>
          </cell>
          <cell r="D3251" t="str">
            <v>BANK OF INDIA Overnight Fund Regular Plan- Weekly IDCW</v>
          </cell>
          <cell r="E3251">
            <v>1000.2841</v>
          </cell>
        </row>
        <row r="3252">
          <cell r="B3252" t="str">
            <v>-</v>
          </cell>
          <cell r="C3252" t="str">
            <v>-</v>
          </cell>
          <cell r="D3252" t="str">
            <v>BANK OF INDIA Overnight Fund Unclaimed IDCW Plan - Greater than 3 Years</v>
          </cell>
          <cell r="E3252">
            <v>1000</v>
          </cell>
        </row>
        <row r="3253">
          <cell r="B3253" t="str">
            <v>-</v>
          </cell>
          <cell r="C3253" t="str">
            <v>-</v>
          </cell>
          <cell r="D3253" t="str">
            <v>BANK OF INDIA Overnight Fund Unclaimed IDCW Plan - Up to 3 Years</v>
          </cell>
          <cell r="E3253">
            <v>1308.8411000000001</v>
          </cell>
        </row>
        <row r="3254">
          <cell r="B3254" t="str">
            <v>-</v>
          </cell>
          <cell r="C3254" t="str">
            <v>-</v>
          </cell>
          <cell r="D3254" t="str">
            <v>BANK OF INDIA Overnight Fund Unclaimed Redemption Plan - Greater than 3 Years</v>
          </cell>
          <cell r="E3254">
            <v>1000</v>
          </cell>
        </row>
        <row r="3255">
          <cell r="B3255" t="str">
            <v>-</v>
          </cell>
          <cell r="C3255" t="str">
            <v>-</v>
          </cell>
          <cell r="D3255" t="str">
            <v>BANK OF INDIA Overnight Fund Unclaimed Redemption Plan - Upto 3 Years</v>
          </cell>
          <cell r="E3255">
            <v>1309.0753</v>
          </cell>
        </row>
        <row r="3256">
          <cell r="B3256" t="str">
            <v/>
          </cell>
          <cell r="C3256" t="str">
            <v/>
          </cell>
          <cell r="D3256" t="str">
            <v/>
          </cell>
        </row>
        <row r="3257">
          <cell r="B3257" t="str">
            <v/>
          </cell>
          <cell r="C3257" t="str">
            <v/>
          </cell>
          <cell r="D3257" t="str">
            <v/>
          </cell>
        </row>
        <row r="3258">
          <cell r="B3258" t="str">
            <v/>
          </cell>
          <cell r="C3258" t="str">
            <v/>
          </cell>
          <cell r="D3258" t="str">
            <v/>
          </cell>
        </row>
        <row r="3259">
          <cell r="B3259" t="str">
            <v>-</v>
          </cell>
          <cell r="C3259" t="str">
            <v>INF955L01HW2</v>
          </cell>
          <cell r="D3259" t="str">
            <v>Baroda BNP Paribas Overnight Fund - Direct Plan - Daily IDCW</v>
          </cell>
          <cell r="E3259">
            <v>1000.0028</v>
          </cell>
        </row>
        <row r="3260">
          <cell r="B3260" t="str">
            <v>INF955L01HV4</v>
          </cell>
          <cell r="C3260" t="str">
            <v>-</v>
          </cell>
          <cell r="D3260" t="str">
            <v>Baroda BNP Paribas Overnight Fund - Direct Plan - Growth</v>
          </cell>
          <cell r="E3260">
            <v>1437.4088999999999</v>
          </cell>
        </row>
        <row r="3261">
          <cell r="B3261" t="str">
            <v>-</v>
          </cell>
          <cell r="C3261" t="str">
            <v>INF955L01HX0</v>
          </cell>
          <cell r="D3261" t="str">
            <v>Baroda BNP Paribas Overnight Fund - Direct Plan - Weekly IDCW</v>
          </cell>
          <cell r="E3261">
            <v>1000.2511</v>
          </cell>
        </row>
        <row r="3262">
          <cell r="B3262" t="str">
            <v>-</v>
          </cell>
          <cell r="C3262" t="str">
            <v>-</v>
          </cell>
          <cell r="D3262" t="str">
            <v>Baroda BNP Paribas Overnight Fund - Plan C - Unclaimed IDCW - Greater than 3 years</v>
          </cell>
          <cell r="E3262">
            <v>1000</v>
          </cell>
        </row>
        <row r="3263">
          <cell r="B3263" t="str">
            <v>-</v>
          </cell>
          <cell r="C3263" t="str">
            <v>-</v>
          </cell>
          <cell r="D3263" t="str">
            <v>Baroda BNP Paribas Overnight Fund - Plan C - Unclaimed IDCW - Up to 3 years</v>
          </cell>
          <cell r="E3263">
            <v>1289.6824999999999</v>
          </cell>
        </row>
        <row r="3264">
          <cell r="B3264" t="str">
            <v>-</v>
          </cell>
          <cell r="C3264" t="str">
            <v>-</v>
          </cell>
          <cell r="D3264" t="str">
            <v>Baroda BNP Paribas Overnight Fund - Plan C - Unclaimed Redemption - Greater than 3 years</v>
          </cell>
          <cell r="E3264">
            <v>1000</v>
          </cell>
        </row>
        <row r="3265">
          <cell r="B3265" t="str">
            <v>-</v>
          </cell>
          <cell r="C3265" t="str">
            <v>-</v>
          </cell>
          <cell r="D3265" t="str">
            <v>Baroda BNP Paribas Overnight Fund - Plan C - Unclaimed Redemption - Up to 3 years</v>
          </cell>
          <cell r="E3265">
            <v>1289.6523999999999</v>
          </cell>
        </row>
        <row r="3266">
          <cell r="B3266" t="str">
            <v>-</v>
          </cell>
          <cell r="C3266" t="str">
            <v>INF955L01HT8</v>
          </cell>
          <cell r="D3266" t="str">
            <v>Baroda BNP Paribas Overnight Fund - Regular Plan - Daily IDCW</v>
          </cell>
          <cell r="E3266">
            <v>1000.0018</v>
          </cell>
        </row>
        <row r="3267">
          <cell r="B3267" t="str">
            <v>INF955L01HS0</v>
          </cell>
          <cell r="C3267" t="str">
            <v>-</v>
          </cell>
          <cell r="D3267" t="str">
            <v>Baroda BNP Paribas Overnight Fund - Regular Plan - Growth</v>
          </cell>
          <cell r="E3267">
            <v>1430.5885000000001</v>
          </cell>
        </row>
        <row r="3268">
          <cell r="B3268" t="str">
            <v>-</v>
          </cell>
          <cell r="C3268" t="str">
            <v>INF955L01HU6</v>
          </cell>
          <cell r="D3268" t="str">
            <v>Baroda BNP Paribas Overnight Fund - Regular Plan - Weekly IDCW</v>
          </cell>
          <cell r="E3268">
            <v>1000.7373</v>
          </cell>
        </row>
        <row r="3269">
          <cell r="B3269" t="str">
            <v/>
          </cell>
          <cell r="C3269" t="str">
            <v/>
          </cell>
          <cell r="D3269" t="str">
            <v/>
          </cell>
        </row>
        <row r="3270">
          <cell r="B3270" t="str">
            <v/>
          </cell>
          <cell r="C3270" t="str">
            <v/>
          </cell>
          <cell r="D3270" t="str">
            <v/>
          </cell>
        </row>
        <row r="3271">
          <cell r="B3271" t="str">
            <v/>
          </cell>
          <cell r="C3271" t="str">
            <v/>
          </cell>
          <cell r="D3271" t="str">
            <v/>
          </cell>
        </row>
        <row r="3272">
          <cell r="B3272" t="str">
            <v>-</v>
          </cell>
          <cell r="C3272" t="str">
            <v>INF760K01JN3</v>
          </cell>
          <cell r="D3272" t="str">
            <v>CANARA ROBECO OVERNIGHT FUND - DIRECT PLAN - DAILY IDCW (Reinvestment)</v>
          </cell>
          <cell r="E3272">
            <v>1001.0012</v>
          </cell>
        </row>
        <row r="3273">
          <cell r="B3273" t="str">
            <v>INF760K01JM5</v>
          </cell>
          <cell r="C3273" t="str">
            <v>-</v>
          </cell>
          <cell r="D3273" t="str">
            <v>CANARA ROBECO OVERNIGHT FUND - DIRECT PLAN - GROWTH OPTION</v>
          </cell>
          <cell r="E3273">
            <v>1412.3876</v>
          </cell>
        </row>
        <row r="3274">
          <cell r="B3274" t="str">
            <v>-</v>
          </cell>
          <cell r="C3274" t="str">
            <v>INF760K01JP8</v>
          </cell>
          <cell r="D3274" t="str">
            <v>CANARA ROBECO OVERNIGHT FUND - REGULAR PLAN - DAILY IDCW (Reinvestment)</v>
          </cell>
          <cell r="E3274">
            <v>1001</v>
          </cell>
        </row>
        <row r="3275">
          <cell r="B3275" t="str">
            <v>INF760K01JO1</v>
          </cell>
          <cell r="C3275" t="str">
            <v>-</v>
          </cell>
          <cell r="D3275" t="str">
            <v>CANARA ROBECO OVERNIGHT FUND - REGULAR PLAN - GROWTH OPTION</v>
          </cell>
          <cell r="E3275">
            <v>1410.8076000000001</v>
          </cell>
        </row>
        <row r="3276">
          <cell r="B3276" t="str">
            <v/>
          </cell>
          <cell r="C3276" t="str">
            <v/>
          </cell>
          <cell r="D3276" t="str">
            <v/>
          </cell>
        </row>
        <row r="3277">
          <cell r="B3277" t="str">
            <v/>
          </cell>
          <cell r="C3277" t="str">
            <v/>
          </cell>
          <cell r="D3277" t="str">
            <v/>
          </cell>
        </row>
        <row r="3278">
          <cell r="B3278" t="str">
            <v/>
          </cell>
          <cell r="C3278" t="str">
            <v/>
          </cell>
          <cell r="D3278" t="str">
            <v/>
          </cell>
        </row>
        <row r="3279">
          <cell r="B3279" t="str">
            <v>INF740KA1MC8</v>
          </cell>
          <cell r="C3279" t="str">
            <v>-</v>
          </cell>
          <cell r="D3279" t="str">
            <v>DSP Overnight Fund - Direct Plan - Growth</v>
          </cell>
          <cell r="E3279">
            <v>1465.7560000000001</v>
          </cell>
        </row>
        <row r="3280">
          <cell r="B3280" t="str">
            <v>-</v>
          </cell>
          <cell r="C3280" t="str">
            <v>INF740KA1OR2</v>
          </cell>
          <cell r="D3280" t="str">
            <v>DSP Overnight Fund - Direct Plan - IDCW - Daily</v>
          </cell>
          <cell r="E3280">
            <v>1000.0099</v>
          </cell>
        </row>
        <row r="3281">
          <cell r="B3281" t="str">
            <v>INF740KA1OS0</v>
          </cell>
          <cell r="C3281" t="str">
            <v>INF740KA1OT8</v>
          </cell>
          <cell r="D3281" t="str">
            <v>DSP Overnight Fund - Direct Plan - IDCW - Weekly</v>
          </cell>
          <cell r="E3281">
            <v>1000.8946</v>
          </cell>
        </row>
        <row r="3282">
          <cell r="B3282" t="str">
            <v>INF740KA1MB0</v>
          </cell>
          <cell r="C3282" t="str">
            <v>-</v>
          </cell>
          <cell r="D3282" t="str">
            <v>DSP Overnight Fund - Regular Plan - Growth</v>
          </cell>
          <cell r="E3282">
            <v>1456.9867999999999</v>
          </cell>
        </row>
        <row r="3283">
          <cell r="B3283" t="str">
            <v>-</v>
          </cell>
          <cell r="C3283" t="str">
            <v>INF740KA1OU6</v>
          </cell>
          <cell r="D3283" t="str">
            <v>DSP Overnight Fund - Regular Plan - IDCW - Daily</v>
          </cell>
          <cell r="E3283">
            <v>1000.0099</v>
          </cell>
        </row>
        <row r="3284">
          <cell r="B3284" t="str">
            <v>INF740KA1OV4</v>
          </cell>
          <cell r="C3284" t="str">
            <v>INF740KA1OW2</v>
          </cell>
          <cell r="D3284" t="str">
            <v>DSP Overnight Fund - Regular Plan - IDCW - Weekly</v>
          </cell>
          <cell r="E3284">
            <v>1001.4598</v>
          </cell>
        </row>
        <row r="3285">
          <cell r="B3285" t="str">
            <v>-</v>
          </cell>
          <cell r="C3285" t="str">
            <v>-</v>
          </cell>
          <cell r="D3285" t="str">
            <v>Unclaimed IDCW - Beyond 3 years (Invested in DSP Overnight Fund)</v>
          </cell>
          <cell r="E3285">
            <v>10</v>
          </cell>
        </row>
        <row r="3286">
          <cell r="B3286" t="str">
            <v>-</v>
          </cell>
          <cell r="C3286" t="str">
            <v>-</v>
          </cell>
          <cell r="D3286" t="str">
            <v>Unclaimed IDCW - Upto 3 years (Invested in DSP Overnight Fund)</v>
          </cell>
          <cell r="E3286">
            <v>13.0566</v>
          </cell>
        </row>
        <row r="3287">
          <cell r="B3287" t="str">
            <v>-</v>
          </cell>
          <cell r="C3287" t="str">
            <v>-</v>
          </cell>
          <cell r="D3287" t="str">
            <v>Unclaimed Redemption - Beyond 3 years (Invested in DSP Overnight Fund)</v>
          </cell>
          <cell r="E3287">
            <v>10</v>
          </cell>
        </row>
        <row r="3288">
          <cell r="B3288" t="str">
            <v>-</v>
          </cell>
          <cell r="C3288" t="str">
            <v>-</v>
          </cell>
          <cell r="D3288" t="str">
            <v>Unclaimed Redemption - Upto 3 years (Invested in DSP Overnight Fund)</v>
          </cell>
          <cell r="E3288">
            <v>13.0566</v>
          </cell>
        </row>
        <row r="3289">
          <cell r="B3289" t="str">
            <v/>
          </cell>
          <cell r="C3289" t="str">
            <v/>
          </cell>
          <cell r="D3289" t="str">
            <v/>
          </cell>
        </row>
        <row r="3290">
          <cell r="B3290" t="str">
            <v/>
          </cell>
          <cell r="C3290" t="str">
            <v/>
          </cell>
          <cell r="D3290" t="str">
            <v/>
          </cell>
        </row>
        <row r="3291">
          <cell r="B3291" t="str">
            <v/>
          </cell>
          <cell r="C3291" t="str">
            <v/>
          </cell>
          <cell r="D3291" t="str">
            <v/>
          </cell>
        </row>
        <row r="3292">
          <cell r="B3292" t="str">
            <v>INF754K01KD5</v>
          </cell>
          <cell r="C3292" t="str">
            <v>INF754K01KC7</v>
          </cell>
          <cell r="D3292" t="str">
            <v>Edelweiss Overnight Fund - Direct Plan - Annual - IDCW Option</v>
          </cell>
          <cell r="E3292">
            <v>1415.9549999999999</v>
          </cell>
        </row>
        <row r="3293">
          <cell r="B3293" t="str">
            <v>-</v>
          </cell>
          <cell r="C3293" t="str">
            <v>INF754K01JW7</v>
          </cell>
          <cell r="D3293" t="str">
            <v>Edelweiss Overnight Fund - Direct Plan - Daily - IDCW Option</v>
          </cell>
          <cell r="E3293">
            <v>1000.2374</v>
          </cell>
        </row>
        <row r="3294">
          <cell r="B3294" t="str">
            <v>INF754K01JZ0</v>
          </cell>
          <cell r="C3294" t="str">
            <v>INF754K01JY3</v>
          </cell>
          <cell r="D3294" t="str">
            <v>Edelweiss Overnight Fund - Direct Plan - Fortnightly - IDCW Option</v>
          </cell>
          <cell r="E3294">
            <v>1374.3707999999999</v>
          </cell>
        </row>
        <row r="3295">
          <cell r="B3295" t="str">
            <v>INF754K01JV9</v>
          </cell>
          <cell r="C3295" t="str">
            <v>-</v>
          </cell>
          <cell r="D3295" t="str">
            <v>Edelweiss Overnight Fund - Direct Plan - Growth</v>
          </cell>
          <cell r="E3295">
            <v>1415.4867999999999</v>
          </cell>
        </row>
        <row r="3296">
          <cell r="B3296" t="str">
            <v>INF754K01KB9</v>
          </cell>
          <cell r="C3296" t="str">
            <v>INF754K01KA1</v>
          </cell>
          <cell r="D3296" t="str">
            <v>Edelweiss Overnight Fund - Direct Plan - Monthly - IDCW Option</v>
          </cell>
          <cell r="E3296">
            <v>1061.5925999999999</v>
          </cell>
        </row>
        <row r="3297">
          <cell r="B3297" t="str">
            <v>-</v>
          </cell>
          <cell r="C3297" t="str">
            <v>INF754K01JX5</v>
          </cell>
          <cell r="D3297" t="str">
            <v>Edelweiss Overnight Fund - Direct Plan - Weekly - IDCW Option</v>
          </cell>
          <cell r="E3297">
            <v>1378.4970000000001</v>
          </cell>
        </row>
        <row r="3298">
          <cell r="B3298" t="str">
            <v>INF754K01KM6</v>
          </cell>
          <cell r="C3298" t="str">
            <v>INF754K01KL8</v>
          </cell>
          <cell r="D3298" t="str">
            <v>Edelweiss Overnight Fund - Regular Plan - Annual - IDCW Option</v>
          </cell>
          <cell r="E3298">
            <v>1410.0891999999999</v>
          </cell>
        </row>
        <row r="3299">
          <cell r="B3299" t="str">
            <v>-</v>
          </cell>
          <cell r="C3299" t="str">
            <v>INF754K01KF0</v>
          </cell>
          <cell r="D3299" t="str">
            <v>Edelweiss Overnight Fund - Regular Plan - Daily - IDCW Option</v>
          </cell>
          <cell r="E3299">
            <v>1008.3733</v>
          </cell>
        </row>
        <row r="3300">
          <cell r="B3300" t="str">
            <v>INF754K01KI4</v>
          </cell>
          <cell r="C3300" t="str">
            <v>INF754K01KH6</v>
          </cell>
          <cell r="D3300" t="str">
            <v>Edelweiss Overnight Fund - Regular Plan - Fortnightly - IDCW Option</v>
          </cell>
          <cell r="E3300">
            <v>1096.3946000000001</v>
          </cell>
        </row>
        <row r="3301">
          <cell r="B3301" t="str">
            <v>INF754K01KE3</v>
          </cell>
          <cell r="C3301" t="str">
            <v>-</v>
          </cell>
          <cell r="D3301" t="str">
            <v>Edelweiss Overnight Fund - Regular Plan - Growth</v>
          </cell>
          <cell r="E3301">
            <v>1410.0776000000001</v>
          </cell>
        </row>
        <row r="3302">
          <cell r="B3302" t="str">
            <v>INF754K01KK0</v>
          </cell>
          <cell r="C3302" t="str">
            <v>INF754K01KJ2</v>
          </cell>
          <cell r="D3302" t="str">
            <v>Edelweiss Overnight Fund - Regular Plan - Monthly - IDCW Option</v>
          </cell>
          <cell r="E3302">
            <v>1008.256</v>
          </cell>
        </row>
        <row r="3303">
          <cell r="B3303" t="str">
            <v>-</v>
          </cell>
          <cell r="C3303" t="str">
            <v>INF754K01KG8</v>
          </cell>
          <cell r="D3303" t="str">
            <v>Edelweiss Overnight Fund - Regular Plan - Weekly - IDCW Option</v>
          </cell>
          <cell r="E3303">
            <v>1016.7023</v>
          </cell>
        </row>
        <row r="3304">
          <cell r="B3304" t="str">
            <v>-</v>
          </cell>
          <cell r="C3304" t="str">
            <v>-</v>
          </cell>
          <cell r="D3304" t="str">
            <v>Edelweiss Overnight Fund - Unclaimed IDCW Plan - Above 3 years</v>
          </cell>
          <cell r="E3304">
            <v>1000</v>
          </cell>
        </row>
        <row r="3305">
          <cell r="B3305" t="str">
            <v>-</v>
          </cell>
          <cell r="C3305" t="str">
            <v>-</v>
          </cell>
          <cell r="D3305" t="str">
            <v>Edelweiss Overnight Fund - Unclaimed IDCW Plan - Upto 3 years</v>
          </cell>
          <cell r="E3305">
            <v>1295.0934999999999</v>
          </cell>
        </row>
        <row r="3306">
          <cell r="B3306" t="str">
            <v>-</v>
          </cell>
          <cell r="C3306" t="str">
            <v>-</v>
          </cell>
          <cell r="D3306" t="str">
            <v>Edelweiss Overnight Fund - Unclaimed Redemption Plan - Above 3 years</v>
          </cell>
          <cell r="E3306">
            <v>1000</v>
          </cell>
        </row>
        <row r="3307">
          <cell r="B3307" t="str">
            <v>-</v>
          </cell>
          <cell r="C3307" t="str">
            <v>-</v>
          </cell>
          <cell r="D3307" t="str">
            <v>Edelweiss Overnight Fund - Unclaimed Redemption Plan - Upto 3 years</v>
          </cell>
          <cell r="E3307">
            <v>1295.0918999999999</v>
          </cell>
        </row>
        <row r="3308">
          <cell r="B3308" t="str">
            <v/>
          </cell>
          <cell r="C3308" t="str">
            <v/>
          </cell>
          <cell r="D3308" t="str">
            <v/>
          </cell>
        </row>
        <row r="3309">
          <cell r="B3309" t="str">
            <v/>
          </cell>
          <cell r="C3309" t="str">
            <v/>
          </cell>
          <cell r="D3309" t="str">
            <v/>
          </cell>
        </row>
        <row r="3310">
          <cell r="B3310" t="str">
            <v/>
          </cell>
          <cell r="C3310" t="str">
            <v/>
          </cell>
          <cell r="D3310" t="str">
            <v/>
          </cell>
        </row>
        <row r="3311">
          <cell r="B3311" t="str">
            <v>-</v>
          </cell>
          <cell r="C3311" t="str">
            <v>INF090I01SM2</v>
          </cell>
          <cell r="D3311" t="str">
            <v>Franklin India Overnight Fund - Daily Dividend Plan - Daily - IDCW</v>
          </cell>
          <cell r="E3311">
            <v>1000.0001</v>
          </cell>
        </row>
        <row r="3312">
          <cell r="B3312" t="str">
            <v>-</v>
          </cell>
          <cell r="C3312" t="str">
            <v>INF090I01ST7</v>
          </cell>
          <cell r="D3312" t="str">
            <v>Franklin India Overnight Fund - Direct Daily Dividend Plan - Daily - IDCW</v>
          </cell>
          <cell r="E3312">
            <v>1000.0007000000001</v>
          </cell>
        </row>
        <row r="3313">
          <cell r="B3313" t="str">
            <v>INF090I01SR1</v>
          </cell>
          <cell r="C3313" t="str">
            <v>INF090I01SQ3</v>
          </cell>
          <cell r="D3313" t="str">
            <v>Franklin India Overnight Fund - Direct Weekly Dividend Plan - Weekly - IDCW</v>
          </cell>
          <cell r="E3313">
            <v>1000.4321</v>
          </cell>
        </row>
        <row r="3314">
          <cell r="B3314" t="str">
            <v>INF090I01SN0</v>
          </cell>
          <cell r="C3314" t="str">
            <v>INF090I01SP5</v>
          </cell>
          <cell r="D3314" t="str">
            <v>Franklin India Overnight Fund - Weekly Dividend Plan - Weekly - IDCW</v>
          </cell>
          <cell r="E3314">
            <v>1000.4334</v>
          </cell>
        </row>
        <row r="3315">
          <cell r="B3315" t="str">
            <v>INF090I01SO8</v>
          </cell>
          <cell r="C3315" t="str">
            <v>-</v>
          </cell>
          <cell r="D3315" t="str">
            <v>Franklin India Overnight fund- Growth</v>
          </cell>
          <cell r="E3315">
            <v>1422.6076</v>
          </cell>
        </row>
        <row r="3316">
          <cell r="B3316" t="str">
            <v>INF090I01SS9</v>
          </cell>
          <cell r="C3316" t="str">
            <v>-</v>
          </cell>
          <cell r="D3316" t="str">
            <v>Franklin India Overnight Fund- Growth - Direct</v>
          </cell>
          <cell r="E3316">
            <v>1427.61</v>
          </cell>
        </row>
        <row r="3317">
          <cell r="B3317" t="str">
            <v>-</v>
          </cell>
          <cell r="C3317" t="str">
            <v>-</v>
          </cell>
          <cell r="D3317" t="str">
            <v>Franklin India Overnight Fund- Unclaimed IDCW Investor Education Plan</v>
          </cell>
          <cell r="E3317">
            <v>10</v>
          </cell>
        </row>
        <row r="3318">
          <cell r="B3318" t="str">
            <v>-</v>
          </cell>
          <cell r="C3318" t="str">
            <v>-</v>
          </cell>
          <cell r="D3318" t="str">
            <v>Franklin India Overnight Fund- Unclaimed IDCW Plan</v>
          </cell>
          <cell r="E3318">
            <v>12.9572</v>
          </cell>
        </row>
        <row r="3319">
          <cell r="B3319" t="str">
            <v>-</v>
          </cell>
          <cell r="C3319" t="str">
            <v>-</v>
          </cell>
          <cell r="D3319" t="str">
            <v>Franklin India Overnight Fund- Unclaimed Redemption Investor EducationPlan</v>
          </cell>
          <cell r="E3319">
            <v>10</v>
          </cell>
        </row>
        <row r="3320">
          <cell r="B3320" t="str">
            <v>-</v>
          </cell>
          <cell r="C3320" t="str">
            <v>-</v>
          </cell>
          <cell r="D3320" t="str">
            <v>Franklin India Overnight Fund- Unclaimed Redemption Plan</v>
          </cell>
          <cell r="E3320">
            <v>12.9572</v>
          </cell>
        </row>
        <row r="3321">
          <cell r="B3321" t="str">
            <v/>
          </cell>
          <cell r="C3321" t="str">
            <v/>
          </cell>
          <cell r="D3321" t="str">
            <v/>
          </cell>
        </row>
        <row r="3322">
          <cell r="B3322" t="str">
            <v/>
          </cell>
          <cell r="C3322" t="str">
            <v/>
          </cell>
          <cell r="D3322" t="str">
            <v/>
          </cell>
        </row>
        <row r="3323">
          <cell r="B3323" t="str">
            <v/>
          </cell>
          <cell r="C3323" t="str">
            <v/>
          </cell>
          <cell r="D3323" t="str">
            <v/>
          </cell>
        </row>
        <row r="3324">
          <cell r="B3324" t="str">
            <v>-</v>
          </cell>
          <cell r="C3324" t="str">
            <v>INF666M01GM6</v>
          </cell>
          <cell r="D3324" t="str">
            <v>Groww Overnight Fund (formerly known as Indiabulls Overnight Fund)- Direct Plan- - Income Distribution cum capital withdrawal Option ( Reinvestment)</v>
          </cell>
          <cell r="E3324">
            <v>1001.4998000000001</v>
          </cell>
        </row>
        <row r="3325">
          <cell r="B3325" t="str">
            <v>INF666M01GP9</v>
          </cell>
          <cell r="C3325" t="str">
            <v>INF666M01GQ7</v>
          </cell>
          <cell r="D3325" t="str">
            <v>Groww Overnight Fund (formerly known as Indiabulls Overnight Fund)- Direct Plan- Fortnightly - Income Distribution cum capital withdrawal Option (Payout &amp; Reinvestment)</v>
          </cell>
          <cell r="E3325">
            <v>1216.7619999999999</v>
          </cell>
        </row>
        <row r="3326">
          <cell r="B3326" t="str">
            <v>INF666M01GL8</v>
          </cell>
          <cell r="C3326" t="str">
            <v>-</v>
          </cell>
          <cell r="D3326" t="str">
            <v>Groww Overnight Fund (formerly known as Indiabulls Overnight Fund)- Direct Plan- Growth Option</v>
          </cell>
          <cell r="E3326">
            <v>1409.4947</v>
          </cell>
        </row>
        <row r="3327">
          <cell r="B3327" t="str">
            <v>INF666M01GR5</v>
          </cell>
          <cell r="C3327" t="str">
            <v>INF666M01GS3</v>
          </cell>
          <cell r="D3327" t="str">
            <v>Groww Overnight Fund (formerly known as Indiabulls Overnight Fund)- Direct Plan- Monthly - Income Distribution cum capital withdrawal Option (Payout &amp; Reinvestment)</v>
          </cell>
          <cell r="E3327">
            <v>1004.2965</v>
          </cell>
        </row>
        <row r="3328">
          <cell r="B3328" t="str">
            <v>INF666M01GN4</v>
          </cell>
          <cell r="C3328" t="str">
            <v>INF666M01GO2</v>
          </cell>
          <cell r="D3328" t="str">
            <v>Groww Overnight Fund (formerly known as Indiabulls Overnight Fund)- Direct Plan- Weekly - Income Distribution cum capital withdrawal Option (Payout &amp; Reinvestment)</v>
          </cell>
          <cell r="E3328">
            <v>1001.6315</v>
          </cell>
        </row>
        <row r="3329">
          <cell r="B3329" t="str">
            <v>-</v>
          </cell>
          <cell r="C3329" t="str">
            <v>INF666M01GU9</v>
          </cell>
          <cell r="D3329" t="str">
            <v>Groww Overnight Fund (formerly known as Indiabulls Overnight Fund)- Regular Plan- - Income Distribution cum capital withdrawal Option ( Reinvestment)</v>
          </cell>
          <cell r="E3329">
            <v>1001.051</v>
          </cell>
        </row>
        <row r="3330">
          <cell r="B3330" t="str">
            <v>INF666M01GX3</v>
          </cell>
          <cell r="C3330" t="str">
            <v>INF666M01GY1</v>
          </cell>
          <cell r="D3330" t="str">
            <v>Groww Overnight Fund (formerly known as Indiabulls Overnight Fund)- Regular Plan- Fortnightly - Income Distribution cum capital withdrawal Option (Payout &amp; Reinvestment)</v>
          </cell>
          <cell r="E3330">
            <v>1002.5836</v>
          </cell>
        </row>
        <row r="3331">
          <cell r="B3331" t="str">
            <v>INF666M01GT1</v>
          </cell>
          <cell r="C3331" t="str">
            <v>-</v>
          </cell>
          <cell r="D3331" t="str">
            <v>Groww Overnight Fund (formerly known as Indiabulls Overnight Fund)- Regular Plan- Growth Option</v>
          </cell>
          <cell r="E3331">
            <v>1400.1525999999999</v>
          </cell>
        </row>
        <row r="3332">
          <cell r="B3332" t="str">
            <v>INF666M01GZ8</v>
          </cell>
          <cell r="C3332" t="str">
            <v>INF666M01HA9</v>
          </cell>
          <cell r="D3332" t="str">
            <v>Groww Overnight Fund (formerly known as Indiabulls Overnight Fund)- Regular Plan- Monthly - Income Distribution cum capital withdrawal Option (Payout &amp; Reinvestment)</v>
          </cell>
          <cell r="E3332">
            <v>1004.1887</v>
          </cell>
        </row>
        <row r="3333">
          <cell r="B3333" t="str">
            <v>INF666M01GV7</v>
          </cell>
          <cell r="C3333" t="str">
            <v>INF666M01GW5</v>
          </cell>
          <cell r="D3333" t="str">
            <v>Groww Overnight Fund (formerly known as Indiabulls Overnight Fund)- Regular Plan- Weekly - Income Distribution cum capital withdrawal Option (Payout &amp; Reinvestment)</v>
          </cell>
          <cell r="E3333">
            <v>1001.2311</v>
          </cell>
        </row>
        <row r="3334">
          <cell r="B3334" t="str">
            <v>-</v>
          </cell>
          <cell r="C3334" t="str">
            <v>-</v>
          </cell>
          <cell r="D3334" t="str">
            <v>Groww Overnight Fund (formerly known as Indiabulls Overnight Fund)- Unclaimed Dividend &lt; 3 years</v>
          </cell>
          <cell r="E3334">
            <v>1307.4973</v>
          </cell>
        </row>
        <row r="3335">
          <cell r="B3335" t="str">
            <v>-</v>
          </cell>
          <cell r="C3335" t="str">
            <v>-</v>
          </cell>
          <cell r="D3335" t="str">
            <v>Groww Overnight Fund (formerly known as Indiabulls Overnight Fund)- Unclaimed Dividend &gt; 3 Years</v>
          </cell>
          <cell r="E3335">
            <v>1183.0934</v>
          </cell>
        </row>
        <row r="3336">
          <cell r="B3336" t="str">
            <v>-</v>
          </cell>
          <cell r="C3336" t="str">
            <v>-</v>
          </cell>
          <cell r="D3336" t="str">
            <v>Groww Overnight Fund (formerly known as Indiabulls Overnight Fund)- Unclaimed Redemption &lt; 3 Years</v>
          </cell>
          <cell r="E3336">
            <v>1293.5936999999999</v>
          </cell>
        </row>
        <row r="3337">
          <cell r="B3337" t="str">
            <v>-</v>
          </cell>
          <cell r="C3337" t="str">
            <v>-</v>
          </cell>
          <cell r="D3337" t="str">
            <v>Groww Overnight Fund (formerly known as Indiabulls Overnight Fund)- Unclaimed Redemption &gt; 3 Years</v>
          </cell>
          <cell r="E3337">
            <v>1000</v>
          </cell>
        </row>
        <row r="3338">
          <cell r="B3338" t="str">
            <v/>
          </cell>
          <cell r="C3338" t="str">
            <v/>
          </cell>
          <cell r="D3338" t="str">
            <v/>
          </cell>
        </row>
        <row r="3339">
          <cell r="B3339" t="str">
            <v/>
          </cell>
          <cell r="C3339" t="str">
            <v/>
          </cell>
          <cell r="D3339" t="str">
            <v/>
          </cell>
        </row>
        <row r="3340">
          <cell r="B3340" t="str">
            <v/>
          </cell>
          <cell r="C3340" t="str">
            <v/>
          </cell>
          <cell r="D3340" t="str">
            <v/>
          </cell>
        </row>
        <row r="3341">
          <cell r="B3341" t="str">
            <v>-</v>
          </cell>
          <cell r="C3341" t="str">
            <v>INF179KB1HY1</v>
          </cell>
          <cell r="D3341" t="str">
            <v>HDFC Overnight Fund - Daily IDCW Option - Direct Plan</v>
          </cell>
          <cell r="E3341">
            <v>1042.6600000000001</v>
          </cell>
        </row>
        <row r="3342">
          <cell r="B3342" t="str">
            <v>INF179KB1HS3</v>
          </cell>
          <cell r="C3342" t="str">
            <v>-</v>
          </cell>
          <cell r="D3342" t="str">
            <v>HDFC Overnight Fund - Growth Option</v>
          </cell>
          <cell r="E3342">
            <v>4013.3049999999998</v>
          </cell>
        </row>
        <row r="3343">
          <cell r="B3343" t="str">
            <v>INF179KB1HT1</v>
          </cell>
          <cell r="C3343" t="str">
            <v>-</v>
          </cell>
          <cell r="D3343" t="str">
            <v>HDFC Overnight Fund - Growth Option - Direct Plan</v>
          </cell>
          <cell r="E3343">
            <v>4056.1471999999999</v>
          </cell>
        </row>
        <row r="3344">
          <cell r="B3344" t="str">
            <v>-</v>
          </cell>
          <cell r="C3344" t="str">
            <v>INF179KB1IF8</v>
          </cell>
          <cell r="D3344" t="str">
            <v>HDFC Overnight Fund - IDCW Option (Daily)</v>
          </cell>
          <cell r="E3344">
            <v>1042.6600000000001</v>
          </cell>
        </row>
        <row r="3345">
          <cell r="B3345" t="str">
            <v/>
          </cell>
          <cell r="C3345" t="str">
            <v/>
          </cell>
          <cell r="D3345" t="str">
            <v/>
          </cell>
        </row>
        <row r="3346">
          <cell r="B3346" t="str">
            <v/>
          </cell>
          <cell r="C3346" t="str">
            <v/>
          </cell>
          <cell r="D3346" t="str">
            <v/>
          </cell>
        </row>
        <row r="3347">
          <cell r="B3347" t="str">
            <v/>
          </cell>
          <cell r="C3347" t="str">
            <v/>
          </cell>
          <cell r="D3347" t="str">
            <v/>
          </cell>
        </row>
        <row r="3348">
          <cell r="B3348" t="str">
            <v>-</v>
          </cell>
          <cell r="C3348" t="str">
            <v>INF336L01OG4</v>
          </cell>
          <cell r="D3348" t="str">
            <v>HSBC Overnight Fund - Direct Daily IDCW</v>
          </cell>
          <cell r="E3348">
            <v>1000.0149</v>
          </cell>
        </row>
        <row r="3349">
          <cell r="B3349" t="str">
            <v>INF336L01OF6</v>
          </cell>
          <cell r="C3349" t="str">
            <v>-</v>
          </cell>
          <cell r="D3349" t="str">
            <v>HSBC Overnight Fund - Direct Growth</v>
          </cell>
          <cell r="E3349">
            <v>1431.9760000000001</v>
          </cell>
        </row>
        <row r="3350">
          <cell r="B3350" t="str">
            <v>INF336L01OK6</v>
          </cell>
          <cell r="C3350" t="str">
            <v>INF336L01OI0</v>
          </cell>
          <cell r="D3350" t="str">
            <v>HSBC Overnight Fund - Direct Monthly IDCW</v>
          </cell>
          <cell r="E3350">
            <v>1003.8476000000001</v>
          </cell>
        </row>
        <row r="3351">
          <cell r="B3351" t="str">
            <v>INF336L01OJ8</v>
          </cell>
          <cell r="C3351" t="str">
            <v>INF336L01OH2</v>
          </cell>
          <cell r="D3351" t="str">
            <v>HSBC Overnight Fund - Direct Weekly IDCW</v>
          </cell>
          <cell r="E3351">
            <v>1000.1562</v>
          </cell>
        </row>
        <row r="3352">
          <cell r="B3352" t="str">
            <v>-</v>
          </cell>
          <cell r="C3352" t="str">
            <v>INF336L01OM2</v>
          </cell>
          <cell r="D3352" t="str">
            <v>HSBC Overnight Fund - Regular Daily IDCW</v>
          </cell>
          <cell r="E3352">
            <v>1000.0149</v>
          </cell>
        </row>
        <row r="3353">
          <cell r="B3353" t="str">
            <v>INF336L01OL4</v>
          </cell>
          <cell r="C3353" t="str">
            <v>-</v>
          </cell>
          <cell r="D3353" t="str">
            <v>HSBC Overnight Fund - Regular Growth</v>
          </cell>
          <cell r="E3353">
            <v>1419.6667</v>
          </cell>
        </row>
        <row r="3354">
          <cell r="B3354" t="str">
            <v>INF336L01OQ3</v>
          </cell>
          <cell r="C3354" t="str">
            <v>INF336L01OO8</v>
          </cell>
          <cell r="D3354" t="str">
            <v>HSBC Overnight Fund - Regular Monthly IDCW</v>
          </cell>
          <cell r="E3354">
            <v>1003.7896</v>
          </cell>
        </row>
        <row r="3355">
          <cell r="B3355" t="str">
            <v>INF336L01OP5</v>
          </cell>
          <cell r="C3355" t="str">
            <v>INF336L01ON0</v>
          </cell>
          <cell r="D3355" t="str">
            <v>HSBC Overnight Fund - Regular Weekly IDCW</v>
          </cell>
          <cell r="E3355">
            <v>1000.179</v>
          </cell>
        </row>
        <row r="3356">
          <cell r="B3356" t="str">
            <v>-</v>
          </cell>
          <cell r="C3356" t="str">
            <v>-</v>
          </cell>
          <cell r="D3356" t="str">
            <v>HSBC Overnight Fund - Unclaimed IDCW Above three years</v>
          </cell>
          <cell r="E3356">
            <v>1000</v>
          </cell>
        </row>
        <row r="3357">
          <cell r="B3357" t="str">
            <v>-</v>
          </cell>
          <cell r="C3357" t="str">
            <v>-</v>
          </cell>
          <cell r="D3357" t="str">
            <v>HSBC Overnight Fund - Unclaimed IDCW Below three years</v>
          </cell>
          <cell r="E3357">
            <v>1270.8671999999999</v>
          </cell>
        </row>
        <row r="3358">
          <cell r="B3358" t="str">
            <v>-</v>
          </cell>
          <cell r="C3358" t="str">
            <v>-</v>
          </cell>
          <cell r="D3358" t="str">
            <v>HSBC Overnight Fund - Unclaimed Redemption above three years</v>
          </cell>
          <cell r="E3358">
            <v>1000</v>
          </cell>
        </row>
        <row r="3359">
          <cell r="B3359" t="str">
            <v>-</v>
          </cell>
          <cell r="C3359" t="str">
            <v>-</v>
          </cell>
          <cell r="D3359" t="str">
            <v>HSBC Overnight Fund - Unclaimed Redemption Below three years</v>
          </cell>
          <cell r="E3359">
            <v>1270.8869999999999</v>
          </cell>
        </row>
        <row r="3360">
          <cell r="B3360" t="str">
            <v/>
          </cell>
          <cell r="C3360" t="str">
            <v/>
          </cell>
          <cell r="D3360" t="str">
            <v/>
          </cell>
        </row>
        <row r="3361">
          <cell r="B3361" t="str">
            <v/>
          </cell>
          <cell r="C3361" t="str">
            <v/>
          </cell>
          <cell r="D3361" t="str">
            <v/>
          </cell>
        </row>
        <row r="3362">
          <cell r="B3362" t="str">
            <v/>
          </cell>
          <cell r="C3362" t="str">
            <v/>
          </cell>
          <cell r="D3362" t="str">
            <v/>
          </cell>
        </row>
        <row r="3363">
          <cell r="B3363" t="str">
            <v>INF109KC19F6</v>
          </cell>
          <cell r="C3363" t="str">
            <v>INF109KC10G3</v>
          </cell>
          <cell r="D3363" t="str">
            <v>ICICI Prudential Overnight Fund - Annual IDCW</v>
          </cell>
          <cell r="E3363">
            <v>1032.7746</v>
          </cell>
        </row>
        <row r="3364">
          <cell r="B3364" t="str">
            <v>-</v>
          </cell>
          <cell r="C3364" t="str">
            <v>INF109KC18E1</v>
          </cell>
          <cell r="D3364" t="str">
            <v>ICICI Prudential Overnight Fund - Daily IDCW</v>
          </cell>
          <cell r="E3364">
            <v>1000.005</v>
          </cell>
        </row>
        <row r="3365">
          <cell r="B3365" t="str">
            <v>INF109KC13H5</v>
          </cell>
          <cell r="C3365" t="str">
            <v>INF109KC14H3</v>
          </cell>
          <cell r="D3365" t="str">
            <v>ICICI Prudential Overnight Fund - Direct Plan - Annual IDCW</v>
          </cell>
          <cell r="E3365">
            <v>1033.5731000000001</v>
          </cell>
        </row>
        <row r="3366">
          <cell r="B3366" t="str">
            <v>-</v>
          </cell>
          <cell r="C3366" t="str">
            <v>INF109KC12G9</v>
          </cell>
          <cell r="D3366" t="str">
            <v>ICICI Prudential Overnight Fund - Direct Plan - Daily IDCW</v>
          </cell>
          <cell r="E3366">
            <v>1000.005</v>
          </cell>
        </row>
        <row r="3367">
          <cell r="B3367" t="str">
            <v>INF109KC18G6</v>
          </cell>
          <cell r="C3367" t="str">
            <v>INF109KC17G8</v>
          </cell>
          <cell r="D3367" t="str">
            <v>ICICI Prudential Overnight Fund - Direct Plan - Fortnightly IDCW</v>
          </cell>
          <cell r="E3367">
            <v>1000.1497000000001</v>
          </cell>
        </row>
        <row r="3368">
          <cell r="B3368" t="str">
            <v>INF109KC11G1</v>
          </cell>
          <cell r="C3368" t="str">
            <v>-</v>
          </cell>
          <cell r="D3368" t="str">
            <v>ICICI Prudential Overnight Fund - Direct Plan - Growth</v>
          </cell>
          <cell r="E3368">
            <v>1474.5472</v>
          </cell>
        </row>
        <row r="3369">
          <cell r="B3369" t="str">
            <v>INF109KC11H9</v>
          </cell>
          <cell r="C3369" t="str">
            <v>INF109KC12H7</v>
          </cell>
          <cell r="D3369" t="str">
            <v>ICICI Prudential Overnight Fund - Direct Plan - Half Yearly IDCW</v>
          </cell>
          <cell r="E3369">
            <v>1015.7798</v>
          </cell>
        </row>
        <row r="3370">
          <cell r="B3370" t="str">
            <v>INF109KC13G7</v>
          </cell>
          <cell r="C3370" t="str">
            <v>INF109KC14G5</v>
          </cell>
          <cell r="D3370" t="str">
            <v>ICICI Prudential Overnight Fund - Direct Plan - Monthly IDCW</v>
          </cell>
          <cell r="E3370">
            <v>1002.3996</v>
          </cell>
        </row>
        <row r="3371">
          <cell r="B3371" t="str">
            <v>INF109KC19G4</v>
          </cell>
          <cell r="C3371" t="str">
            <v>INF109KC10H1</v>
          </cell>
          <cell r="D3371" t="str">
            <v>ICICI Prudential Overnight Fund - Direct Plan - Quarterly IDCW</v>
          </cell>
          <cell r="E3371">
            <v>1005.9571</v>
          </cell>
        </row>
        <row r="3372">
          <cell r="B3372" t="str">
            <v>INF109KC18H4</v>
          </cell>
          <cell r="C3372" t="str">
            <v>-</v>
          </cell>
          <cell r="D3372" t="str">
            <v>ICICI Prudential Overnight fund - Direct Plan - Unclaimed IDCW Stable Scheme</v>
          </cell>
          <cell r="E3372">
            <v>1000</v>
          </cell>
        </row>
        <row r="3373">
          <cell r="B3373" t="str">
            <v>INF109KC16H8</v>
          </cell>
          <cell r="C3373" t="str">
            <v>-</v>
          </cell>
          <cell r="D3373" t="str">
            <v>ICICI Prudential Overnight fund - Direct Plan - Unclaimed IDCW Transitory Scheme</v>
          </cell>
          <cell r="E3373">
            <v>1301.0192</v>
          </cell>
        </row>
        <row r="3374">
          <cell r="B3374" t="str">
            <v>INF109KC17H6</v>
          </cell>
          <cell r="C3374" t="str">
            <v>-</v>
          </cell>
          <cell r="D3374" t="str">
            <v>ICICI Prudential Overnight fund - Direct Plan - Unclaimed Redemption Stable Scheme</v>
          </cell>
          <cell r="E3374">
            <v>1000</v>
          </cell>
        </row>
        <row r="3375">
          <cell r="B3375" t="str">
            <v>INF109KC15H0</v>
          </cell>
          <cell r="C3375" t="str">
            <v>-</v>
          </cell>
          <cell r="D3375" t="str">
            <v>ICICI Prudential Overnight fund - Direct Plan - Unclaimed Redemption Transitory Scheme</v>
          </cell>
          <cell r="E3375">
            <v>1301.0323000000001</v>
          </cell>
        </row>
        <row r="3376">
          <cell r="B3376" t="str">
            <v>INF109KC16G0</v>
          </cell>
          <cell r="C3376" t="str">
            <v>INF109KC15G2</v>
          </cell>
          <cell r="D3376" t="str">
            <v>ICICI Prudential Overnight Fund - Direct Plan - Weekly IDCW</v>
          </cell>
          <cell r="E3376">
            <v>1000.2915</v>
          </cell>
        </row>
        <row r="3377">
          <cell r="B3377" t="str">
            <v>INF109KC14F7</v>
          </cell>
          <cell r="C3377" t="str">
            <v>INF109KC13F9</v>
          </cell>
          <cell r="D3377" t="str">
            <v>ICICI Prudential Overnight Fund - Fortnightly IDCW</v>
          </cell>
          <cell r="E3377">
            <v>1000.1472</v>
          </cell>
        </row>
        <row r="3378">
          <cell r="B3378" t="str">
            <v>INF109KC17E3</v>
          </cell>
          <cell r="C3378" t="str">
            <v>-</v>
          </cell>
          <cell r="D3378" t="str">
            <v>ICICI Prudential Overnight Fund - Growth</v>
          </cell>
          <cell r="E3378">
            <v>1465.2342000000001</v>
          </cell>
        </row>
        <row r="3379">
          <cell r="B3379" t="str">
            <v>INF109KC17F0</v>
          </cell>
          <cell r="C3379" t="str">
            <v>INF109KC18F8</v>
          </cell>
          <cell r="D3379" t="str">
            <v>ICICI Prudential Overnight Fund - Half Yearly IDCW</v>
          </cell>
          <cell r="E3379">
            <v>1015.4752999999999</v>
          </cell>
        </row>
        <row r="3380">
          <cell r="B3380" t="str">
            <v>INF109KC19E9</v>
          </cell>
          <cell r="C3380" t="str">
            <v>INF109KC10F5</v>
          </cell>
          <cell r="D3380" t="str">
            <v>ICICI Prudential Overnight Fund - Monthly IDCW</v>
          </cell>
          <cell r="E3380">
            <v>1002.3577</v>
          </cell>
        </row>
        <row r="3381">
          <cell r="B3381" t="str">
            <v>INF109KC15F4</v>
          </cell>
          <cell r="C3381" t="str">
            <v>INF109KC16F2</v>
          </cell>
          <cell r="D3381" t="str">
            <v>ICICI Prudential Overnight Fund - Quarterly IDCW</v>
          </cell>
          <cell r="E3381">
            <v>1004.0152</v>
          </cell>
        </row>
        <row r="3382">
          <cell r="B3382" t="str">
            <v>INF109KC12F1</v>
          </cell>
          <cell r="C3382" t="str">
            <v>INF109KC11F3</v>
          </cell>
          <cell r="D3382" t="str">
            <v>ICICI Prudential Overnight Fund - Weekly IDCW</v>
          </cell>
          <cell r="E3382">
            <v>1000.289</v>
          </cell>
        </row>
        <row r="3383">
          <cell r="B3383" t="str">
            <v/>
          </cell>
          <cell r="C3383" t="str">
            <v/>
          </cell>
          <cell r="D3383" t="str">
            <v/>
          </cell>
        </row>
        <row r="3384">
          <cell r="B3384" t="str">
            <v/>
          </cell>
          <cell r="C3384" t="str">
            <v/>
          </cell>
          <cell r="D3384" t="str">
            <v/>
          </cell>
        </row>
        <row r="3385">
          <cell r="B3385" t="str">
            <v/>
          </cell>
          <cell r="C3385" t="str">
            <v/>
          </cell>
          <cell r="D3385" t="str">
            <v/>
          </cell>
        </row>
        <row r="3386">
          <cell r="B3386" t="str">
            <v>-</v>
          </cell>
          <cell r="C3386" t="str">
            <v>INF205KA1122</v>
          </cell>
          <cell r="D3386" t="str">
            <v>Invesco India Overnight Fund - Direct Plan - Daily IDCW (Reinvestment)</v>
          </cell>
          <cell r="E3386">
            <v>1000.5303</v>
          </cell>
        </row>
        <row r="3387">
          <cell r="B3387" t="str">
            <v>INF205KA1163</v>
          </cell>
          <cell r="C3387" t="str">
            <v>-</v>
          </cell>
          <cell r="D3387" t="str">
            <v>Invesco India Overnight Fund - Direct Plan - Growth</v>
          </cell>
          <cell r="E3387">
            <v>1382.6193000000001</v>
          </cell>
        </row>
        <row r="3388">
          <cell r="B3388" t="str">
            <v>INF205KA1155</v>
          </cell>
          <cell r="C3388" t="str">
            <v>INF205KA1148</v>
          </cell>
          <cell r="D3388" t="str">
            <v>Invesco India Overnight Fund - Direct Plan - Monthly IDCW (Payout / Reinvestment)</v>
          </cell>
          <cell r="E3388">
            <v>1003.3819</v>
          </cell>
        </row>
        <row r="3389">
          <cell r="B3389" t="str">
            <v>-</v>
          </cell>
          <cell r="C3389" t="str">
            <v>INF205KA1130</v>
          </cell>
          <cell r="D3389" t="str">
            <v>Invesco India Overnight Fund - Direct Plan - Weekly IDCW (Reinvestment)</v>
          </cell>
          <cell r="E3389">
            <v>1001.7173</v>
          </cell>
        </row>
        <row r="3390">
          <cell r="B3390" t="str">
            <v>-</v>
          </cell>
          <cell r="C3390" t="str">
            <v>INF205KA1072</v>
          </cell>
          <cell r="D3390" t="str">
            <v>Invesco India Overnight Fund - Regular Plan - Daily IDCW (Reinvestment)</v>
          </cell>
          <cell r="E3390">
            <v>1000.1395</v>
          </cell>
        </row>
        <row r="3391">
          <cell r="B3391" t="str">
            <v>INF205KA1114</v>
          </cell>
          <cell r="C3391" t="str">
            <v>-</v>
          </cell>
          <cell r="D3391" t="str">
            <v>Invesco India Overnight Fund - Regular Plan - Growth</v>
          </cell>
          <cell r="E3391">
            <v>1377.5436999999999</v>
          </cell>
        </row>
        <row r="3392">
          <cell r="B3392" t="str">
            <v>INF205KA1106</v>
          </cell>
          <cell r="C3392" t="str">
            <v>INF205KA1098</v>
          </cell>
          <cell r="D3392" t="str">
            <v>Invesco India Overnight Fund - Regular Plan - Monthly IDCW (Payout / Reinvestment)</v>
          </cell>
          <cell r="E3392">
            <v>1003.6921</v>
          </cell>
        </row>
        <row r="3393">
          <cell r="B3393" t="str">
            <v>-</v>
          </cell>
          <cell r="C3393" t="str">
            <v>INF205KA1080</v>
          </cell>
          <cell r="D3393" t="str">
            <v>Invesco India Overnight Fund - Regular Plan - Weekly IDCW (Reinvestment)</v>
          </cell>
          <cell r="E3393">
            <v>1000.5157</v>
          </cell>
        </row>
        <row r="3394">
          <cell r="B3394" t="str">
            <v/>
          </cell>
          <cell r="C3394" t="str">
            <v/>
          </cell>
          <cell r="D3394" t="str">
            <v/>
          </cell>
        </row>
        <row r="3395">
          <cell r="B3395" t="str">
            <v/>
          </cell>
          <cell r="C3395" t="str">
            <v/>
          </cell>
          <cell r="D3395" t="str">
            <v/>
          </cell>
        </row>
        <row r="3396">
          <cell r="B3396" t="str">
            <v/>
          </cell>
          <cell r="C3396" t="str">
            <v/>
          </cell>
          <cell r="D3396" t="str">
            <v/>
          </cell>
        </row>
        <row r="3397">
          <cell r="B3397" t="str">
            <v>INF00XX01648</v>
          </cell>
          <cell r="C3397" t="str">
            <v>INF00XX01614</v>
          </cell>
          <cell r="D3397" t="str">
            <v>ITI Overnight Fund - Direct Plan - Annual IDCW Option</v>
          </cell>
          <cell r="E3397">
            <v>1024.7280000000001</v>
          </cell>
        </row>
        <row r="3398">
          <cell r="B3398" t="str">
            <v>-</v>
          </cell>
          <cell r="C3398" t="str">
            <v>INF00XX01572</v>
          </cell>
          <cell r="D3398" t="str">
            <v>ITI Overnight Fund - Direct Plan - Daily IDCW Option</v>
          </cell>
          <cell r="E3398">
            <v>1000.9998000000001</v>
          </cell>
        </row>
        <row r="3399">
          <cell r="B3399" t="str">
            <v>INF00XX01622</v>
          </cell>
          <cell r="C3399" t="str">
            <v>INF00XX01598</v>
          </cell>
          <cell r="D3399" t="str">
            <v>ITI Overnight Fund - Direct Plan - Fortnightly IDCW Option</v>
          </cell>
          <cell r="E3399">
            <v>1002.4579</v>
          </cell>
        </row>
        <row r="3400">
          <cell r="B3400" t="str">
            <v>INF00XX01564</v>
          </cell>
          <cell r="C3400" t="str">
            <v>-</v>
          </cell>
          <cell r="D3400" t="str">
            <v>ITI Overnight Fund - Direct Plan - Growth Option</v>
          </cell>
          <cell r="E3400">
            <v>1383.9775</v>
          </cell>
        </row>
        <row r="3401">
          <cell r="B3401" t="str">
            <v>INF00XX01630</v>
          </cell>
          <cell r="C3401" t="str">
            <v>INF00XX01606</v>
          </cell>
          <cell r="D3401" t="str">
            <v>ITI Overnight Fund - Direct Plan - Monthly IDCW Option</v>
          </cell>
          <cell r="E3401">
            <v>1004.4503</v>
          </cell>
        </row>
        <row r="3402">
          <cell r="B3402" t="str">
            <v>-</v>
          </cell>
          <cell r="C3402" t="str">
            <v>INF00XX01580</v>
          </cell>
          <cell r="D3402" t="str">
            <v>ITI Overnight Fund - Direct Plan - Weekly IDCW option</v>
          </cell>
          <cell r="E3402">
            <v>1001.1337</v>
          </cell>
        </row>
        <row r="3403">
          <cell r="B3403" t="str">
            <v>INF00XX01556</v>
          </cell>
          <cell r="C3403" t="str">
            <v>INF00XX01523</v>
          </cell>
          <cell r="D3403" t="str">
            <v>ITI Overnight Fund - Regular Plan - Annual IDCW Option</v>
          </cell>
          <cell r="E3403">
            <v>1015.196</v>
          </cell>
        </row>
        <row r="3404">
          <cell r="B3404" t="str">
            <v>-</v>
          </cell>
          <cell r="C3404" t="str">
            <v>INF00XX01481</v>
          </cell>
          <cell r="D3404" t="str">
            <v>ITI Overnight Fund - Regular Plan - Daily IDCW Option</v>
          </cell>
          <cell r="E3404">
            <v>1000.9999</v>
          </cell>
        </row>
        <row r="3405">
          <cell r="B3405" t="str">
            <v>INF00XX01531</v>
          </cell>
          <cell r="C3405" t="str">
            <v>INF00XX01507</v>
          </cell>
          <cell r="D3405" t="str">
            <v>ITI Overnight Fund - Regular Plan - Fortnightly IDCW Option</v>
          </cell>
          <cell r="E3405">
            <v>1002.4884</v>
          </cell>
        </row>
        <row r="3406">
          <cell r="B3406" t="str">
            <v>INF00XX01473</v>
          </cell>
          <cell r="C3406" t="str">
            <v>-</v>
          </cell>
          <cell r="D3406" t="str">
            <v>ITI Overnight Fund - Regular Plan - Growth Option</v>
          </cell>
          <cell r="E3406">
            <v>1374.6433</v>
          </cell>
        </row>
        <row r="3407">
          <cell r="B3407" t="str">
            <v>INF00XX01549</v>
          </cell>
          <cell r="C3407" t="str">
            <v>INF00XX01515</v>
          </cell>
          <cell r="D3407" t="str">
            <v>ITI Overnight Fund - Regular Plan - Monthly IDCW Option</v>
          </cell>
          <cell r="E3407">
            <v>1001.0714</v>
          </cell>
        </row>
        <row r="3408">
          <cell r="B3408" t="str">
            <v>-</v>
          </cell>
          <cell r="C3408" t="str">
            <v>INF00XX01499</v>
          </cell>
          <cell r="D3408" t="str">
            <v>ITI Overnight Fund - Regular Plan - Weekly IDCW Option</v>
          </cell>
          <cell r="E3408">
            <v>1001.1315</v>
          </cell>
        </row>
        <row r="3409">
          <cell r="B3409" t="str">
            <v/>
          </cell>
          <cell r="C3409" t="str">
            <v/>
          </cell>
          <cell r="D3409" t="str">
            <v/>
          </cell>
        </row>
        <row r="3410">
          <cell r="B3410" t="str">
            <v/>
          </cell>
          <cell r="C3410" t="str">
            <v/>
          </cell>
          <cell r="D3410" t="str">
            <v/>
          </cell>
        </row>
        <row r="3411">
          <cell r="B3411" t="str">
            <v/>
          </cell>
          <cell r="C3411" t="str">
            <v/>
          </cell>
          <cell r="D3411" t="str">
            <v/>
          </cell>
        </row>
        <row r="3412">
          <cell r="B3412" t="str">
            <v>INF22M001036</v>
          </cell>
          <cell r="C3412" t="str">
            <v>-</v>
          </cell>
          <cell r="D3412" t="str">
            <v>JioBlackRock Overnight Fund - Direct Plan - Growth Option</v>
          </cell>
          <cell r="E3412">
            <v>1056.6243999999999</v>
          </cell>
        </row>
        <row r="3413">
          <cell r="B3413" t="str">
            <v>-</v>
          </cell>
          <cell r="C3413" t="str">
            <v>-</v>
          </cell>
          <cell r="D3413" t="str">
            <v>JioBlackRock Overnight Fund - Unclaimed Redemption - Upto 3 years - Growth Option</v>
          </cell>
          <cell r="E3413">
            <v>1033.2312999999999</v>
          </cell>
        </row>
        <row r="3414">
          <cell r="B3414" t="str">
            <v/>
          </cell>
          <cell r="C3414" t="str">
            <v/>
          </cell>
          <cell r="D3414" t="str">
            <v/>
          </cell>
        </row>
        <row r="3415">
          <cell r="B3415" t="str">
            <v/>
          </cell>
          <cell r="C3415" t="str">
            <v/>
          </cell>
          <cell r="D3415" t="str">
            <v/>
          </cell>
        </row>
        <row r="3416">
          <cell r="B3416" t="str">
            <v/>
          </cell>
          <cell r="C3416" t="str">
            <v/>
          </cell>
          <cell r="D3416" t="str">
            <v/>
          </cell>
        </row>
        <row r="3417">
          <cell r="B3417" t="str">
            <v>-</v>
          </cell>
          <cell r="C3417" t="str">
            <v>INF192K01LY2</v>
          </cell>
          <cell r="D3417" t="str">
            <v>JM Overnight Fund (Direct) - Daily IDCW</v>
          </cell>
          <cell r="E3417">
            <v>1000</v>
          </cell>
        </row>
        <row r="3418">
          <cell r="B3418" t="str">
            <v>INF192K01LZ9</v>
          </cell>
          <cell r="C3418" t="str">
            <v>INF192K01MA0</v>
          </cell>
          <cell r="D3418" t="str">
            <v>JM Overnight Fund (Direct) - Weekly IDCW</v>
          </cell>
          <cell r="E3418">
            <v>1000.1383</v>
          </cell>
        </row>
        <row r="3419">
          <cell r="B3419" t="str">
            <v>-</v>
          </cell>
          <cell r="C3419" t="str">
            <v>INF192K01LU0</v>
          </cell>
          <cell r="D3419" t="str">
            <v>JM Overnight Fund (Regular) - Daily IDCW</v>
          </cell>
          <cell r="E3419">
            <v>1000</v>
          </cell>
        </row>
        <row r="3420">
          <cell r="B3420" t="str">
            <v>INF192K01LX4</v>
          </cell>
          <cell r="C3420" t="str">
            <v>-</v>
          </cell>
          <cell r="D3420" t="str">
            <v>JM Overnight Fund (Regular) - Growth</v>
          </cell>
          <cell r="E3420">
            <v>1379.8457000000001</v>
          </cell>
        </row>
        <row r="3421">
          <cell r="B3421" t="str">
            <v>INF192K01LV8</v>
          </cell>
          <cell r="C3421" t="str">
            <v>INF192K01LW6</v>
          </cell>
          <cell r="D3421" t="str">
            <v>JM Overnight Fund (Regular) - Weekly IDCW</v>
          </cell>
          <cell r="E3421">
            <v>1000.1215</v>
          </cell>
        </row>
        <row r="3422">
          <cell r="B3422" t="str">
            <v>INF192K01MB8</v>
          </cell>
          <cell r="C3422" t="str">
            <v>-</v>
          </cell>
          <cell r="D3422" t="str">
            <v>JM Overnight Fund - (Direct) - Growth</v>
          </cell>
          <cell r="E3422">
            <v>1386.2492999999999</v>
          </cell>
        </row>
        <row r="3423">
          <cell r="B3423" t="str">
            <v>INF192K01MJ1</v>
          </cell>
          <cell r="C3423" t="str">
            <v>-</v>
          </cell>
          <cell r="D3423" t="str">
            <v>JM Overnight Fund - (Direct) - Unclaimed IDCW - Growth Plan</v>
          </cell>
          <cell r="E3423">
            <v>1391.4888000000001</v>
          </cell>
        </row>
        <row r="3424">
          <cell r="B3424" t="str">
            <v>INF192K01ML7</v>
          </cell>
          <cell r="C3424" t="str">
            <v>-</v>
          </cell>
          <cell r="D3424" t="str">
            <v>JM Overnight Fund - (Direct) - Unclaimed IDCW I.E.F. - Growth Plan</v>
          </cell>
          <cell r="E3424">
            <v>1073.9936</v>
          </cell>
        </row>
        <row r="3425">
          <cell r="B3425" t="str">
            <v>INF192K01MI3</v>
          </cell>
          <cell r="C3425" t="str">
            <v>-</v>
          </cell>
          <cell r="D3425" t="str">
            <v>JM Overnight Fund - (Direct) - Unclaimed Redemption - Growth Plan</v>
          </cell>
          <cell r="E3425">
            <v>1386.2696000000001</v>
          </cell>
        </row>
        <row r="3426">
          <cell r="B3426" t="str">
            <v>INF192K01MK9</v>
          </cell>
          <cell r="C3426" t="str">
            <v>-</v>
          </cell>
          <cell r="D3426" t="str">
            <v>JM Overnight Fund - (Direct) - Unclaimed Redemption I.E.F. - Growth Plan</v>
          </cell>
          <cell r="E3426">
            <v>1073.9936</v>
          </cell>
        </row>
        <row r="3427">
          <cell r="B3427" t="str">
            <v/>
          </cell>
          <cell r="C3427" t="str">
            <v/>
          </cell>
          <cell r="D3427" t="str">
            <v/>
          </cell>
        </row>
        <row r="3428">
          <cell r="B3428" t="str">
            <v/>
          </cell>
          <cell r="C3428" t="str">
            <v/>
          </cell>
          <cell r="D3428" t="str">
            <v/>
          </cell>
        </row>
        <row r="3429">
          <cell r="B3429" t="str">
            <v/>
          </cell>
          <cell r="C3429" t="str">
            <v/>
          </cell>
          <cell r="D3429" t="str">
            <v/>
          </cell>
        </row>
        <row r="3430">
          <cell r="B3430" t="str">
            <v>INF174KA1BF9</v>
          </cell>
          <cell r="C3430" t="str">
            <v>-</v>
          </cell>
          <cell r="D3430" t="str">
            <v>Kotak Overnight Fund -Direct Plan-Growth Option</v>
          </cell>
          <cell r="E3430">
            <v>1460.021</v>
          </cell>
        </row>
        <row r="3431">
          <cell r="B3431" t="str">
            <v>INF174KA1BC6</v>
          </cell>
          <cell r="C3431" t="str">
            <v>-</v>
          </cell>
          <cell r="D3431" t="str">
            <v>Kotak Overnight Fund -Regular plan-Growth Option</v>
          </cell>
          <cell r="E3431">
            <v>1450.0091</v>
          </cell>
        </row>
        <row r="3432">
          <cell r="B3432" t="str">
            <v>-</v>
          </cell>
          <cell r="C3432" t="str">
            <v>INF174KA1BE2</v>
          </cell>
          <cell r="D3432" t="str">
            <v>Kotak Overnight Fund-Direct Plan- Daily Reinvestment of Income Distribution cum capital withdrawal option</v>
          </cell>
          <cell r="E3432">
            <v>1003.6055</v>
          </cell>
        </row>
        <row r="3433">
          <cell r="B3433" t="str">
            <v>-</v>
          </cell>
          <cell r="C3433" t="str">
            <v>INF174KA1BB8</v>
          </cell>
          <cell r="D3433" t="str">
            <v>Kotak Overnight Fund-Regular Plan- Daily Reinvestment of Income Distribution cum capital withdrawal option</v>
          </cell>
          <cell r="E3433">
            <v>1004.7568</v>
          </cell>
        </row>
        <row r="3434">
          <cell r="B3434" t="str">
            <v/>
          </cell>
          <cell r="C3434" t="str">
            <v/>
          </cell>
          <cell r="D3434" t="str">
            <v/>
          </cell>
        </row>
        <row r="3435">
          <cell r="B3435" t="str">
            <v/>
          </cell>
          <cell r="C3435" t="str">
            <v/>
          </cell>
          <cell r="D3435" t="str">
            <v/>
          </cell>
        </row>
        <row r="3436">
          <cell r="B3436" t="str">
            <v/>
          </cell>
          <cell r="C3436" t="str">
            <v/>
          </cell>
          <cell r="D3436" t="str">
            <v/>
          </cell>
        </row>
        <row r="3437">
          <cell r="B3437" t="str">
            <v>-</v>
          </cell>
          <cell r="C3437" t="str">
            <v>INF767K01QG7</v>
          </cell>
          <cell r="D3437" t="str">
            <v>LIC MF Overnight Fund-Direct Plan-Daily IDCW</v>
          </cell>
          <cell r="E3437">
            <v>1121.5827999999999</v>
          </cell>
        </row>
        <row r="3438">
          <cell r="B3438" t="str">
            <v>INF767K01QI3</v>
          </cell>
          <cell r="C3438" t="str">
            <v>-</v>
          </cell>
          <cell r="D3438" t="str">
            <v>LIC MF Overnight Fund-Direct Plan-Growth</v>
          </cell>
          <cell r="E3438">
            <v>1418.4767999999999</v>
          </cell>
        </row>
        <row r="3439">
          <cell r="B3439" t="str">
            <v>INF767K01QE2</v>
          </cell>
          <cell r="C3439" t="str">
            <v>INF767K01QF9</v>
          </cell>
          <cell r="D3439" t="str">
            <v>LIC MF Overnight Fund-Direct Plan-IDCW</v>
          </cell>
          <cell r="E3439">
            <v>1418.6466</v>
          </cell>
        </row>
        <row r="3440">
          <cell r="B3440" t="str">
            <v>-</v>
          </cell>
          <cell r="C3440" t="str">
            <v>INF767K01QH5</v>
          </cell>
          <cell r="D3440" t="str">
            <v>LIC MF Overnight Fund-Direct Plan-Weekly IDCW</v>
          </cell>
          <cell r="E3440">
            <v>1100.6138000000001</v>
          </cell>
        </row>
        <row r="3441">
          <cell r="B3441" t="str">
            <v>-</v>
          </cell>
          <cell r="C3441" t="str">
            <v>INF767K01QB8</v>
          </cell>
          <cell r="D3441" t="str">
            <v>LIC MF Overnight Fund-Regular Plan-Daily IDCW</v>
          </cell>
          <cell r="E3441">
            <v>1118.1049</v>
          </cell>
        </row>
        <row r="3442">
          <cell r="B3442" t="str">
            <v>INF767K01QD4</v>
          </cell>
          <cell r="C3442" t="str">
            <v>-</v>
          </cell>
          <cell r="D3442" t="str">
            <v>LIC MF Overnight Fund-Regular Plan-Growth</v>
          </cell>
          <cell r="E3442">
            <v>1406.5879</v>
          </cell>
        </row>
        <row r="3443">
          <cell r="B3443" t="str">
            <v>INF767K01PZ9</v>
          </cell>
          <cell r="C3443" t="str">
            <v>INF767K01QA0</v>
          </cell>
          <cell r="D3443" t="str">
            <v>LIC MF Overnight Fund-Regular Plan-IDCW</v>
          </cell>
          <cell r="E3443">
            <v>1244.0605</v>
          </cell>
        </row>
        <row r="3444">
          <cell r="B3444" t="str">
            <v>-</v>
          </cell>
          <cell r="C3444" t="str">
            <v>INF767K01QC6</v>
          </cell>
          <cell r="D3444" t="str">
            <v>LIC MF Overnight Fund-Regular Plan-Weekly IDCW</v>
          </cell>
          <cell r="E3444">
            <v>1179.4645</v>
          </cell>
        </row>
        <row r="3445">
          <cell r="B3445" t="str">
            <v/>
          </cell>
          <cell r="C3445" t="str">
            <v/>
          </cell>
          <cell r="D3445" t="str">
            <v/>
          </cell>
        </row>
        <row r="3446">
          <cell r="B3446" t="str">
            <v/>
          </cell>
          <cell r="C3446" t="str">
            <v/>
          </cell>
          <cell r="D3446" t="str">
            <v/>
          </cell>
        </row>
        <row r="3447">
          <cell r="B3447" t="str">
            <v/>
          </cell>
          <cell r="C3447" t="str">
            <v/>
          </cell>
          <cell r="D3447" t="str">
            <v/>
          </cell>
        </row>
        <row r="3448">
          <cell r="B3448" t="str">
            <v>-</v>
          </cell>
          <cell r="C3448" t="str">
            <v>INF174V01846</v>
          </cell>
          <cell r="D3448" t="str">
            <v>Mahindra Manulife Overnight Fund - Direct Plan - Daily IDCW</v>
          </cell>
          <cell r="E3448">
            <v>1419.6777</v>
          </cell>
        </row>
        <row r="3449">
          <cell r="B3449" t="str">
            <v>INF174V01838</v>
          </cell>
          <cell r="C3449" t="str">
            <v>-</v>
          </cell>
          <cell r="D3449" t="str">
            <v>Mahindra Manulife Overnight Fund - Direct Plan -Growth</v>
          </cell>
          <cell r="E3449">
            <v>1416.1882000000001</v>
          </cell>
        </row>
        <row r="3450">
          <cell r="B3450" t="str">
            <v>-</v>
          </cell>
          <cell r="C3450" t="str">
            <v>INF174V01820</v>
          </cell>
          <cell r="D3450" t="str">
            <v>Mahindra Manulife Overnight Fund - Regular Plan - Daily IDCW</v>
          </cell>
          <cell r="E3450">
            <v>1247.1316999999999</v>
          </cell>
        </row>
        <row r="3451">
          <cell r="B3451" t="str">
            <v>INF174V01812</v>
          </cell>
          <cell r="C3451" t="str">
            <v>-</v>
          </cell>
          <cell r="D3451" t="str">
            <v>Mahindra Manulife Overnight Fund - Regular Plan - Growth</v>
          </cell>
          <cell r="E3451">
            <v>1406.2375999999999</v>
          </cell>
        </row>
        <row r="3452">
          <cell r="B3452" t="str">
            <v>-</v>
          </cell>
          <cell r="C3452" t="str">
            <v>-</v>
          </cell>
          <cell r="D3452" t="str">
            <v>Mahindra Manulife Overnight Fund - Unclaimed Redemption/IDCW beyond 3 years</v>
          </cell>
          <cell r="E3452">
            <v>1000</v>
          </cell>
        </row>
        <row r="3453">
          <cell r="B3453" t="str">
            <v>-</v>
          </cell>
          <cell r="C3453" t="str">
            <v>-</v>
          </cell>
          <cell r="D3453" t="str">
            <v>Mahindra Manulife Overnight Fund - Unclaimed Redemption/IDCW upto 3 years</v>
          </cell>
          <cell r="E3453">
            <v>1298.7832000000001</v>
          </cell>
        </row>
        <row r="3454">
          <cell r="B3454" t="str">
            <v/>
          </cell>
          <cell r="C3454" t="str">
            <v/>
          </cell>
          <cell r="D3454" t="str">
            <v/>
          </cell>
        </row>
        <row r="3455">
          <cell r="B3455" t="str">
            <v/>
          </cell>
          <cell r="C3455" t="str">
            <v/>
          </cell>
          <cell r="D3455" t="str">
            <v/>
          </cell>
        </row>
        <row r="3456">
          <cell r="B3456" t="str">
            <v/>
          </cell>
          <cell r="C3456" t="str">
            <v/>
          </cell>
          <cell r="D3456" t="str">
            <v/>
          </cell>
        </row>
        <row r="3457">
          <cell r="B3457" t="str">
            <v>-</v>
          </cell>
          <cell r="C3457" t="str">
            <v>INF769K01FJ0</v>
          </cell>
          <cell r="D3457" t="str">
            <v>Mirae Asset Overnight Fund Direct Daily IDCW</v>
          </cell>
          <cell r="E3457">
            <v>1000.0245</v>
          </cell>
        </row>
        <row r="3458">
          <cell r="B3458" t="str">
            <v>INF769K01FF8</v>
          </cell>
          <cell r="C3458" t="str">
            <v>INF769K01FI2</v>
          </cell>
          <cell r="D3458" t="str">
            <v>Mirae Asset Overnight Fund Direct Monthly IDCW</v>
          </cell>
          <cell r="E3458">
            <v>1003.9855</v>
          </cell>
        </row>
        <row r="3459">
          <cell r="B3459" t="str">
            <v>INF769K01FG6</v>
          </cell>
          <cell r="C3459" t="str">
            <v>-</v>
          </cell>
          <cell r="D3459" t="str">
            <v>Mirae Asset Overnight Fund Direct Plan Growth</v>
          </cell>
          <cell r="E3459">
            <v>1403.3717999999999</v>
          </cell>
        </row>
        <row r="3460">
          <cell r="B3460" t="str">
            <v>-</v>
          </cell>
          <cell r="C3460" t="str">
            <v>INF769K01FK8</v>
          </cell>
          <cell r="D3460" t="str">
            <v>Mirae Asset Overnight Fund Direct Weekly IDCW</v>
          </cell>
          <cell r="E3460">
            <v>1000.0025000000001</v>
          </cell>
        </row>
        <row r="3461">
          <cell r="B3461" t="str">
            <v>-</v>
          </cell>
          <cell r="C3461" t="str">
            <v>INF769K01FL6</v>
          </cell>
          <cell r="D3461" t="str">
            <v xml:space="preserve">Mirae Asset Overnight Fund Regular Daily  IDCW </v>
          </cell>
          <cell r="E3461">
            <v>1000.0068</v>
          </cell>
        </row>
        <row r="3462">
          <cell r="B3462" t="str">
            <v>INF769K01FD3</v>
          </cell>
          <cell r="C3462" t="str">
            <v>INF769K01FH4</v>
          </cell>
          <cell r="D3462" t="str">
            <v>Mirae Asset Overnight Fund Regular Monthly IDCW</v>
          </cell>
          <cell r="E3462">
            <v>1003.927</v>
          </cell>
        </row>
        <row r="3463">
          <cell r="B3463" t="str">
            <v>INF769K01FE1</v>
          </cell>
          <cell r="C3463" t="str">
            <v>-</v>
          </cell>
          <cell r="D3463" t="str">
            <v>Mirae Asset Overnight Fund Regular Plan Growth</v>
          </cell>
          <cell r="E3463">
            <v>1394.7652</v>
          </cell>
        </row>
        <row r="3464">
          <cell r="B3464" t="str">
            <v>-</v>
          </cell>
          <cell r="C3464" t="str">
            <v>INF769K01FM4</v>
          </cell>
          <cell r="D3464" t="str">
            <v>Mirae Asset Overnight Fund Regular Weekly IDCW</v>
          </cell>
          <cell r="E3464">
            <v>1000</v>
          </cell>
        </row>
        <row r="3465">
          <cell r="B3465" t="str">
            <v/>
          </cell>
          <cell r="C3465" t="str">
            <v/>
          </cell>
          <cell r="D3465" t="str">
            <v/>
          </cell>
        </row>
        <row r="3466">
          <cell r="B3466" t="str">
            <v/>
          </cell>
          <cell r="C3466" t="str">
            <v/>
          </cell>
          <cell r="D3466" t="str">
            <v/>
          </cell>
        </row>
        <row r="3467">
          <cell r="B3467" t="str">
            <v/>
          </cell>
          <cell r="C3467" t="str">
            <v/>
          </cell>
          <cell r="D3467" t="str">
            <v/>
          </cell>
        </row>
        <row r="3468">
          <cell r="B3468" t="str">
            <v>-</v>
          </cell>
          <cell r="C3468" t="str">
            <v>INF204KB1Q73</v>
          </cell>
          <cell r="D3468" t="str">
            <v>NIPPON INDIA OVERNIGHT FUND - DAILY IDCW Option</v>
          </cell>
          <cell r="E3468">
            <v>100.005</v>
          </cell>
        </row>
        <row r="3469">
          <cell r="B3469" t="str">
            <v>-</v>
          </cell>
          <cell r="C3469" t="str">
            <v>INF204KB1R49</v>
          </cell>
          <cell r="D3469" t="str">
            <v>NIPPON INDIA OVERNIGHT FUND - DIRECT Plan - DAILY IDCW Option</v>
          </cell>
          <cell r="E3469">
            <v>100.005</v>
          </cell>
        </row>
        <row r="3470">
          <cell r="B3470" t="str">
            <v>INF204KB1R31</v>
          </cell>
          <cell r="C3470" t="str">
            <v>-</v>
          </cell>
          <cell r="D3470" t="str">
            <v>Nippon India Overnight Fund - Direct Plan - Growth Option</v>
          </cell>
          <cell r="E3470">
            <v>147.00370000000001</v>
          </cell>
        </row>
        <row r="3471">
          <cell r="B3471" t="str">
            <v>INF204KB1R64</v>
          </cell>
          <cell r="C3471" t="str">
            <v>INF204KB1R72</v>
          </cell>
          <cell r="D3471" t="str">
            <v>NIPPON INDIA OVERNIGHT FUND - DIRECT Plan - MONTHLY IDCW Option</v>
          </cell>
          <cell r="E3471">
            <v>100.50839999999999</v>
          </cell>
        </row>
        <row r="3472">
          <cell r="B3472" t="str">
            <v>INF204KB1R80</v>
          </cell>
          <cell r="C3472" t="str">
            <v>INF204KB1R98</v>
          </cell>
          <cell r="D3472" t="str">
            <v>NIPPON INDIA OVERNIGHT FUND - DIRECT Plan - QUARTERLY IDCW Option</v>
          </cell>
          <cell r="E3472">
            <v>100.7577</v>
          </cell>
        </row>
        <row r="3473">
          <cell r="B3473" t="str">
            <v>-</v>
          </cell>
          <cell r="C3473" t="str">
            <v>INF204KB1R56</v>
          </cell>
          <cell r="D3473" t="str">
            <v>NIPPON INDIA OVERNIGHT FUND - DIRECT Plan - WEEKLY IDCW Option</v>
          </cell>
          <cell r="E3473">
            <v>100.0772</v>
          </cell>
        </row>
        <row r="3474">
          <cell r="B3474" t="str">
            <v>INF204KB1Q99</v>
          </cell>
          <cell r="C3474" t="str">
            <v>INF204KB1R07</v>
          </cell>
          <cell r="D3474" t="str">
            <v>NIPPON INDIA OVERNIGHT FUND - MONTHLY IDCW Option</v>
          </cell>
          <cell r="E3474">
            <v>100.49379999999999</v>
          </cell>
        </row>
        <row r="3475">
          <cell r="B3475" t="str">
            <v>INF204KB1R15</v>
          </cell>
          <cell r="C3475" t="str">
            <v>INF204KB1R23</v>
          </cell>
          <cell r="D3475" t="str">
            <v>NIPPON INDIA OVERNIGHT FUND - QUARTERLY IDCW Option</v>
          </cell>
          <cell r="E3475">
            <v>100.74809999999999</v>
          </cell>
        </row>
        <row r="3476">
          <cell r="B3476" t="str">
            <v>INF204KB1Q65</v>
          </cell>
          <cell r="C3476" t="str">
            <v>-</v>
          </cell>
          <cell r="D3476" t="str">
            <v>Nippon India Overnight Fund - Regular Plan - Growth Option</v>
          </cell>
          <cell r="E3476">
            <v>145.9853</v>
          </cell>
        </row>
        <row r="3477">
          <cell r="B3477" t="str">
            <v>-</v>
          </cell>
          <cell r="C3477" t="str">
            <v>INF204KB1Q81</v>
          </cell>
          <cell r="D3477" t="str">
            <v>NIPPON INDIA OVERNIGHT FUND - WEEKLY IDCW Option</v>
          </cell>
          <cell r="E3477">
            <v>100.0762</v>
          </cell>
        </row>
        <row r="3478">
          <cell r="B3478" t="str">
            <v/>
          </cell>
          <cell r="C3478" t="str">
            <v/>
          </cell>
          <cell r="D3478" t="str">
            <v/>
          </cell>
        </row>
        <row r="3479">
          <cell r="B3479" t="str">
            <v/>
          </cell>
          <cell r="C3479" t="str">
            <v/>
          </cell>
          <cell r="D3479" t="str">
            <v/>
          </cell>
        </row>
        <row r="3480">
          <cell r="B3480" t="str">
            <v/>
          </cell>
          <cell r="C3480" t="str">
            <v/>
          </cell>
          <cell r="D3480" t="str">
            <v/>
          </cell>
        </row>
        <row r="3481">
          <cell r="B3481" t="str">
            <v>INF0J8L01081</v>
          </cell>
          <cell r="C3481" t="str">
            <v>-</v>
          </cell>
          <cell r="D3481" t="str">
            <v>NJ Overnight Fund - Direct Plan - Growth Option</v>
          </cell>
          <cell r="E3481">
            <v>1266.3009999999999</v>
          </cell>
        </row>
        <row r="3482">
          <cell r="B3482" t="str">
            <v>INF0J8L01073</v>
          </cell>
          <cell r="C3482" t="str">
            <v>-</v>
          </cell>
          <cell r="D3482" t="str">
            <v>NJ Overnight Fund - Regular Plan - Growth Option</v>
          </cell>
          <cell r="E3482">
            <v>1261.2692999999999</v>
          </cell>
        </row>
        <row r="3483">
          <cell r="B3483" t="str">
            <v>-</v>
          </cell>
          <cell r="C3483" t="str">
            <v>-</v>
          </cell>
          <cell r="D3483" t="str">
            <v>NJ Overnight Fund - Unclaimed Redemption Plan - Upto 3 Years</v>
          </cell>
          <cell r="E3483">
            <v>1099.9553000000001</v>
          </cell>
        </row>
        <row r="3484">
          <cell r="B3484" t="str">
            <v/>
          </cell>
          <cell r="C3484" t="str">
            <v/>
          </cell>
          <cell r="D3484" t="str">
            <v/>
          </cell>
        </row>
        <row r="3485">
          <cell r="B3485" t="str">
            <v/>
          </cell>
          <cell r="C3485" t="str">
            <v/>
          </cell>
          <cell r="D3485" t="str">
            <v/>
          </cell>
        </row>
        <row r="3486">
          <cell r="B3486" t="str">
            <v/>
          </cell>
          <cell r="C3486" t="str">
            <v/>
          </cell>
          <cell r="D3486" t="str">
            <v/>
          </cell>
        </row>
        <row r="3487">
          <cell r="B3487" t="str">
            <v>-</v>
          </cell>
          <cell r="C3487" t="str">
            <v>INF663L01T35</v>
          </cell>
          <cell r="D3487" t="str">
            <v>PGIM India Overnight Fund - Direct Plan - Daily Dividend Option</v>
          </cell>
          <cell r="E3487">
            <v>1000.0088</v>
          </cell>
        </row>
        <row r="3488">
          <cell r="B3488" t="str">
            <v>INF663L01T01</v>
          </cell>
          <cell r="C3488" t="str">
            <v>-</v>
          </cell>
          <cell r="D3488" t="str">
            <v>PGIM India Overnight Fund - Direct Plan - Growth Option</v>
          </cell>
          <cell r="E3488">
            <v>1410.3669</v>
          </cell>
        </row>
        <row r="3489">
          <cell r="B3489" t="str">
            <v>INF663L01T19</v>
          </cell>
          <cell r="C3489" t="str">
            <v>INF663L01T27</v>
          </cell>
          <cell r="D3489" t="str">
            <v>PGIM India Overnight Fund - Direct Plan - Weekly Dividend Option</v>
          </cell>
          <cell r="E3489">
            <v>1001.4615</v>
          </cell>
        </row>
        <row r="3490">
          <cell r="B3490" t="str">
            <v>-</v>
          </cell>
          <cell r="C3490" t="str">
            <v>INF663L01T76</v>
          </cell>
          <cell r="D3490" t="str">
            <v>PGIM India Overnight Fund - Regular Plan - Daily Dividend Option</v>
          </cell>
          <cell r="E3490">
            <v>1000</v>
          </cell>
        </row>
        <row r="3491">
          <cell r="B3491" t="str">
            <v>INF663L01T50</v>
          </cell>
          <cell r="C3491" t="str">
            <v>INF663L01T68</v>
          </cell>
          <cell r="D3491" t="str">
            <v>PGIM India Overnight Fund - Regular Plan - Weekly Dividend Option</v>
          </cell>
          <cell r="E3491">
            <v>1007.5993</v>
          </cell>
        </row>
        <row r="3492">
          <cell r="B3492" t="str">
            <v>INF663L01T43</v>
          </cell>
          <cell r="C3492" t="str">
            <v>-</v>
          </cell>
          <cell r="D3492" t="str">
            <v>PGIM India Overnight Fund - Regular Plan- Growth Option</v>
          </cell>
          <cell r="E3492">
            <v>1404.0282999999999</v>
          </cell>
        </row>
        <row r="3493">
          <cell r="B3493" t="str">
            <v/>
          </cell>
          <cell r="C3493" t="str">
            <v/>
          </cell>
          <cell r="D3493" t="str">
            <v/>
          </cell>
        </row>
        <row r="3494">
          <cell r="B3494" t="str">
            <v/>
          </cell>
          <cell r="C3494" t="str">
            <v/>
          </cell>
          <cell r="D3494" t="str">
            <v/>
          </cell>
        </row>
        <row r="3495">
          <cell r="B3495" t="str">
            <v/>
          </cell>
          <cell r="C3495" t="str">
            <v/>
          </cell>
          <cell r="D3495" t="str">
            <v/>
          </cell>
        </row>
        <row r="3496">
          <cell r="B3496" t="str">
            <v>INF966L01AZ7</v>
          </cell>
          <cell r="C3496" t="str">
            <v>-</v>
          </cell>
          <cell r="D3496" t="str">
            <v>quant Overnight Fund - Growth Option - Direct Plan</v>
          </cell>
          <cell r="E3496">
            <v>12.5008</v>
          </cell>
        </row>
        <row r="3497">
          <cell r="B3497" t="str">
            <v>INF966L01BC4</v>
          </cell>
          <cell r="C3497" t="str">
            <v>-</v>
          </cell>
          <cell r="D3497" t="str">
            <v>quant Overnight Fund - Growth Option - Regular Plan</v>
          </cell>
          <cell r="E3497">
            <v>12.4552</v>
          </cell>
        </row>
        <row r="3498">
          <cell r="B3498" t="str">
            <v>INF966L01BA8</v>
          </cell>
          <cell r="C3498" t="str">
            <v>INF966L01BB6</v>
          </cell>
          <cell r="D3498" t="str">
            <v>quant Overnight Fund - IDCW Option - Direct Plan</v>
          </cell>
          <cell r="E3498">
            <v>12.506</v>
          </cell>
        </row>
        <row r="3499">
          <cell r="B3499" t="str">
            <v>INF966L01BD2</v>
          </cell>
          <cell r="C3499" t="str">
            <v>INF966L01BE0</v>
          </cell>
          <cell r="D3499" t="str">
            <v>quant Overnight Fund - IDCW Option - Regular Plan</v>
          </cell>
          <cell r="E3499">
            <v>12.4437</v>
          </cell>
        </row>
        <row r="3500">
          <cell r="B3500" t="str">
            <v>-</v>
          </cell>
          <cell r="C3500" t="str">
            <v>-</v>
          </cell>
          <cell r="D3500" t="str">
            <v>quant Overnight Fund - Unclaimed IDCW Greater than 3 years</v>
          </cell>
          <cell r="E3500">
            <v>10</v>
          </cell>
        </row>
        <row r="3501">
          <cell r="B3501" t="str">
            <v>-</v>
          </cell>
          <cell r="C3501" t="str">
            <v>-</v>
          </cell>
          <cell r="D3501" t="str">
            <v>quant Overnight Fund - Unclaimed IDCW Less than 3 years</v>
          </cell>
          <cell r="E3501">
            <v>10.300599999999999</v>
          </cell>
        </row>
        <row r="3502">
          <cell r="B3502" t="str">
            <v>-</v>
          </cell>
          <cell r="C3502" t="str">
            <v>-</v>
          </cell>
          <cell r="D3502" t="str">
            <v>quant Overnight Fund - Unclaimed Redemption Greater than 3 years</v>
          </cell>
          <cell r="E3502">
            <v>10</v>
          </cell>
        </row>
        <row r="3503">
          <cell r="B3503" t="str">
            <v>-</v>
          </cell>
          <cell r="C3503" t="str">
            <v>-</v>
          </cell>
          <cell r="D3503" t="str">
            <v>quant Overnight Fund - Unclaimed Redemption Less than 3 years</v>
          </cell>
          <cell r="E3503">
            <v>10.296200000000001</v>
          </cell>
        </row>
        <row r="3504">
          <cell r="B3504" t="str">
            <v/>
          </cell>
          <cell r="C3504" t="str">
            <v/>
          </cell>
          <cell r="D3504" t="str">
            <v/>
          </cell>
        </row>
        <row r="3505">
          <cell r="B3505" t="str">
            <v/>
          </cell>
          <cell r="C3505" t="str">
            <v/>
          </cell>
          <cell r="D3505" t="str">
            <v/>
          </cell>
        </row>
        <row r="3506">
          <cell r="B3506" t="str">
            <v/>
          </cell>
          <cell r="C3506" t="str">
            <v/>
          </cell>
          <cell r="D3506" t="str">
            <v/>
          </cell>
        </row>
        <row r="3507">
          <cell r="B3507" t="str">
            <v>INF0K1H01040</v>
          </cell>
          <cell r="C3507" t="str">
            <v>-</v>
          </cell>
          <cell r="D3507" t="str">
            <v>Samco Overnight Fund - Direct Plan - Growth Option</v>
          </cell>
          <cell r="E3507">
            <v>1248.9901</v>
          </cell>
        </row>
        <row r="3508">
          <cell r="B3508" t="str">
            <v>INF0K1H01032</v>
          </cell>
          <cell r="C3508" t="str">
            <v>-</v>
          </cell>
          <cell r="D3508" t="str">
            <v>Samco Overnight Fund - Regular Plan - Growth Option</v>
          </cell>
          <cell r="E3508">
            <v>1238.9322999999999</v>
          </cell>
        </row>
        <row r="3509">
          <cell r="B3509" t="str">
            <v>-</v>
          </cell>
          <cell r="C3509" t="str">
            <v>-</v>
          </cell>
          <cell r="D3509" t="str">
            <v>Samco Overnight Fund - Unclaimed Redemption Upto 3 years</v>
          </cell>
          <cell r="E3509">
            <v>1092.6851999999999</v>
          </cell>
        </row>
        <row r="3510">
          <cell r="B3510" t="str">
            <v/>
          </cell>
          <cell r="C3510" t="str">
            <v/>
          </cell>
          <cell r="D3510" t="str">
            <v/>
          </cell>
        </row>
        <row r="3511">
          <cell r="B3511" t="str">
            <v/>
          </cell>
          <cell r="C3511" t="str">
            <v/>
          </cell>
          <cell r="D3511" t="str">
            <v/>
          </cell>
        </row>
        <row r="3512">
          <cell r="B3512" t="str">
            <v/>
          </cell>
          <cell r="C3512" t="str">
            <v/>
          </cell>
          <cell r="D3512" t="str">
            <v/>
          </cell>
        </row>
        <row r="3513">
          <cell r="B3513" t="str">
            <v>-</v>
          </cell>
          <cell r="C3513" t="str">
            <v>INF200K01TJ7</v>
          </cell>
          <cell r="D3513" t="str">
            <v>SBI Overnight Fund - Direct Plan - Daily Income Distribution cum Capital Withdrawal Option (IDCW)</v>
          </cell>
          <cell r="E3513">
            <v>1380.9203</v>
          </cell>
        </row>
        <row r="3514">
          <cell r="B3514" t="str">
            <v>INF200K01TK5</v>
          </cell>
          <cell r="C3514" t="str">
            <v>-</v>
          </cell>
          <cell r="D3514" t="str">
            <v>SBI OVERNIGHT FUND - DIRECT PLAN - GROWTH</v>
          </cell>
          <cell r="E3514">
            <v>4449.0101000000004</v>
          </cell>
        </row>
        <row r="3515">
          <cell r="B3515" t="str">
            <v>INF200K01TL3</v>
          </cell>
          <cell r="C3515" t="str">
            <v>INF200K01TM1</v>
          </cell>
          <cell r="D3515" t="str">
            <v>SBI Overnight Fund - Direct Plan - Weekly Income Distribution cum Capital Withdrawal Option (IDCW)</v>
          </cell>
          <cell r="E3515">
            <v>1410.1149</v>
          </cell>
        </row>
        <row r="3516">
          <cell r="B3516" t="str">
            <v>-</v>
          </cell>
          <cell r="C3516" t="str">
            <v>INF200K01LN6</v>
          </cell>
          <cell r="D3516" t="str">
            <v>SBI Overnight Fund - Regular Plan - Daily Income Distribution cum Capital Withdrawal Option (IDCW)</v>
          </cell>
          <cell r="E3516">
            <v>1374.5302999999999</v>
          </cell>
        </row>
        <row r="3517">
          <cell r="B3517" t="str">
            <v>INF200K01LQ9</v>
          </cell>
          <cell r="C3517" t="str">
            <v>-</v>
          </cell>
          <cell r="D3517" t="str">
            <v>SBI OVERNIGHT FUND - REGULAR PLAN - GROWTH</v>
          </cell>
          <cell r="E3517">
            <v>4388.6992</v>
          </cell>
        </row>
        <row r="3518">
          <cell r="B3518" t="str">
            <v>INF200K01LO4</v>
          </cell>
          <cell r="C3518" t="str">
            <v>INF200K01LP1</v>
          </cell>
          <cell r="D3518" t="str">
            <v>SBI Overnight Fund - Regular Plan - Weekly Income Distribution cum Capital Withdrawal Option (IDCW)</v>
          </cell>
          <cell r="E3518">
            <v>1403.4884999999999</v>
          </cell>
        </row>
        <row r="3519">
          <cell r="B3519" t="str">
            <v/>
          </cell>
          <cell r="C3519" t="str">
            <v/>
          </cell>
          <cell r="D3519" t="str">
            <v/>
          </cell>
        </row>
        <row r="3520">
          <cell r="B3520" t="str">
            <v/>
          </cell>
          <cell r="C3520" t="str">
            <v/>
          </cell>
          <cell r="D3520" t="str">
            <v/>
          </cell>
        </row>
        <row r="3521">
          <cell r="B3521" t="str">
            <v/>
          </cell>
          <cell r="C3521" t="str">
            <v/>
          </cell>
          <cell r="D3521" t="str">
            <v/>
          </cell>
        </row>
        <row r="3522">
          <cell r="B3522" t="str">
            <v>-</v>
          </cell>
          <cell r="C3522" t="str">
            <v>INF680P01513</v>
          </cell>
          <cell r="D3522" t="str">
            <v>Shriram Overnight Fund- Direct Daily IDCW</v>
          </cell>
          <cell r="E3522">
            <v>1000.0265000000001</v>
          </cell>
        </row>
        <row r="3523">
          <cell r="B3523" t="str">
            <v>INF680P01497</v>
          </cell>
          <cell r="C3523" t="str">
            <v>-</v>
          </cell>
          <cell r="D3523" t="str">
            <v>Shriram Overnight Fund- Direct Growth</v>
          </cell>
          <cell r="E3523">
            <v>1263.7170000000001</v>
          </cell>
        </row>
        <row r="3524">
          <cell r="B3524" t="str">
            <v>INF680P01612</v>
          </cell>
          <cell r="C3524" t="str">
            <v>INF680P01638</v>
          </cell>
          <cell r="D3524" t="str">
            <v>Shriram Overnight Fund- Direct Monthly IDCW</v>
          </cell>
          <cell r="E3524">
            <v>1001.0246</v>
          </cell>
        </row>
        <row r="3525">
          <cell r="B3525" t="str">
            <v>-</v>
          </cell>
          <cell r="C3525" t="str">
            <v>INF680P01521</v>
          </cell>
          <cell r="D3525" t="str">
            <v>Shriram Overnight Fund- Regular Daily IDCW</v>
          </cell>
          <cell r="E3525">
            <v>1000.01</v>
          </cell>
        </row>
        <row r="3526">
          <cell r="B3526" t="str">
            <v>INF680P01505</v>
          </cell>
          <cell r="C3526" t="str">
            <v>-</v>
          </cell>
          <cell r="D3526" t="str">
            <v>Shriram Overnight Fund- Regular Growth</v>
          </cell>
          <cell r="E3526">
            <v>1259.6891000000001</v>
          </cell>
        </row>
        <row r="3527">
          <cell r="B3527" t="str">
            <v>INF680P01620</v>
          </cell>
          <cell r="C3527" t="str">
            <v>INF680P01646</v>
          </cell>
          <cell r="D3527" t="str">
            <v>Shriram Overnight Fund- Regular Monthly IDCW</v>
          </cell>
          <cell r="E3527">
            <v>1001.0333000000001</v>
          </cell>
        </row>
        <row r="3528">
          <cell r="B3528" t="str">
            <v/>
          </cell>
          <cell r="C3528" t="str">
            <v/>
          </cell>
          <cell r="D3528" t="str">
            <v/>
          </cell>
        </row>
        <row r="3529">
          <cell r="B3529" t="str">
            <v/>
          </cell>
          <cell r="C3529" t="str">
            <v/>
          </cell>
          <cell r="D3529" t="str">
            <v/>
          </cell>
        </row>
        <row r="3530">
          <cell r="B3530" t="str">
            <v/>
          </cell>
          <cell r="C3530" t="str">
            <v/>
          </cell>
          <cell r="D3530" t="str">
            <v/>
          </cell>
        </row>
        <row r="3531">
          <cell r="B3531" t="str">
            <v>INF903JA1HJ9</v>
          </cell>
          <cell r="C3531" t="str">
            <v>-</v>
          </cell>
          <cell r="D3531" t="str">
            <v>Sundaram Overnight Fund Direct Plan - Daily Reinvestment of Income Distribution cum Capital Withdrawal (IDCW)</v>
          </cell>
          <cell r="E3531">
            <v>1000.03</v>
          </cell>
        </row>
        <row r="3532">
          <cell r="B3532" t="str">
            <v>INF903JA1HL5</v>
          </cell>
          <cell r="C3532" t="str">
            <v>-</v>
          </cell>
          <cell r="D3532" t="str">
            <v>Sundaram Overnight Fund Direct Plan - Fortnightly Reinvestment of Income Distribution cum Capital Withdrawal (IDCW)</v>
          </cell>
          <cell r="E3532">
            <v>1067.4521999999999</v>
          </cell>
        </row>
        <row r="3533">
          <cell r="B3533" t="str">
            <v>INF903JA1HG5</v>
          </cell>
          <cell r="C3533" t="str">
            <v>-</v>
          </cell>
          <cell r="D3533" t="str">
            <v>Sundaram Overnight Fund Direct Plan - Growth</v>
          </cell>
          <cell r="E3533">
            <v>1453.2916</v>
          </cell>
        </row>
        <row r="3534">
          <cell r="B3534" t="str">
            <v>INF903JA1HH3</v>
          </cell>
          <cell r="C3534" t="str">
            <v>-</v>
          </cell>
          <cell r="D3534" t="str">
            <v>Sundaram Overnight Fund Direct Plan - Monthly Payout of Income Distribution cum Capital Withdrawal (IDCW)</v>
          </cell>
          <cell r="E3534">
            <v>1050.3562999999999</v>
          </cell>
        </row>
        <row r="3535">
          <cell r="B3535" t="str">
            <v>-</v>
          </cell>
          <cell r="C3535" t="str">
            <v>INF903JA1HM3</v>
          </cell>
          <cell r="D3535" t="str">
            <v>Sundaram Overnight Fund Direct Plan - Monthly Reinvestment of Income Distribution cum Capital Withdrawal (IDCW)</v>
          </cell>
          <cell r="E3535">
            <v>1050.3562999999999</v>
          </cell>
        </row>
        <row r="3536">
          <cell r="B3536" t="str">
            <v>INF903JA1HK7</v>
          </cell>
          <cell r="C3536" t="str">
            <v>-</v>
          </cell>
          <cell r="D3536" t="str">
            <v>Sundaram Overnight Fund Direct Plan - Weekly Reinvestment of Income Distribution cum Capital Withdrawal (IDCW)</v>
          </cell>
          <cell r="E3536">
            <v>1049.5696</v>
          </cell>
        </row>
        <row r="3537">
          <cell r="B3537" t="str">
            <v>INF903JA1HC4</v>
          </cell>
          <cell r="C3537" t="str">
            <v>-</v>
          </cell>
          <cell r="D3537" t="str">
            <v>Sundaram Overnight Fund Regular Plan - Daily Reinvestment of Income Distribution cum Capital Withdrawal (IDCW)</v>
          </cell>
          <cell r="E3537">
            <v>1000.03</v>
          </cell>
        </row>
        <row r="3538">
          <cell r="B3538" t="str">
            <v>INF903JA1HE0</v>
          </cell>
          <cell r="C3538" t="str">
            <v>-</v>
          </cell>
          <cell r="D3538" t="str">
            <v>Sundaram Overnight Fund Regular Plan - Fortnightly Reinvestment of Income Distribution cum Capital Withdrawal (IDCW)</v>
          </cell>
          <cell r="E3538">
            <v>1068.8380999999999</v>
          </cell>
        </row>
        <row r="3539">
          <cell r="B3539" t="str">
            <v>INF903JA1GZ7</v>
          </cell>
          <cell r="C3539" t="str">
            <v>-</v>
          </cell>
          <cell r="D3539" t="str">
            <v>Sundaram Overnight Fund Regular Plan - Growth</v>
          </cell>
          <cell r="E3539">
            <v>1442.9465</v>
          </cell>
        </row>
        <row r="3540">
          <cell r="B3540" t="str">
            <v>INF903JA1HA8</v>
          </cell>
          <cell r="C3540" t="str">
            <v>-</v>
          </cell>
          <cell r="D3540" t="str">
            <v>Sundaram Overnight Fund Regular Plan - Monthly Payout of Income Distribution cum Capital Withdrawal (IDCW)</v>
          </cell>
          <cell r="E3540">
            <v>1045.1010000000001</v>
          </cell>
        </row>
        <row r="3541">
          <cell r="B3541" t="str">
            <v>-</v>
          </cell>
          <cell r="C3541" t="str">
            <v>INF903JA1HF7</v>
          </cell>
          <cell r="D3541" t="str">
            <v>Sundaram Overnight Fund Regular Plan - Monthly Reinvestment of Income Distribution cum Capital Withdrawal (IDCW)</v>
          </cell>
          <cell r="E3541">
            <v>1045.1010000000001</v>
          </cell>
        </row>
        <row r="3542">
          <cell r="B3542" t="str">
            <v>INF903JA1HD2</v>
          </cell>
          <cell r="C3542" t="str">
            <v>-</v>
          </cell>
          <cell r="D3542" t="str">
            <v>Sundaram Overnight Fund Regular Plan - Weekly Payout of Income Distribution cum Capital Withdrawal (IDCW)</v>
          </cell>
          <cell r="E3542">
            <v>1048.3635999999999</v>
          </cell>
        </row>
        <row r="3543">
          <cell r="B3543" t="str">
            <v/>
          </cell>
          <cell r="C3543" t="str">
            <v/>
          </cell>
          <cell r="D3543" t="str">
            <v/>
          </cell>
        </row>
        <row r="3544">
          <cell r="B3544" t="str">
            <v/>
          </cell>
          <cell r="C3544" t="str">
            <v/>
          </cell>
          <cell r="D3544" t="str">
            <v/>
          </cell>
        </row>
        <row r="3545">
          <cell r="B3545" t="str">
            <v/>
          </cell>
          <cell r="C3545" t="str">
            <v/>
          </cell>
          <cell r="D3545" t="str">
            <v/>
          </cell>
        </row>
        <row r="3546">
          <cell r="B3546" t="str">
            <v>-</v>
          </cell>
          <cell r="C3546" t="str">
            <v>INF277K019T3</v>
          </cell>
          <cell r="D3546" t="str">
            <v xml:space="preserve">TATA Overnight Fund Direct Plan - Daily Reinvestment of Income Distribution cum capital withdrawal option   </v>
          </cell>
          <cell r="E3546">
            <v>1000.0001</v>
          </cell>
        </row>
        <row r="3547">
          <cell r="B3547" t="str">
            <v>-</v>
          </cell>
          <cell r="C3547" t="str">
            <v>INF277K017T7</v>
          </cell>
          <cell r="D3547" t="str">
            <v xml:space="preserve">TATA Overnight Fund Regular Plan - Daily Reinvestment of Income Distribution cum capital withdrawal option   </v>
          </cell>
          <cell r="E3547">
            <v>1000.0001</v>
          </cell>
        </row>
        <row r="3548">
          <cell r="B3548" t="str">
            <v>INF277K018T5</v>
          </cell>
          <cell r="C3548" t="str">
            <v>-</v>
          </cell>
          <cell r="D3548" t="str">
            <v>Tata Overnight Fund-Direct Plan-Growth</v>
          </cell>
          <cell r="E3548">
            <v>1444.6768999999999</v>
          </cell>
        </row>
        <row r="3549">
          <cell r="B3549" t="str">
            <v>INF277K016T9</v>
          </cell>
          <cell r="C3549" t="str">
            <v>-</v>
          </cell>
          <cell r="D3549" t="str">
            <v>Tata Overnight Fund-Regular Plan-Growth</v>
          </cell>
          <cell r="E3549">
            <v>1432.7058</v>
          </cell>
        </row>
        <row r="3550">
          <cell r="B3550" t="str">
            <v/>
          </cell>
          <cell r="C3550" t="str">
            <v/>
          </cell>
          <cell r="D3550" t="str">
            <v/>
          </cell>
        </row>
        <row r="3551">
          <cell r="B3551" t="str">
            <v/>
          </cell>
          <cell r="C3551" t="str">
            <v/>
          </cell>
          <cell r="D3551" t="str">
            <v/>
          </cell>
        </row>
        <row r="3552">
          <cell r="B3552" t="str">
            <v/>
          </cell>
          <cell r="C3552" t="str">
            <v/>
          </cell>
          <cell r="D3552" t="str">
            <v/>
          </cell>
        </row>
        <row r="3553">
          <cell r="B3553" t="str">
            <v>-</v>
          </cell>
          <cell r="C3553" t="str">
            <v>INF0GCD01461</v>
          </cell>
          <cell r="D3553" t="str">
            <v>TRUST MF OVERNIGHT FUND-DIRECT PLAN-DAILY IDCW REINVESTMENT</v>
          </cell>
          <cell r="E3553">
            <v>1265.8647000000001</v>
          </cell>
        </row>
        <row r="3554">
          <cell r="B3554" t="str">
            <v>INF0GCD01453</v>
          </cell>
          <cell r="C3554" t="str">
            <v>-</v>
          </cell>
          <cell r="D3554" t="str">
            <v>TRUST MF OVERNIGHT FUND-DIRECT PLAN-GROWTH</v>
          </cell>
          <cell r="E3554">
            <v>1293.6072999999999</v>
          </cell>
        </row>
        <row r="3555">
          <cell r="B3555" t="str">
            <v>-</v>
          </cell>
          <cell r="C3555" t="str">
            <v>INF0GCD01446</v>
          </cell>
          <cell r="D3555" t="str">
            <v>TRUST MF OVERNIGHT FUND-REGULAR PLAN-DAILY IDCW REINVESTMENT</v>
          </cell>
          <cell r="E3555">
            <v>1254.6719000000001</v>
          </cell>
        </row>
        <row r="3556">
          <cell r="B3556" t="str">
            <v>INF0GCD01438</v>
          </cell>
          <cell r="C3556" t="str">
            <v>-</v>
          </cell>
          <cell r="D3556" t="str">
            <v>TRUST MF OVERNIGHT FUND-REGULAR-GROWTH</v>
          </cell>
          <cell r="E3556">
            <v>1290.6806999999999</v>
          </cell>
        </row>
        <row r="3557">
          <cell r="B3557" t="str">
            <v/>
          </cell>
          <cell r="C3557" t="str">
            <v/>
          </cell>
          <cell r="D3557" t="str">
            <v/>
          </cell>
        </row>
        <row r="3558">
          <cell r="B3558" t="str">
            <v/>
          </cell>
          <cell r="C3558" t="str">
            <v/>
          </cell>
          <cell r="D3558" t="str">
            <v/>
          </cell>
        </row>
        <row r="3559">
          <cell r="B3559" t="str">
            <v/>
          </cell>
          <cell r="C3559" t="str">
            <v/>
          </cell>
          <cell r="D3559" t="str">
            <v/>
          </cell>
        </row>
        <row r="3560">
          <cell r="B3560" t="str">
            <v>-</v>
          </cell>
          <cell r="C3560" t="str">
            <v>INF582M01FB0</v>
          </cell>
          <cell r="D3560" t="str">
            <v>Union Overnight Fund - Direct Plan - Daily IDCW Option</v>
          </cell>
          <cell r="E3560">
            <v>1000.8064000000001</v>
          </cell>
        </row>
        <row r="3561">
          <cell r="B3561" t="str">
            <v>INF582M01FA2</v>
          </cell>
          <cell r="C3561" t="str">
            <v>-</v>
          </cell>
          <cell r="D3561" t="str">
            <v>Union Overnight Fund - Direct Plan - Growth Option</v>
          </cell>
          <cell r="E3561">
            <v>1440.4655</v>
          </cell>
        </row>
        <row r="3562">
          <cell r="B3562" t="str">
            <v>INF582M01FG9</v>
          </cell>
          <cell r="C3562" t="str">
            <v>INF582M01FE4</v>
          </cell>
          <cell r="D3562" t="str">
            <v>Union Overnight Fund - Direct Plan - Monthly IDCW Option</v>
          </cell>
          <cell r="E3562">
            <v>1004.4583</v>
          </cell>
        </row>
        <row r="3563">
          <cell r="B3563" t="str">
            <v>-</v>
          </cell>
          <cell r="C3563" t="str">
            <v>INF582M01FK1</v>
          </cell>
          <cell r="D3563" t="str">
            <v>Union Overnight Fund - Regular Plan - Daily IDCW Option</v>
          </cell>
          <cell r="E3563">
            <v>1001.2621</v>
          </cell>
        </row>
        <row r="3564">
          <cell r="B3564" t="str">
            <v>INF582M01FJ3</v>
          </cell>
          <cell r="C3564" t="str">
            <v>-</v>
          </cell>
          <cell r="D3564" t="str">
            <v>Union Overnight Fund - Regular Plan - Growth Option</v>
          </cell>
          <cell r="E3564">
            <v>1430.0763999999999</v>
          </cell>
        </row>
        <row r="3565">
          <cell r="B3565" t="str">
            <v>INF582M01FP0</v>
          </cell>
          <cell r="C3565" t="str">
            <v>INF582M01FN5</v>
          </cell>
          <cell r="D3565" t="str">
            <v>Union Overnight Fund - Regular Plan - Monthly IDCW Option</v>
          </cell>
          <cell r="E3565">
            <v>1004.4113</v>
          </cell>
        </row>
        <row r="3566">
          <cell r="B3566" t="str">
            <v>-</v>
          </cell>
          <cell r="C3566" t="str">
            <v>-</v>
          </cell>
          <cell r="D3566" t="str">
            <v>Union Overnight Fund - Unclaimed Amounts Plan - IDCW Beyond 3 years</v>
          </cell>
          <cell r="E3566">
            <v>1000</v>
          </cell>
        </row>
        <row r="3567">
          <cell r="B3567" t="str">
            <v>-</v>
          </cell>
          <cell r="C3567" t="str">
            <v>-</v>
          </cell>
          <cell r="D3567" t="str">
            <v>Union Overnight Fund - Unclaimed Amounts Plan - IDCW Upto 3 years</v>
          </cell>
          <cell r="E3567">
            <v>1297.4355</v>
          </cell>
        </row>
        <row r="3568">
          <cell r="B3568" t="str">
            <v>-</v>
          </cell>
          <cell r="C3568" t="str">
            <v>-</v>
          </cell>
          <cell r="D3568" t="str">
            <v>Union Overnight Fund - Unclaimed Amounts Plan - Redemption Beyond 3 years</v>
          </cell>
          <cell r="E3568">
            <v>1000</v>
          </cell>
        </row>
        <row r="3569">
          <cell r="B3569" t="str">
            <v>-</v>
          </cell>
          <cell r="C3569" t="str">
            <v>-</v>
          </cell>
          <cell r="D3569" t="str">
            <v>Union Overnight Fund - Unclaimed Amounts Plan - Redemption Upto 3 years</v>
          </cell>
          <cell r="E3569">
            <v>1297.4268999999999</v>
          </cell>
        </row>
        <row r="3570">
          <cell r="B3570" t="str">
            <v/>
          </cell>
          <cell r="C3570" t="str">
            <v/>
          </cell>
          <cell r="D3570" t="str">
            <v/>
          </cell>
        </row>
        <row r="3571">
          <cell r="B3571" t="str">
            <v/>
          </cell>
          <cell r="C3571" t="str">
            <v/>
          </cell>
          <cell r="D3571" t="str">
            <v/>
          </cell>
        </row>
        <row r="3572">
          <cell r="B3572" t="str">
            <v/>
          </cell>
          <cell r="C3572" t="str">
            <v/>
          </cell>
          <cell r="D3572" t="str">
            <v/>
          </cell>
        </row>
        <row r="3573">
          <cell r="B3573" t="str">
            <v>INF789F01604</v>
          </cell>
          <cell r="C3573" t="str">
            <v>-</v>
          </cell>
          <cell r="D3573" t="str">
            <v>UTI - Overnight  Fund - Regular Plan - Growth Option</v>
          </cell>
          <cell r="E3573">
            <v>3703.4580000000001</v>
          </cell>
        </row>
        <row r="3574">
          <cell r="B3574" t="str">
            <v>INF789FB1S71</v>
          </cell>
          <cell r="C3574" t="str">
            <v>-</v>
          </cell>
          <cell r="D3574" t="str">
            <v>UTI - Overnight Fund - Direct Plan - Growth Option</v>
          </cell>
          <cell r="E3574">
            <v>3745.6929</v>
          </cell>
        </row>
        <row r="3575">
          <cell r="B3575" t="str">
            <v>-</v>
          </cell>
          <cell r="C3575" t="str">
            <v>INF789FB1S89</v>
          </cell>
          <cell r="D3575" t="str">
            <v>UTI Overnight Fund - Direct Plan - Daily IDCW</v>
          </cell>
          <cell r="E3575">
            <v>1371.6621</v>
          </cell>
        </row>
        <row r="3576">
          <cell r="B3576" t="str">
            <v>INF789FB1T05</v>
          </cell>
          <cell r="C3576" t="str">
            <v>INF789FB1S97</v>
          </cell>
          <cell r="D3576" t="str">
            <v>UTI Overnight Fund - Direct Plan - Periodic IDCW</v>
          </cell>
          <cell r="E3576">
            <v>1965.7917</v>
          </cell>
        </row>
        <row r="3577">
          <cell r="B3577" t="str">
            <v>-</v>
          </cell>
          <cell r="C3577" t="str">
            <v>INF789FB1T13</v>
          </cell>
          <cell r="D3577" t="str">
            <v>UTI Overnight Fund - Regular Plan - Daily IDCW</v>
          </cell>
          <cell r="E3577">
            <v>1370.8616999999999</v>
          </cell>
        </row>
        <row r="3578">
          <cell r="B3578" t="str">
            <v>INF789F01588</v>
          </cell>
          <cell r="C3578" t="str">
            <v>INF789F01596</v>
          </cell>
          <cell r="D3578" t="str">
            <v>UTI Overnight Fund - Regular Plan - Periodic IDCW</v>
          </cell>
          <cell r="E3578">
            <v>1907.8927000000001</v>
          </cell>
        </row>
        <row r="3579">
          <cell r="B3579" t="str">
            <v/>
          </cell>
          <cell r="C3579" t="str">
            <v/>
          </cell>
          <cell r="D3579" t="str">
            <v/>
          </cell>
        </row>
        <row r="3580">
          <cell r="B3580" t="str">
            <v/>
          </cell>
          <cell r="C3580" t="str">
            <v/>
          </cell>
          <cell r="D3580" t="str">
            <v/>
          </cell>
        </row>
        <row r="3581">
          <cell r="B3581" t="str">
            <v/>
          </cell>
          <cell r="C3581" t="str">
            <v/>
          </cell>
          <cell r="D3581" t="str">
            <v/>
          </cell>
        </row>
        <row r="3582">
          <cell r="B3582" t="str">
            <v>INF0R8F01075</v>
          </cell>
          <cell r="C3582" t="str">
            <v>-</v>
          </cell>
          <cell r="D3582" t="str">
            <v>Zerodha Overnight Fund - Direct Plan - Growth Option</v>
          </cell>
          <cell r="E3582">
            <v>10.7058</v>
          </cell>
        </row>
        <row r="3583">
          <cell r="B3583" t="str">
            <v/>
          </cell>
          <cell r="C3583" t="str">
            <v/>
          </cell>
          <cell r="D3583" t="str">
            <v/>
          </cell>
        </row>
        <row r="3584">
          <cell r="B3584" t="str">
            <v/>
          </cell>
          <cell r="C3584" t="str">
            <v/>
          </cell>
          <cell r="D3584" t="str">
            <v/>
          </cell>
        </row>
        <row r="3585">
          <cell r="B3585" t="str">
            <v/>
          </cell>
          <cell r="C3585" t="str">
            <v/>
          </cell>
          <cell r="D3585" t="str">
            <v/>
          </cell>
        </row>
        <row r="3586">
          <cell r="B3586" t="str">
            <v/>
          </cell>
          <cell r="C3586" t="str">
            <v/>
          </cell>
          <cell r="D3586" t="str">
            <v/>
          </cell>
        </row>
        <row r="3587">
          <cell r="B3587" t="str">
            <v/>
          </cell>
          <cell r="C3587" t="str">
            <v/>
          </cell>
          <cell r="D3587" t="str">
            <v/>
          </cell>
        </row>
        <row r="3588">
          <cell r="B3588" t="str">
            <v>INF209KA1KQ6</v>
          </cell>
          <cell r="C3588" t="str">
            <v>INF209K01XL6</v>
          </cell>
          <cell r="D3588" t="str">
            <v>Aditya Birla Sun Life Short Term Fund - DIRECT - IDCW</v>
          </cell>
          <cell r="E3588">
            <v>11.0557</v>
          </cell>
        </row>
        <row r="3589">
          <cell r="B3589" t="str">
            <v>INF209K01XK8</v>
          </cell>
          <cell r="C3589" t="str">
            <v>-</v>
          </cell>
          <cell r="D3589" t="str">
            <v>Aditya Birla Sun Life Short Term Fund - Growth - Direct Plan</v>
          </cell>
          <cell r="E3589">
            <v>54.966700000000003</v>
          </cell>
        </row>
        <row r="3590">
          <cell r="B3590" t="str">
            <v>INF209K01942</v>
          </cell>
          <cell r="C3590" t="str">
            <v>-</v>
          </cell>
          <cell r="D3590" t="str">
            <v>Aditya Birla Sun Life Short Term Fund - Growth - Regular Plan</v>
          </cell>
          <cell r="E3590">
            <v>50.471800000000002</v>
          </cell>
        </row>
        <row r="3591">
          <cell r="B3591" t="str">
            <v>INF209K01975</v>
          </cell>
          <cell r="C3591" t="str">
            <v>INF209K01DK0</v>
          </cell>
          <cell r="D3591" t="str">
            <v>Aditya Birla Sun Life Short Term Fund - REGULAR - IDCW</v>
          </cell>
          <cell r="E3591">
            <v>15.0784</v>
          </cell>
        </row>
        <row r="3592">
          <cell r="B3592" t="str">
            <v>INF209K01BU3</v>
          </cell>
          <cell r="C3592" t="str">
            <v>-</v>
          </cell>
          <cell r="D3592" t="str">
            <v>Aditya Birla Sun Life Short Term Fund - REGULAR - Quarterly IDCW</v>
          </cell>
          <cell r="E3592">
            <v>10.422700000000001</v>
          </cell>
        </row>
        <row r="3593">
          <cell r="B3593" t="str">
            <v>INF209K01R96</v>
          </cell>
          <cell r="C3593" t="str">
            <v>INF209KA1KR4</v>
          </cell>
          <cell r="D3593" t="str">
            <v>Aditya Birla Sun Life Short Term Fund-Quarterly-IDCW-Direct</v>
          </cell>
          <cell r="E3593">
            <v>10.938499999999999</v>
          </cell>
        </row>
        <row r="3594">
          <cell r="B3594" t="str">
            <v/>
          </cell>
          <cell r="C3594" t="str">
            <v/>
          </cell>
          <cell r="D3594" t="str">
            <v/>
          </cell>
        </row>
        <row r="3595">
          <cell r="B3595" t="str">
            <v/>
          </cell>
          <cell r="C3595" t="str">
            <v/>
          </cell>
          <cell r="D3595" t="str">
            <v/>
          </cell>
        </row>
        <row r="3596">
          <cell r="B3596" t="str">
            <v/>
          </cell>
          <cell r="C3596" t="str">
            <v/>
          </cell>
          <cell r="D3596" t="str">
            <v/>
          </cell>
        </row>
        <row r="3597">
          <cell r="B3597" t="str">
            <v>INF846K01EI1</v>
          </cell>
          <cell r="C3597" t="str">
            <v>-</v>
          </cell>
          <cell r="D3597" t="str">
            <v>Axis Short Duration Fund - Direct Plan - Growth Option</v>
          </cell>
          <cell r="E3597">
            <v>36.059899999999999</v>
          </cell>
        </row>
        <row r="3598">
          <cell r="B3598" t="str">
            <v>INF846K01EJ9</v>
          </cell>
          <cell r="C3598" t="str">
            <v>INF846K01EK7</v>
          </cell>
          <cell r="D3598" t="str">
            <v>Axis Short Duration Fund - Direct Plan - Monthly IDCW</v>
          </cell>
          <cell r="E3598">
            <v>10.073</v>
          </cell>
        </row>
        <row r="3599">
          <cell r="B3599" t="str">
            <v>INF846K01RH5</v>
          </cell>
          <cell r="C3599" t="str">
            <v>INF846K01RI3</v>
          </cell>
          <cell r="D3599" t="str">
            <v>Axis Short Duration Fund - Direct Plan - Regular IDCW</v>
          </cell>
          <cell r="E3599">
            <v>22.061499999999999</v>
          </cell>
        </row>
        <row r="3600">
          <cell r="B3600" t="str">
            <v>INF846K01EL5</v>
          </cell>
          <cell r="C3600" t="str">
            <v>INF846K01EM3</v>
          </cell>
          <cell r="D3600" t="str">
            <v>Axis Short Duration Fund - Direct Plan - Weekly IDCW</v>
          </cell>
          <cell r="E3600">
            <v>10.2262</v>
          </cell>
        </row>
        <row r="3601">
          <cell r="B3601" t="str">
            <v>INF846K01NS1</v>
          </cell>
          <cell r="C3601" t="str">
            <v>-</v>
          </cell>
          <cell r="D3601" t="str">
            <v>Axis Short Duration Fund - Regular Plan - Bonus Option</v>
          </cell>
          <cell r="E3601">
            <v>22.373699999999999</v>
          </cell>
        </row>
        <row r="3602">
          <cell r="B3602" t="str">
            <v>INF846K01644</v>
          </cell>
          <cell r="C3602" t="str">
            <v>-</v>
          </cell>
          <cell r="D3602" t="str">
            <v>Axis Short Duration Fund - Regular Plan - Growth Option</v>
          </cell>
          <cell r="E3602">
            <v>32.8703</v>
          </cell>
        </row>
        <row r="3603">
          <cell r="B3603" t="str">
            <v>INF846K01651</v>
          </cell>
          <cell r="C3603" t="str">
            <v>INF846K01669</v>
          </cell>
          <cell r="D3603" t="str">
            <v>Axis Short Duration Fund - Regular Plan - Monthly IDCW</v>
          </cell>
          <cell r="E3603">
            <v>10.0908</v>
          </cell>
        </row>
        <row r="3604">
          <cell r="B3604" t="str">
            <v>INF846K01RJ1</v>
          </cell>
          <cell r="C3604" t="str">
            <v>INF846K01RK9</v>
          </cell>
          <cell r="D3604" t="str">
            <v>Axis Short Duration Fund - Regular Plan - Regular IDCW</v>
          </cell>
          <cell r="E3604">
            <v>21.989599999999999</v>
          </cell>
        </row>
        <row r="3605">
          <cell r="B3605" t="str">
            <v>INF846K01677</v>
          </cell>
          <cell r="C3605" t="str">
            <v>INF846K01685</v>
          </cell>
          <cell r="D3605" t="str">
            <v>Axis Short Duration Fund - Regular Plan - Weekly IDCW</v>
          </cell>
          <cell r="E3605">
            <v>10.375299999999999</v>
          </cell>
        </row>
        <row r="3606">
          <cell r="B3606" t="str">
            <v>INF846K01594</v>
          </cell>
          <cell r="C3606" t="str">
            <v>-</v>
          </cell>
          <cell r="D3606" t="str">
            <v>Axis Short Duration Fund - Retail Plan - Growth Option</v>
          </cell>
          <cell r="E3606">
            <v>32.490200000000002</v>
          </cell>
        </row>
        <row r="3607">
          <cell r="B3607" t="str">
            <v>INF846K01602</v>
          </cell>
          <cell r="C3607" t="str">
            <v>INF846K01610</v>
          </cell>
          <cell r="D3607" t="str">
            <v>Axis Short Duration Fund - Retail Plan - Monthly IDCW</v>
          </cell>
          <cell r="E3607">
            <v>10.0678</v>
          </cell>
        </row>
        <row r="3608">
          <cell r="B3608" t="str">
            <v>INF846K01628</v>
          </cell>
          <cell r="C3608" t="str">
            <v>INF846K01636</v>
          </cell>
          <cell r="D3608" t="str">
            <v>Axis Short Duration Fund - Retail Plan - Weekly IDCW</v>
          </cell>
          <cell r="E3608">
            <v>10.206</v>
          </cell>
        </row>
        <row r="3609">
          <cell r="B3609" t="str">
            <v/>
          </cell>
          <cell r="C3609" t="str">
            <v/>
          </cell>
          <cell r="D3609" t="str">
            <v/>
          </cell>
        </row>
        <row r="3610">
          <cell r="B3610" t="str">
            <v/>
          </cell>
          <cell r="C3610" t="str">
            <v/>
          </cell>
          <cell r="D3610" t="str">
            <v/>
          </cell>
        </row>
        <row r="3611">
          <cell r="B3611" t="str">
            <v/>
          </cell>
          <cell r="C3611" t="str">
            <v/>
          </cell>
          <cell r="D3611" t="str">
            <v/>
          </cell>
        </row>
        <row r="3612">
          <cell r="B3612" t="str">
            <v>INF194KA11L7</v>
          </cell>
          <cell r="C3612" t="str">
            <v>INF194KA12L5</v>
          </cell>
          <cell r="D3612" t="str">
            <v>Bandhan Short Duration Fund - Direct Plan - Annual IDCW</v>
          </cell>
          <cell r="E3612">
            <v>11.0829</v>
          </cell>
        </row>
        <row r="3613">
          <cell r="B3613" t="str">
            <v>INF194K01U56</v>
          </cell>
          <cell r="C3613" t="str">
            <v>INF194K01U49</v>
          </cell>
          <cell r="D3613" t="str">
            <v>Bandhan Short Duration Fund - Direct Plan - Fortnightly IDCW</v>
          </cell>
          <cell r="E3613">
            <v>10.3726</v>
          </cell>
        </row>
        <row r="3614">
          <cell r="B3614" t="str">
            <v>INF194K01U07</v>
          </cell>
          <cell r="C3614" t="str">
            <v>-</v>
          </cell>
          <cell r="D3614" t="str">
            <v>Bandhan Short Duration Fund - Direct Plan - Growth</v>
          </cell>
          <cell r="E3614">
            <v>65.386099999999999</v>
          </cell>
        </row>
        <row r="3615">
          <cell r="B3615" t="str">
            <v>INF194K01U23</v>
          </cell>
          <cell r="C3615" t="str">
            <v>INF194K01U15</v>
          </cell>
          <cell r="D3615" t="str">
            <v>Bandhan Short Duration Fund - Direct Plan - Monthly IDCW</v>
          </cell>
          <cell r="E3615">
            <v>10.3811</v>
          </cell>
        </row>
        <row r="3616">
          <cell r="B3616" t="str">
            <v>INF194KA1SR4</v>
          </cell>
          <cell r="C3616" t="str">
            <v>INF194KA1SS2</v>
          </cell>
          <cell r="D3616" t="str">
            <v>Bandhan Short Duration Fund - Direct Plan - Periodic IDCW</v>
          </cell>
          <cell r="E3616">
            <v>23.6023</v>
          </cell>
        </row>
        <row r="3617">
          <cell r="B3617" t="str">
            <v>INF194KA18K4</v>
          </cell>
          <cell r="C3617" t="str">
            <v>INF194KA19K2</v>
          </cell>
          <cell r="D3617" t="str">
            <v>Bandhan Short Duration Fund - Direct Plan - Quarterly IDCW</v>
          </cell>
          <cell r="E3617">
            <v>10.7616</v>
          </cell>
        </row>
        <row r="3618">
          <cell r="B3618" t="str">
            <v>INF194K01HR0</v>
          </cell>
          <cell r="C3618" t="str">
            <v>INF194K01HQ2</v>
          </cell>
          <cell r="D3618" t="str">
            <v>Bandhan Short Duration Fund - Plan B - Fortnightly Dividend</v>
          </cell>
          <cell r="E3618">
            <v>14.25207048</v>
          </cell>
        </row>
        <row r="3619">
          <cell r="B3619" t="str">
            <v>INF194K01HV2</v>
          </cell>
          <cell r="C3619" t="str">
            <v>INF194K01HU4</v>
          </cell>
          <cell r="D3619" t="str">
            <v>Bandhan Short Duration Fund - Plan C  - Fortnightly Dividend</v>
          </cell>
          <cell r="E3619">
            <v>11.21885202</v>
          </cell>
        </row>
        <row r="3620">
          <cell r="B3620" t="str">
            <v>INF194K01HT6</v>
          </cell>
          <cell r="C3620" t="str">
            <v>-</v>
          </cell>
          <cell r="D3620" t="str">
            <v>Bandhan Short Duration Fund - Plan C  - Growth</v>
          </cell>
          <cell r="E3620">
            <v>18.702108370000001</v>
          </cell>
        </row>
        <row r="3621">
          <cell r="B3621" t="str">
            <v>INF194K01HY6</v>
          </cell>
          <cell r="C3621" t="str">
            <v>INF194K01HX8</v>
          </cell>
          <cell r="D3621" t="str">
            <v>Bandhan Short Duration Fund - Plan C  - Monthly Dividend</v>
          </cell>
          <cell r="E3621">
            <v>14.741553250000001</v>
          </cell>
        </row>
        <row r="3622">
          <cell r="B3622" t="str">
            <v>INF194K01IA4</v>
          </cell>
          <cell r="C3622" t="str">
            <v>-</v>
          </cell>
          <cell r="D3622" t="str">
            <v>Bandhan Short Duration Fund - Plan D - Growth</v>
          </cell>
          <cell r="E3622">
            <v>22.163920149999999</v>
          </cell>
        </row>
        <row r="3623">
          <cell r="B3623" t="str">
            <v>INF194K01IF3</v>
          </cell>
          <cell r="C3623" t="str">
            <v>INF194K01IE6</v>
          </cell>
          <cell r="D3623" t="str">
            <v>Bandhan Short Duration Fund - Plan D - Monthly Dividend</v>
          </cell>
          <cell r="E3623">
            <v>17.711699970000002</v>
          </cell>
        </row>
        <row r="3624">
          <cell r="B3624" t="str">
            <v>INF194K01IC0</v>
          </cell>
          <cell r="C3624" t="str">
            <v>INF194K01IB2</v>
          </cell>
          <cell r="D3624" t="str">
            <v>Bandhan Short Duration Fund - Plan D- Fortnightly Dividend</v>
          </cell>
          <cell r="E3624">
            <v>12.03375677</v>
          </cell>
        </row>
        <row r="3625">
          <cell r="B3625" t="str">
            <v>INF194KA15K0</v>
          </cell>
          <cell r="C3625" t="str">
            <v>INF194KA16K8</v>
          </cell>
          <cell r="D3625" t="str">
            <v>Bandhan Short Duration Fund - Regular Plan - Annual IDCW</v>
          </cell>
          <cell r="E3625">
            <v>10.8543</v>
          </cell>
        </row>
        <row r="3626">
          <cell r="B3626" t="str">
            <v>INF194K01HK5</v>
          </cell>
          <cell r="C3626" t="str">
            <v>INF194K01HJ7</v>
          </cell>
          <cell r="D3626" t="str">
            <v>Bandhan Short Duration Fund - Regular Plan - Fortnightly IDCW</v>
          </cell>
          <cell r="E3626">
            <v>10.4131</v>
          </cell>
        </row>
        <row r="3627">
          <cell r="B3627" t="str">
            <v>INF194KA1SO1</v>
          </cell>
          <cell r="C3627" t="str">
            <v>INF194KA1SP8</v>
          </cell>
          <cell r="D3627" t="str">
            <v>Bandhan Short Duration Fund - Regular Plan - Periodic IDCW</v>
          </cell>
          <cell r="E3627">
            <v>22.543900000000001</v>
          </cell>
        </row>
        <row r="3628">
          <cell r="B3628" t="str">
            <v>INF194KA12K7</v>
          </cell>
          <cell r="C3628" t="str">
            <v>INF194KA13K5</v>
          </cell>
          <cell r="D3628" t="str">
            <v>Bandhan Short Duration Fund - Regular Plan - Quarterly IDCW</v>
          </cell>
          <cell r="E3628">
            <v>10.829499999999999</v>
          </cell>
        </row>
        <row r="3629">
          <cell r="B3629" t="str">
            <v/>
          </cell>
          <cell r="C3629" t="str">
            <v/>
          </cell>
          <cell r="D3629" t="str">
            <v/>
          </cell>
        </row>
        <row r="3630">
          <cell r="B3630" t="str">
            <v/>
          </cell>
          <cell r="C3630" t="str">
            <v/>
          </cell>
          <cell r="D3630" t="str">
            <v/>
          </cell>
        </row>
        <row r="3631">
          <cell r="B3631" t="str">
            <v/>
          </cell>
          <cell r="C3631" t="str">
            <v/>
          </cell>
          <cell r="D3631" t="str">
            <v/>
          </cell>
        </row>
        <row r="3632">
          <cell r="B3632" t="str">
            <v>INF761K01736</v>
          </cell>
          <cell r="C3632" t="str">
            <v>-</v>
          </cell>
          <cell r="D3632" t="str">
            <v>BANK OF INDIA Short Term Income Fund-Direct Plan- Growth</v>
          </cell>
          <cell r="E3632">
            <v>30.879000000000001</v>
          </cell>
        </row>
        <row r="3633">
          <cell r="B3633" t="str">
            <v>INF761K01751</v>
          </cell>
          <cell r="C3633" t="str">
            <v>INF761K01744</v>
          </cell>
          <cell r="D3633" t="str">
            <v>BANK OF INDIA Short Term Income Fund-Direct Plan- Monthly IDCW</v>
          </cell>
          <cell r="E3633">
            <v>15.013</v>
          </cell>
        </row>
        <row r="3634">
          <cell r="B3634" t="str">
            <v>INF761K01777</v>
          </cell>
          <cell r="C3634" t="str">
            <v>INF761K01769</v>
          </cell>
          <cell r="D3634" t="str">
            <v>BANK OF INDIA Short Term Income Fund-Direct Plan- Quarterly IDCW</v>
          </cell>
          <cell r="E3634">
            <v>14.2354</v>
          </cell>
        </row>
        <row r="3635">
          <cell r="B3635" t="str">
            <v>INF761K01579</v>
          </cell>
          <cell r="C3635" t="str">
            <v>-</v>
          </cell>
          <cell r="D3635" t="str">
            <v>BANK OF INDIA Short Term Income Fund-Regular Plan- Growth</v>
          </cell>
          <cell r="E3635">
            <v>28.231000000000002</v>
          </cell>
        </row>
        <row r="3636">
          <cell r="B3636" t="str">
            <v>INF761K01595</v>
          </cell>
          <cell r="C3636" t="str">
            <v>INF761K01587</v>
          </cell>
          <cell r="D3636" t="str">
            <v>BANK OF INDIA Short Term Income Fund-Regular Plan- Monthly IDCW</v>
          </cell>
          <cell r="E3636">
            <v>14.486800000000001</v>
          </cell>
        </row>
        <row r="3637">
          <cell r="B3637" t="str">
            <v>INF761K01611</v>
          </cell>
          <cell r="C3637" t="str">
            <v>INF761K01603</v>
          </cell>
          <cell r="D3637" t="str">
            <v>BANK OF INDIA Short Term Income Fund-Regular Plan- Quarterly IDCW</v>
          </cell>
          <cell r="E3637">
            <v>14.2761</v>
          </cell>
        </row>
        <row r="3638">
          <cell r="B3638" t="str">
            <v/>
          </cell>
          <cell r="C3638" t="str">
            <v/>
          </cell>
          <cell r="D3638" t="str">
            <v/>
          </cell>
        </row>
        <row r="3639">
          <cell r="B3639" t="str">
            <v/>
          </cell>
          <cell r="C3639" t="str">
            <v/>
          </cell>
          <cell r="D3639" t="str">
            <v/>
          </cell>
        </row>
        <row r="3640">
          <cell r="B3640" t="str">
            <v/>
          </cell>
          <cell r="C3640" t="str">
            <v/>
          </cell>
          <cell r="D3640" t="str">
            <v/>
          </cell>
        </row>
        <row r="3641">
          <cell r="B3641" t="str">
            <v>INF955L01BD5</v>
          </cell>
          <cell r="C3641" t="str">
            <v>-</v>
          </cell>
          <cell r="D3641" t="str">
            <v>Baroda BNP Paribas Short Duration Fund - Direct Plan - Growth Option</v>
          </cell>
          <cell r="E3641">
            <v>33.692300000000003</v>
          </cell>
        </row>
        <row r="3642">
          <cell r="B3642" t="str">
            <v>INF955L01BB9</v>
          </cell>
          <cell r="C3642" t="str">
            <v>-</v>
          </cell>
          <cell r="D3642" t="str">
            <v>Baroda BNP Paribas Short Duration Fund - Direct Plan - Monthly IDCW Option</v>
          </cell>
          <cell r="E3642">
            <v>10.476699999999999</v>
          </cell>
        </row>
        <row r="3643">
          <cell r="B3643" t="str">
            <v>INF955L01GU8</v>
          </cell>
          <cell r="C3643" t="str">
            <v>-</v>
          </cell>
          <cell r="D3643" t="str">
            <v>Baroda BNP Paribas Short Duration Fund - Direct Plan - Quarterly IDCW</v>
          </cell>
          <cell r="E3643">
            <v>11.1707</v>
          </cell>
        </row>
        <row r="3644">
          <cell r="B3644" t="str">
            <v>INF955L01153</v>
          </cell>
          <cell r="C3644" t="str">
            <v>-</v>
          </cell>
          <cell r="D3644" t="str">
            <v>Baroda BNP Paribas Short Duration Fund - Regular Plan - Growth Option</v>
          </cell>
          <cell r="E3644">
            <v>30.837199999999999</v>
          </cell>
        </row>
        <row r="3645">
          <cell r="B3645" t="str">
            <v>INF955L01138</v>
          </cell>
          <cell r="C3645" t="str">
            <v>INF955L01146</v>
          </cell>
          <cell r="D3645" t="str">
            <v>Baroda BNP Paribas Short Duration Fund - Regular Plan - Monthly IDCW Option</v>
          </cell>
          <cell r="E3645">
            <v>10.1866</v>
          </cell>
        </row>
        <row r="3646">
          <cell r="B3646" t="str">
            <v>INF955L01GS2</v>
          </cell>
          <cell r="C3646" t="str">
            <v>-</v>
          </cell>
          <cell r="D3646" t="str">
            <v>Baroda BNP Paribas Short Duration Fund - Regular Plan - Quarterly IDCW</v>
          </cell>
          <cell r="E3646">
            <v>10.559900000000001</v>
          </cell>
        </row>
        <row r="3647">
          <cell r="B3647" t="str">
            <v/>
          </cell>
          <cell r="C3647" t="str">
            <v/>
          </cell>
          <cell r="D3647" t="str">
            <v/>
          </cell>
        </row>
        <row r="3648">
          <cell r="B3648" t="str">
            <v/>
          </cell>
          <cell r="C3648" t="str">
            <v/>
          </cell>
          <cell r="D3648" t="str">
            <v/>
          </cell>
        </row>
        <row r="3649">
          <cell r="B3649" t="str">
            <v/>
          </cell>
          <cell r="C3649" t="str">
            <v/>
          </cell>
          <cell r="D3649" t="str">
            <v/>
          </cell>
        </row>
        <row r="3650">
          <cell r="B3650" t="str">
            <v>INF760K01DX5</v>
          </cell>
          <cell r="C3650" t="str">
            <v>-</v>
          </cell>
          <cell r="D3650" t="str">
            <v>CANARA ROBECO SHORT DURATION FUND - DIRECT PLAN - GROWTH OPTION</v>
          </cell>
          <cell r="E3650">
            <v>29.3842</v>
          </cell>
        </row>
        <row r="3651">
          <cell r="B3651" t="str">
            <v>INF760K01DV9</v>
          </cell>
          <cell r="C3651" t="str">
            <v>INF760K01DW7</v>
          </cell>
          <cell r="D3651" t="str">
            <v>CANARA ROBECO SHORT DURATION FUND - DIRECT PLAN - MONTHLY IDCW (Payout/Reinvestment)</v>
          </cell>
          <cell r="E3651">
            <v>18.4754</v>
          </cell>
        </row>
        <row r="3652">
          <cell r="B3652" t="str">
            <v>INF760K01DY3</v>
          </cell>
          <cell r="C3652" t="str">
            <v>INF760K01DZ0</v>
          </cell>
          <cell r="D3652" t="str">
            <v>CANARA ROBECO SHORT DURATION FUND - DIRECT PLAN - QUARTERLY IDCW (Payout/Reinvestment)</v>
          </cell>
          <cell r="E3652">
            <v>17.238800000000001</v>
          </cell>
        </row>
        <row r="3653">
          <cell r="B3653" t="str">
            <v>INF760K01BM2</v>
          </cell>
          <cell r="C3653" t="str">
            <v>-</v>
          </cell>
          <cell r="D3653" t="str">
            <v>CANARA ROBECO SHORT DURATION FUND - REGULAR PLAN - GROWTH OPTION</v>
          </cell>
          <cell r="E3653">
            <v>26.756699999999999</v>
          </cell>
        </row>
        <row r="3654">
          <cell r="B3654" t="str">
            <v>INF760K01BO8</v>
          </cell>
          <cell r="C3654" t="str">
            <v>INF760K01BN0</v>
          </cell>
          <cell r="D3654" t="str">
            <v>CANARA ROBECO SHORT DURATION FUND - REGULAR PLAN - MONTHLY IDCW (Payout/Reinvestment)</v>
          </cell>
          <cell r="E3654">
            <v>15.8088</v>
          </cell>
        </row>
        <row r="3655">
          <cell r="B3655" t="str">
            <v>INF760K01BQ3</v>
          </cell>
          <cell r="C3655" t="str">
            <v>INF760K01BP5</v>
          </cell>
          <cell r="D3655" t="str">
            <v>CANARA ROBECO SHORT DURATION FUND - REGULAR PLAN - QUARTERLY IDCW (Payout/Reinvestment)</v>
          </cell>
          <cell r="E3655">
            <v>15.416499999999999</v>
          </cell>
        </row>
        <row r="3656">
          <cell r="B3656" t="str">
            <v/>
          </cell>
          <cell r="C3656" t="str">
            <v/>
          </cell>
          <cell r="D3656" t="str">
            <v/>
          </cell>
        </row>
        <row r="3657">
          <cell r="B3657" t="str">
            <v/>
          </cell>
          <cell r="C3657" t="str">
            <v/>
          </cell>
          <cell r="D3657" t="str">
            <v/>
          </cell>
        </row>
        <row r="3658">
          <cell r="B3658" t="str">
            <v/>
          </cell>
          <cell r="C3658" t="str">
            <v/>
          </cell>
          <cell r="D3658" t="str">
            <v/>
          </cell>
        </row>
        <row r="3659">
          <cell r="B3659" t="str">
            <v>INF740K01NJ5</v>
          </cell>
          <cell r="C3659" t="str">
            <v>-</v>
          </cell>
          <cell r="D3659" t="str">
            <v>DSP Short Term Fund - Direct Plan - Growth</v>
          </cell>
          <cell r="E3659">
            <v>53.744700000000002</v>
          </cell>
        </row>
        <row r="3660">
          <cell r="B3660" t="str">
            <v>INF740K01NK3</v>
          </cell>
          <cell r="C3660" t="str">
            <v>INF740K01NN7</v>
          </cell>
          <cell r="D3660" t="str">
            <v>DSP Short Term Fund - Direct Plan - IDCW</v>
          </cell>
          <cell r="E3660">
            <v>12.2713</v>
          </cell>
        </row>
        <row r="3661">
          <cell r="B3661" t="str">
            <v>INF740K01NL1</v>
          </cell>
          <cell r="C3661" t="str">
            <v>INF740K01NM9</v>
          </cell>
          <cell r="D3661" t="str">
            <v>DSP Short Term Fund - Direct Plan - IDCW - Monthly</v>
          </cell>
          <cell r="E3661">
            <v>11.7399</v>
          </cell>
        </row>
        <row r="3662">
          <cell r="B3662" t="str">
            <v>INF740KA1PD9</v>
          </cell>
          <cell r="C3662" t="str">
            <v>INF740KA1PE7</v>
          </cell>
          <cell r="D3662" t="str">
            <v>DSP Short Term Fund - Direct Plan - IDCW - Weekly</v>
          </cell>
          <cell r="E3662">
            <v>10.1846</v>
          </cell>
        </row>
        <row r="3663">
          <cell r="B3663" t="str">
            <v>INF740K01664</v>
          </cell>
          <cell r="C3663" t="str">
            <v>INF740K01AG8</v>
          </cell>
          <cell r="D3663" t="str">
            <v>DSP Short Term Fund - IDCW - Monthly</v>
          </cell>
          <cell r="E3663">
            <v>11.6404</v>
          </cell>
        </row>
        <row r="3664">
          <cell r="B3664" t="str">
            <v>INF740K01656</v>
          </cell>
          <cell r="C3664" t="str">
            <v>-</v>
          </cell>
          <cell r="D3664" t="str">
            <v>DSP Short Term Fund - Regular Plan - Growth</v>
          </cell>
          <cell r="E3664">
            <v>49.146000000000001</v>
          </cell>
        </row>
        <row r="3665">
          <cell r="B3665" t="str">
            <v>INF740K01649</v>
          </cell>
          <cell r="C3665" t="str">
            <v>INF740K01AF0</v>
          </cell>
          <cell r="D3665" t="str">
            <v>DSP Short Term Fund - Regular Plan - IDCW</v>
          </cell>
          <cell r="E3665">
            <v>12.293699999999999</v>
          </cell>
        </row>
        <row r="3666">
          <cell r="B3666" t="str">
            <v>INF740KA1PF4</v>
          </cell>
          <cell r="C3666" t="str">
            <v>-</v>
          </cell>
          <cell r="D3666" t="str">
            <v>DSP Short Term Fund - Regular Plan - Regular Plan - IDCW - Weekly</v>
          </cell>
          <cell r="E3666">
            <v>10.180999999999999</v>
          </cell>
        </row>
        <row r="3667">
          <cell r="B3667" t="str">
            <v/>
          </cell>
          <cell r="C3667" t="str">
            <v/>
          </cell>
          <cell r="D3667" t="str">
            <v/>
          </cell>
        </row>
        <row r="3668">
          <cell r="B3668" t="str">
            <v/>
          </cell>
          <cell r="C3668" t="str">
            <v/>
          </cell>
          <cell r="D3668" t="str">
            <v/>
          </cell>
        </row>
        <row r="3669">
          <cell r="B3669" t="str">
            <v/>
          </cell>
          <cell r="C3669" t="str">
            <v/>
          </cell>
          <cell r="D3669" t="str">
            <v/>
          </cell>
        </row>
        <row r="3670">
          <cell r="B3670" t="str">
            <v>INF090I01VS3</v>
          </cell>
          <cell r="C3670" t="str">
            <v>-</v>
          </cell>
          <cell r="D3670" t="str">
            <v>Franklin India Short Tem Income Plan - Segregated Portfolio 3 (9.50% Yes Bank Ltd CO 23Dec21) - Direct Retail Plan Growth Option</v>
          </cell>
          <cell r="E3670">
            <v>0</v>
          </cell>
        </row>
        <row r="3671">
          <cell r="B3671" t="str">
            <v>INF090I01GN5</v>
          </cell>
          <cell r="C3671" t="str">
            <v>INF090I01GO3</v>
          </cell>
          <cell r="D3671" t="str">
            <v>Franklin India Short Term Income Plan -  Retail Plan - Direct - Monthly - IDCW</v>
          </cell>
          <cell r="E3671">
            <v>4281.4139999999998</v>
          </cell>
        </row>
        <row r="3672">
          <cell r="B3672" t="str">
            <v>INF090I01GL9</v>
          </cell>
          <cell r="C3672" t="str">
            <v>INF090I01GM7</v>
          </cell>
          <cell r="D3672" t="str">
            <v>Franklin India Short Term Income Plan -  Retail Plan - Direct - Quarterly - IDCW</v>
          </cell>
          <cell r="E3672">
            <v>4460.0425999999998</v>
          </cell>
        </row>
        <row r="3673">
          <cell r="B3673" t="str">
            <v>INF090I01GP0</v>
          </cell>
          <cell r="C3673" t="str">
            <v>-</v>
          </cell>
          <cell r="D3673" t="str">
            <v>Franklin India Short Term Income Plan -  Retail Plan - Direct - Weekly - IDCW</v>
          </cell>
          <cell r="E3673">
            <v>3622.9807999999998</v>
          </cell>
        </row>
        <row r="3674">
          <cell r="B3674" t="str">
            <v>INF090I01338</v>
          </cell>
          <cell r="C3674" t="str">
            <v>INF090I01346</v>
          </cell>
          <cell r="D3674" t="str">
            <v>Franklin India Short Term Income Plan -  Retail Plan - Monthly - IDCW</v>
          </cell>
          <cell r="E3674">
            <v>4197.152</v>
          </cell>
        </row>
        <row r="3675">
          <cell r="B3675" t="str">
            <v>INF090I01312</v>
          </cell>
          <cell r="C3675" t="str">
            <v>INF090I01320</v>
          </cell>
          <cell r="D3675" t="str">
            <v>Franklin India Short Term Income Plan -  Retail Plan - Quarterly - IDCW</v>
          </cell>
          <cell r="E3675">
            <v>4366.3353999999999</v>
          </cell>
        </row>
        <row r="3676">
          <cell r="B3676" t="str">
            <v>INF090I01353</v>
          </cell>
          <cell r="C3676" t="str">
            <v>-</v>
          </cell>
          <cell r="D3676" t="str">
            <v>Franklin India Short Term Income Plan -  Retail Plan - Weekly - IDCW</v>
          </cell>
          <cell r="E3676">
            <v>3801.5971</v>
          </cell>
        </row>
        <row r="3677">
          <cell r="B3677" t="str">
            <v>INF090I01GK1</v>
          </cell>
          <cell r="C3677" t="str">
            <v>-</v>
          </cell>
          <cell r="D3677" t="str">
            <v>Franklin India SHORT TERM INCOME PLAN - Direct - GROWTH</v>
          </cell>
          <cell r="E3677">
            <v>15097.536</v>
          </cell>
        </row>
        <row r="3678">
          <cell r="B3678" t="str">
            <v>INF090I01VR5</v>
          </cell>
          <cell r="C3678" t="str">
            <v>-</v>
          </cell>
          <cell r="D3678" t="str">
            <v>Franklin India Short Term Income Plan - Segregated Portfolio 3 (9.50% Yes Bank Ltd CO 23Dec21) - Institutional Plan Growth Option</v>
          </cell>
          <cell r="E3678">
            <v>0</v>
          </cell>
        </row>
        <row r="3679">
          <cell r="B3679" t="str">
            <v>INF090I01VN4</v>
          </cell>
          <cell r="C3679" t="str">
            <v>-</v>
          </cell>
          <cell r="D3679" t="str">
            <v>Franklin India Short Term Income Plan - Segregated Portfolio 3 (9.50% Yes Bank Ltd CO 23Dec21) - Retail Plan Growth Option</v>
          </cell>
          <cell r="E3679">
            <v>0</v>
          </cell>
        </row>
        <row r="3680">
          <cell r="B3680" t="str">
            <v>INF090I01UX5</v>
          </cell>
          <cell r="C3680" t="str">
            <v>-</v>
          </cell>
          <cell r="D3680" t="str">
            <v>Franklin India Short term Income Plan- Institutional Plan- Segregated Portfolio 2- 10.90% Vodafone Idea Ltd 02Sep2023-Growth Option</v>
          </cell>
          <cell r="E3680">
            <v>0</v>
          </cell>
        </row>
        <row r="3681">
          <cell r="B3681" t="str">
            <v>INF090I01UY3</v>
          </cell>
          <cell r="C3681" t="str">
            <v>-</v>
          </cell>
          <cell r="D3681" t="str">
            <v>Franklin India Short term Income Plan- Retail Plan- Segregated Portfolio 2- 10.90% Vodafone Idea Ltd 02Sep2023-Direct-Growth Option</v>
          </cell>
          <cell r="E3681">
            <v>0</v>
          </cell>
        </row>
        <row r="3682">
          <cell r="B3682" t="str">
            <v>INF090I01UT3</v>
          </cell>
          <cell r="C3682" t="str">
            <v>-</v>
          </cell>
          <cell r="D3682" t="str">
            <v>Franklin India Short term Income Plan- Retail Plan- Segregated Portfolio 2- 10.90% Vodafone Idea Ltd 02Sep2023-Growth Option</v>
          </cell>
          <cell r="E3682">
            <v>0</v>
          </cell>
        </row>
        <row r="3683">
          <cell r="B3683" t="str">
            <v>INF090I01UR7</v>
          </cell>
          <cell r="C3683" t="str">
            <v>-</v>
          </cell>
          <cell r="D3683" t="str">
            <v>Franklin India Short term Income Plan- Retail Plan-Segregated Portfolio 1- 8.25% Vodafone Idea Ltd-10JUL20-Direct- Monthly Dividend Option</v>
          </cell>
          <cell r="E3683">
            <v>0</v>
          </cell>
        </row>
        <row r="3684">
          <cell r="B3684" t="str">
            <v>INF090I01UQ9</v>
          </cell>
          <cell r="C3684" t="str">
            <v>-</v>
          </cell>
          <cell r="D3684" t="str">
            <v>Franklin India Short term Income Plan- Retail Plan-Segregated Portfolio 1- 8.25% Vodafone Idea Ltd-10JUL20-Direct- Quarterly Dividend Option</v>
          </cell>
          <cell r="E3684">
            <v>0</v>
          </cell>
        </row>
        <row r="3685">
          <cell r="B3685" t="str">
            <v>INF090I01UM8</v>
          </cell>
          <cell r="C3685" t="str">
            <v>-</v>
          </cell>
          <cell r="D3685" t="str">
            <v>Franklin India Short Term Income Plan- Retail Plan-Segregated Portfolio 1- 8.25% Vodafone Idea Ltd-10JUL20-Monthly Dividend Option</v>
          </cell>
          <cell r="E3685">
            <v>0</v>
          </cell>
        </row>
        <row r="3686">
          <cell r="B3686" t="str">
            <v>INF090I01UL0</v>
          </cell>
          <cell r="C3686" t="str">
            <v>-</v>
          </cell>
          <cell r="D3686" t="str">
            <v>Franklin India Short term Income Plan- Retail Plan-Segregated Portfolio 1- 8.25% Vodafone Idea Ltd-10JUL20-Quarterly Dividend Option</v>
          </cell>
          <cell r="E3686">
            <v>0</v>
          </cell>
        </row>
        <row r="3687">
          <cell r="B3687" t="str">
            <v>INF090I01VA1</v>
          </cell>
          <cell r="C3687" t="str">
            <v>-</v>
          </cell>
          <cell r="D3687" t="str">
            <v>Franklin India Short term Income Plan- Retail Plan-Segregated Portfolio 2 - 10.90% Vodafone Idea Ltd (02-Sep-2023) - Direct Monthly - IDCW</v>
          </cell>
          <cell r="E3687">
            <v>0</v>
          </cell>
        </row>
        <row r="3688">
          <cell r="B3688" t="str">
            <v>INF090I01UZ0</v>
          </cell>
          <cell r="C3688" t="str">
            <v>-</v>
          </cell>
          <cell r="D3688" t="str">
            <v>Franklin India Short term Income Plan- Retail Plan-Segregated Portfolio 2 - 10.90% Vodafone Idea Ltd (02-Sep-2023) - Direct Quarterly - IDCW</v>
          </cell>
          <cell r="E3688">
            <v>0</v>
          </cell>
        </row>
        <row r="3689">
          <cell r="B3689" t="str">
            <v>INF090I01VB9</v>
          </cell>
          <cell r="C3689" t="str">
            <v>-</v>
          </cell>
          <cell r="D3689" t="str">
            <v>Franklin India Short term Income Plan- Retail Plan-Segregated Portfolio 2 - 10.90% Vodafone Idea Ltd (02-Sep-2023) - Direct Weekly - IDCW</v>
          </cell>
          <cell r="E3689">
            <v>0</v>
          </cell>
        </row>
        <row r="3690">
          <cell r="B3690" t="str">
            <v>INF090I01UV9</v>
          </cell>
          <cell r="C3690" t="str">
            <v>-</v>
          </cell>
          <cell r="D3690" t="str">
            <v>Franklin India Short term Income Plan- Retail Plan-Segregated Portfolio 2 - 10.90% Vodafone Idea Ltd (02-Sep-2023) - Monthly - IDCW</v>
          </cell>
          <cell r="E3690">
            <v>0</v>
          </cell>
        </row>
        <row r="3691">
          <cell r="B3691" t="str">
            <v>INF090I01UU1</v>
          </cell>
          <cell r="C3691" t="str">
            <v>-</v>
          </cell>
          <cell r="D3691" t="str">
            <v>Franklin India Short term Income Plan- Retail Plan-Segregated Portfolio 2 - 10.90% Vodafone Idea Ltd (02-Sep-2023) - Quarterly - IDCW</v>
          </cell>
          <cell r="E3691">
            <v>0</v>
          </cell>
        </row>
        <row r="3692">
          <cell r="B3692" t="str">
            <v>INF090I01UW7</v>
          </cell>
          <cell r="C3692" t="str">
            <v>-</v>
          </cell>
          <cell r="D3692" t="str">
            <v>Franklin India Short term Income Plan- Retail Plan-Segregated Portfolio 2 - 10.90% Vodafone Idea Ltd (02-Sep-2023) - Weekly - IDCW</v>
          </cell>
          <cell r="E3692">
            <v>0</v>
          </cell>
        </row>
        <row r="3693">
          <cell r="B3693" t="str">
            <v>INF090I01VU9</v>
          </cell>
          <cell r="C3693" t="str">
            <v>-</v>
          </cell>
          <cell r="D3693" t="str">
            <v>Franklin India Short term Income Plan- Retail Plan-Segregated Portfolio 3 (9.50% Yes Bank Ltd CO 23Dec21) - Direct Monthly - IDCW</v>
          </cell>
          <cell r="E3693">
            <v>0</v>
          </cell>
        </row>
        <row r="3694">
          <cell r="B3694" t="str">
            <v>INF090I01VT1</v>
          </cell>
          <cell r="C3694" t="str">
            <v>-</v>
          </cell>
          <cell r="D3694" t="str">
            <v>Franklin India Short term Income Plan- Retail Plan-Segregated Portfolio 3 (9.50% Yes Bank Ltd CO 23Dec21) - Direct Quarterly - IDCW</v>
          </cell>
          <cell r="E3694">
            <v>0</v>
          </cell>
        </row>
        <row r="3695">
          <cell r="B3695" t="str">
            <v>INF090I01VP9</v>
          </cell>
          <cell r="C3695" t="str">
            <v>-</v>
          </cell>
          <cell r="D3695" t="str">
            <v>Franklin India Short Term Income Plan- Retail Plan-Segregated Portfolio 3 (9.50% Yes Bank Ltd CO 23Dec21) - Monthly - IDCW</v>
          </cell>
          <cell r="E3695">
            <v>0</v>
          </cell>
        </row>
        <row r="3696">
          <cell r="B3696" t="str">
            <v>INF090I01VO2</v>
          </cell>
          <cell r="C3696" t="str">
            <v>-</v>
          </cell>
          <cell r="D3696" t="str">
            <v>Franklin India Short term Income Plan- Retail Plan-Segregated Portfolio 3 (9.50% Yes Bank Ltd CO 23Dec21) - Quarterly - IDCW</v>
          </cell>
          <cell r="E3696">
            <v>0</v>
          </cell>
        </row>
        <row r="3697">
          <cell r="B3697" t="str">
            <v>INF090I01UO4</v>
          </cell>
          <cell r="C3697" t="str">
            <v>-</v>
          </cell>
          <cell r="D3697" t="str">
            <v>Franklin India Short term Income Plan-Institutional Plan- Segregated Portfolio 1- 8.25% Vodafone Idea Ltd-10JUL20-Growth Option</v>
          </cell>
          <cell r="E3697">
            <v>0</v>
          </cell>
        </row>
        <row r="3698">
          <cell r="B3698" t="str">
            <v>INF090I01UP1</v>
          </cell>
          <cell r="C3698" t="str">
            <v>-</v>
          </cell>
          <cell r="D3698" t="str">
            <v>Franklin India Short-term Income Plan- Retail Plan - Segregated Portfolio 1- 8.25% Vodafone Idea Ltd-10JUL20-Direct- Growth Option</v>
          </cell>
          <cell r="E3698">
            <v>0</v>
          </cell>
        </row>
        <row r="3699">
          <cell r="B3699" t="str">
            <v>INF090I01UK2</v>
          </cell>
          <cell r="C3699" t="str">
            <v>-</v>
          </cell>
          <cell r="D3699" t="str">
            <v>Franklin India Short-Term Income Plan- Retail Plan-Segregated Portfolio 1- 8.25% Vodafone Idea Ltd-10JUL20-Growth Option</v>
          </cell>
          <cell r="E3699">
            <v>0</v>
          </cell>
        </row>
        <row r="3700">
          <cell r="B3700" t="str">
            <v>INF090I01UN6</v>
          </cell>
          <cell r="C3700" t="str">
            <v>-</v>
          </cell>
          <cell r="D3700" t="str">
            <v>Franklin India Short-term Income Plan- Retail Plan-Segregated Portfolio 1- 8.25% Vodafone Idea Ltd-10JUL20-Weekly Dividend Option</v>
          </cell>
          <cell r="E3700">
            <v>0</v>
          </cell>
        </row>
        <row r="3701">
          <cell r="B3701" t="str">
            <v>INF090I01VQ7</v>
          </cell>
          <cell r="C3701" t="str">
            <v>-</v>
          </cell>
          <cell r="D3701" t="str">
            <v>Franklin India Short-term Income Plan- Retail Plan-Segregated Portfolio 3 (9.50% Yes Bank Ltd CO 23Dec21) - Weekly - IDCW</v>
          </cell>
          <cell r="E3701">
            <v>0</v>
          </cell>
        </row>
        <row r="3702">
          <cell r="B3702" t="str">
            <v>INF090I01304</v>
          </cell>
          <cell r="C3702" t="str">
            <v>-</v>
          </cell>
          <cell r="D3702" t="str">
            <v>Franklin India Short-Term Income Plan-Growth</v>
          </cell>
          <cell r="E3702">
            <v>15041.278399999999</v>
          </cell>
        </row>
        <row r="3703">
          <cell r="B3703" t="str">
            <v>INF090I01361</v>
          </cell>
          <cell r="C3703" t="str">
            <v>-</v>
          </cell>
          <cell r="D3703" t="str">
            <v>Franklin India Short-Term Income Plan-Institutional Plan - Growth</v>
          </cell>
          <cell r="E3703">
            <v>12430</v>
          </cell>
        </row>
        <row r="3704">
          <cell r="B3704" t="str">
            <v>INF090I01387</v>
          </cell>
          <cell r="C3704" t="str">
            <v>INF090I01395</v>
          </cell>
          <cell r="D3704" t="str">
            <v>Franklin India Short-Term Income Plan-Institutional Plan - Monthly Dividend</v>
          </cell>
          <cell r="E3704">
            <v>0</v>
          </cell>
        </row>
        <row r="3705">
          <cell r="B3705" t="str">
            <v>INF090I01US5</v>
          </cell>
          <cell r="C3705" t="str">
            <v>-</v>
          </cell>
          <cell r="D3705" t="str">
            <v>Franklin India Short-term Income Plan-Retail Plan- Segregated Portfolio 1- 8.25% Vodafone Idea Ltd-10JUL20-Direct-Weekly Dividend Option</v>
          </cell>
          <cell r="E3705">
            <v>0</v>
          </cell>
        </row>
        <row r="3706">
          <cell r="B3706" t="str">
            <v>INF090I01VV7</v>
          </cell>
          <cell r="C3706" t="str">
            <v>-</v>
          </cell>
          <cell r="D3706" t="str">
            <v>Franklin India Short-term Income Plan-Retail Plan-Segregated Portfolio 3 (9.50% Yes Bank Ltd CO 23Dec21) - Direct Weekly - IDCW</v>
          </cell>
          <cell r="E3706">
            <v>0</v>
          </cell>
        </row>
        <row r="3707">
          <cell r="B3707" t="str">
            <v>INF090I01DY9</v>
          </cell>
          <cell r="C3707" t="str">
            <v>-</v>
          </cell>
          <cell r="D3707" t="str">
            <v>Franklin India Short-Term Income Plan-Weekly Bonus</v>
          </cell>
          <cell r="E3707">
            <v>0</v>
          </cell>
        </row>
        <row r="3708">
          <cell r="B3708" t="str">
            <v/>
          </cell>
          <cell r="C3708" t="str">
            <v/>
          </cell>
          <cell r="D3708" t="str">
            <v/>
          </cell>
        </row>
        <row r="3709">
          <cell r="B3709" t="str">
            <v/>
          </cell>
          <cell r="C3709" t="str">
            <v/>
          </cell>
          <cell r="D3709" t="str">
            <v/>
          </cell>
        </row>
        <row r="3710">
          <cell r="B3710" t="str">
            <v/>
          </cell>
          <cell r="C3710" t="str">
            <v/>
          </cell>
          <cell r="D3710" t="str">
            <v/>
          </cell>
        </row>
        <row r="3711">
          <cell r="B3711" t="str">
            <v>INF666M01AJ5</v>
          </cell>
          <cell r="C3711" t="str">
            <v>-</v>
          </cell>
          <cell r="D3711" t="str">
            <v>Groww Short Term Fund (formerly known as Indiabulls Short Term Fund )- Regular Plan - Growth Option</v>
          </cell>
          <cell r="E3711">
            <v>2197.7977999999998</v>
          </cell>
        </row>
        <row r="3712">
          <cell r="B3712" t="str">
            <v>INF666M01AC0</v>
          </cell>
          <cell r="C3712" t="str">
            <v>-</v>
          </cell>
          <cell r="D3712" t="str">
            <v>Groww Short Term Fund (formerly known as Indiabulls Short Term Fund) - Direct Plan - Growth Option</v>
          </cell>
          <cell r="E3712">
            <v>2542.4427999999998</v>
          </cell>
        </row>
        <row r="3713">
          <cell r="B3713" t="str">
            <v>INF666M01AH9</v>
          </cell>
          <cell r="C3713" t="str">
            <v>INF666M01AE6</v>
          </cell>
          <cell r="D3713" t="str">
            <v>Groww Short Term Fund (formerly known as Indiabulls Short Term Fund)- Direct Plan- Fortnightly - Income Distribution cum capital withdrawal Option (Payout &amp; Reinvestment)</v>
          </cell>
          <cell r="E3713">
            <v>1018.79</v>
          </cell>
        </row>
        <row r="3714">
          <cell r="B3714" t="str">
            <v>INF666M01AI7</v>
          </cell>
          <cell r="C3714" t="str">
            <v>INF666M01AF3</v>
          </cell>
          <cell r="D3714" t="str">
            <v>Groww Short Term Fund (formerly known as Indiabulls Short Term Fund)- Direct Plan- Monthly - Income Distribution cum capital withdrawal Option (Payout &amp; Reinvestment)</v>
          </cell>
          <cell r="E3714">
            <v>1021.2272</v>
          </cell>
        </row>
        <row r="3715">
          <cell r="B3715" t="str">
            <v>INF666M01AG1</v>
          </cell>
          <cell r="C3715" t="str">
            <v>INF666M01AD8</v>
          </cell>
          <cell r="D3715" t="str">
            <v>Groww Short Term Fund (formerly known as Indiabulls Short Term Fund)- Direct Plan- Weekly - Income Distribution cum capital withdrawal Option (Payout &amp; Reinvestment)</v>
          </cell>
          <cell r="E3715">
            <v>1019.6217</v>
          </cell>
        </row>
        <row r="3716">
          <cell r="B3716" t="str">
            <v>INF666M01AO5</v>
          </cell>
          <cell r="C3716" t="str">
            <v>INF666M01AL1</v>
          </cell>
          <cell r="D3716" t="str">
            <v>Groww Short Term Fund (formerly known as Indiabulls Short Term Fund)- Regular Plan- Fortnightly - Income Distribution cum capital withdrawal Option (Payout &amp; Reinvestment)</v>
          </cell>
          <cell r="E3716">
            <v>1018.5782</v>
          </cell>
        </row>
        <row r="3717">
          <cell r="B3717" t="str">
            <v>INF666M01AP2</v>
          </cell>
          <cell r="C3717" t="str">
            <v>INF666M01AM9</v>
          </cell>
          <cell r="D3717" t="str">
            <v>Groww Short Term Fund (formerly known as Indiabulls Short Term Fund)- Regular Plan- Monthly - Income Distribution cum capital withdrawal Option (Payout &amp; Reinvestment)</v>
          </cell>
          <cell r="E3717">
            <v>1027.0752</v>
          </cell>
        </row>
        <row r="3718">
          <cell r="B3718" t="str">
            <v>INF666M01AN7</v>
          </cell>
          <cell r="C3718" t="str">
            <v>INF666M01AK3</v>
          </cell>
          <cell r="D3718" t="str">
            <v>Groww Short Term Fund (formerly known as Indiabulls Short Term Fund)- Regular Plan- Weekly - Income Distribution cum capital withdrawal Option (Payout &amp; Reinvestment)</v>
          </cell>
          <cell r="E3718">
            <v>1019.2961</v>
          </cell>
        </row>
        <row r="3719">
          <cell r="B3719" t="str">
            <v/>
          </cell>
          <cell r="C3719" t="str">
            <v/>
          </cell>
          <cell r="D3719" t="str">
            <v/>
          </cell>
        </row>
        <row r="3720">
          <cell r="B3720" t="str">
            <v/>
          </cell>
          <cell r="C3720" t="str">
            <v/>
          </cell>
          <cell r="D3720" t="str">
            <v/>
          </cell>
        </row>
        <row r="3721">
          <cell r="B3721" t="str">
            <v/>
          </cell>
          <cell r="C3721" t="str">
            <v/>
          </cell>
          <cell r="D3721" t="str">
            <v/>
          </cell>
        </row>
        <row r="3722">
          <cell r="B3722" t="str">
            <v>-</v>
          </cell>
          <cell r="C3722" t="str">
            <v>-</v>
          </cell>
          <cell r="D3722" t="str">
            <v>HDFC Short Term  Debt Fund - Fortnightly IDCW - Direct Plan</v>
          </cell>
          <cell r="E3722">
            <v>10.303599999999999</v>
          </cell>
        </row>
        <row r="3723">
          <cell r="B3723" t="str">
            <v>INF179K01CV4</v>
          </cell>
          <cell r="C3723" t="str">
            <v>INF179K01CW2</v>
          </cell>
          <cell r="D3723" t="str">
            <v>HDFC Short Term  Debt Fund - Fortnightly IDCW Option</v>
          </cell>
          <cell r="E3723">
            <v>10.196300000000001</v>
          </cell>
        </row>
        <row r="3724">
          <cell r="B3724" t="str">
            <v>INF179K01CU6</v>
          </cell>
          <cell r="C3724" t="str">
            <v>-</v>
          </cell>
          <cell r="D3724" t="str">
            <v>HDFC Short Term  Debt Fund - Growth Option</v>
          </cell>
          <cell r="E3724">
            <v>34.018599999999999</v>
          </cell>
        </row>
        <row r="3725">
          <cell r="B3725" t="str">
            <v>INF179K01YM7</v>
          </cell>
          <cell r="C3725" t="str">
            <v>-</v>
          </cell>
          <cell r="D3725" t="str">
            <v>HDFC Short Term  Debt Fund - Growth Option - Direct Plan</v>
          </cell>
          <cell r="E3725">
            <v>35.228000000000002</v>
          </cell>
        </row>
        <row r="3726">
          <cell r="B3726" t="str">
            <v>INF179KA1Q53</v>
          </cell>
          <cell r="C3726" t="str">
            <v>-</v>
          </cell>
          <cell r="D3726" t="str">
            <v>HDFC Short Term  Debt Fund - Normal IDCW - Direct Plan</v>
          </cell>
          <cell r="E3726">
            <v>20.872199999999999</v>
          </cell>
        </row>
        <row r="3727">
          <cell r="B3727" t="str">
            <v>INF179KA1Q79</v>
          </cell>
          <cell r="C3727" t="str">
            <v>-</v>
          </cell>
          <cell r="D3727" t="str">
            <v>HDFC Short Term  Debt Fund - Normal IDCW Option</v>
          </cell>
          <cell r="E3727">
            <v>20.215199999999999</v>
          </cell>
        </row>
        <row r="3728">
          <cell r="B3728" t="str">
            <v/>
          </cell>
          <cell r="C3728" t="str">
            <v/>
          </cell>
          <cell r="D3728" t="str">
            <v/>
          </cell>
        </row>
        <row r="3729">
          <cell r="B3729" t="str">
            <v/>
          </cell>
          <cell r="C3729" t="str">
            <v/>
          </cell>
          <cell r="D3729" t="str">
            <v/>
          </cell>
        </row>
        <row r="3730">
          <cell r="B3730" t="str">
            <v/>
          </cell>
          <cell r="C3730" t="str">
            <v/>
          </cell>
          <cell r="D3730" t="str">
            <v/>
          </cell>
        </row>
        <row r="3731">
          <cell r="B3731" t="str">
            <v>INF917K01CH6</v>
          </cell>
          <cell r="C3731" t="str">
            <v>INF917K01CI4</v>
          </cell>
          <cell r="D3731" t="str">
            <v>HSBC Short Duration Fund -  Regular Plan - Monthly IDCW</v>
          </cell>
          <cell r="E3731">
            <v>11.0832</v>
          </cell>
        </row>
        <row r="3732">
          <cell r="B3732" t="str">
            <v>INF917K01CM6</v>
          </cell>
          <cell r="C3732" t="str">
            <v>-</v>
          </cell>
          <cell r="D3732" t="str">
            <v>HSBC Short Duration Fund - Bonus</v>
          </cell>
          <cell r="E3732">
            <v>28.022600000000001</v>
          </cell>
        </row>
        <row r="3733">
          <cell r="B3733" t="str">
            <v>INF917K01VR5</v>
          </cell>
          <cell r="C3733" t="str">
            <v>INF917K01VQ7</v>
          </cell>
          <cell r="D3733" t="str">
            <v>HSBC Short Duration Fund - Direct Annual IDCW</v>
          </cell>
          <cell r="E3733">
            <v>12.187799999999999</v>
          </cell>
        </row>
        <row r="3734">
          <cell r="B3734" t="str">
            <v>INF917K01IQ4</v>
          </cell>
          <cell r="C3734" t="str">
            <v>-</v>
          </cell>
          <cell r="D3734" t="str">
            <v>HSBC Short Duration Fund - Direct Growth</v>
          </cell>
          <cell r="E3734">
            <v>29.810300000000002</v>
          </cell>
        </row>
        <row r="3735">
          <cell r="B3735" t="str">
            <v>INF917K01IP6</v>
          </cell>
          <cell r="C3735" t="str">
            <v>INF917K01IO9</v>
          </cell>
          <cell r="D3735" t="str">
            <v>HSBC Short Duration Fund - Direct Plan -  Monthly IDCW</v>
          </cell>
          <cell r="E3735">
            <v>11.7576</v>
          </cell>
        </row>
        <row r="3736">
          <cell r="B3736" t="str">
            <v>INF917K01IS0</v>
          </cell>
          <cell r="C3736" t="str">
            <v>INF917K01IR2</v>
          </cell>
          <cell r="D3736" t="str">
            <v>HSBC Short Duration Fund - Direct Quarterly IDCW</v>
          </cell>
          <cell r="E3736">
            <v>11.2189</v>
          </cell>
        </row>
        <row r="3737">
          <cell r="B3737" t="str">
            <v>INF917K01VT1</v>
          </cell>
          <cell r="C3737" t="str">
            <v>INF917K01VS3</v>
          </cell>
          <cell r="D3737" t="str">
            <v>HSBC Short Duration Fund - Regular Annual IDCW</v>
          </cell>
          <cell r="E3737">
            <v>11.605</v>
          </cell>
        </row>
        <row r="3738">
          <cell r="B3738" t="str">
            <v>INF917K01CL8</v>
          </cell>
          <cell r="C3738" t="str">
            <v>-</v>
          </cell>
          <cell r="D3738" t="str">
            <v>HSBC Short Duration Fund - Regular Growth</v>
          </cell>
          <cell r="E3738">
            <v>28.023599999999998</v>
          </cell>
        </row>
        <row r="3739">
          <cell r="B3739" t="str">
            <v>INF917K01CJ2</v>
          </cell>
          <cell r="C3739" t="str">
            <v>INF917K01CK0</v>
          </cell>
          <cell r="D3739" t="str">
            <v>HSBC Short Duration Fund - Regular Quarterly IDCW</v>
          </cell>
          <cell r="E3739">
            <v>10.363899999999999</v>
          </cell>
        </row>
        <row r="3740">
          <cell r="B3740" t="str">
            <v/>
          </cell>
          <cell r="C3740" t="str">
            <v/>
          </cell>
          <cell r="D3740" t="str">
            <v/>
          </cell>
        </row>
        <row r="3741">
          <cell r="B3741" t="str">
            <v/>
          </cell>
          <cell r="C3741" t="str">
            <v/>
          </cell>
          <cell r="D3741" t="str">
            <v/>
          </cell>
        </row>
        <row r="3742">
          <cell r="B3742" t="str">
            <v/>
          </cell>
          <cell r="C3742" t="str">
            <v/>
          </cell>
          <cell r="D3742" t="str">
            <v/>
          </cell>
        </row>
        <row r="3743">
          <cell r="B3743" t="str">
            <v>INF109KA1376</v>
          </cell>
          <cell r="C3743" t="str">
            <v>-</v>
          </cell>
          <cell r="D3743" t="str">
            <v>ICICI Prudential Short Term Fund - Bonus</v>
          </cell>
          <cell r="E3743">
            <v>42.335500000000003</v>
          </cell>
        </row>
        <row r="3744">
          <cell r="B3744" t="str">
            <v>INF109KA1368</v>
          </cell>
          <cell r="C3744" t="str">
            <v>-</v>
          </cell>
          <cell r="D3744" t="str">
            <v>ICICI Prudential Short Term Fund - Direct Plan - Bonus</v>
          </cell>
          <cell r="E3744">
            <v>40.962000000000003</v>
          </cell>
        </row>
        <row r="3745">
          <cell r="B3745" t="str">
            <v>INF109K013N3</v>
          </cell>
          <cell r="C3745" t="str">
            <v>-</v>
          </cell>
          <cell r="D3745" t="str">
            <v>ICICI Prudential Short Term Fund - Direct Plan - Growth Option</v>
          </cell>
          <cell r="E3745">
            <v>70.311700000000002</v>
          </cell>
        </row>
        <row r="3746">
          <cell r="B3746" t="str">
            <v>INF109KA1X36</v>
          </cell>
          <cell r="C3746" t="str">
            <v>INF109KA1X28</v>
          </cell>
          <cell r="D3746" t="str">
            <v>ICICI Prudential Short Term Fund - Direct Plan - Half Yearly IDCW</v>
          </cell>
          <cell r="E3746">
            <v>13.774100000000001</v>
          </cell>
        </row>
        <row r="3747">
          <cell r="B3747" t="str">
            <v>INF109K014N1</v>
          </cell>
          <cell r="C3747" t="str">
            <v>INF109K015N8</v>
          </cell>
          <cell r="D3747" t="str">
            <v>ICICI Prudential Short Term Fund - Direct Plan - Monthly IDCW</v>
          </cell>
          <cell r="E3747">
            <v>12.678699999999999</v>
          </cell>
        </row>
        <row r="3748">
          <cell r="B3748" t="str">
            <v>INF109K012N5</v>
          </cell>
          <cell r="C3748" t="str">
            <v>-</v>
          </cell>
          <cell r="D3748" t="str">
            <v>ICICI Prudential Short Term Fund - Direct Plan - Reinvestment of IDCW Fortnightly</v>
          </cell>
          <cell r="E3748">
            <v>12.823</v>
          </cell>
        </row>
        <row r="3749">
          <cell r="B3749" t="str">
            <v>INF109K01654</v>
          </cell>
          <cell r="C3749" t="str">
            <v>-</v>
          </cell>
          <cell r="D3749" t="str">
            <v>ICICI Prudential Short Term Fund - Growth Option</v>
          </cell>
          <cell r="E3749">
            <v>64.062100000000001</v>
          </cell>
        </row>
        <row r="3750">
          <cell r="B3750" t="str">
            <v>INF109KA1X10</v>
          </cell>
          <cell r="C3750" t="str">
            <v>INF109KA1X02</v>
          </cell>
          <cell r="D3750" t="str">
            <v>ICICI Prudential Short Term Fund - Half Yearly IDCW</v>
          </cell>
          <cell r="E3750">
            <v>13.495799999999999</v>
          </cell>
        </row>
        <row r="3751">
          <cell r="B3751" t="str">
            <v>INF109KB12M9</v>
          </cell>
          <cell r="C3751" t="str">
            <v>INF109K01662</v>
          </cell>
          <cell r="D3751" t="str">
            <v>ICICI Prudential Short Term Fund - Reinvestment of IDCW Fortnightly</v>
          </cell>
          <cell r="E3751">
            <v>12.2409</v>
          </cell>
        </row>
        <row r="3752">
          <cell r="B3752" t="str">
            <v>INF109K01WL0</v>
          </cell>
          <cell r="C3752" t="str">
            <v>INF109K01647</v>
          </cell>
          <cell r="D3752" t="str">
            <v>ICICI Prudential Short Term Fund - Monthly IDCW</v>
          </cell>
          <cell r="E3752">
            <v>12.062200000000001</v>
          </cell>
        </row>
        <row r="3753">
          <cell r="B3753" t="str">
            <v>INF109K01WK2</v>
          </cell>
          <cell r="C3753" t="str">
            <v>INF109K01670</v>
          </cell>
          <cell r="D3753" t="str">
            <v>ICICI Prudential Short Term Fund - Institutional Plan - Dividend Monthly</v>
          </cell>
          <cell r="E3753">
            <v>12.6927</v>
          </cell>
        </row>
        <row r="3754">
          <cell r="B3754" t="str">
            <v>INF109K01696</v>
          </cell>
          <cell r="C3754" t="str">
            <v>-</v>
          </cell>
          <cell r="D3754" t="str">
            <v>ICICI Prudential Short Term Fund-Institutional Growth</v>
          </cell>
          <cell r="E3754">
            <v>43.807099999999998</v>
          </cell>
        </row>
        <row r="3755">
          <cell r="B3755" t="str">
            <v>INF109K01688</v>
          </cell>
          <cell r="C3755" t="str">
            <v>-</v>
          </cell>
          <cell r="D3755" t="str">
            <v>ICICI Prudential Short Term Fund-Institutional Plan-Dividend Fortnightly</v>
          </cell>
          <cell r="E3755">
            <v>12.880699999999999</v>
          </cell>
        </row>
        <row r="3756">
          <cell r="B3756" t="str">
            <v/>
          </cell>
          <cell r="C3756" t="str">
            <v/>
          </cell>
          <cell r="D3756" t="str">
            <v/>
          </cell>
        </row>
        <row r="3757">
          <cell r="B3757" t="str">
            <v/>
          </cell>
          <cell r="C3757" t="str">
            <v/>
          </cell>
          <cell r="D3757" t="str">
            <v/>
          </cell>
        </row>
        <row r="3758">
          <cell r="B3758" t="str">
            <v/>
          </cell>
          <cell r="C3758" t="str">
            <v/>
          </cell>
          <cell r="D3758" t="str">
            <v/>
          </cell>
        </row>
        <row r="3759">
          <cell r="B3759" t="str">
            <v>-</v>
          </cell>
          <cell r="C3759" t="str">
            <v>INF205K01UE5</v>
          </cell>
          <cell r="D3759" t="str">
            <v>Invesco India Short Duration Fund - Direct Plan - Daily IDCW (Reinvestment)</v>
          </cell>
          <cell r="E3759">
            <v>1021.6036</v>
          </cell>
        </row>
        <row r="3760">
          <cell r="B3760" t="str">
            <v>INF205K01UH8</v>
          </cell>
          <cell r="C3760" t="str">
            <v>-</v>
          </cell>
          <cell r="D3760" t="str">
            <v>Invesco India Short Duration Fund - Direct Plan - Growth</v>
          </cell>
          <cell r="E3760">
            <v>4183.1071000000002</v>
          </cell>
        </row>
        <row r="3761">
          <cell r="B3761" t="str">
            <v>INF205K01UI6</v>
          </cell>
          <cell r="C3761" t="str">
            <v>INF205K01UJ4</v>
          </cell>
          <cell r="D3761" t="str">
            <v>Invesco India Short Duration Fund - Direct Plan - Monthly IDCW (Payout / Reinvestment)</v>
          </cell>
          <cell r="E3761">
            <v>2752.6352000000002</v>
          </cell>
        </row>
        <row r="3762">
          <cell r="B3762" t="str">
            <v>INF205K01UF2</v>
          </cell>
          <cell r="C3762" t="str">
            <v>INF205K01UG0</v>
          </cell>
          <cell r="D3762" t="str">
            <v>Invesco India Short Duration Fund - Direct Plan -Discretionary IDCW (Payout / Reinvestment)</v>
          </cell>
          <cell r="E3762">
            <v>2951.1837</v>
          </cell>
        </row>
        <row r="3763">
          <cell r="B3763" t="str">
            <v>-</v>
          </cell>
          <cell r="C3763" t="str">
            <v>INF205K01UK2</v>
          </cell>
          <cell r="D3763" t="str">
            <v>Invesco India Short Duration Fund - Direct Plan -Weekly IDCW (Reinvestment)</v>
          </cell>
          <cell r="E3763">
            <v>1020.3518</v>
          </cell>
        </row>
        <row r="3764">
          <cell r="B3764" t="str">
            <v>INF205K01UR7</v>
          </cell>
          <cell r="C3764" t="str">
            <v>-</v>
          </cell>
          <cell r="D3764" t="str">
            <v>Invesco India Short Duration Fund - Plan B - Growth</v>
          </cell>
          <cell r="E3764">
            <v>3737.6597000000002</v>
          </cell>
        </row>
        <row r="3765">
          <cell r="B3765" t="str">
            <v>INF205K01US5</v>
          </cell>
          <cell r="C3765" t="str">
            <v>INF205K01UT3</v>
          </cell>
          <cell r="D3765" t="str">
            <v>Invesco India Short Duration Fund - Plan B - Monthly IDCW (Payout / Reinvestment)</v>
          </cell>
          <cell r="E3765">
            <v>2450.3244</v>
          </cell>
        </row>
        <row r="3766">
          <cell r="B3766" t="str">
            <v>-</v>
          </cell>
          <cell r="C3766" t="str">
            <v>INF205K01UU1</v>
          </cell>
          <cell r="D3766" t="str">
            <v>Invesco India Short Duration Fund - Plan B - Weekly IDCW (Reinvestment)</v>
          </cell>
          <cell r="E3766">
            <v>1013.2317</v>
          </cell>
        </row>
        <row r="3767">
          <cell r="B3767" t="str">
            <v>-</v>
          </cell>
          <cell r="C3767" t="str">
            <v>INF205K01UD7</v>
          </cell>
          <cell r="D3767" t="str">
            <v>Invesco India Short Duration Fund - Regular Plan - Daily IDCW (Reinvestment)</v>
          </cell>
          <cell r="E3767">
            <v>1034.5944</v>
          </cell>
        </row>
        <row r="3768">
          <cell r="B3768" t="str">
            <v>INF205K01UN6</v>
          </cell>
          <cell r="C3768" t="str">
            <v>-</v>
          </cell>
          <cell r="D3768" t="str">
            <v>Invesco India Short Duration Fund - Regular Plan - Growth</v>
          </cell>
          <cell r="E3768">
            <v>3762.3319000000001</v>
          </cell>
        </row>
        <row r="3769">
          <cell r="B3769" t="str">
            <v>INF205K01UO4</v>
          </cell>
          <cell r="C3769" t="str">
            <v>INF205K01UP1</v>
          </cell>
          <cell r="D3769" t="str">
            <v>Invesco India Short Duration Fund - Regular Plan - Monthly IDCW (Payout / Reinvestment)</v>
          </cell>
          <cell r="E3769">
            <v>1049.5931</v>
          </cell>
        </row>
        <row r="3770">
          <cell r="B3770" t="str">
            <v>-</v>
          </cell>
          <cell r="C3770" t="str">
            <v>INF205K01UV9</v>
          </cell>
          <cell r="D3770" t="str">
            <v>Invesco India Short Duration Fund - Regular Plan - Weekly IDCW (Reinvestment)</v>
          </cell>
          <cell r="E3770">
            <v>1016.7635</v>
          </cell>
        </row>
        <row r="3771">
          <cell r="B3771" t="str">
            <v>INF205K01UL0</v>
          </cell>
          <cell r="C3771" t="str">
            <v>INF205K01UM8</v>
          </cell>
          <cell r="D3771" t="str">
            <v>Invesco India Short Duration Fund- Regular Plan - Discretionary IDCW (Payout / Reinvestment)</v>
          </cell>
          <cell r="E3771">
            <v>2806.5367999999999</v>
          </cell>
        </row>
        <row r="3772">
          <cell r="B3772" t="str">
            <v/>
          </cell>
          <cell r="C3772" t="str">
            <v/>
          </cell>
          <cell r="D3772" t="str">
            <v/>
          </cell>
        </row>
        <row r="3773">
          <cell r="B3773" t="str">
            <v/>
          </cell>
          <cell r="C3773" t="str">
            <v/>
          </cell>
          <cell r="D3773" t="str">
            <v/>
          </cell>
        </row>
        <row r="3774">
          <cell r="B3774" t="str">
            <v/>
          </cell>
          <cell r="C3774" t="str">
            <v/>
          </cell>
          <cell r="D3774" t="str">
            <v/>
          </cell>
        </row>
        <row r="3775">
          <cell r="B3775" t="str">
            <v>INF22M001143</v>
          </cell>
          <cell r="C3775" t="str">
            <v>-</v>
          </cell>
          <cell r="D3775" t="str">
            <v>JioBlackRock Short Duration Fund - Direct Plan - Growth Option</v>
          </cell>
          <cell r="E3775">
            <v>1032.2691</v>
          </cell>
        </row>
        <row r="3776">
          <cell r="B3776" t="str">
            <v/>
          </cell>
          <cell r="C3776" t="str">
            <v/>
          </cell>
          <cell r="D3776" t="str">
            <v/>
          </cell>
        </row>
        <row r="3777">
          <cell r="B3777" t="str">
            <v/>
          </cell>
          <cell r="C3777" t="str">
            <v/>
          </cell>
          <cell r="D3777" t="str">
            <v/>
          </cell>
        </row>
        <row r="3778">
          <cell r="B3778" t="str">
            <v/>
          </cell>
          <cell r="C3778" t="str">
            <v/>
          </cell>
          <cell r="D3778" t="str">
            <v/>
          </cell>
        </row>
        <row r="3779">
          <cell r="B3779" t="str">
            <v>INF192K01MP8</v>
          </cell>
          <cell r="C3779" t="str">
            <v>-</v>
          </cell>
          <cell r="D3779" t="str">
            <v>JM Short Duration Fund (Direct) - Growth</v>
          </cell>
          <cell r="E3779">
            <v>13.0547</v>
          </cell>
        </row>
        <row r="3780">
          <cell r="B3780" t="str">
            <v>INF192K01MQ6</v>
          </cell>
          <cell r="C3780" t="str">
            <v>INF192K01MR4</v>
          </cell>
          <cell r="D3780" t="str">
            <v>JM Short Duration Fund (Direct) - IDCW</v>
          </cell>
          <cell r="E3780">
            <v>13.055099999999999</v>
          </cell>
        </row>
        <row r="3781">
          <cell r="B3781" t="str">
            <v>INF192K01MM5</v>
          </cell>
          <cell r="C3781" t="str">
            <v>-</v>
          </cell>
          <cell r="D3781" t="str">
            <v>JM Short Duration Fund (Regular) - Growth</v>
          </cell>
          <cell r="E3781">
            <v>12.661799999999999</v>
          </cell>
        </row>
        <row r="3782">
          <cell r="B3782" t="str">
            <v>INF192K01MN3</v>
          </cell>
          <cell r="C3782" t="str">
            <v>INF192K01MO1</v>
          </cell>
          <cell r="D3782" t="str">
            <v>JM Short Duration Fund (Regular) - IDCW</v>
          </cell>
          <cell r="E3782">
            <v>12.6623</v>
          </cell>
        </row>
        <row r="3783">
          <cell r="B3783" t="str">
            <v>-</v>
          </cell>
          <cell r="C3783" t="str">
            <v>INF192K01DZ6</v>
          </cell>
          <cell r="D3783" t="str">
            <v>JM Short Term Fund (Direct) - Daily Dividend Option</v>
          </cell>
          <cell r="E3783">
            <v>14.6036</v>
          </cell>
        </row>
        <row r="3784">
          <cell r="B3784" t="str">
            <v>INF192K01DX1</v>
          </cell>
          <cell r="C3784" t="str">
            <v>INF192K01DY9</v>
          </cell>
          <cell r="D3784" t="str">
            <v>JM Short Term Fund (Direct) - Dividend Option</v>
          </cell>
          <cell r="E3784">
            <v>10.675700000000001</v>
          </cell>
        </row>
        <row r="3785">
          <cell r="B3785" t="str">
            <v>INF192K01EA7</v>
          </cell>
          <cell r="C3785" t="str">
            <v>-</v>
          </cell>
          <cell r="D3785" t="str">
            <v>JM Short Term Fund (Direct) - Growth Option</v>
          </cell>
          <cell r="E3785">
            <v>26.962900000000001</v>
          </cell>
        </row>
        <row r="3786">
          <cell r="B3786" t="str">
            <v>-</v>
          </cell>
          <cell r="C3786" t="str">
            <v>INF192K01BD7</v>
          </cell>
          <cell r="D3786" t="str">
            <v>JM Short Term Fund - Daily Dividend Option</v>
          </cell>
          <cell r="E3786">
            <v>14.0738</v>
          </cell>
        </row>
        <row r="3787">
          <cell r="B3787" t="str">
            <v>INF192K01BE5</v>
          </cell>
          <cell r="C3787" t="str">
            <v>INF192K01BF2</v>
          </cell>
          <cell r="D3787" t="str">
            <v>JM Short Term Fund - Dividend Option</v>
          </cell>
          <cell r="E3787">
            <v>10.6037</v>
          </cell>
        </row>
        <row r="3788">
          <cell r="B3788" t="str">
            <v>INF192K01BG0</v>
          </cell>
          <cell r="C3788" t="str">
            <v>-</v>
          </cell>
          <cell r="D3788" t="str">
            <v>JM Short Term Fund - Growth Option</v>
          </cell>
          <cell r="E3788">
            <v>26.442499999999999</v>
          </cell>
        </row>
        <row r="3789">
          <cell r="B3789" t="str">
            <v>-</v>
          </cell>
          <cell r="C3789" t="str">
            <v>INF192K01AZ2</v>
          </cell>
          <cell r="D3789" t="str">
            <v>JM Short Term Fund - Regular Plan - Daily Dividend Option</v>
          </cell>
          <cell r="E3789">
            <v>13.9335</v>
          </cell>
        </row>
        <row r="3790">
          <cell r="B3790" t="str">
            <v>INF192K01BA3</v>
          </cell>
          <cell r="C3790" t="str">
            <v>INF192K01BB1</v>
          </cell>
          <cell r="D3790" t="str">
            <v>JM Short Term Fund - Regular Plan - Dividend Option</v>
          </cell>
          <cell r="E3790">
            <v>11.6715</v>
          </cell>
        </row>
        <row r="3791">
          <cell r="B3791" t="str">
            <v>INF192K01BC9</v>
          </cell>
          <cell r="C3791" t="str">
            <v>-</v>
          </cell>
          <cell r="D3791" t="str">
            <v>JM Short Term Fund - Regular Plan - Growth Option</v>
          </cell>
          <cell r="E3791">
            <v>36.076300000000003</v>
          </cell>
        </row>
        <row r="3792">
          <cell r="B3792" t="str">
            <v/>
          </cell>
          <cell r="C3792" t="str">
            <v/>
          </cell>
          <cell r="D3792" t="str">
            <v/>
          </cell>
        </row>
        <row r="3793">
          <cell r="B3793" t="str">
            <v/>
          </cell>
          <cell r="C3793" t="str">
            <v/>
          </cell>
          <cell r="D3793" t="str">
            <v/>
          </cell>
        </row>
        <row r="3794">
          <cell r="B3794" t="str">
            <v/>
          </cell>
          <cell r="C3794" t="str">
            <v/>
          </cell>
          <cell r="D3794" t="str">
            <v/>
          </cell>
        </row>
        <row r="3795">
          <cell r="B3795" t="str">
            <v>INF767K01PW6</v>
          </cell>
          <cell r="C3795" t="str">
            <v>-</v>
          </cell>
          <cell r="D3795" t="str">
            <v>LIC MF Short Duration Fund-Direct Plan-Growth</v>
          </cell>
          <cell r="E3795">
            <v>16.570799999999998</v>
          </cell>
        </row>
        <row r="3796">
          <cell r="B3796" t="str">
            <v>INF767K01PX4</v>
          </cell>
          <cell r="C3796" t="str">
            <v>INF767K01PY2</v>
          </cell>
          <cell r="D3796" t="str">
            <v>LIC MF Short Duration Fund-Direct Plan-IDCW</v>
          </cell>
          <cell r="E3796">
            <v>16.570799999999998</v>
          </cell>
        </row>
        <row r="3797">
          <cell r="B3797" t="str">
            <v>INF397L01BH1</v>
          </cell>
          <cell r="C3797" t="str">
            <v>INF397L01BI9</v>
          </cell>
          <cell r="D3797" t="str">
            <v>LIC MF Short Duration Fund-Direct Plan-Monthly IDCW</v>
          </cell>
          <cell r="E3797">
            <v>16.5684</v>
          </cell>
        </row>
        <row r="3798">
          <cell r="B3798" t="str">
            <v>INF397L01BK5</v>
          </cell>
          <cell r="C3798" t="str">
            <v>INF397L01BL3</v>
          </cell>
          <cell r="D3798" t="str">
            <v>LIC MF Short Duration Fund-Direct Plan-Weekly IDCW</v>
          </cell>
          <cell r="E3798">
            <v>16.5685</v>
          </cell>
        </row>
        <row r="3799">
          <cell r="B3799" t="str">
            <v>INF767K01PT2</v>
          </cell>
          <cell r="C3799" t="str">
            <v>-</v>
          </cell>
          <cell r="D3799" t="str">
            <v>LIC MF Short Duration Fund-Regular Plan-Growth</v>
          </cell>
          <cell r="E3799">
            <v>15.369300000000001</v>
          </cell>
        </row>
        <row r="3800">
          <cell r="B3800" t="str">
            <v>INF767K01PU0</v>
          </cell>
          <cell r="C3800" t="str">
            <v>INF767K01PV8</v>
          </cell>
          <cell r="D3800" t="str">
            <v>LIC MF Short Duration Fund-Regular Plan-IDCW</v>
          </cell>
          <cell r="E3800">
            <v>15.369300000000001</v>
          </cell>
        </row>
        <row r="3801">
          <cell r="B3801" t="str">
            <v>INF397L01406</v>
          </cell>
          <cell r="C3801" t="str">
            <v>INF397L01414</v>
          </cell>
          <cell r="D3801" t="str">
            <v>LIC MF Short Duration Fund-Regular Plan-Monthly IDCW</v>
          </cell>
          <cell r="E3801">
            <v>15.2697</v>
          </cell>
        </row>
        <row r="3802">
          <cell r="B3802" t="str">
            <v>INF397L01430</v>
          </cell>
          <cell r="C3802" t="str">
            <v>INF397L01448</v>
          </cell>
          <cell r="D3802" t="str">
            <v>LIC MF Short Duration Fund-Regular Plan-Weekly IDCW</v>
          </cell>
          <cell r="E3802">
            <v>12.8079</v>
          </cell>
        </row>
        <row r="3803">
          <cell r="B3803" t="str">
            <v/>
          </cell>
          <cell r="C3803" t="str">
            <v/>
          </cell>
          <cell r="D3803" t="str">
            <v/>
          </cell>
        </row>
        <row r="3804">
          <cell r="B3804" t="str">
            <v/>
          </cell>
          <cell r="C3804" t="str">
            <v/>
          </cell>
          <cell r="D3804" t="str">
            <v/>
          </cell>
        </row>
        <row r="3805">
          <cell r="B3805" t="str">
            <v/>
          </cell>
          <cell r="C3805" t="str">
            <v/>
          </cell>
          <cell r="D3805" t="str">
            <v/>
          </cell>
        </row>
        <row r="3806">
          <cell r="B3806" t="str">
            <v>INF174V01AO1</v>
          </cell>
          <cell r="C3806" t="str">
            <v>INF174V01AN3</v>
          </cell>
          <cell r="D3806" t="str">
            <v>Mahindra Manulife Short Duration Fund - Direct Plan - IDCW</v>
          </cell>
          <cell r="E3806">
            <v>12.151999999999999</v>
          </cell>
        </row>
        <row r="3807">
          <cell r="B3807" t="str">
            <v>INF174V01AM5</v>
          </cell>
          <cell r="C3807" t="str">
            <v>-</v>
          </cell>
          <cell r="D3807" t="str">
            <v>Mahindra Manulife Short Duration Fund - Direct Plan -Growth</v>
          </cell>
          <cell r="E3807">
            <v>14.2156</v>
          </cell>
        </row>
        <row r="3808">
          <cell r="B3808" t="str">
            <v>INF174V01AJ1</v>
          </cell>
          <cell r="C3808" t="str">
            <v>-</v>
          </cell>
          <cell r="D3808" t="str">
            <v>Mahindra Manulife Short Duration Fund - Regular Plan - Growth</v>
          </cell>
          <cell r="E3808">
            <v>13.496600000000001</v>
          </cell>
        </row>
        <row r="3809">
          <cell r="B3809" t="str">
            <v>INF174V01AL7</v>
          </cell>
          <cell r="C3809" t="str">
            <v>INF174V01AK9</v>
          </cell>
          <cell r="D3809" t="str">
            <v>Mahindra Manulife Short Duration Fund - Regular Plan - IDCW</v>
          </cell>
          <cell r="E3809">
            <v>11.468999999999999</v>
          </cell>
        </row>
        <row r="3810">
          <cell r="B3810" t="str">
            <v/>
          </cell>
          <cell r="C3810" t="str">
            <v/>
          </cell>
          <cell r="D3810" t="str">
            <v/>
          </cell>
        </row>
        <row r="3811">
          <cell r="B3811" t="str">
            <v/>
          </cell>
          <cell r="C3811" t="str">
            <v/>
          </cell>
          <cell r="D3811" t="str">
            <v/>
          </cell>
        </row>
        <row r="3812">
          <cell r="B3812" t="str">
            <v/>
          </cell>
          <cell r="C3812" t="str">
            <v/>
          </cell>
          <cell r="D3812" t="str">
            <v/>
          </cell>
        </row>
        <row r="3813">
          <cell r="B3813" t="str">
            <v>INF769K01DX6</v>
          </cell>
          <cell r="C3813" t="str">
            <v>-</v>
          </cell>
          <cell r="D3813" t="str">
            <v>Mirae Asset Short Duration Fund - Direct Plan - Growth</v>
          </cell>
          <cell r="E3813">
            <v>17.727900000000002</v>
          </cell>
        </row>
        <row r="3814">
          <cell r="B3814" t="str">
            <v>INF769K01DY4</v>
          </cell>
          <cell r="C3814" t="str">
            <v>INF769K01DZ1</v>
          </cell>
          <cell r="D3814" t="str">
            <v>Mirae Asset Short Duration Fund - Direct Plan - IDCW</v>
          </cell>
          <cell r="E3814">
            <v>17.6782</v>
          </cell>
        </row>
        <row r="3815">
          <cell r="B3815" t="str">
            <v>INF769K01DU2</v>
          </cell>
          <cell r="C3815" t="str">
            <v>-</v>
          </cell>
          <cell r="D3815" t="str">
            <v>Mirae Asset Short Duration Fund - Regular Plan - Growth</v>
          </cell>
          <cell r="E3815">
            <v>16.563400000000001</v>
          </cell>
        </row>
        <row r="3816">
          <cell r="B3816" t="str">
            <v>INF769K01DV0</v>
          </cell>
          <cell r="C3816" t="str">
            <v>INF769K01DW8</v>
          </cell>
          <cell r="D3816" t="str">
            <v>Mirae Asset Short Duration Fund - Regular Plan - IDCW</v>
          </cell>
          <cell r="E3816">
            <v>16.567</v>
          </cell>
        </row>
        <row r="3817">
          <cell r="B3817" t="str">
            <v/>
          </cell>
          <cell r="C3817" t="str">
            <v/>
          </cell>
          <cell r="D3817" t="str">
            <v/>
          </cell>
        </row>
        <row r="3818">
          <cell r="B3818" t="str">
            <v/>
          </cell>
          <cell r="C3818" t="str">
            <v/>
          </cell>
          <cell r="D3818" t="str">
            <v/>
          </cell>
        </row>
        <row r="3819">
          <cell r="B3819" t="str">
            <v/>
          </cell>
          <cell r="C3819" t="str">
            <v/>
          </cell>
          <cell r="D3819" t="str">
            <v/>
          </cell>
        </row>
        <row r="3820">
          <cell r="B3820" t="str">
            <v>INF204K01FL4</v>
          </cell>
          <cell r="C3820" t="str">
            <v>-</v>
          </cell>
          <cell r="D3820" t="str">
            <v>Nippon India Short Duration  Fund-Growth Plan</v>
          </cell>
          <cell r="E3820">
            <v>56.003900000000002</v>
          </cell>
        </row>
        <row r="3821">
          <cell r="B3821" t="str">
            <v>INF204KA1ES0</v>
          </cell>
          <cell r="C3821" t="str">
            <v>INF204KA1ET8</v>
          </cell>
          <cell r="D3821" t="str">
            <v>NIPPON INDIA SHORT DURATION FUND - Direct Plan - IDCW Option</v>
          </cell>
          <cell r="E3821">
            <v>24.8779</v>
          </cell>
        </row>
        <row r="3822">
          <cell r="B3822" t="str">
            <v>INF204K01B40</v>
          </cell>
          <cell r="C3822" t="str">
            <v>-</v>
          </cell>
          <cell r="D3822" t="str">
            <v>NIPPON INDIA SHORT DURATION FUND - Direct Plan - MONTHLY IDCW Option</v>
          </cell>
          <cell r="E3822">
            <v>11.761699999999999</v>
          </cell>
        </row>
        <row r="3823">
          <cell r="B3823" t="str">
            <v>INF204K01B65</v>
          </cell>
          <cell r="C3823" t="str">
            <v>INF204K01B73</v>
          </cell>
          <cell r="D3823" t="str">
            <v>NIPPON INDIA SHORT DURATION FUND - Direct Plan - QUARTERLY IDCW OPTION</v>
          </cell>
          <cell r="E3823">
            <v>15.3111</v>
          </cell>
        </row>
        <row r="3824">
          <cell r="B3824" t="str">
            <v>INF204K01B32</v>
          </cell>
          <cell r="C3824" t="str">
            <v>-</v>
          </cell>
          <cell r="D3824" t="str">
            <v>Nippon India Short Duration Fund - Direct Plan Growth Plan - Growth Option</v>
          </cell>
          <cell r="E3824">
            <v>61.214500000000001</v>
          </cell>
        </row>
        <row r="3825">
          <cell r="B3825" t="str">
            <v>INF204KA1EQ4</v>
          </cell>
          <cell r="C3825" t="str">
            <v>INF204KA1ER2</v>
          </cell>
          <cell r="D3825" t="str">
            <v>NIPPON INDIA SHORT DURATION FUND - IDCW Option</v>
          </cell>
          <cell r="E3825">
            <v>22.7791</v>
          </cell>
        </row>
        <row r="3826">
          <cell r="B3826" t="str">
            <v>INF204K01FM2</v>
          </cell>
          <cell r="C3826" t="str">
            <v>INF204K01FN0</v>
          </cell>
          <cell r="D3826" t="str">
            <v>NIPPON INDIA SHORT DURATION FUND - MONTHLY IDCW Option</v>
          </cell>
          <cell r="E3826">
            <v>11.539099999999999</v>
          </cell>
        </row>
        <row r="3827">
          <cell r="B3827" t="str">
            <v>INF204K01FO8</v>
          </cell>
          <cell r="C3827" t="str">
            <v>INF204K01FP5</v>
          </cell>
          <cell r="D3827" t="str">
            <v>NIPPON INDIA SHORT DURATION FUND - QUARTERLY IDCW OPTION</v>
          </cell>
          <cell r="E3827">
            <v>14.944699999999999</v>
          </cell>
        </row>
        <row r="3828">
          <cell r="B3828" t="str">
            <v/>
          </cell>
          <cell r="C3828" t="str">
            <v/>
          </cell>
          <cell r="D3828" t="str">
            <v/>
          </cell>
        </row>
        <row r="3829">
          <cell r="B3829" t="str">
            <v/>
          </cell>
          <cell r="C3829" t="str">
            <v/>
          </cell>
          <cell r="D3829" t="str">
            <v/>
          </cell>
        </row>
        <row r="3830">
          <cell r="B3830" t="str">
            <v/>
          </cell>
          <cell r="C3830" t="str">
            <v/>
          </cell>
          <cell r="D3830" t="str">
            <v/>
          </cell>
        </row>
        <row r="3831">
          <cell r="B3831" t="str">
            <v>INF200K01IA9</v>
          </cell>
          <cell r="C3831" t="str">
            <v>INF200K01IB7</v>
          </cell>
          <cell r="D3831" t="str">
            <v>SBI Short Horizon Debt Fund - Short Term Fund - Retail Dividend - Fortnightly Income Distribution cum Capital Withdrawal Option (IDCW)</v>
          </cell>
          <cell r="E3831">
            <v>15.980700000000001</v>
          </cell>
        </row>
        <row r="3832">
          <cell r="B3832" t="str">
            <v>INF200K01IC5</v>
          </cell>
          <cell r="C3832" t="str">
            <v>INF200K01ID3</v>
          </cell>
          <cell r="D3832" t="str">
            <v>SBI Short Horizon Debt Fund - Short Term Fund - Retail Dividend - Monthly Income Distribution cum Capital Withdrawal Option (IDCW)</v>
          </cell>
          <cell r="E3832">
            <v>17.6189</v>
          </cell>
        </row>
        <row r="3833">
          <cell r="B3833" t="str">
            <v>INF200K01IE1</v>
          </cell>
          <cell r="C3833" t="str">
            <v>INF200K01IF8</v>
          </cell>
          <cell r="D3833" t="str">
            <v>SBI Short Horizon Debt Fund - Short Term Fund - Retail Dividend - Weekly Income Distribution cum Capital Withdrawal Option (IDCW)</v>
          </cell>
          <cell r="E3833">
            <v>15.9567</v>
          </cell>
        </row>
        <row r="3834">
          <cell r="B3834" t="str">
            <v>INF200K01IG6</v>
          </cell>
          <cell r="C3834" t="str">
            <v>-</v>
          </cell>
          <cell r="D3834" t="str">
            <v>SBI SHORT HORIZON DEBT FUND-SHORT TERM FUND - RETAIL - GROWTH</v>
          </cell>
          <cell r="E3834">
            <v>38.466700000000003</v>
          </cell>
        </row>
        <row r="3835">
          <cell r="B3835" t="str">
            <v>INF200K01VF1</v>
          </cell>
          <cell r="C3835" t="str">
            <v>INF200K01VG9</v>
          </cell>
          <cell r="D3835" t="str">
            <v>SBI Short Term Debt Fund - Direct Plan - Monthly Income Distribution cum Capital Withdrawal Option (IDCW)</v>
          </cell>
          <cell r="E3835">
            <v>20.2333</v>
          </cell>
        </row>
        <row r="3836">
          <cell r="B3836" t="str">
            <v>INF200K01VE4</v>
          </cell>
          <cell r="C3836" t="str">
            <v>-</v>
          </cell>
          <cell r="D3836" t="str">
            <v>SBI SHORT TERM DEBT FUND - DIRECT PLAN -GROWTH</v>
          </cell>
          <cell r="E3836">
            <v>36.285200000000003</v>
          </cell>
        </row>
        <row r="3837">
          <cell r="B3837" t="str">
            <v>INF200K01VC8</v>
          </cell>
          <cell r="C3837" t="str">
            <v>INF200K01VD6</v>
          </cell>
          <cell r="D3837" t="str">
            <v>SBI Short Term Debt Fund - Direct Plan Fortnightly Income Distribution cum Capital Withdrawal Option (IDCW)</v>
          </cell>
          <cell r="E3837">
            <v>24.439599999999999</v>
          </cell>
        </row>
        <row r="3838">
          <cell r="B3838" t="str">
            <v>INF200K01VH7</v>
          </cell>
          <cell r="C3838" t="str">
            <v>INF200K01VI5</v>
          </cell>
          <cell r="D3838" t="str">
            <v>SBI Short Term Debt Fund - Direct Plan Weekly Income Distribution cum Capital Withdrawal Option (IDCW)</v>
          </cell>
          <cell r="E3838">
            <v>15.894</v>
          </cell>
        </row>
        <row r="3839">
          <cell r="B3839" t="str">
            <v>INF200K01HV7</v>
          </cell>
          <cell r="C3839" t="str">
            <v>INF200K01HW5</v>
          </cell>
          <cell r="D3839" t="str">
            <v>SBI Short Term Debt Fund - Regular Plan - Monthly Income Distribution cum Capital Withdrawal Option (IDCW)</v>
          </cell>
          <cell r="E3839">
            <v>18.796500000000002</v>
          </cell>
        </row>
        <row r="3840">
          <cell r="B3840" t="str">
            <v>INF200K01HZ8</v>
          </cell>
          <cell r="C3840" t="str">
            <v>-</v>
          </cell>
          <cell r="D3840" t="str">
            <v>SBI SHORT TERM DEBT FUND - REGULAR PLAN -GROWTH</v>
          </cell>
          <cell r="E3840">
            <v>33.998699999999999</v>
          </cell>
        </row>
        <row r="3841">
          <cell r="B3841" t="str">
            <v>INF200K01HT1</v>
          </cell>
          <cell r="C3841" t="str">
            <v>INF200K01HU9</v>
          </cell>
          <cell r="D3841" t="str">
            <v>SBI Short Term Debt Fund - Regular Plan Fortnightly Income Distribution cum Capital Withdrawal Option (IDCW)</v>
          </cell>
          <cell r="E3841">
            <v>15.4001</v>
          </cell>
        </row>
        <row r="3842">
          <cell r="B3842" t="str">
            <v>INF200K01HX3</v>
          </cell>
          <cell r="C3842" t="str">
            <v>INF200K01HY1</v>
          </cell>
          <cell r="D3842" t="str">
            <v>SBI Short Term Debt Fund - Regular Plan Weekly Income Distribution cum Capital Withdrawal Option (IDCW)</v>
          </cell>
          <cell r="E3842">
            <v>15.4153</v>
          </cell>
        </row>
        <row r="3843">
          <cell r="B3843" t="str">
            <v/>
          </cell>
          <cell r="C3843" t="str">
            <v/>
          </cell>
          <cell r="D3843" t="str">
            <v/>
          </cell>
        </row>
        <row r="3844">
          <cell r="B3844" t="str">
            <v/>
          </cell>
          <cell r="C3844" t="str">
            <v/>
          </cell>
          <cell r="D3844" t="str">
            <v/>
          </cell>
        </row>
        <row r="3845">
          <cell r="B3845" t="str">
            <v/>
          </cell>
          <cell r="C3845" t="str">
            <v/>
          </cell>
          <cell r="D3845" t="str">
            <v/>
          </cell>
        </row>
        <row r="3846">
          <cell r="B3846" t="str">
            <v>INF903JA1KM7</v>
          </cell>
          <cell r="C3846" t="str">
            <v>-</v>
          </cell>
          <cell r="D3846" t="str">
            <v>Sundaram Short Duration Fund (Formerly Known as Principal Short Term Debt Fund) - Direct Plan - IDCW</v>
          </cell>
          <cell r="E3846">
            <v>15.108499999999999</v>
          </cell>
        </row>
        <row r="3847">
          <cell r="B3847" t="str">
            <v>INF173K01GQ8</v>
          </cell>
          <cell r="C3847" t="str">
            <v>INF173K01GR6</v>
          </cell>
          <cell r="D3847" t="str">
            <v>Sundaram Short Duration Fund (Formerly Known as Principal Short Term Debt Fund) - Direct Plan - Income Distribution CUM Capital Withdrawal Plan (IDCW)</v>
          </cell>
          <cell r="E3847">
            <v>13.273199999999999</v>
          </cell>
        </row>
        <row r="3848">
          <cell r="B3848" t="str">
            <v>INF903JA1KE4</v>
          </cell>
          <cell r="C3848" t="str">
            <v>-</v>
          </cell>
          <cell r="D3848" t="str">
            <v>Sundaram Short Duration Fund (Formerly Known as Principal Short Term Debt Fund) - Regular - IDCW</v>
          </cell>
          <cell r="E3848">
            <v>14.753500000000001</v>
          </cell>
        </row>
        <row r="3849">
          <cell r="B3849" t="str">
            <v>INF903JA1KN5</v>
          </cell>
          <cell r="C3849" t="str">
            <v>-</v>
          </cell>
          <cell r="D3849" t="str">
            <v>Sundaram Short Duration Fund (Formerly Known as Principal Short Term Debt Fund) Direct Plan - IDCW</v>
          </cell>
          <cell r="E3849">
            <v>14.812900000000001</v>
          </cell>
        </row>
        <row r="3850">
          <cell r="B3850" t="str">
            <v>INF903JA1KP0</v>
          </cell>
          <cell r="C3850" t="str">
            <v>INF903JA1KL9</v>
          </cell>
          <cell r="D3850" t="str">
            <v>Sundaram Short Duration Fund (Formerly Known as Principal Short Term Debt Fund) Direct Plan Fortnightly IDCW</v>
          </cell>
          <cell r="E3850">
            <v>12.9214</v>
          </cell>
        </row>
        <row r="3851">
          <cell r="B3851" t="str">
            <v>INF903JA1KR6</v>
          </cell>
          <cell r="C3851" t="str">
            <v>-</v>
          </cell>
          <cell r="D3851" t="str">
            <v>Sundaram Short Duration Fund (Formerly Known as Principal Short Term Debt Fund) Direct Plan IDCW</v>
          </cell>
          <cell r="E3851">
            <v>15.3483</v>
          </cell>
        </row>
        <row r="3852">
          <cell r="B3852" t="str">
            <v>INF903JA1KO3</v>
          </cell>
          <cell r="C3852" t="str">
            <v>INF903JA1KS4</v>
          </cell>
          <cell r="D3852" t="str">
            <v>Sundaram Short Duration Fund (Formerly Known as Principal Short Term Debt Fund) Direct Weekly IDCW</v>
          </cell>
          <cell r="E3852">
            <v>12.8985</v>
          </cell>
        </row>
        <row r="3853">
          <cell r="B3853" t="str">
            <v>INF903JA1KF1</v>
          </cell>
          <cell r="C3853" t="str">
            <v>-</v>
          </cell>
          <cell r="D3853" t="str">
            <v>Sundaram Short Duration Fund (Formerly Known as Principal Short Term Debt Fund) Regular - IDCW</v>
          </cell>
          <cell r="E3853">
            <v>14.4651</v>
          </cell>
        </row>
        <row r="3854">
          <cell r="B3854" t="str">
            <v>INF903JA1KH7</v>
          </cell>
          <cell r="C3854" t="str">
            <v>INF903JA1KD6</v>
          </cell>
          <cell r="D3854" t="str">
            <v>Sundaram Short Duration Fund (Formerly Known as Principal Short Term Debt Fund) Regular Fortnightly IDCW</v>
          </cell>
          <cell r="E3854">
            <v>12.883800000000001</v>
          </cell>
        </row>
        <row r="3855">
          <cell r="B3855" t="str">
            <v>INF903JA1KJ3</v>
          </cell>
          <cell r="C3855" t="str">
            <v>-</v>
          </cell>
          <cell r="D3855" t="str">
            <v>Sundaram Short Duration Fund (Formerly Known as Principal Short Term Debt Fund) Regular Plan IDCW</v>
          </cell>
          <cell r="E3855">
            <v>14.9869</v>
          </cell>
        </row>
        <row r="3856">
          <cell r="B3856" t="str">
            <v>-</v>
          </cell>
          <cell r="C3856" t="str">
            <v>INF903JA1KI5</v>
          </cell>
          <cell r="D3856" t="str">
            <v>Sundaram Short Duration Fund (Formerly Known as Principal Short Term Debt Fund) Regular Principal Units</v>
          </cell>
          <cell r="E3856">
            <v>16.0336</v>
          </cell>
        </row>
        <row r="3857">
          <cell r="B3857" t="str">
            <v>INF903JA1KG9</v>
          </cell>
          <cell r="C3857" t="str">
            <v>INF903JA1KK1</v>
          </cell>
          <cell r="D3857" t="str">
            <v>Sundaram Short Duration Fund (Formerly Known as Principal Short Term Debt Fund) Regular Weekly IDCW</v>
          </cell>
          <cell r="E3857">
            <v>12.862399999999999</v>
          </cell>
        </row>
        <row r="3858">
          <cell r="B3858" t="str">
            <v>INF173K01GP0</v>
          </cell>
          <cell r="C3858" t="str">
            <v>-</v>
          </cell>
          <cell r="D3858" t="str">
            <v>Sundaram Short Duration Fund (Formerly Known as Principal Short Term Debt Fund)- Direct Plan - Growth Option</v>
          </cell>
          <cell r="E3858">
            <v>50.957599999999999</v>
          </cell>
        </row>
        <row r="3859">
          <cell r="B3859" t="str">
            <v>INF173K01BA3</v>
          </cell>
          <cell r="C3859" t="str">
            <v>-</v>
          </cell>
          <cell r="D3859" t="str">
            <v>Sundaram Short Duration Fund (Formerly Known as Principal Short Term Debt Fund)- Growth Plan</v>
          </cell>
          <cell r="E3859">
            <v>46.829300000000003</v>
          </cell>
        </row>
        <row r="3860">
          <cell r="B3860" t="str">
            <v>INF173K01BB1</v>
          </cell>
          <cell r="C3860" t="str">
            <v>INF173K01BC9</v>
          </cell>
          <cell r="D3860" t="str">
            <v>Sundaram Short Duration Fund (Formerly Known as Principal Short Term Debt Fund)- Income Distribution CUM Capital Withdrawal Option (IDCW)</v>
          </cell>
          <cell r="E3860">
            <v>13.130599999999999</v>
          </cell>
        </row>
        <row r="3861">
          <cell r="B3861" t="str">
            <v/>
          </cell>
          <cell r="C3861" t="str">
            <v/>
          </cell>
          <cell r="D3861" t="str">
            <v/>
          </cell>
        </row>
        <row r="3862">
          <cell r="B3862" t="str">
            <v/>
          </cell>
          <cell r="C3862" t="str">
            <v/>
          </cell>
          <cell r="D3862" t="str">
            <v/>
          </cell>
        </row>
        <row r="3863">
          <cell r="B3863" t="str">
            <v/>
          </cell>
          <cell r="C3863" t="str">
            <v/>
          </cell>
          <cell r="D3863" t="str">
            <v/>
          </cell>
        </row>
        <row r="3864">
          <cell r="B3864" t="str">
            <v>INF277K01QR4</v>
          </cell>
          <cell r="C3864" t="str">
            <v>-</v>
          </cell>
          <cell r="D3864" t="str">
            <v>Tata Short Term Bond Fund - Direct Plan - Growth Option</v>
          </cell>
          <cell r="E3864">
            <v>56.143599999999999</v>
          </cell>
        </row>
        <row r="3865">
          <cell r="B3865" t="str">
            <v>INF277K01972</v>
          </cell>
          <cell r="C3865" t="str">
            <v>-</v>
          </cell>
          <cell r="D3865" t="str">
            <v>Tata Short Term Bond Fund -Regular Plan- Growth Option</v>
          </cell>
          <cell r="E3865">
            <v>50.299700000000001</v>
          </cell>
        </row>
        <row r="3866">
          <cell r="B3866" t="str">
            <v>INF277K01QP8</v>
          </cell>
          <cell r="C3866" t="str">
            <v>INF277K01QQ6</v>
          </cell>
          <cell r="D3866" t="str">
            <v>Tata Short Term Bond Fund Direct Plan - Monthly Payout of IDCW Option</v>
          </cell>
          <cell r="E3866">
            <v>25.501300000000001</v>
          </cell>
        </row>
        <row r="3867">
          <cell r="B3867" t="str">
            <v>INF277K01P38</v>
          </cell>
          <cell r="C3867" t="str">
            <v>INF277K01P46</v>
          </cell>
          <cell r="D3867" t="str">
            <v>Tata Short Term Bond Fund- Direct Plan - Periodic Payout of IDCW Option</v>
          </cell>
          <cell r="E3867">
            <v>29.792100000000001</v>
          </cell>
        </row>
        <row r="3868">
          <cell r="B3868" t="str">
            <v>INF277K01EI9</v>
          </cell>
          <cell r="C3868" t="str">
            <v>INF277K01964</v>
          </cell>
          <cell r="D3868" t="str">
            <v>Tata Short Term Bond Fund- Regular Plan - Monthly Payout of IDCW Option</v>
          </cell>
          <cell r="E3868">
            <v>22.715599999999998</v>
          </cell>
        </row>
        <row r="3869">
          <cell r="B3869" t="str">
            <v>INF277K01P12</v>
          </cell>
          <cell r="C3869" t="str">
            <v>INF277K01P20</v>
          </cell>
          <cell r="D3869" t="str">
            <v>Tata Short Term Bond Fund- Regular Plan - Periodic Payout of IDCW Option</v>
          </cell>
          <cell r="E3869">
            <v>26.651700000000002</v>
          </cell>
        </row>
        <row r="3870">
          <cell r="B3870" t="str">
            <v/>
          </cell>
          <cell r="C3870" t="str">
            <v/>
          </cell>
          <cell r="D3870" t="str">
            <v/>
          </cell>
        </row>
        <row r="3871">
          <cell r="B3871" t="str">
            <v/>
          </cell>
          <cell r="C3871" t="str">
            <v/>
          </cell>
          <cell r="D3871" t="str">
            <v/>
          </cell>
        </row>
        <row r="3872">
          <cell r="B3872" t="str">
            <v/>
          </cell>
          <cell r="C3872" t="str">
            <v/>
          </cell>
          <cell r="D3872" t="str">
            <v/>
          </cell>
        </row>
        <row r="3873">
          <cell r="B3873" t="str">
            <v>INF0GCD01370</v>
          </cell>
          <cell r="C3873" t="str">
            <v>-</v>
          </cell>
          <cell r="D3873" t="str">
            <v>TRUSTMF Short Duration Fund-Direct Plan-Growth</v>
          </cell>
          <cell r="E3873">
            <v>1351.4831999999999</v>
          </cell>
        </row>
        <row r="3874">
          <cell r="B3874" t="str">
            <v>INF0GCD01396</v>
          </cell>
          <cell r="C3874" t="str">
            <v>INF0GCD01404</v>
          </cell>
          <cell r="D3874" t="str">
            <v>TRUSTMF Short Duration Fund-Direct Plan-Monthly Income Distribution Cum Capital Withdrawal</v>
          </cell>
          <cell r="E3874">
            <v>1160.9744000000001</v>
          </cell>
        </row>
        <row r="3875">
          <cell r="B3875" t="str">
            <v>INF0GCD01412</v>
          </cell>
          <cell r="C3875" t="str">
            <v>INF0GCD01420</v>
          </cell>
          <cell r="D3875" t="str">
            <v>TRUSTMF Short Duration Fund-Direct Plan-Quarterly Income Distribution Cum Capital Withdrawal</v>
          </cell>
          <cell r="E3875">
            <v>1174.4337</v>
          </cell>
        </row>
        <row r="3876">
          <cell r="B3876" t="str">
            <v>-</v>
          </cell>
          <cell r="C3876" t="str">
            <v>INF0GCD01388</v>
          </cell>
          <cell r="D3876" t="str">
            <v>TRUSTMF Short Duration Fund-Direct Plan-Weekly Income Distribution Cum Capital Withdrawal</v>
          </cell>
          <cell r="E3876">
            <v>1135.0818999999999</v>
          </cell>
        </row>
        <row r="3877">
          <cell r="B3877" t="str">
            <v>INF0GCD01313</v>
          </cell>
          <cell r="C3877" t="str">
            <v>-</v>
          </cell>
          <cell r="D3877" t="str">
            <v>TRUSTMF Short Duration Fund-Regular Plan-Growth</v>
          </cell>
          <cell r="E3877">
            <v>1318.3510000000001</v>
          </cell>
        </row>
        <row r="3878">
          <cell r="B3878" t="str">
            <v>INF0GCD01339</v>
          </cell>
          <cell r="C3878" t="str">
            <v>INF0GCD01347</v>
          </cell>
          <cell r="D3878" t="str">
            <v>TRUSTMF Short Duration Fund-Regular Plan-Monthly Income Distribution Cum Capital Withdrawal</v>
          </cell>
          <cell r="E3878">
            <v>1140.5177000000001</v>
          </cell>
        </row>
        <row r="3879">
          <cell r="B3879" t="str">
            <v>INF0GCD01354</v>
          </cell>
          <cell r="C3879" t="str">
            <v>INF0GCD01362</v>
          </cell>
          <cell r="D3879" t="str">
            <v>TRUSTMF Short Duration Fund-Regular Plan-Quarterly Income Distribution Cum Capital Withdrawal</v>
          </cell>
          <cell r="E3879">
            <v>1143.4628</v>
          </cell>
        </row>
        <row r="3880">
          <cell r="B3880" t="str">
            <v>-</v>
          </cell>
          <cell r="C3880" t="str">
            <v>INF0GCD01321</v>
          </cell>
          <cell r="D3880" t="str">
            <v>TRUSTMF Short Duration Fund-Regular Plan-Weekly Income Distribution Cum Capital Withdrawal</v>
          </cell>
          <cell r="E3880">
            <v>1115.2983999999999</v>
          </cell>
        </row>
        <row r="3881">
          <cell r="B3881" t="str">
            <v/>
          </cell>
          <cell r="C3881" t="str">
            <v/>
          </cell>
          <cell r="D3881" t="str">
            <v/>
          </cell>
        </row>
        <row r="3882">
          <cell r="B3882" t="str">
            <v/>
          </cell>
          <cell r="C3882" t="str">
            <v/>
          </cell>
          <cell r="D3882" t="str">
            <v/>
          </cell>
        </row>
        <row r="3883">
          <cell r="B3883" t="str">
            <v/>
          </cell>
          <cell r="C3883" t="str">
            <v/>
          </cell>
          <cell r="D3883" t="str">
            <v/>
          </cell>
        </row>
        <row r="3884">
          <cell r="B3884" t="str">
            <v>INF582M01KO3</v>
          </cell>
          <cell r="C3884" t="str">
            <v>-</v>
          </cell>
          <cell r="D3884" t="str">
            <v>Union Short Duration Fund - Direct Plan - Growth Option</v>
          </cell>
          <cell r="E3884">
            <v>11.0162</v>
          </cell>
        </row>
        <row r="3885">
          <cell r="B3885" t="str">
            <v>INF582M01KP0</v>
          </cell>
          <cell r="C3885" t="str">
            <v>INF582M01KQ8</v>
          </cell>
          <cell r="D3885" t="str">
            <v>Union Short Duration Fund - Direct Plan - IDCW Option</v>
          </cell>
          <cell r="E3885">
            <v>11.0162</v>
          </cell>
        </row>
        <row r="3886">
          <cell r="B3886" t="str">
            <v>INF582M01KK1</v>
          </cell>
          <cell r="C3886" t="str">
            <v>-</v>
          </cell>
          <cell r="D3886" t="str">
            <v>Union Short Duration Fund - Regular Plan - Growth Option</v>
          </cell>
          <cell r="E3886">
            <v>10.9542</v>
          </cell>
        </row>
        <row r="3887">
          <cell r="B3887" t="str">
            <v>INF582M01KL9</v>
          </cell>
          <cell r="C3887" t="str">
            <v>INF582M01KM7</v>
          </cell>
          <cell r="D3887" t="str">
            <v>Union Short Duration Fund - Regular Plan - IDCW Option</v>
          </cell>
          <cell r="E3887">
            <v>10.9542</v>
          </cell>
        </row>
        <row r="3888">
          <cell r="B3888" t="str">
            <v/>
          </cell>
          <cell r="C3888" t="str">
            <v/>
          </cell>
          <cell r="D3888" t="str">
            <v/>
          </cell>
        </row>
        <row r="3889">
          <cell r="B3889" t="str">
            <v/>
          </cell>
          <cell r="C3889" t="str">
            <v/>
          </cell>
          <cell r="D3889" t="str">
            <v/>
          </cell>
        </row>
        <row r="3890">
          <cell r="B3890" t="str">
            <v/>
          </cell>
          <cell r="C3890" t="str">
            <v/>
          </cell>
          <cell r="D3890" t="str">
            <v/>
          </cell>
        </row>
        <row r="3891">
          <cell r="B3891" t="str">
            <v>INF789FA1R33</v>
          </cell>
          <cell r="C3891" t="str">
            <v>INF789FA1R41</v>
          </cell>
          <cell r="D3891" t="str">
            <v>UTI Short Duration Fund - Direct Plan - Annual IDCW</v>
          </cell>
          <cell r="E3891">
            <v>13.602499999999999</v>
          </cell>
        </row>
        <row r="3892">
          <cell r="B3892" t="str">
            <v>INF789FB1T70</v>
          </cell>
          <cell r="C3892" t="str">
            <v>INF789FB1T62</v>
          </cell>
          <cell r="D3892" t="str">
            <v>UTI Short Duration Fund - Direct Plan - Flexi IDCW</v>
          </cell>
          <cell r="E3892">
            <v>19.814</v>
          </cell>
        </row>
        <row r="3893">
          <cell r="B3893" t="str">
            <v>INF789F01XY0</v>
          </cell>
          <cell r="C3893" t="str">
            <v>-</v>
          </cell>
          <cell r="D3893" t="str">
            <v>UTI Short Duration Fund - Direct Plan - Growth Option</v>
          </cell>
          <cell r="E3893">
            <v>35.872900000000001</v>
          </cell>
        </row>
        <row r="3894">
          <cell r="B3894" t="str">
            <v>INF789FA1R17</v>
          </cell>
          <cell r="C3894" t="str">
            <v>INF789FA1R25</v>
          </cell>
          <cell r="D3894" t="str">
            <v>UTI Short Duration Fund - Direct Plan - Half Yearly Dividend Option</v>
          </cell>
          <cell r="E3894">
            <v>14.6851</v>
          </cell>
        </row>
        <row r="3895">
          <cell r="B3895" t="str">
            <v>INF789F01XZ7</v>
          </cell>
          <cell r="C3895" t="str">
            <v>INF789F01YA8</v>
          </cell>
          <cell r="D3895" t="str">
            <v>UTI Short Duration Fund - Direct Plan - Monthly IDCW</v>
          </cell>
          <cell r="E3895">
            <v>10.6538</v>
          </cell>
        </row>
        <row r="3896">
          <cell r="B3896" t="str">
            <v>INF789FA1R66</v>
          </cell>
          <cell r="C3896" t="str">
            <v>INF789FA1R74</v>
          </cell>
          <cell r="D3896" t="str">
            <v>UTI Short Duration Fund - Direct Plan - Quarterly IDCW</v>
          </cell>
          <cell r="E3896">
            <v>20.2835</v>
          </cell>
        </row>
        <row r="3897">
          <cell r="B3897" t="str">
            <v>INF789F01AH3</v>
          </cell>
          <cell r="C3897" t="str">
            <v>INF789F01AI1</v>
          </cell>
          <cell r="D3897" t="str">
            <v>UTI Short Duration Fund - Discontinued Regular Option - Dividend Sub Option</v>
          </cell>
          <cell r="E3897">
            <v>24.970199999999998</v>
          </cell>
        </row>
        <row r="3898">
          <cell r="B3898" t="str">
            <v>INF789F01AJ9</v>
          </cell>
          <cell r="C3898" t="str">
            <v>-</v>
          </cell>
          <cell r="D3898" t="str">
            <v>UTI Short Duration Fund - Discontinued Regular Option -Growth Sub Option</v>
          </cell>
          <cell r="E3898">
            <v>47.234000000000002</v>
          </cell>
        </row>
        <row r="3899">
          <cell r="B3899" t="str">
            <v>INF789FA1Q91</v>
          </cell>
          <cell r="C3899" t="str">
            <v>INF789FA1R09</v>
          </cell>
          <cell r="D3899" t="str">
            <v>UTI Short Duration Fund - Regular Plan - Annual IDCW</v>
          </cell>
          <cell r="E3899">
            <v>14.839</v>
          </cell>
        </row>
        <row r="3900">
          <cell r="B3900" t="str">
            <v>INF789FB1T54</v>
          </cell>
          <cell r="C3900" t="str">
            <v>INF789FB1T47</v>
          </cell>
          <cell r="D3900" t="str">
            <v>UTI Short Duration Fund - Regular Plan - Flexi IDCW</v>
          </cell>
          <cell r="E3900">
            <v>19.16</v>
          </cell>
        </row>
        <row r="3901">
          <cell r="B3901" t="str">
            <v>INF789F01QA4</v>
          </cell>
          <cell r="C3901" t="str">
            <v>-</v>
          </cell>
          <cell r="D3901" t="str">
            <v>UTI Short Duration Fund - Regular Plan - Growth Option</v>
          </cell>
          <cell r="E3901">
            <v>33.554900000000004</v>
          </cell>
        </row>
        <row r="3902">
          <cell r="B3902" t="str">
            <v>INF789FA1Q75</v>
          </cell>
          <cell r="C3902" t="str">
            <v>INF789FA1Q83</v>
          </cell>
          <cell r="D3902" t="str">
            <v>UTI Short Duration Fund - Regular Plan - Half-Yearly IDCW</v>
          </cell>
          <cell r="E3902">
            <v>14.3734</v>
          </cell>
        </row>
        <row r="3903">
          <cell r="B3903" t="str">
            <v>INF789F01QB2</v>
          </cell>
          <cell r="C3903" t="str">
            <v>INF789F01QC0</v>
          </cell>
          <cell r="D3903" t="str">
            <v>UTI Short Duration Fund - Regular Plan - Monthly IDCW</v>
          </cell>
          <cell r="E3903">
            <v>11.976000000000001</v>
          </cell>
        </row>
        <row r="3904">
          <cell r="B3904" t="str">
            <v>INF789FC1GD5</v>
          </cell>
          <cell r="C3904" t="str">
            <v>INF789FA1R58</v>
          </cell>
          <cell r="D3904" t="str">
            <v>UTI Short Duration Fund - Regular Plan - Quarterly IDCW</v>
          </cell>
          <cell r="E3904">
            <v>17.363600000000002</v>
          </cell>
        </row>
        <row r="3905">
          <cell r="B3905" t="str">
            <v/>
          </cell>
          <cell r="C3905" t="str">
            <v/>
          </cell>
          <cell r="D3905" t="str">
            <v/>
          </cell>
        </row>
        <row r="3906">
          <cell r="B3906" t="str">
            <v/>
          </cell>
          <cell r="C3906" t="str">
            <v/>
          </cell>
          <cell r="D3906" t="str">
            <v/>
          </cell>
        </row>
        <row r="3907">
          <cell r="B3907" t="str">
            <v/>
          </cell>
          <cell r="C3907" t="str">
            <v/>
          </cell>
          <cell r="D3907" t="str">
            <v/>
          </cell>
        </row>
        <row r="3908">
          <cell r="B3908" t="str">
            <v/>
          </cell>
          <cell r="C3908" t="str">
            <v/>
          </cell>
          <cell r="D3908" t="str">
            <v/>
          </cell>
        </row>
        <row r="3909">
          <cell r="B3909" t="str">
            <v/>
          </cell>
          <cell r="C3909" t="str">
            <v/>
          </cell>
          <cell r="D3909" t="str">
            <v/>
          </cell>
        </row>
        <row r="3910">
          <cell r="B3910" t="str">
            <v>INF209K01JT8</v>
          </cell>
          <cell r="C3910" t="str">
            <v>-</v>
          </cell>
          <cell r="D3910" t="str">
            <v>Aditya Birla Sun Life Savings Fund - Discipline Advantage Plan</v>
          </cell>
          <cell r="E3910">
            <v>332.73770000000002</v>
          </cell>
        </row>
        <row r="3911">
          <cell r="B3911" t="str">
            <v>INF209K01UR9</v>
          </cell>
          <cell r="C3911" t="str">
            <v>-</v>
          </cell>
          <cell r="D3911" t="str">
            <v>Aditya Birla Sun Life Savings Fund - Growth - Direct Plan</v>
          </cell>
          <cell r="E3911">
            <v>597.91759999999999</v>
          </cell>
        </row>
        <row r="3912">
          <cell r="B3912" t="str">
            <v>INF209K01LZ1</v>
          </cell>
          <cell r="C3912" t="str">
            <v>-</v>
          </cell>
          <cell r="D3912" t="str">
            <v>Aditya Birla Sun Life Savings Fund - Growth - Regular Plan</v>
          </cell>
          <cell r="E3912">
            <v>585.81640000000004</v>
          </cell>
        </row>
        <row r="3913">
          <cell r="B3913" t="str">
            <v>INF209K01UQ1</v>
          </cell>
          <cell r="C3913" t="str">
            <v>-</v>
          </cell>
          <cell r="D3913" t="str">
            <v>Aditya Birla Sun Life Savings Fund-DIRECT - DAILY IDCW</v>
          </cell>
          <cell r="E3913">
            <v>100</v>
          </cell>
        </row>
        <row r="3914">
          <cell r="B3914" t="str">
            <v>INF209K01US7</v>
          </cell>
          <cell r="C3914" t="str">
            <v>-</v>
          </cell>
          <cell r="D3914" t="str">
            <v>Aditya Birla Sun Life Savings Fund-DIRECT - WEEKLY IDCW</v>
          </cell>
          <cell r="E3914">
            <v>100.59780000000001</v>
          </cell>
        </row>
        <row r="3915">
          <cell r="B3915" t="str">
            <v>INF209K01LY4</v>
          </cell>
          <cell r="C3915" t="str">
            <v>-</v>
          </cell>
          <cell r="D3915" t="str">
            <v>Aditya Birla Sun Life Savings Fund-Regular - DAILY IDCW</v>
          </cell>
          <cell r="E3915">
            <v>100</v>
          </cell>
        </row>
        <row r="3916">
          <cell r="B3916" t="str">
            <v>INF209K01MA2</v>
          </cell>
          <cell r="C3916" t="str">
            <v>-</v>
          </cell>
          <cell r="D3916" t="str">
            <v>Aditya Birla Sun Life Savings Fund-Regular - weekly IDCW</v>
          </cell>
          <cell r="E3916">
            <v>100.5205</v>
          </cell>
        </row>
        <row r="3917">
          <cell r="B3917" t="str">
            <v/>
          </cell>
          <cell r="C3917" t="str">
            <v/>
          </cell>
          <cell r="D3917" t="str">
            <v/>
          </cell>
        </row>
        <row r="3918">
          <cell r="B3918" t="str">
            <v/>
          </cell>
          <cell r="C3918" t="str">
            <v/>
          </cell>
          <cell r="D3918" t="str">
            <v/>
          </cell>
        </row>
        <row r="3919">
          <cell r="B3919" t="str">
            <v/>
          </cell>
          <cell r="C3919" t="str">
            <v/>
          </cell>
          <cell r="D3919" t="str">
            <v/>
          </cell>
        </row>
        <row r="3920">
          <cell r="B3920" t="str">
            <v>-</v>
          </cell>
          <cell r="C3920" t="str">
            <v>INF846K01F57</v>
          </cell>
          <cell r="D3920" t="str">
            <v>Axis Ultra Short Duration Fund - Direct Plan - Daily IDCW</v>
          </cell>
          <cell r="E3920">
            <v>10.033799999999999</v>
          </cell>
        </row>
        <row r="3921">
          <cell r="B3921" t="str">
            <v>INF846K01F99</v>
          </cell>
          <cell r="C3921" t="str">
            <v>INF846K01F81</v>
          </cell>
          <cell r="D3921" t="str">
            <v>Axis Ultra Short Duration Fund - Direct Plan - Monthly IDCW</v>
          </cell>
          <cell r="E3921">
            <v>10.073499999999999</v>
          </cell>
        </row>
        <row r="3922">
          <cell r="B3922" t="str">
            <v>INF846K01G15</v>
          </cell>
          <cell r="C3922" t="str">
            <v>INF846K01G07</v>
          </cell>
          <cell r="D3922" t="str">
            <v>Axis Ultra Short Duration Fund - Direct Plan - Regular IDCW</v>
          </cell>
          <cell r="E3922">
            <v>16.745899999999999</v>
          </cell>
        </row>
        <row r="3923">
          <cell r="B3923" t="str">
            <v>INF846K01F73</v>
          </cell>
          <cell r="C3923" t="str">
            <v>INF846K01F65</v>
          </cell>
          <cell r="D3923" t="str">
            <v>Axis Ultra Short Duration Fund - Direct Plan - Weekly IDCW</v>
          </cell>
          <cell r="E3923">
            <v>10.0549</v>
          </cell>
        </row>
        <row r="3924">
          <cell r="B3924" t="str">
            <v>INF846K01F40</v>
          </cell>
          <cell r="C3924" t="str">
            <v>-</v>
          </cell>
          <cell r="D3924" t="str">
            <v>Axis Ultra Short Duration Fund - Direct Plan Growth</v>
          </cell>
          <cell r="E3924">
            <v>16.744700000000002</v>
          </cell>
        </row>
        <row r="3925">
          <cell r="B3925" t="str">
            <v>-</v>
          </cell>
          <cell r="C3925" t="str">
            <v>INF846K01G31</v>
          </cell>
          <cell r="D3925" t="str">
            <v>Axis Ultra Short Duration Fund - Regular Plan - Daily IDCW</v>
          </cell>
          <cell r="E3925">
            <v>10.068899999999999</v>
          </cell>
        </row>
        <row r="3926">
          <cell r="B3926" t="str">
            <v>INF846K01G72</v>
          </cell>
          <cell r="C3926" t="str">
            <v>INF846K01G64</v>
          </cell>
          <cell r="D3926" t="str">
            <v>Axis Ultra Short Duration Fund - Regular Plan - Monthly IDCW</v>
          </cell>
          <cell r="E3926">
            <v>10.077500000000001</v>
          </cell>
        </row>
        <row r="3927">
          <cell r="B3927" t="str">
            <v>INF846K01G98</v>
          </cell>
          <cell r="C3927" t="str">
            <v>INF846K01G80</v>
          </cell>
          <cell r="D3927" t="str">
            <v>Axis Ultra Short Duration Fund - Regular Plan - Regular IDCW</v>
          </cell>
          <cell r="E3927">
            <v>15.6457</v>
          </cell>
        </row>
        <row r="3928">
          <cell r="B3928" t="str">
            <v>INF846K01G56</v>
          </cell>
          <cell r="C3928" t="str">
            <v>INF846K01G49</v>
          </cell>
          <cell r="D3928" t="str">
            <v>Axis Ultra Short Duration Fund - Regular Plan - Weekly IDCW</v>
          </cell>
          <cell r="E3928">
            <v>10.0716</v>
          </cell>
        </row>
        <row r="3929">
          <cell r="B3929" t="str">
            <v>INF846K01G23</v>
          </cell>
          <cell r="C3929" t="str">
            <v>-</v>
          </cell>
          <cell r="D3929" t="str">
            <v>Axis Ultra Short Duration Fund - Regular Plan Growth</v>
          </cell>
          <cell r="E3929">
            <v>15.6457</v>
          </cell>
        </row>
        <row r="3930">
          <cell r="B3930" t="str">
            <v/>
          </cell>
          <cell r="C3930" t="str">
            <v/>
          </cell>
          <cell r="D3930" t="str">
            <v/>
          </cell>
        </row>
        <row r="3931">
          <cell r="B3931" t="str">
            <v/>
          </cell>
          <cell r="C3931" t="str">
            <v/>
          </cell>
          <cell r="D3931" t="str">
            <v/>
          </cell>
        </row>
        <row r="3932">
          <cell r="B3932" t="str">
            <v/>
          </cell>
          <cell r="C3932" t="str">
            <v/>
          </cell>
          <cell r="D3932" t="str">
            <v/>
          </cell>
        </row>
        <row r="3933">
          <cell r="B3933" t="str">
            <v>INF194KA11S2</v>
          </cell>
          <cell r="C3933" t="str">
            <v>INF194KA12S0</v>
          </cell>
          <cell r="D3933" t="str">
            <v>BANDHAN ULTRA SHORT DURATION FUND - DIRECT PLAN -MONTHLY IDCW</v>
          </cell>
          <cell r="E3933">
            <v>10.0707</v>
          </cell>
        </row>
        <row r="3934">
          <cell r="B3934" t="str">
            <v>INF194KA16R3</v>
          </cell>
          <cell r="C3934" t="str">
            <v>-</v>
          </cell>
          <cell r="D3934" t="str">
            <v>BANDHAN ULTRA SHORT DURATION FUND - DIRECT PLAN GROWTH</v>
          </cell>
          <cell r="E3934">
            <v>16.464500000000001</v>
          </cell>
        </row>
        <row r="3935">
          <cell r="B3935" t="str">
            <v>INF194KA17S9</v>
          </cell>
          <cell r="C3935" t="str">
            <v>INF194KA18S7</v>
          </cell>
          <cell r="D3935" t="str">
            <v>BANDHAN ULTRA SHORT DURATION FUND - DIRECT PLAN PERIODIC IDCW</v>
          </cell>
          <cell r="E3935">
            <v>13.9979</v>
          </cell>
        </row>
        <row r="3936">
          <cell r="B3936" t="str">
            <v>INF194KA14S6</v>
          </cell>
          <cell r="C3936" t="str">
            <v>INF194KA15S3</v>
          </cell>
          <cell r="D3936" t="str">
            <v>BANDHAN ULTRA SHORT DURATION FUND - DIRECT PLAN QUARTERLY IDCW</v>
          </cell>
          <cell r="E3936">
            <v>10.5517</v>
          </cell>
        </row>
        <row r="3937">
          <cell r="B3937" t="str">
            <v>INF194KA10T2</v>
          </cell>
          <cell r="C3937" t="str">
            <v>INF194KA11T0</v>
          </cell>
          <cell r="D3937" t="str">
            <v>BANDHAN ULTRA SHORT DURATION FUND - DIRECT PLAN- WEEKLY IDCW</v>
          </cell>
          <cell r="E3937">
            <v>10.075900000000001</v>
          </cell>
        </row>
        <row r="3938">
          <cell r="B3938" t="str">
            <v>INF194KA18R9</v>
          </cell>
          <cell r="C3938" t="str">
            <v>INF194KA19R7</v>
          </cell>
          <cell r="D3938" t="str">
            <v>BANDHAN ULTRA SHORT DURATION FUND - DIRECT PLAN-DAILY IDCW</v>
          </cell>
          <cell r="E3938">
            <v>10.0367</v>
          </cell>
        </row>
        <row r="3939">
          <cell r="B3939" t="str">
            <v>INF194KA12Q4</v>
          </cell>
          <cell r="C3939" t="str">
            <v>INF194KA13Q2</v>
          </cell>
          <cell r="D3939" t="str">
            <v>BANDHAN ULTRA SHORT DURATION FUND - REGULAR PLAN DAILY IDCW</v>
          </cell>
          <cell r="E3939">
            <v>10.0519</v>
          </cell>
        </row>
        <row r="3940">
          <cell r="B3940" t="str">
            <v>INF194KA10Q8</v>
          </cell>
          <cell r="C3940" t="str">
            <v>-</v>
          </cell>
          <cell r="D3940" t="str">
            <v>BANDHAN ULTRA SHORT DURATION FUND - REGULAR PLAN GROWTH</v>
          </cell>
          <cell r="E3940">
            <v>16.232500000000002</v>
          </cell>
        </row>
        <row r="3941">
          <cell r="B3941" t="str">
            <v>INF194KA15Q7</v>
          </cell>
          <cell r="C3941" t="str">
            <v>INF194KA16Q5</v>
          </cell>
          <cell r="D3941" t="str">
            <v>BANDHAN ULTRA SHORT DURATION FUND - REGULAR PLAN MONTHLY IDCW</v>
          </cell>
          <cell r="E3941">
            <v>10.075100000000001</v>
          </cell>
        </row>
        <row r="3942">
          <cell r="B3942" t="str">
            <v>INF194KA11R4</v>
          </cell>
          <cell r="C3942" t="str">
            <v>INF194KA12R2</v>
          </cell>
          <cell r="D3942" t="str">
            <v>BANDHAN ULTRA SHORT DURATION FUND - REGULAR PLAN PERIODIC IDCW</v>
          </cell>
          <cell r="E3942">
            <v>13.662000000000001</v>
          </cell>
        </row>
        <row r="3943">
          <cell r="B3943" t="str">
            <v>INF194KA18Q1</v>
          </cell>
          <cell r="C3943" t="str">
            <v>INF194KA19Q9</v>
          </cell>
          <cell r="D3943" t="str">
            <v>BANDHAN ULTRA SHORT DURATION FUND - REGULAR PLAN QUARTERLY IDCW</v>
          </cell>
          <cell r="E3943">
            <v>10.5337</v>
          </cell>
        </row>
        <row r="3944">
          <cell r="B3944" t="str">
            <v>INF194KA14R8</v>
          </cell>
          <cell r="C3944" t="str">
            <v>INF194KA15R5</v>
          </cell>
          <cell r="D3944" t="str">
            <v>BANDHAN ULTRA SHORT DURATION FUND - REGULAR PLAN WEEKLY IDCW</v>
          </cell>
          <cell r="E3944">
            <v>10.077500000000001</v>
          </cell>
        </row>
        <row r="3945">
          <cell r="B3945" t="str">
            <v/>
          </cell>
          <cell r="C3945" t="str">
            <v/>
          </cell>
          <cell r="D3945" t="str">
            <v/>
          </cell>
        </row>
        <row r="3946">
          <cell r="B3946" t="str">
            <v/>
          </cell>
          <cell r="C3946" t="str">
            <v/>
          </cell>
          <cell r="D3946" t="str">
            <v/>
          </cell>
        </row>
        <row r="3947">
          <cell r="B3947" t="str">
            <v/>
          </cell>
          <cell r="C3947" t="str">
            <v/>
          </cell>
          <cell r="D3947" t="str">
            <v/>
          </cell>
        </row>
        <row r="3948">
          <cell r="B3948" t="str">
            <v>-</v>
          </cell>
          <cell r="C3948" t="str">
            <v>INF761K01CT3</v>
          </cell>
          <cell r="D3948" t="str">
            <v>BANK OF INDIA Ultra Short Duration Fund- Direct Plan- Daily IDCW</v>
          </cell>
          <cell r="E3948">
            <v>1005</v>
          </cell>
        </row>
        <row r="3949">
          <cell r="B3949" t="str">
            <v>INF761K01892</v>
          </cell>
          <cell r="C3949" t="str">
            <v>-</v>
          </cell>
          <cell r="D3949" t="str">
            <v>BANK OF INDIA Ultra Short Duration Fund- Direct Plan- Growth</v>
          </cell>
          <cell r="E3949">
            <v>3494.6361000000002</v>
          </cell>
        </row>
        <row r="3950">
          <cell r="B3950" t="str">
            <v>-</v>
          </cell>
          <cell r="C3950" t="str">
            <v>INF761K01CU1</v>
          </cell>
          <cell r="D3950" t="str">
            <v>BANK OF INDIA Ultra Short Duration Fund- Direct Plan- Weekly IDCW</v>
          </cell>
          <cell r="E3950">
            <v>1005.3871</v>
          </cell>
        </row>
        <row r="3951">
          <cell r="B3951" t="str">
            <v>INF761K01CS5</v>
          </cell>
          <cell r="C3951" t="str">
            <v>-</v>
          </cell>
          <cell r="D3951" t="str">
            <v>BANK OF INDIA Ultra Short Duration Fund- Direct Plan-Bonus</v>
          </cell>
          <cell r="E3951">
            <v>3479.2163</v>
          </cell>
        </row>
        <row r="3952">
          <cell r="B3952" t="str">
            <v>-</v>
          </cell>
          <cell r="C3952" t="str">
            <v>INF761K01CW7</v>
          </cell>
          <cell r="D3952" t="str">
            <v>BANK OF INDIA Ultra Short Duration Fund- Regular Plan- Daily IDCW</v>
          </cell>
          <cell r="E3952">
            <v>1005</v>
          </cell>
        </row>
        <row r="3953">
          <cell r="B3953" t="str">
            <v>INF761K01298</v>
          </cell>
          <cell r="C3953" t="str">
            <v>-</v>
          </cell>
          <cell r="D3953" t="str">
            <v>BANK OF INDIA Ultra Short Duration Fund- Regular Plan- Growth</v>
          </cell>
          <cell r="E3953">
            <v>3359.3209000000002</v>
          </cell>
        </row>
        <row r="3954">
          <cell r="B3954" t="str">
            <v>-</v>
          </cell>
          <cell r="C3954" t="str">
            <v>INF761K01CX5</v>
          </cell>
          <cell r="D3954" t="str">
            <v>BANK OF INDIA Ultra Short Duration Fund- Regular Plan- Weekly IDCW</v>
          </cell>
          <cell r="E3954">
            <v>1005.3587</v>
          </cell>
        </row>
        <row r="3955">
          <cell r="B3955" t="str">
            <v/>
          </cell>
          <cell r="C3955" t="str">
            <v/>
          </cell>
          <cell r="D3955" t="str">
            <v/>
          </cell>
        </row>
        <row r="3956">
          <cell r="B3956" t="str">
            <v/>
          </cell>
          <cell r="C3956" t="str">
            <v/>
          </cell>
          <cell r="D3956" t="str">
            <v/>
          </cell>
        </row>
        <row r="3957">
          <cell r="B3957" t="str">
            <v/>
          </cell>
          <cell r="C3957" t="str">
            <v/>
          </cell>
          <cell r="D3957" t="str">
            <v/>
          </cell>
        </row>
        <row r="3958">
          <cell r="B3958" t="str">
            <v>INF251K01SN4</v>
          </cell>
          <cell r="C3958" t="str">
            <v>INF955L01GY0</v>
          </cell>
          <cell r="D3958" t="str">
            <v>Baroda BNP Paribas Ultra Short Duratio Fund- Regular Plan- Weekly IDCW</v>
          </cell>
          <cell r="E3958">
            <v>1000.9466</v>
          </cell>
        </row>
        <row r="3959">
          <cell r="B3959" t="str">
            <v>-</v>
          </cell>
          <cell r="C3959" t="str">
            <v>INF955L01GW4</v>
          </cell>
          <cell r="D3959" t="str">
            <v>Baroda BNP Paribas Ultra Short Duration Fund - Regular Plan - Daily IDCW</v>
          </cell>
          <cell r="E3959">
            <v>1006.2583</v>
          </cell>
        </row>
        <row r="3960">
          <cell r="B3960" t="str">
            <v>INF955L01GX2</v>
          </cell>
          <cell r="C3960" t="str">
            <v>-</v>
          </cell>
          <cell r="D3960" t="str">
            <v>Baroda BNP Paribas Ultra Short Duration Fund - Regular Plan - Growth</v>
          </cell>
          <cell r="E3960">
            <v>1646.4801</v>
          </cell>
        </row>
        <row r="3961">
          <cell r="B3961" t="str">
            <v>-</v>
          </cell>
          <cell r="C3961" t="str">
            <v>INF955L01GZ7</v>
          </cell>
          <cell r="D3961" t="str">
            <v>Baroda BNP Paribas Ultra Short Duration Fund- Direct Plan- Daily IDCW</v>
          </cell>
          <cell r="E3961">
            <v>1007.0751</v>
          </cell>
        </row>
        <row r="3962">
          <cell r="B3962" t="str">
            <v>INF955L01HA8</v>
          </cell>
          <cell r="C3962" t="str">
            <v>-</v>
          </cell>
          <cell r="D3962" t="str">
            <v>Baroda BNP Paribas Ultra Short Duration Fund- Direct Plan- Growth</v>
          </cell>
          <cell r="E3962">
            <v>1670.9407000000001</v>
          </cell>
        </row>
        <row r="3963">
          <cell r="B3963" t="str">
            <v>INF251K01SM6</v>
          </cell>
          <cell r="C3963" t="str">
            <v>INF955L01HB6</v>
          </cell>
          <cell r="D3963" t="str">
            <v>Baroda BNP Paribas Ultra Short Duration Fund- Direct Plan- Weekly IDCW</v>
          </cell>
          <cell r="E3963">
            <v>1002.0268</v>
          </cell>
        </row>
        <row r="3964">
          <cell r="B3964" t="str">
            <v/>
          </cell>
          <cell r="C3964" t="str">
            <v/>
          </cell>
          <cell r="D3964" t="str">
            <v/>
          </cell>
        </row>
        <row r="3965">
          <cell r="B3965" t="str">
            <v/>
          </cell>
          <cell r="C3965" t="str">
            <v/>
          </cell>
          <cell r="D3965" t="str">
            <v/>
          </cell>
        </row>
        <row r="3966">
          <cell r="B3966" t="str">
            <v/>
          </cell>
          <cell r="C3966" t="str">
            <v/>
          </cell>
          <cell r="D3966" t="str">
            <v/>
          </cell>
        </row>
        <row r="3967">
          <cell r="B3967" t="str">
            <v>-</v>
          </cell>
          <cell r="C3967" t="str">
            <v>INF760K01GL3</v>
          </cell>
          <cell r="D3967" t="str">
            <v>CANARA ROBECO ULTRA SHORT TERM FUND - DIRECT PLAN - DAILY IDCW (Reinvestment)</v>
          </cell>
          <cell r="E3967">
            <v>1240.71</v>
          </cell>
        </row>
        <row r="3968">
          <cell r="B3968" t="str">
            <v>INF760K01GM1</v>
          </cell>
          <cell r="C3968" t="str">
            <v>-</v>
          </cell>
          <cell r="D3968" t="str">
            <v>CANARA ROBECO ULTRA SHORT TERM FUND - DIRECT PLAN - GROWTH OPTION</v>
          </cell>
          <cell r="E3968">
            <v>4317.4220999999998</v>
          </cell>
        </row>
        <row r="3969">
          <cell r="B3969" t="str">
            <v>INF760K01GN9</v>
          </cell>
          <cell r="C3969" t="str">
            <v>-</v>
          </cell>
          <cell r="D3969" t="str">
            <v>CANARA ROBECO ULTRA SHORT TERM FUND - DIRECT PLAN - IDCW (Payout/Reinvestment)</v>
          </cell>
          <cell r="E3969">
            <v>2297.9387999999999</v>
          </cell>
        </row>
        <row r="3970">
          <cell r="B3970" t="str">
            <v>INF760K01GP4</v>
          </cell>
          <cell r="C3970" t="str">
            <v>INF760K01GO7</v>
          </cell>
          <cell r="D3970" t="str">
            <v>CANARA ROBECO ULTRA SHORT TERM FUND - DIRECT PLAN - MONTHLY IDCW (Payout/Reinvestment)</v>
          </cell>
          <cell r="E3970">
            <v>1005.5619</v>
          </cell>
        </row>
        <row r="3971">
          <cell r="B3971" t="str">
            <v>INF760K01GQ2</v>
          </cell>
          <cell r="C3971" t="str">
            <v>INF760K01GR0</v>
          </cell>
          <cell r="D3971" t="str">
            <v>CANARA ROBECO ULTRA SHORT TERM FUND - DIRECT PLAN - WEEKLY IDCW (Payout/Reinvestment)</v>
          </cell>
          <cell r="E3971">
            <v>1240.71</v>
          </cell>
        </row>
        <row r="3972">
          <cell r="B3972" t="str">
            <v>-</v>
          </cell>
          <cell r="C3972" t="str">
            <v>INF760K01DA3</v>
          </cell>
          <cell r="D3972" t="str">
            <v>CANARA ROBECO ULTRA SHORT TERM FUND - REGULAR PLAN - DAILY IDCW (Reinvestment)</v>
          </cell>
          <cell r="E3972">
            <v>1240.71</v>
          </cell>
        </row>
        <row r="3973">
          <cell r="B3973" t="str">
            <v>INF760K01DC9</v>
          </cell>
          <cell r="C3973" t="str">
            <v>-</v>
          </cell>
          <cell r="D3973" t="str">
            <v>CANARA ROBECO ULTRA SHORT TERM FUND - REGULAR PLAN - GROWTH OPTION</v>
          </cell>
          <cell r="E3973">
            <v>4033.7404999999999</v>
          </cell>
        </row>
        <row r="3974">
          <cell r="B3974" t="str">
            <v>INF760K01CA5</v>
          </cell>
          <cell r="C3974" t="str">
            <v>INF760K01DD7</v>
          </cell>
          <cell r="D3974" t="str">
            <v>CANARA ROBECO ULTRA SHORT TERM FUND - REGULAR PLAN - MONTHLY IDCW (Payout/Reinvestment)</v>
          </cell>
          <cell r="E3974">
            <v>1005.1226</v>
          </cell>
        </row>
        <row r="3975">
          <cell r="B3975" t="str">
            <v>INF760K01DE5</v>
          </cell>
          <cell r="C3975" t="str">
            <v>INF760K01DF2</v>
          </cell>
          <cell r="D3975" t="str">
            <v>CANARA ROBECO ULTRA SHORT TERM FUND - REGULAR PLAN - WEEKLY IDCW (Payout/Reinvestment)</v>
          </cell>
          <cell r="E3975">
            <v>1240.71</v>
          </cell>
        </row>
        <row r="3976">
          <cell r="B3976" t="str">
            <v>INF760K01IL9</v>
          </cell>
          <cell r="C3976" t="str">
            <v>-</v>
          </cell>
          <cell r="D3976" t="str">
            <v>CANARA ROBECO ULTRA SHORT TERM FUND- REGULAR PLAN - IDCW (Payout)</v>
          </cell>
          <cell r="E3976">
            <v>1541.1962000000001</v>
          </cell>
        </row>
        <row r="3977">
          <cell r="B3977" t="str">
            <v/>
          </cell>
          <cell r="C3977" t="str">
            <v/>
          </cell>
          <cell r="D3977" t="str">
            <v/>
          </cell>
        </row>
        <row r="3978">
          <cell r="B3978" t="str">
            <v/>
          </cell>
          <cell r="C3978" t="str">
            <v/>
          </cell>
          <cell r="D3978" t="str">
            <v/>
          </cell>
        </row>
        <row r="3979">
          <cell r="B3979" t="str">
            <v/>
          </cell>
          <cell r="C3979" t="str">
            <v/>
          </cell>
          <cell r="D3979" t="str">
            <v/>
          </cell>
        </row>
        <row r="3980">
          <cell r="B3980" t="str">
            <v>INF740K01ON5</v>
          </cell>
          <cell r="C3980" t="str">
            <v>-</v>
          </cell>
          <cell r="D3980" t="str">
            <v>DSP Ultra Short Fund - Direct Plan - Growth</v>
          </cell>
          <cell r="E3980">
            <v>3964.8505</v>
          </cell>
        </row>
        <row r="3981">
          <cell r="B3981" t="str">
            <v>INF740K01OQ8</v>
          </cell>
          <cell r="C3981" t="str">
            <v>INF740K01OR6</v>
          </cell>
          <cell r="D3981" t="str">
            <v>DSP Ultra Short Fund - Direct Plan - IDCW</v>
          </cell>
          <cell r="E3981">
            <v>1136.3273999999999</v>
          </cell>
        </row>
        <row r="3982">
          <cell r="B3982" t="str">
            <v>-</v>
          </cell>
          <cell r="C3982" t="str">
            <v>INF740KA1NT0</v>
          </cell>
          <cell r="D3982" t="str">
            <v>DSP Ultra Short Fund - Direct Plan - IDCW - Daily</v>
          </cell>
          <cell r="E3982">
            <v>1005.3951</v>
          </cell>
        </row>
        <row r="3983">
          <cell r="B3983" t="str">
            <v>INF740K01OO3</v>
          </cell>
          <cell r="C3983" t="str">
            <v>INF740K01OP0</v>
          </cell>
          <cell r="D3983" t="str">
            <v>DSP Ultra Short Fund - Direct Plan - IDCW - Monthly</v>
          </cell>
          <cell r="E3983">
            <v>1091.7547999999999</v>
          </cell>
        </row>
        <row r="3984">
          <cell r="B3984" t="str">
            <v>INF740KA1NU8</v>
          </cell>
          <cell r="C3984" t="str">
            <v>INF740KA1NV6</v>
          </cell>
          <cell r="D3984" t="str">
            <v>DSP Ultra Short Fund - Direct Plan - IDCW - Weekly</v>
          </cell>
          <cell r="E3984">
            <v>1006.4299</v>
          </cell>
        </row>
        <row r="3985">
          <cell r="B3985" t="str">
            <v>INF740K01QQ3</v>
          </cell>
          <cell r="C3985" t="str">
            <v>-</v>
          </cell>
          <cell r="D3985" t="str">
            <v>DSP Ultra Short Fund - Regular Plan - Growth</v>
          </cell>
          <cell r="E3985">
            <v>3618.8982999999998</v>
          </cell>
        </row>
        <row r="3986">
          <cell r="B3986" t="str">
            <v>-</v>
          </cell>
          <cell r="C3986" t="str">
            <v>INF740KA1NW4</v>
          </cell>
          <cell r="D3986" t="str">
            <v>DSP Ultra Short Fund - Regular Plan - IDCW - Daily Reinvest</v>
          </cell>
          <cell r="E3986">
            <v>1005.4914</v>
          </cell>
        </row>
        <row r="3987">
          <cell r="B3987" t="str">
            <v>INF740K01QS9</v>
          </cell>
          <cell r="C3987" t="str">
            <v>INF740K01QR1</v>
          </cell>
          <cell r="D3987" t="str">
            <v>DSP Ultra Short Fund - Regular Plan - IDCW - Monthly</v>
          </cell>
          <cell r="E3987">
            <v>1083.0914</v>
          </cell>
        </row>
        <row r="3988">
          <cell r="B3988" t="str">
            <v>INF740K01MK5</v>
          </cell>
          <cell r="C3988" t="str">
            <v>-</v>
          </cell>
          <cell r="D3988" t="str">
            <v>DSP Ultra Short Fund - Regular Plan - IDCW - Payout</v>
          </cell>
          <cell r="E3988">
            <v>1124.0214000000001</v>
          </cell>
        </row>
        <row r="3989">
          <cell r="B3989" t="str">
            <v>-</v>
          </cell>
          <cell r="C3989" t="str">
            <v>-</v>
          </cell>
          <cell r="D3989" t="str">
            <v>DSP Ultra Short Fund - Regular Plan - IDCW - Weekly Reinvest</v>
          </cell>
          <cell r="E3989">
            <v>1006.3126</v>
          </cell>
        </row>
        <row r="3990">
          <cell r="B3990" t="str">
            <v/>
          </cell>
          <cell r="C3990" t="str">
            <v/>
          </cell>
          <cell r="D3990" t="str">
            <v/>
          </cell>
        </row>
        <row r="3991">
          <cell r="B3991" t="str">
            <v/>
          </cell>
          <cell r="C3991" t="str">
            <v/>
          </cell>
          <cell r="D3991" t="str">
            <v/>
          </cell>
        </row>
        <row r="3992">
          <cell r="B3992" t="str">
            <v/>
          </cell>
          <cell r="C3992" t="str">
            <v/>
          </cell>
          <cell r="D3992" t="str">
            <v/>
          </cell>
        </row>
        <row r="3993">
          <cell r="B3993" t="str">
            <v>INF090I01CG8</v>
          </cell>
          <cell r="C3993" t="str">
            <v>-</v>
          </cell>
          <cell r="D3993" t="str">
            <v>Franklin India Ultra Short Bond Fund - Institutional - Growth</v>
          </cell>
          <cell r="E3993">
            <v>33.775700000000001</v>
          </cell>
        </row>
        <row r="3994">
          <cell r="B3994" t="str">
            <v>INF090I01CE3</v>
          </cell>
          <cell r="C3994" t="str">
            <v>INF090I01CF0</v>
          </cell>
          <cell r="D3994" t="str">
            <v>Franklin India Ultra Short Bond Fund - Institutional - Weekly Dividend</v>
          </cell>
          <cell r="E3994">
            <v>0</v>
          </cell>
        </row>
        <row r="3995">
          <cell r="B3995" t="str">
            <v>-</v>
          </cell>
          <cell r="C3995" t="str">
            <v>INF090I01CD5</v>
          </cell>
          <cell r="D3995" t="str">
            <v>Franklin India Ultra Short Bond Fund - Institutional Plan - Daily - IDCW</v>
          </cell>
          <cell r="E3995">
            <v>12.37</v>
          </cell>
        </row>
        <row r="3996">
          <cell r="B3996" t="str">
            <v>INF090I01CK0</v>
          </cell>
          <cell r="C3996" t="str">
            <v>-</v>
          </cell>
          <cell r="D3996" t="str">
            <v>Franklin India Ultra Short Bond Fund - Retail - Growth</v>
          </cell>
          <cell r="E3996">
            <v>32.926200000000001</v>
          </cell>
        </row>
        <row r="3997">
          <cell r="B3997" t="str">
            <v>-</v>
          </cell>
          <cell r="C3997" t="str">
            <v>INF090I01CH6</v>
          </cell>
          <cell r="D3997" t="str">
            <v>Franklin India Ultra Short Bond Fund - Retail Plan - Daily - IDCW</v>
          </cell>
          <cell r="E3997">
            <v>12.4137</v>
          </cell>
        </row>
        <row r="3998">
          <cell r="B3998" t="str">
            <v>INF090I01CI4</v>
          </cell>
          <cell r="C3998" t="str">
            <v>INF090I01CJ2</v>
          </cell>
          <cell r="D3998" t="str">
            <v>Franklin India Ultra Short Bond Fund - Retail Plan - Weekly - IDCW</v>
          </cell>
          <cell r="E3998">
            <v>12.516299999999999</v>
          </cell>
        </row>
        <row r="3999">
          <cell r="B3999" t="str">
            <v>INF090I01CN4</v>
          </cell>
          <cell r="C3999" t="str">
            <v>-</v>
          </cell>
          <cell r="D3999" t="str">
            <v>Franklin India Ultra Short Bond Fund - Super Institutional - Growth</v>
          </cell>
          <cell r="E3999">
            <v>34.9131</v>
          </cell>
        </row>
        <row r="4000">
          <cell r="B4000" t="str">
            <v>-</v>
          </cell>
          <cell r="C4000" t="str">
            <v>INF090I01CL8</v>
          </cell>
          <cell r="D4000" t="str">
            <v>Franklin India Ultra Short Bond Fund - Super Institutional Plan - Daily - IDCW</v>
          </cell>
          <cell r="E4000">
            <v>12.4788</v>
          </cell>
        </row>
        <row r="4001">
          <cell r="B4001" t="str">
            <v>INF090I01JA6</v>
          </cell>
          <cell r="C4001" t="str">
            <v>-</v>
          </cell>
          <cell r="D4001" t="str">
            <v>Franklin India Ultra Short Bond Fund - Super Institutional Plan - Direct - Growth</v>
          </cell>
          <cell r="E4001">
            <v>34.235500000000002</v>
          </cell>
        </row>
        <row r="4002">
          <cell r="B4002" t="str">
            <v>INF090I01CM6</v>
          </cell>
          <cell r="C4002" t="str">
            <v>-</v>
          </cell>
          <cell r="D4002" t="str">
            <v>Franklin India Ultra Short Bond Fund - Super Institutional Plan - Weekly - IDCW</v>
          </cell>
          <cell r="E4002">
            <v>12.511100000000001</v>
          </cell>
        </row>
        <row r="4003">
          <cell r="B4003" t="str">
            <v>INF090I01JB4</v>
          </cell>
          <cell r="C4003" t="str">
            <v>-</v>
          </cell>
          <cell r="D4003" t="str">
            <v>Franklin India Ultra Short Bond Fund Super Institutional Plan - Direct - Daily - IDCW</v>
          </cell>
          <cell r="E4003">
            <v>12.151199999999999</v>
          </cell>
        </row>
        <row r="4004">
          <cell r="B4004" t="str">
            <v>INF090I01JC2</v>
          </cell>
          <cell r="C4004" t="str">
            <v>-</v>
          </cell>
          <cell r="D4004" t="str">
            <v>Franklin India Ultra Short Bond Fund Super Institutional Plan - Direct - Weekly - IDCW</v>
          </cell>
          <cell r="E4004">
            <v>12.196</v>
          </cell>
        </row>
        <row r="4005">
          <cell r="B4005" t="str">
            <v>INF090I01VF0</v>
          </cell>
          <cell r="C4005" t="str">
            <v>-</v>
          </cell>
          <cell r="D4005" t="str">
            <v>Franklin India Ultra Short Bond Fund- Institutional Plan-Segregated Portfolio 1- 8.25% Vodafone Idea Ltd-10JUL20-Daily Dividend Option</v>
          </cell>
          <cell r="E4005">
            <v>0</v>
          </cell>
        </row>
        <row r="4006">
          <cell r="B4006" t="str">
            <v>INF090I01VE3</v>
          </cell>
          <cell r="C4006" t="str">
            <v>-</v>
          </cell>
          <cell r="D4006" t="str">
            <v>Franklin India Ultra Short Bond Fund- Institutional Plan-Segregated Portfolio 1- 8.25% Vodafone Idea Ltd-10JUL20-Growth Option</v>
          </cell>
          <cell r="E4006">
            <v>0</v>
          </cell>
        </row>
        <row r="4007">
          <cell r="B4007" t="str">
            <v>INF090I01VD5</v>
          </cell>
          <cell r="C4007" t="str">
            <v>-</v>
          </cell>
          <cell r="D4007" t="str">
            <v>Franklin India Ultra Short Bond Fund- Retail Plan-Segregated Portfolio 1- 8.25% Vodafone Idea Ltd-10JUL20-Daily Dividend Option</v>
          </cell>
          <cell r="E4007">
            <v>0</v>
          </cell>
        </row>
        <row r="4008">
          <cell r="B4008" t="str">
            <v>INF090I01VC7</v>
          </cell>
          <cell r="C4008" t="str">
            <v>-</v>
          </cell>
          <cell r="D4008" t="str">
            <v>Franklin India Ultra Short Bond Fund- Retail Plan-Segregated Portfolio 1- 8.25% Vodafone Idea Ltd-10JUL20-Growth Option</v>
          </cell>
          <cell r="E4008">
            <v>0</v>
          </cell>
        </row>
        <row r="4009">
          <cell r="B4009" t="str">
            <v>INF090I01VI4</v>
          </cell>
          <cell r="C4009" t="str">
            <v>-</v>
          </cell>
          <cell r="D4009" t="str">
            <v>Franklin India Ultra Short Bond Fund- Retail Plan-Segregated Portfolio 1- 8.25% Vodafone Idea Ltd-10JUL20-Weekly Dividend Option</v>
          </cell>
          <cell r="E4009">
            <v>0</v>
          </cell>
        </row>
        <row r="4010">
          <cell r="B4010" t="str">
            <v>INF090I01VH6</v>
          </cell>
          <cell r="C4010" t="str">
            <v>-</v>
          </cell>
          <cell r="D4010" t="str">
            <v>Franklin India Ultra Short Bond Fund- Super Institutional Plan-Segregated Portfolio 1- 8.25% Vodafone Idea Ltd-10JUL20-Daily Dividend Option</v>
          </cell>
          <cell r="E4010">
            <v>0</v>
          </cell>
        </row>
        <row r="4011">
          <cell r="B4011" t="str">
            <v>INF090I01VL8</v>
          </cell>
          <cell r="C4011" t="str">
            <v>-</v>
          </cell>
          <cell r="D4011" t="str">
            <v>Franklin India Ultra Short Bond Fund- Super Institutional Plan-Segregated Portfolio 1- 8.25% Vodafone Idea Ltd-10JUL20-Direct Daily Dividend Option</v>
          </cell>
          <cell r="E4011">
            <v>0</v>
          </cell>
        </row>
        <row r="4012">
          <cell r="B4012" t="str">
            <v>INF090I01VK0</v>
          </cell>
          <cell r="C4012" t="str">
            <v>-</v>
          </cell>
          <cell r="D4012" t="str">
            <v>Franklin India Ultra Short Bond Fund- Super Institutional Plan-Segregated Portfolio 1- 8.25% Vodafone Idea Ltd-10JUL20-Direct-Growth Option</v>
          </cell>
          <cell r="E4012">
            <v>0</v>
          </cell>
        </row>
        <row r="4013">
          <cell r="B4013" t="str">
            <v>INF090I01VM6</v>
          </cell>
          <cell r="C4013" t="str">
            <v>-</v>
          </cell>
          <cell r="D4013" t="str">
            <v>Franklin India Ultra Short Bond Fund- Super Institutional Plan-Segregated Portfolio 1- 8.25% Vodafone Idea Ltd-10JUL20-Direct-Weekly Dividend Option</v>
          </cell>
          <cell r="E4013">
            <v>0</v>
          </cell>
        </row>
        <row r="4014">
          <cell r="B4014" t="str">
            <v>INF090I01VG8</v>
          </cell>
          <cell r="C4014" t="str">
            <v>-</v>
          </cell>
          <cell r="D4014" t="str">
            <v>Franklin India Ultra Short Bond Fund- Super Institutional Plan-Segregated Portfolio 1- 8.25% Vodafone Idea Ltd-10JUL20-Growth Option</v>
          </cell>
          <cell r="E4014">
            <v>0</v>
          </cell>
        </row>
        <row r="4015">
          <cell r="B4015" t="str">
            <v>INF090I01VJ2</v>
          </cell>
          <cell r="C4015" t="str">
            <v>-</v>
          </cell>
          <cell r="D4015" t="str">
            <v>Franklin India Ultra Short Bond Fund- Super Institutional Plan-Segregated Portfolio 1- 8.25% Vodafone Idea Ltd-10JUL20-Weekly Dividend Option</v>
          </cell>
          <cell r="E4015">
            <v>0</v>
          </cell>
        </row>
        <row r="4016">
          <cell r="B4016" t="str">
            <v>INF090I01XL4</v>
          </cell>
          <cell r="C4016" t="str">
            <v>-</v>
          </cell>
          <cell r="D4016" t="str">
            <v>Franklin India Ultra Short Duration Fund - Direct - Growth</v>
          </cell>
          <cell r="E4016">
            <v>11.414199999999999</v>
          </cell>
        </row>
        <row r="4017">
          <cell r="B4017" t="str">
            <v>INF090I01XM2</v>
          </cell>
          <cell r="C4017" t="str">
            <v>INF090I01XN0</v>
          </cell>
          <cell r="D4017" t="str">
            <v>Franklin India Ultra Short Duration Fund - Direct - IDCW</v>
          </cell>
          <cell r="E4017">
            <v>10.745200000000001</v>
          </cell>
        </row>
        <row r="4018">
          <cell r="B4018" t="str">
            <v>INF090I01XJ8</v>
          </cell>
          <cell r="C4018" t="str">
            <v>-</v>
          </cell>
          <cell r="D4018" t="str">
            <v>Franklin India Ultra Short Duration Fund - Growth</v>
          </cell>
          <cell r="E4018">
            <v>11.317299999999999</v>
          </cell>
        </row>
        <row r="4019">
          <cell r="B4019" t="str">
            <v>INF090I01XK6</v>
          </cell>
          <cell r="C4019" t="str">
            <v>INF090I01XO8</v>
          </cell>
          <cell r="D4019" t="str">
            <v>Franklin India Ultra Short Duration Fund - IDCW</v>
          </cell>
          <cell r="E4019">
            <v>10.6706</v>
          </cell>
        </row>
        <row r="4020">
          <cell r="B4020" t="str">
            <v/>
          </cell>
          <cell r="C4020" t="str">
            <v/>
          </cell>
          <cell r="D4020" t="str">
            <v/>
          </cell>
        </row>
        <row r="4021">
          <cell r="B4021" t="str">
            <v/>
          </cell>
          <cell r="C4021" t="str">
            <v/>
          </cell>
          <cell r="D4021" t="str">
            <v/>
          </cell>
        </row>
        <row r="4022">
          <cell r="B4022" t="str">
            <v/>
          </cell>
          <cell r="C4022" t="str">
            <v/>
          </cell>
          <cell r="D4022" t="str">
            <v/>
          </cell>
        </row>
        <row r="4023">
          <cell r="B4023" t="str">
            <v>-</v>
          </cell>
          <cell r="C4023" t="str">
            <v>INF179KB12R1</v>
          </cell>
          <cell r="D4023" t="str">
            <v>HDFC Ultra Short Term Fund - Daily IDCW Option</v>
          </cell>
          <cell r="E4023">
            <v>10.103</v>
          </cell>
        </row>
        <row r="4024">
          <cell r="B4024" t="str">
            <v>-</v>
          </cell>
          <cell r="C4024" t="str">
            <v>INF179KB16Q4</v>
          </cell>
          <cell r="D4024" t="str">
            <v>HDFC Ultra Short Term Fund - Direct Plan-Daily IDCW Option</v>
          </cell>
          <cell r="E4024">
            <v>10.092000000000001</v>
          </cell>
        </row>
        <row r="4025">
          <cell r="B4025" t="str">
            <v>INF179KB15Q6</v>
          </cell>
          <cell r="C4025" t="str">
            <v>-</v>
          </cell>
          <cell r="D4025" t="str">
            <v>HDFC Ultra Short Term Fund - Direct Plan-Growth Option</v>
          </cell>
          <cell r="E4025">
            <v>16.534400000000002</v>
          </cell>
        </row>
        <row r="4026">
          <cell r="B4026" t="str">
            <v>INF179KB10R5</v>
          </cell>
          <cell r="C4026" t="str">
            <v>INF179KB19Q8</v>
          </cell>
          <cell r="D4026" t="str">
            <v>HDFC Ultra Short Term Fund - Direct Plan-Monthly IDCW Option</v>
          </cell>
          <cell r="E4026">
            <v>10.087999999999999</v>
          </cell>
        </row>
        <row r="4027">
          <cell r="B4027" t="str">
            <v>INF179KB18Q0</v>
          </cell>
          <cell r="C4027" t="str">
            <v>INF179KB17Q2</v>
          </cell>
          <cell r="D4027" t="str">
            <v>HDFC Ultra Short Term Fund - Direct Plan-Weekly IDCW Option</v>
          </cell>
          <cell r="E4027">
            <v>10.0547</v>
          </cell>
        </row>
        <row r="4028">
          <cell r="B4028" t="str">
            <v>INF179KB11R3</v>
          </cell>
          <cell r="C4028" t="str">
            <v>-</v>
          </cell>
          <cell r="D4028" t="str">
            <v>HDFC Ultra Short Term Fund - Growth Option</v>
          </cell>
          <cell r="E4028">
            <v>16.1266</v>
          </cell>
        </row>
        <row r="4029">
          <cell r="B4029" t="str">
            <v>INF179KB16R2</v>
          </cell>
          <cell r="C4029" t="str">
            <v>INF179KB15R4</v>
          </cell>
          <cell r="D4029" t="str">
            <v>HDFC Ultra Short Term Fund - Monthly IDCW Option</v>
          </cell>
          <cell r="E4029">
            <v>10.1861</v>
          </cell>
        </row>
        <row r="4030">
          <cell r="B4030" t="str">
            <v>INF179KB14R7</v>
          </cell>
          <cell r="C4030" t="str">
            <v>INF179KB13R9</v>
          </cell>
          <cell r="D4030" t="str">
            <v>HDFC Ultra Short Term Fund - Weekly IDCW Option</v>
          </cell>
          <cell r="E4030">
            <v>10.054600000000001</v>
          </cell>
        </row>
        <row r="4031">
          <cell r="B4031" t="str">
            <v/>
          </cell>
          <cell r="C4031" t="str">
            <v/>
          </cell>
          <cell r="D4031" t="str">
            <v/>
          </cell>
        </row>
        <row r="4032">
          <cell r="B4032" t="str">
            <v/>
          </cell>
          <cell r="C4032" t="str">
            <v/>
          </cell>
          <cell r="D4032" t="str">
            <v/>
          </cell>
        </row>
        <row r="4033">
          <cell r="B4033" t="str">
            <v/>
          </cell>
          <cell r="C4033" t="str">
            <v/>
          </cell>
          <cell r="D4033" t="str">
            <v/>
          </cell>
        </row>
        <row r="4034">
          <cell r="B4034" t="str">
            <v>-</v>
          </cell>
          <cell r="C4034" t="str">
            <v>INF336L01OS9</v>
          </cell>
          <cell r="D4034" t="str">
            <v>HSBC Ultra Short Duration Fund - Direct Daily IDCW</v>
          </cell>
          <cell r="E4034">
            <v>1079.9409000000001</v>
          </cell>
        </row>
        <row r="4035">
          <cell r="B4035" t="str">
            <v>INF336L01OR1</v>
          </cell>
          <cell r="C4035" t="str">
            <v>-</v>
          </cell>
          <cell r="D4035" t="str">
            <v>HSBC Ultra Short Duration Fund - Direct Growth</v>
          </cell>
          <cell r="E4035">
            <v>1467.2972</v>
          </cell>
        </row>
        <row r="4036">
          <cell r="B4036" t="str">
            <v>INF336L01OV3</v>
          </cell>
          <cell r="C4036" t="str">
            <v>INF336L01OU5</v>
          </cell>
          <cell r="D4036" t="str">
            <v>HSBC Ultra Short Duration Fund - Direct Monthly IDCW</v>
          </cell>
          <cell r="E4036">
            <v>1016.0329</v>
          </cell>
        </row>
        <row r="4037">
          <cell r="B4037" t="str">
            <v>-</v>
          </cell>
          <cell r="C4037" t="str">
            <v>INF336L01OT7</v>
          </cell>
          <cell r="D4037" t="str">
            <v>HSBC Ultra Short Duration Fund - Direct Weekly IDCW</v>
          </cell>
          <cell r="E4037">
            <v>1007.3287</v>
          </cell>
        </row>
        <row r="4038">
          <cell r="B4038" t="str">
            <v>-</v>
          </cell>
          <cell r="C4038" t="str">
            <v>INF336L01OX9</v>
          </cell>
          <cell r="D4038" t="str">
            <v>HSBC Ultra Short Duration Fund - Regular Daily IDCW</v>
          </cell>
          <cell r="E4038">
            <v>1031.7277999999999</v>
          </cell>
        </row>
        <row r="4039">
          <cell r="B4039" t="str">
            <v>INF336L01OW1</v>
          </cell>
          <cell r="C4039" t="str">
            <v>-</v>
          </cell>
          <cell r="D4039" t="str">
            <v>HSBC Ultra Short Duration Fund - Regular Growth</v>
          </cell>
          <cell r="E4039">
            <v>1445.0117</v>
          </cell>
        </row>
        <row r="4040">
          <cell r="B4040" t="str">
            <v>INF336L01PA4</v>
          </cell>
          <cell r="C4040" t="str">
            <v>INF336L01OZ4</v>
          </cell>
          <cell r="D4040" t="str">
            <v>HSBC Ultra Short Duration Fund - Regular Monthly IDCW</v>
          </cell>
          <cell r="E4040">
            <v>1031.5524</v>
          </cell>
        </row>
        <row r="4041">
          <cell r="B4041" t="str">
            <v>-</v>
          </cell>
          <cell r="C4041" t="str">
            <v>INF336L01OY7</v>
          </cell>
          <cell r="D4041" t="str">
            <v>HSBC Ultra Short Duration Fund - Regular Weekly IDCW</v>
          </cell>
          <cell r="E4041">
            <v>1041.4241999999999</v>
          </cell>
        </row>
        <row r="4042">
          <cell r="B4042" t="str">
            <v/>
          </cell>
          <cell r="C4042" t="str">
            <v/>
          </cell>
          <cell r="D4042" t="str">
            <v/>
          </cell>
        </row>
        <row r="4043">
          <cell r="B4043" t="str">
            <v/>
          </cell>
          <cell r="C4043" t="str">
            <v/>
          </cell>
          <cell r="D4043" t="str">
            <v/>
          </cell>
        </row>
        <row r="4044">
          <cell r="B4044" t="str">
            <v/>
          </cell>
          <cell r="C4044" t="str">
            <v/>
          </cell>
          <cell r="D4044" t="str">
            <v/>
          </cell>
        </row>
        <row r="4045">
          <cell r="B4045" t="str">
            <v>-</v>
          </cell>
          <cell r="C4045" t="str">
            <v>INF109KC1ND7</v>
          </cell>
          <cell r="D4045" t="str">
            <v>ICICI Prudential Ultra Short Term Fund - Daily IDCW</v>
          </cell>
          <cell r="E4045">
            <v>10.071300000000001</v>
          </cell>
        </row>
        <row r="4046">
          <cell r="B4046" t="str">
            <v>INF109K01T04</v>
          </cell>
          <cell r="C4046" t="str">
            <v>-</v>
          </cell>
          <cell r="D4046" t="str">
            <v>ICICI Prudential Ultra Short Term Fund - Direct Plan -  Growth</v>
          </cell>
          <cell r="E4046">
            <v>32.0959</v>
          </cell>
        </row>
        <row r="4047">
          <cell r="B4047" t="str">
            <v>INF109K01T12</v>
          </cell>
          <cell r="C4047" t="str">
            <v>INF109K01T20</v>
          </cell>
          <cell r="D4047" t="str">
            <v>ICICI Prudential Ultra Short Term Fund - Direct Plan -  Half Yearly IDCW</v>
          </cell>
          <cell r="E4047">
            <v>10.754200000000001</v>
          </cell>
        </row>
        <row r="4048">
          <cell r="B4048" t="str">
            <v>INF109K01T38</v>
          </cell>
          <cell r="C4048" t="str">
            <v>INF109K01T46</v>
          </cell>
          <cell r="D4048" t="str">
            <v>ICICI Prudential Ultra Short Term Fund - Direct Plan -  Monthly IDCW</v>
          </cell>
          <cell r="E4048">
            <v>10.8132</v>
          </cell>
        </row>
        <row r="4049">
          <cell r="B4049" t="str">
            <v>INF109K01T53</v>
          </cell>
          <cell r="C4049" t="str">
            <v>INF109K01T61</v>
          </cell>
          <cell r="D4049" t="str">
            <v>ICICI Prudential Ultra Short Term Fund - Direct Plan -  Quarterly IDCW</v>
          </cell>
          <cell r="E4049">
            <v>11.243</v>
          </cell>
        </row>
        <row r="4050">
          <cell r="B4050" t="str">
            <v>-</v>
          </cell>
          <cell r="C4050" t="str">
            <v>INF109KC1MY5</v>
          </cell>
          <cell r="D4050" t="str">
            <v>ICICI Prudential Ultra Short Term Fund - Direct Plan - Daily IDCW</v>
          </cell>
          <cell r="E4050">
            <v>10.0047</v>
          </cell>
        </row>
        <row r="4051">
          <cell r="B4051" t="str">
            <v>INF109KC1NB1</v>
          </cell>
          <cell r="C4051" t="str">
            <v>INF109KC1NC9</v>
          </cell>
          <cell r="D4051" t="str">
            <v>ICICI Prudential Ultra Short Term Fund - Direct Plan - Fortnightly IDCW</v>
          </cell>
          <cell r="E4051">
            <v>10.087899999999999</v>
          </cell>
        </row>
        <row r="4052">
          <cell r="B4052" t="str">
            <v>INF109KC1NA3</v>
          </cell>
          <cell r="C4052" t="str">
            <v>INF109KC1MZ2</v>
          </cell>
          <cell r="D4052" t="str">
            <v>ICICI Prudential Ultra Short Term Fund - Direct Plan - Weekly IDCW</v>
          </cell>
          <cell r="E4052">
            <v>10.0886</v>
          </cell>
        </row>
        <row r="4053">
          <cell r="B4053" t="str">
            <v>INF109KA1H69</v>
          </cell>
          <cell r="C4053" t="str">
            <v>-</v>
          </cell>
          <cell r="D4053" t="str">
            <v>ICICI Prudential Ultra Short Term Fund - Direct Plan Bonus</v>
          </cell>
          <cell r="E4053">
            <v>16.099599999999999</v>
          </cell>
        </row>
        <row r="4054">
          <cell r="B4054" t="str">
            <v>INF109KC1NH8</v>
          </cell>
          <cell r="C4054" t="str">
            <v>INF109KC1NG0</v>
          </cell>
          <cell r="D4054" t="str">
            <v>ICICI Prudential Ultra Short Term Fund - Fortnightly IDCW</v>
          </cell>
          <cell r="E4054">
            <v>10.0649</v>
          </cell>
        </row>
        <row r="4055">
          <cell r="B4055" t="str">
            <v>INF109K01TP7</v>
          </cell>
          <cell r="C4055" t="str">
            <v>-</v>
          </cell>
          <cell r="D4055" t="str">
            <v>ICICI Prudential Ultra Short Term Fund - Growth</v>
          </cell>
          <cell r="E4055">
            <v>29.556899999999999</v>
          </cell>
        </row>
        <row r="4056">
          <cell r="B4056" t="str">
            <v>INF109K01TV5</v>
          </cell>
          <cell r="C4056" t="str">
            <v>INF109K01TU7</v>
          </cell>
          <cell r="D4056" t="str">
            <v>ICICI Prudential Ultra Short Term Fund - Half Yearly IDCW</v>
          </cell>
          <cell r="E4056">
            <v>10.6114</v>
          </cell>
        </row>
        <row r="4057">
          <cell r="B4057" t="str">
            <v>INF109K01TR3</v>
          </cell>
          <cell r="C4057" t="str">
            <v>INF109K01TQ5</v>
          </cell>
          <cell r="D4057" t="str">
            <v>ICICI Prudential Ultra Short Term Fund - Monthly IDCW</v>
          </cell>
          <cell r="E4057">
            <v>10.681100000000001</v>
          </cell>
        </row>
        <row r="4058">
          <cell r="B4058" t="str">
            <v>INF109K01TT9</v>
          </cell>
          <cell r="C4058" t="str">
            <v>INF109K01TS1</v>
          </cell>
          <cell r="D4058" t="str">
            <v>ICICI Prudential Ultra Short Term Fund - Quarterly IDCW</v>
          </cell>
          <cell r="E4058">
            <v>11.0291</v>
          </cell>
        </row>
        <row r="4059">
          <cell r="B4059" t="str">
            <v>INF109KC1NF2</v>
          </cell>
          <cell r="C4059" t="str">
            <v>INF109KC1NE5</v>
          </cell>
          <cell r="D4059" t="str">
            <v>ICICI Prudential Ultra Short Term Fund - Weekly IDCW</v>
          </cell>
          <cell r="E4059">
            <v>10.0725</v>
          </cell>
        </row>
        <row r="4060">
          <cell r="B4060" t="str">
            <v/>
          </cell>
          <cell r="C4060" t="str">
            <v/>
          </cell>
          <cell r="D4060" t="str">
            <v/>
          </cell>
        </row>
        <row r="4061">
          <cell r="B4061" t="str">
            <v/>
          </cell>
          <cell r="C4061" t="str">
            <v/>
          </cell>
          <cell r="D4061" t="str">
            <v/>
          </cell>
        </row>
        <row r="4062">
          <cell r="B4062" t="str">
            <v/>
          </cell>
          <cell r="C4062" t="str">
            <v/>
          </cell>
          <cell r="D4062" t="str">
            <v/>
          </cell>
        </row>
        <row r="4063">
          <cell r="B4063" t="str">
            <v>INF205K01TF4</v>
          </cell>
          <cell r="C4063" t="str">
            <v>INF205K01TG2</v>
          </cell>
          <cell r="D4063" t="str">
            <v>Invesco India Ultra Short Duration Fund - Direct Plan - Annual IDCW (Payout / Reinvestment)</v>
          </cell>
          <cell r="E4063">
            <v>2194.7184000000002</v>
          </cell>
        </row>
        <row r="4064">
          <cell r="B4064" t="str">
            <v>-</v>
          </cell>
          <cell r="C4064" t="str">
            <v>INF205K019H5</v>
          </cell>
          <cell r="D4064" t="str">
            <v>Invesco India Ultra Short Duration Fund - Direct Plan - Daily IDCW (Reinvestment)</v>
          </cell>
          <cell r="E4064">
            <v>1562.3050000000001</v>
          </cell>
        </row>
        <row r="4065">
          <cell r="B4065" t="str">
            <v>INF205K01TH0</v>
          </cell>
          <cell r="C4065" t="str">
            <v>-</v>
          </cell>
          <cell r="D4065" t="str">
            <v>Invesco India Ultra Short Duration Fund - Direct Plan - Growth</v>
          </cell>
          <cell r="E4065">
            <v>3082.1642000000002</v>
          </cell>
        </row>
        <row r="4066">
          <cell r="B4066" t="str">
            <v>INF205K01TI8</v>
          </cell>
          <cell r="C4066" t="str">
            <v>INF205K01TJ6</v>
          </cell>
          <cell r="D4066" t="str">
            <v>Invesco India Ultra Short Duration Fund - Direct Plan - Monthly IDCW (Payout / Reinvestment)</v>
          </cell>
          <cell r="E4066">
            <v>2088.5286999999998</v>
          </cell>
        </row>
        <row r="4067">
          <cell r="B4067" t="str">
            <v>INF205K01TK4</v>
          </cell>
          <cell r="C4067" t="str">
            <v>INF205K01TL2</v>
          </cell>
          <cell r="D4067" t="str">
            <v>Invesco India Ultra Short Duration Fund - Direct Plan - Quarterly IDCW (Payout / Reinvestment)</v>
          </cell>
          <cell r="E4067">
            <v>1035.0945999999999</v>
          </cell>
        </row>
        <row r="4068">
          <cell r="B4068" t="str">
            <v>INF205K01TD9</v>
          </cell>
          <cell r="C4068" t="str">
            <v>INF205K01TE7</v>
          </cell>
          <cell r="D4068" t="str">
            <v>Invesco India Ultra Short Duration Fund - Regular Plan - Annual IDCW (Payout / Reinvestment)</v>
          </cell>
          <cell r="E4068">
            <v>1147.9190000000001</v>
          </cell>
        </row>
        <row r="4069">
          <cell r="B4069" t="str">
            <v>-</v>
          </cell>
          <cell r="C4069" t="str">
            <v>INF205K018H7</v>
          </cell>
          <cell r="D4069" t="str">
            <v>Invesco India Ultra Short Duration Fund - Regular Plan - Daily IDCW (Reinvestment)</v>
          </cell>
          <cell r="E4069">
            <v>1459.3342</v>
          </cell>
        </row>
        <row r="4070">
          <cell r="B4070" t="str">
            <v>INF205K01TM0</v>
          </cell>
          <cell r="C4070" t="str">
            <v>-</v>
          </cell>
          <cell r="D4070" t="str">
            <v>Invesco India Ultra Short Duration Fund - Regular Plan - Growth</v>
          </cell>
          <cell r="E4070">
            <v>2872.0567000000001</v>
          </cell>
        </row>
        <row r="4071">
          <cell r="B4071" t="str">
            <v>INF205K01TN8</v>
          </cell>
          <cell r="C4071" t="str">
            <v>INF205K01TO6</v>
          </cell>
          <cell r="D4071" t="str">
            <v>Invesco India Ultra Short Duration Fund - Regular Plan - Monthly IDCW (Payout / Reinvestment)</v>
          </cell>
          <cell r="E4071">
            <v>1014.2192</v>
          </cell>
        </row>
        <row r="4072">
          <cell r="B4072" t="str">
            <v>INF205K01TP3</v>
          </cell>
          <cell r="C4072" t="str">
            <v>INF205K01TQ1</v>
          </cell>
          <cell r="D4072" t="str">
            <v>Invesco India Ultra Short Duration Fund - Regular Plan - Quarterly IDCW (Payout / Reinvestment)</v>
          </cell>
          <cell r="E4072">
            <v>1114.8925999999999</v>
          </cell>
        </row>
        <row r="4073">
          <cell r="B4073" t="str">
            <v>INF205KA1BQ9</v>
          </cell>
          <cell r="C4073" t="str">
            <v>INF205KA1BR7</v>
          </cell>
          <cell r="D4073" t="str">
            <v>Invesco India Ultra Short Duration Fund - Regular Plan - Weekly IDCW (Payout / Reinvestment)</v>
          </cell>
          <cell r="E4073">
            <v>1146.1378</v>
          </cell>
        </row>
        <row r="4074">
          <cell r="B4074" t="str">
            <v/>
          </cell>
          <cell r="C4074" t="str">
            <v/>
          </cell>
          <cell r="D4074" t="str">
            <v/>
          </cell>
        </row>
        <row r="4075">
          <cell r="B4075" t="str">
            <v/>
          </cell>
          <cell r="C4075" t="str">
            <v/>
          </cell>
          <cell r="D4075" t="str">
            <v/>
          </cell>
        </row>
        <row r="4076">
          <cell r="B4076" t="str">
            <v/>
          </cell>
          <cell r="C4076" t="str">
            <v/>
          </cell>
          <cell r="D4076" t="str">
            <v/>
          </cell>
        </row>
        <row r="4077">
          <cell r="B4077" t="str">
            <v>INF192K01FD8</v>
          </cell>
          <cell r="C4077" t="str">
            <v>-</v>
          </cell>
          <cell r="D4077" t="str">
            <v>JM Ultra Short Duration Fund (Direct) - Bonus Option - Principal Units</v>
          </cell>
          <cell r="E4077">
            <v>27.843699999999998</v>
          </cell>
        </row>
        <row r="4078">
          <cell r="B4078" t="str">
            <v>-</v>
          </cell>
          <cell r="C4078" t="str">
            <v>INF192K01DN2</v>
          </cell>
          <cell r="D4078" t="str">
            <v>JM Ultra Short Duration Fund (Direct) - Fortnightly Dividend Option</v>
          </cell>
          <cell r="E4078">
            <v>10.516500000000001</v>
          </cell>
        </row>
        <row r="4079">
          <cell r="B4079" t="str">
            <v>INF192K01DO0</v>
          </cell>
          <cell r="C4079" t="str">
            <v>-</v>
          </cell>
          <cell r="D4079" t="str">
            <v>JM Ultra Short Duration Fund - (Direct) - Growth Option</v>
          </cell>
          <cell r="E4079">
            <v>27.593800000000002</v>
          </cell>
        </row>
        <row r="4080">
          <cell r="B4080" t="str">
            <v>-</v>
          </cell>
          <cell r="C4080" t="str">
            <v>INF192K01DL6</v>
          </cell>
          <cell r="D4080" t="str">
            <v>JM Ultra Short Duration Fund - (Direct) -Daily Dividend Option</v>
          </cell>
          <cell r="E4080">
            <v>10.3437</v>
          </cell>
        </row>
        <row r="4081">
          <cell r="B4081" t="str">
            <v>-</v>
          </cell>
          <cell r="C4081" t="str">
            <v>INF192K01DM4</v>
          </cell>
          <cell r="D4081" t="str">
            <v>JM Ultra Short Duration Fund - (Direct) -Weekly Dividend Option</v>
          </cell>
          <cell r="E4081">
            <v>10.8856</v>
          </cell>
        </row>
        <row r="4082">
          <cell r="B4082" t="str">
            <v>INF192K01FB2</v>
          </cell>
          <cell r="C4082" t="str">
            <v>-</v>
          </cell>
          <cell r="D4082" t="str">
            <v>JM Ultra Short Duration Fund - Bonus Option - Principal Units</v>
          </cell>
          <cell r="E4082">
            <v>26.95</v>
          </cell>
        </row>
        <row r="4083">
          <cell r="B4083" t="str">
            <v>-</v>
          </cell>
          <cell r="C4083" t="str">
            <v>INF192K01AN8</v>
          </cell>
          <cell r="D4083" t="str">
            <v>JM Ultra Short Duration Fund - Daily Dividend</v>
          </cell>
          <cell r="E4083">
            <v>10.2477</v>
          </cell>
        </row>
        <row r="4084">
          <cell r="B4084" t="str">
            <v>-</v>
          </cell>
          <cell r="C4084" t="str">
            <v>INF192K01AP3</v>
          </cell>
          <cell r="D4084" t="str">
            <v>JM Ultra Short Duration Fund - Fortnightly Dividend</v>
          </cell>
          <cell r="E4084">
            <v>10.4216</v>
          </cell>
        </row>
        <row r="4085">
          <cell r="B4085" t="str">
            <v>INF192K01AQ1</v>
          </cell>
          <cell r="C4085" t="str">
            <v>-</v>
          </cell>
          <cell r="D4085" t="str">
            <v>JM Ultra Short Duration Fund - Growth option</v>
          </cell>
          <cell r="E4085">
            <v>26.7195</v>
          </cell>
        </row>
        <row r="4086">
          <cell r="B4086" t="str">
            <v>-</v>
          </cell>
          <cell r="C4086" t="str">
            <v>INF192K01AO6</v>
          </cell>
          <cell r="D4086" t="str">
            <v>JM Ultra Short Duration Fund - Weekly Dividend</v>
          </cell>
          <cell r="E4086">
            <v>10.8027</v>
          </cell>
        </row>
        <row r="4087">
          <cell r="B4087" t="str">
            <v/>
          </cell>
          <cell r="C4087" t="str">
            <v/>
          </cell>
          <cell r="D4087" t="str">
            <v/>
          </cell>
        </row>
        <row r="4088">
          <cell r="B4088" t="str">
            <v/>
          </cell>
          <cell r="C4088" t="str">
            <v/>
          </cell>
          <cell r="D4088" t="str">
            <v/>
          </cell>
        </row>
        <row r="4089">
          <cell r="B4089" t="str">
            <v/>
          </cell>
          <cell r="C4089" t="str">
            <v/>
          </cell>
          <cell r="D4089" t="str">
            <v/>
          </cell>
        </row>
        <row r="4090">
          <cell r="B4090" t="str">
            <v>INF174K01FE4</v>
          </cell>
          <cell r="C4090" t="str">
            <v>-</v>
          </cell>
          <cell r="D4090" t="str">
            <v>Kotak Treasury Advantage Fund -Daily Reinvestment of Income Distribution cum capital withdrawal option</v>
          </cell>
          <cell r="E4090">
            <v>10.079800000000001</v>
          </cell>
        </row>
        <row r="4091">
          <cell r="B4091" t="str">
            <v>INF174K01JT4</v>
          </cell>
          <cell r="C4091" t="str">
            <v>-</v>
          </cell>
          <cell r="D4091" t="str">
            <v>Kotak Treasury Advantage Fund -Daily Reinvestment of Income Distribution cum capital withdrawal option - Direct</v>
          </cell>
          <cell r="E4091">
            <v>10.8186</v>
          </cell>
        </row>
        <row r="4092">
          <cell r="B4092" t="str">
            <v/>
          </cell>
          <cell r="C4092" t="str">
            <v/>
          </cell>
          <cell r="D4092" t="str">
            <v/>
          </cell>
        </row>
        <row r="4093">
          <cell r="B4093" t="str">
            <v/>
          </cell>
          <cell r="C4093" t="str">
            <v/>
          </cell>
          <cell r="D4093" t="str">
            <v/>
          </cell>
        </row>
        <row r="4094">
          <cell r="B4094" t="str">
            <v/>
          </cell>
          <cell r="C4094" t="str">
            <v/>
          </cell>
          <cell r="D4094" t="str">
            <v/>
          </cell>
        </row>
        <row r="4095">
          <cell r="B4095" t="str">
            <v>-</v>
          </cell>
          <cell r="C4095" t="str">
            <v>INF767K01QP8</v>
          </cell>
          <cell r="D4095" t="str">
            <v>LIC MF Ultra Short Duration Fund-Direct Plan-Daily IDCW</v>
          </cell>
          <cell r="E4095">
            <v>1102.1316999999999</v>
          </cell>
        </row>
        <row r="4096">
          <cell r="B4096" t="str">
            <v>INF767K01QU8</v>
          </cell>
          <cell r="C4096" t="str">
            <v>-</v>
          </cell>
          <cell r="D4096" t="str">
            <v>LIC MF Ultra Short Duration Fund-Direct Plan-Growth</v>
          </cell>
          <cell r="E4096">
            <v>1445.4376</v>
          </cell>
        </row>
        <row r="4097">
          <cell r="B4097" t="str">
            <v>INF767K01QT0</v>
          </cell>
          <cell r="C4097" t="str">
            <v>INF767K01QS2</v>
          </cell>
          <cell r="D4097" t="str">
            <v>LIC MF Ultra Short Duration Fund-Direct Plan-Monthly IDCW</v>
          </cell>
          <cell r="E4097">
            <v>1445.0533</v>
          </cell>
        </row>
        <row r="4098">
          <cell r="B4098" t="str">
            <v>INF767K01QR4</v>
          </cell>
          <cell r="C4098" t="str">
            <v>INF767K01QQ6</v>
          </cell>
          <cell r="D4098" t="str">
            <v>LIC MF Ultra Short Duration Fund-Direct Plan-Weekly IDCW</v>
          </cell>
          <cell r="E4098">
            <v>1101.9618</v>
          </cell>
        </row>
        <row r="4099">
          <cell r="B4099" t="str">
            <v>-</v>
          </cell>
          <cell r="C4099" t="str">
            <v>INF767K01QJ1</v>
          </cell>
          <cell r="D4099" t="str">
            <v>LIC MF Ultra Short Duration Fund-Regular Plan-Daily IDCW</v>
          </cell>
          <cell r="E4099">
            <v>1093.4115999999999</v>
          </cell>
        </row>
        <row r="4100">
          <cell r="B4100" t="str">
            <v>INF767K01QO1</v>
          </cell>
          <cell r="C4100" t="str">
            <v>-</v>
          </cell>
          <cell r="D4100" t="str">
            <v>LIC MF Ultra Short Duration Fund-Regular Plan-Growth</v>
          </cell>
          <cell r="E4100">
            <v>1402.3837000000001</v>
          </cell>
        </row>
        <row r="4101">
          <cell r="B4101" t="str">
            <v>INF767K01QN3</v>
          </cell>
          <cell r="C4101" t="str">
            <v>INF767K01QM5</v>
          </cell>
          <cell r="D4101" t="str">
            <v>LIC MF Ultra Short Duration Fund-Regular Plan-Monthly IDCW</v>
          </cell>
          <cell r="E4101">
            <v>1402.4964</v>
          </cell>
        </row>
        <row r="4102">
          <cell r="B4102" t="str">
            <v>INF767K01QL7</v>
          </cell>
          <cell r="C4102" t="str">
            <v>INF767K01QK9</v>
          </cell>
          <cell r="D4102" t="str">
            <v>LIC MF Ultra Short Duration Fund-Regular Plan-Weekly IDCW</v>
          </cell>
          <cell r="E4102">
            <v>1030.2402999999999</v>
          </cell>
        </row>
        <row r="4103">
          <cell r="B4103" t="str">
            <v/>
          </cell>
          <cell r="C4103" t="str">
            <v/>
          </cell>
          <cell r="D4103" t="str">
            <v/>
          </cell>
        </row>
        <row r="4104">
          <cell r="B4104" t="str">
            <v/>
          </cell>
          <cell r="C4104" t="str">
            <v/>
          </cell>
          <cell r="D4104" t="str">
            <v/>
          </cell>
        </row>
        <row r="4105">
          <cell r="B4105" t="str">
            <v/>
          </cell>
          <cell r="C4105" t="str">
            <v/>
          </cell>
          <cell r="D4105" t="str">
            <v/>
          </cell>
        </row>
        <row r="4106">
          <cell r="B4106" t="str">
            <v>-</v>
          </cell>
          <cell r="C4106" t="str">
            <v>INF174V01895</v>
          </cell>
          <cell r="D4106" t="str">
            <v>Mahindra Manulife Ultra Short Duration Fund - Direct Plan - Daily IDCW</v>
          </cell>
          <cell r="E4106">
            <v>1253.8818000000001</v>
          </cell>
        </row>
        <row r="4107">
          <cell r="B4107" t="str">
            <v>-</v>
          </cell>
          <cell r="C4107" t="str">
            <v>INF174V01903</v>
          </cell>
          <cell r="D4107" t="str">
            <v>Mahindra Manulife Ultra Short Duration Fund - Direct Plan - Weekly IDCW</v>
          </cell>
          <cell r="E4107">
            <v>1000.8323</v>
          </cell>
        </row>
        <row r="4108">
          <cell r="B4108" t="str">
            <v>INF174V01887</v>
          </cell>
          <cell r="C4108" t="str">
            <v>-</v>
          </cell>
          <cell r="D4108" t="str">
            <v>Mahindra Manulife Ultra Short Duration Fund - Direct Plan -Growth</v>
          </cell>
          <cell r="E4108">
            <v>1508.1763000000001</v>
          </cell>
        </row>
        <row r="4109">
          <cell r="B4109" t="str">
            <v>-</v>
          </cell>
          <cell r="C4109" t="str">
            <v>INF174V01861</v>
          </cell>
          <cell r="D4109" t="str">
            <v>Mahindra Manulife Ultra Short Duration Fund - Regular Plan - Daily IDCW</v>
          </cell>
          <cell r="E4109">
            <v>1108.3339000000001</v>
          </cell>
        </row>
        <row r="4110">
          <cell r="B4110" t="str">
            <v>INF174V01853</v>
          </cell>
          <cell r="C4110" t="str">
            <v>-</v>
          </cell>
          <cell r="D4110" t="str">
            <v>Mahindra Manulife Ultra Short Duration Fund - Regular Plan - Growth</v>
          </cell>
          <cell r="E4110">
            <v>1465.8994</v>
          </cell>
        </row>
        <row r="4111">
          <cell r="B4111" t="str">
            <v>-</v>
          </cell>
          <cell r="C4111" t="str">
            <v>INF174V01879</v>
          </cell>
          <cell r="D4111" t="str">
            <v>Mahindra Manulife Ultra Short Duration Fund - Regular Plan - Weekly IDCW</v>
          </cell>
          <cell r="E4111">
            <v>1000.8461</v>
          </cell>
        </row>
        <row r="4112">
          <cell r="B4112" t="str">
            <v/>
          </cell>
          <cell r="C4112" t="str">
            <v/>
          </cell>
          <cell r="D4112" t="str">
            <v/>
          </cell>
        </row>
        <row r="4113">
          <cell r="B4113" t="str">
            <v/>
          </cell>
          <cell r="C4113" t="str">
            <v/>
          </cell>
          <cell r="D4113" t="str">
            <v/>
          </cell>
        </row>
        <row r="4114">
          <cell r="B4114" t="str">
            <v/>
          </cell>
          <cell r="C4114" t="str">
            <v/>
          </cell>
          <cell r="D4114" t="str">
            <v/>
          </cell>
        </row>
        <row r="4115">
          <cell r="B4115" t="str">
            <v>INF769K01GK6</v>
          </cell>
          <cell r="C4115" t="str">
            <v>-</v>
          </cell>
          <cell r="D4115" t="str">
            <v>Mirae Asset Ultra Short Duration Fund Direct Growth</v>
          </cell>
          <cell r="E4115">
            <v>1416.3444</v>
          </cell>
        </row>
        <row r="4116">
          <cell r="B4116" t="str">
            <v>INF769K01GJ8</v>
          </cell>
          <cell r="C4116" t="str">
            <v>INF769K01GL4</v>
          </cell>
          <cell r="D4116" t="str">
            <v>Mirae Asset Ultra Short Duration Fund Direct IDCW</v>
          </cell>
          <cell r="E4116">
            <v>1415.8837000000001</v>
          </cell>
        </row>
        <row r="4117">
          <cell r="B4117" t="str">
            <v>INF769K01GH2</v>
          </cell>
          <cell r="C4117" t="str">
            <v>-</v>
          </cell>
          <cell r="D4117" t="str">
            <v>Mirae Asset Ultra Short Duration Fund Regular Growth</v>
          </cell>
          <cell r="E4117">
            <v>1397.4795999999999</v>
          </cell>
        </row>
        <row r="4118">
          <cell r="B4118" t="str">
            <v>INF769K01GG4</v>
          </cell>
          <cell r="C4118" t="str">
            <v>INF769K01GI0</v>
          </cell>
          <cell r="D4118" t="str">
            <v>Mirae Asset Ultra Short Duration Fund Regular IDCW</v>
          </cell>
          <cell r="E4118">
            <v>1396.9734000000001</v>
          </cell>
        </row>
        <row r="4119">
          <cell r="B4119" t="str">
            <v/>
          </cell>
          <cell r="C4119" t="str">
            <v/>
          </cell>
          <cell r="D4119" t="str">
            <v/>
          </cell>
        </row>
        <row r="4120">
          <cell r="B4120" t="str">
            <v/>
          </cell>
          <cell r="C4120" t="str">
            <v/>
          </cell>
          <cell r="D4120" t="str">
            <v/>
          </cell>
        </row>
        <row r="4121">
          <cell r="B4121" t="str">
            <v/>
          </cell>
          <cell r="C4121" t="str">
            <v/>
          </cell>
          <cell r="D4121" t="str">
            <v/>
          </cell>
        </row>
        <row r="4122">
          <cell r="B4122" t="str">
            <v>INF247L01247</v>
          </cell>
          <cell r="C4122" t="str">
            <v>-</v>
          </cell>
          <cell r="D4122" t="str">
            <v>Motilal Oswal Ultra Short Term Fund (MOFUSTF) -Direct Plan- Growth</v>
          </cell>
          <cell r="E4122">
            <v>18.575199999999999</v>
          </cell>
        </row>
        <row r="4123">
          <cell r="B4123" t="str">
            <v>INF247L01213</v>
          </cell>
          <cell r="C4123" t="str">
            <v>-</v>
          </cell>
          <cell r="D4123" t="str">
            <v>Motilal Oswal Ultra Short Term Fund (MOFUSTF)-Regular Plan- Growth</v>
          </cell>
          <cell r="E4123">
            <v>17.388500000000001</v>
          </cell>
        </row>
        <row r="4124">
          <cell r="B4124" t="str">
            <v>-</v>
          </cell>
          <cell r="C4124" t="str">
            <v>INF247L01346</v>
          </cell>
          <cell r="D4124" t="str">
            <v>Motilal Oswal Ultra Short Term Fund Direct - IDCW Daily Reinvestment</v>
          </cell>
          <cell r="E4124">
            <v>11.7326</v>
          </cell>
        </row>
        <row r="4125">
          <cell r="B4125" t="str">
            <v>-</v>
          </cell>
          <cell r="C4125" t="str">
            <v>INF247L01361</v>
          </cell>
          <cell r="D4125" t="str">
            <v>Motilal Oswal Ultra Short Term Fund Direct - IDCW Fortnightly Reinvestment</v>
          </cell>
          <cell r="E4125">
            <v>11.808999999999999</v>
          </cell>
        </row>
        <row r="4126">
          <cell r="B4126" t="str">
            <v>INF247L01403</v>
          </cell>
          <cell r="C4126" t="str">
            <v>INF247L01387</v>
          </cell>
          <cell r="D4126" t="str">
            <v>Motilal Oswal Ultra Short Term Fund Direct - IDCW Quarterly Payout/Reinvestment</v>
          </cell>
          <cell r="E4126">
            <v>12.2196</v>
          </cell>
        </row>
        <row r="4127">
          <cell r="B4127" t="str">
            <v>-</v>
          </cell>
          <cell r="C4127" t="str">
            <v>INF247L01353</v>
          </cell>
          <cell r="D4127" t="str">
            <v>Motilal Oswal Ultra Short Term Fund Direct - IDCW Weekly Reinvestment</v>
          </cell>
          <cell r="E4127">
            <v>11.7315</v>
          </cell>
        </row>
        <row r="4128">
          <cell r="B4128" t="str">
            <v>INF247L01395</v>
          </cell>
          <cell r="C4128" t="str">
            <v>INF247L01379</v>
          </cell>
          <cell r="D4128" t="str">
            <v>Motilal Oswal Ultra Short Term Fund Direct Plan - IDCW Monthly Payout/Reinvestment</v>
          </cell>
          <cell r="E4128">
            <v>11.7776</v>
          </cell>
        </row>
        <row r="4129">
          <cell r="B4129" t="str">
            <v>-</v>
          </cell>
          <cell r="C4129" t="str">
            <v>INF247L01270</v>
          </cell>
          <cell r="D4129" t="str">
            <v>Motilal Oswal Ultra Short Term Fund Regular - IDCW Daily Reinvestment</v>
          </cell>
          <cell r="E4129">
            <v>11.4495</v>
          </cell>
        </row>
        <row r="4130">
          <cell r="B4130" t="str">
            <v>-</v>
          </cell>
          <cell r="C4130" t="str">
            <v>INF247L01296</v>
          </cell>
          <cell r="D4130" t="str">
            <v>Motilal Oswal Ultra Short Term Fund Regular - IDCW Fortnightly Reinvestment</v>
          </cell>
          <cell r="E4130">
            <v>11.5101</v>
          </cell>
        </row>
        <row r="4131">
          <cell r="B4131" t="str">
            <v>INF247L01320</v>
          </cell>
          <cell r="C4131" t="str">
            <v>INF247L01304</v>
          </cell>
          <cell r="D4131" t="str">
            <v>Motilal Oswal Ultra Short Term Fund Regular - IDCW Monthly Payout/Reinvestment</v>
          </cell>
          <cell r="E4131">
            <v>11.4991</v>
          </cell>
        </row>
        <row r="4132">
          <cell r="B4132" t="str">
            <v>INF247L01338</v>
          </cell>
          <cell r="C4132" t="str">
            <v>INF247L01312</v>
          </cell>
          <cell r="D4132" t="str">
            <v>Motilal Oswal Ultra Short Term Fund Regular - IDCW Quarterly Payout/Reinvestment</v>
          </cell>
          <cell r="E4132">
            <v>11.8568</v>
          </cell>
        </row>
        <row r="4133">
          <cell r="B4133" t="str">
            <v>-</v>
          </cell>
          <cell r="C4133" t="str">
            <v>INF247L01288</v>
          </cell>
          <cell r="D4133" t="str">
            <v>Motilal Oswal Ultra Short Term Fund Regular - IDCW Weekly Reinvestment</v>
          </cell>
          <cell r="E4133">
            <v>11.467000000000001</v>
          </cell>
        </row>
        <row r="4134">
          <cell r="B4134" t="str">
            <v/>
          </cell>
          <cell r="C4134" t="str">
            <v/>
          </cell>
          <cell r="D4134" t="str">
            <v/>
          </cell>
        </row>
        <row r="4135">
          <cell r="B4135" t="str">
            <v/>
          </cell>
          <cell r="C4135" t="str">
            <v/>
          </cell>
          <cell r="D4135" t="str">
            <v/>
          </cell>
        </row>
        <row r="4136">
          <cell r="B4136" t="str">
            <v/>
          </cell>
          <cell r="C4136" t="str">
            <v/>
          </cell>
          <cell r="D4136" t="str">
            <v/>
          </cell>
        </row>
        <row r="4137">
          <cell r="B4137" t="str">
            <v>-</v>
          </cell>
          <cell r="C4137" t="str">
            <v>INF204K01UC2</v>
          </cell>
          <cell r="D4137" t="str">
            <v>NIPPON INDIA ULTRA SHORT DURATION FUND - DAILY IDCW OPTION</v>
          </cell>
          <cell r="E4137">
            <v>1114.1500000000001</v>
          </cell>
        </row>
        <row r="4138">
          <cell r="B4138" t="str">
            <v>-</v>
          </cell>
          <cell r="C4138" t="str">
            <v>INF204K01YF7</v>
          </cell>
          <cell r="D4138" t="str">
            <v>NIPPON INDIA ULTRA SHORT DURATION FUND - DIRECT Plan - DAILY IDCW OPTION</v>
          </cell>
          <cell r="E4138">
            <v>1114.1500000000001</v>
          </cell>
        </row>
        <row r="4139">
          <cell r="B4139" t="str">
            <v>INF204K01YI1</v>
          </cell>
          <cell r="C4139" t="str">
            <v>INF204K01YJ9</v>
          </cell>
          <cell r="D4139" t="str">
            <v>NIPPON INDIA ULTRA SHORT DURATION FUND - DIRECT Plan - MONTHLY IDCW Option</v>
          </cell>
          <cell r="E4139">
            <v>1036.4335000000001</v>
          </cell>
        </row>
        <row r="4140">
          <cell r="B4140" t="str">
            <v>INF204K01YK7</v>
          </cell>
          <cell r="C4140" t="str">
            <v>INF204K01YL5</v>
          </cell>
          <cell r="D4140" t="str">
            <v>NIPPON INDIA ULTRA SHORT DURATION FUND - DIRECT Plan - QUARTERLY IDCW Option</v>
          </cell>
          <cell r="E4140">
            <v>1021.4511</v>
          </cell>
        </row>
        <row r="4141">
          <cell r="B4141" t="str">
            <v>-</v>
          </cell>
          <cell r="C4141" t="str">
            <v>INF204K01YG5</v>
          </cell>
          <cell r="D4141" t="str">
            <v>NIPPON INDIA ULTRA SHORT DURATION FUND - DIRECT Plan - WEEKLY IDCW OPTION</v>
          </cell>
          <cell r="E4141">
            <v>1092.4830999999999</v>
          </cell>
        </row>
        <row r="4142">
          <cell r="B4142" t="str">
            <v>INF204K01UF5</v>
          </cell>
          <cell r="C4142" t="str">
            <v>INF204K01UG3</v>
          </cell>
          <cell r="D4142" t="str">
            <v>NIPPON INDIA ULTRA SHORT DURATION FUND - MONTHLY IDCW Option</v>
          </cell>
          <cell r="E4142">
            <v>1025.6903</v>
          </cell>
        </row>
        <row r="4143">
          <cell r="B4143" t="str">
            <v>INF204K01UH1</v>
          </cell>
          <cell r="C4143" t="str">
            <v>INF204K01UI9</v>
          </cell>
          <cell r="D4143" t="str">
            <v>NIPPON INDIA ULTRA SHORT DURATION FUND - QUARTERLY IDCW Option</v>
          </cell>
          <cell r="E4143">
            <v>1014.4249</v>
          </cell>
        </row>
        <row r="4144">
          <cell r="B4144" t="str">
            <v>-</v>
          </cell>
          <cell r="C4144" t="str">
            <v>INF204KB18H5</v>
          </cell>
          <cell r="D4144" t="str">
            <v>NIPPON INDIA ULTRA SHORT DURATION FUND - SEGREGATED PORTFOLIO 1 - DAILY IDCW Option</v>
          </cell>
          <cell r="E4144">
            <v>0</v>
          </cell>
        </row>
        <row r="4145">
          <cell r="B4145" t="str">
            <v>-</v>
          </cell>
          <cell r="C4145" t="str">
            <v>INF204KB11H0</v>
          </cell>
          <cell r="D4145" t="str">
            <v>NIPPON INDIA ULTRA SHORT DURATION FUND - SEGREGATED PORTFOLIO 1 - DIRECT Plan - DAILY IDCW Option</v>
          </cell>
          <cell r="E4145">
            <v>0</v>
          </cell>
        </row>
        <row r="4146">
          <cell r="B4146" t="str">
            <v>INF204KB10H2</v>
          </cell>
          <cell r="C4146" t="str">
            <v>-</v>
          </cell>
          <cell r="D4146" t="str">
            <v>Nippon India Ultra Short Duration Fund - Segregated Portfolio 1 - Direct Plan - Growth Option</v>
          </cell>
          <cell r="E4146">
            <v>0</v>
          </cell>
        </row>
        <row r="4147">
          <cell r="B4147" t="str">
            <v>INF204KB12H8</v>
          </cell>
          <cell r="C4147" t="str">
            <v>INF204KB13H6</v>
          </cell>
          <cell r="D4147" t="str">
            <v>NIPPON INDIA ULTRA SHORT DURATION FUND - SEGREGATED PORTFOLIO 1 - DIRECT Plan - MONTHLY IDCW Option</v>
          </cell>
          <cell r="E4147">
            <v>0</v>
          </cell>
        </row>
        <row r="4148">
          <cell r="B4148" t="str">
            <v>INF204KB14H4</v>
          </cell>
          <cell r="C4148" t="str">
            <v>INF204KB15H1</v>
          </cell>
          <cell r="D4148" t="str">
            <v>NIPPON INDIA ULTRA SHORT DURATION FUND - SEGREGATED PORTFOLIO 1 - DIRECT Plan - QUARTERLY IDCW Option</v>
          </cell>
          <cell r="E4148">
            <v>0</v>
          </cell>
        </row>
        <row r="4149">
          <cell r="B4149" t="str">
            <v>-</v>
          </cell>
          <cell r="C4149" t="str">
            <v>INF204KB16H9</v>
          </cell>
          <cell r="D4149" t="str">
            <v>NIPPON INDIA ULTRA SHORT DURATION FUND - SEGREGATED PORTFOLIO 1 - DIRECT Plan - WEEKLY IDCW Option</v>
          </cell>
          <cell r="E4149">
            <v>0</v>
          </cell>
        </row>
        <row r="4150">
          <cell r="B4150" t="str">
            <v>INF204KB17H7</v>
          </cell>
          <cell r="C4150" t="str">
            <v>-</v>
          </cell>
          <cell r="D4150" t="str">
            <v>Nippon India Ultra Short Duration Fund - Segregated Portfolio 1 - Growth Option</v>
          </cell>
          <cell r="E4150">
            <v>0</v>
          </cell>
        </row>
        <row r="4151">
          <cell r="B4151" t="str">
            <v>INF204KB19H3</v>
          </cell>
          <cell r="C4151" t="str">
            <v>INF204KB10I0</v>
          </cell>
          <cell r="D4151" t="str">
            <v>NIPPON INDIA ULTRA SHORT DURATION FUND - SEGREGATED PORTFOLIO 1 - MONTHLY IDCW Option</v>
          </cell>
          <cell r="E4151">
            <v>0</v>
          </cell>
        </row>
        <row r="4152">
          <cell r="B4152" t="str">
            <v>INF204KB11I8</v>
          </cell>
          <cell r="C4152" t="str">
            <v>INF204KB12I6</v>
          </cell>
          <cell r="D4152" t="str">
            <v>NIPPON INDIA ULTRA SHORT DURATION FUND - SEGREGATED PORTFOLIO 1 - QUARTERLY IDCW Option</v>
          </cell>
          <cell r="E4152">
            <v>0</v>
          </cell>
        </row>
        <row r="4153">
          <cell r="B4153" t="str">
            <v>-</v>
          </cell>
          <cell r="C4153" t="str">
            <v>INF204KB13I4</v>
          </cell>
          <cell r="D4153" t="str">
            <v>NIPPON INDIA ULTRA SHORT DURATION FUND - SEGREGATED PORTFOLIO 1 - WEEKLY IDCW Option</v>
          </cell>
          <cell r="E4153">
            <v>0</v>
          </cell>
        </row>
        <row r="4154">
          <cell r="B4154" t="str">
            <v>-</v>
          </cell>
          <cell r="C4154" t="str">
            <v>INF204K01UD0</v>
          </cell>
          <cell r="D4154" t="str">
            <v>NIPPON INDIA ULTRA SHORT DURATION FUND - WEEKLY IDCW OPTION</v>
          </cell>
          <cell r="E4154">
            <v>1092.374</v>
          </cell>
        </row>
        <row r="4155">
          <cell r="B4155" t="str">
            <v>INF204K01YH3</v>
          </cell>
          <cell r="C4155" t="str">
            <v>-</v>
          </cell>
          <cell r="D4155" t="str">
            <v>Nippon India Ultra Short Duration Fund- Direct Plan- Growth Option</v>
          </cell>
          <cell r="E4155">
            <v>4770.1958000000004</v>
          </cell>
        </row>
        <row r="4156">
          <cell r="B4156" t="str">
            <v>INF204K01UE8</v>
          </cell>
          <cell r="C4156" t="str">
            <v>-</v>
          </cell>
          <cell r="D4156" t="str">
            <v>Nippon India Ultra Short Duration Fund- Growth Option</v>
          </cell>
          <cell r="E4156">
            <v>4292.6368000000002</v>
          </cell>
        </row>
        <row r="4157">
          <cell r="B4157" t="str">
            <v/>
          </cell>
          <cell r="C4157" t="str">
            <v/>
          </cell>
          <cell r="D4157" t="str">
            <v/>
          </cell>
        </row>
        <row r="4158">
          <cell r="B4158" t="str">
            <v/>
          </cell>
          <cell r="C4158" t="str">
            <v/>
          </cell>
          <cell r="D4158" t="str">
            <v/>
          </cell>
        </row>
        <row r="4159">
          <cell r="B4159" t="str">
            <v/>
          </cell>
          <cell r="C4159" t="str">
            <v/>
          </cell>
          <cell r="D4159" t="str">
            <v/>
          </cell>
        </row>
        <row r="4160">
          <cell r="B4160" t="str">
            <v>INF223J01FH4</v>
          </cell>
          <cell r="C4160" t="str">
            <v>-</v>
          </cell>
          <cell r="D4160" t="str">
            <v>PGIM India Ultra Short Duration Fund - Daily Dividend</v>
          </cell>
          <cell r="E4160">
            <v>10.020300000000001</v>
          </cell>
        </row>
        <row r="4161">
          <cell r="B4161" t="str">
            <v>-</v>
          </cell>
          <cell r="C4161" t="str">
            <v>INF223J01QL3</v>
          </cell>
          <cell r="D4161" t="str">
            <v>PGIM India Ultra Short Duration Fund - Direct Plan - Daily Dividend</v>
          </cell>
          <cell r="E4161">
            <v>10.024100000000001</v>
          </cell>
        </row>
        <row r="4162">
          <cell r="B4162" t="str">
            <v>INF223J01QO7</v>
          </cell>
          <cell r="C4162" t="str">
            <v>-</v>
          </cell>
          <cell r="D4162" t="str">
            <v>PGIM India Ultra Short Duration Fund - Direct Plan - Growth</v>
          </cell>
          <cell r="E4162">
            <v>37.997900000000001</v>
          </cell>
        </row>
        <row r="4163">
          <cell r="B4163" t="str">
            <v>INF223J01QP4</v>
          </cell>
          <cell r="C4163" t="str">
            <v>-</v>
          </cell>
          <cell r="D4163" t="str">
            <v>PGIM India Ultra Short Duration Fund - Direct Plan - Monthly Dividend</v>
          </cell>
          <cell r="E4163">
            <v>12.3444</v>
          </cell>
        </row>
        <row r="4164">
          <cell r="B4164" t="str">
            <v>INF223J01QR0</v>
          </cell>
          <cell r="C4164" t="str">
            <v>INF223J01QS8</v>
          </cell>
          <cell r="D4164" t="str">
            <v>PGIM India Ultra Short Duration Fund - Direct Plan - Weekly Dividend</v>
          </cell>
          <cell r="E4164">
            <v>10.272500000000001</v>
          </cell>
        </row>
        <row r="4165">
          <cell r="B4165" t="str">
            <v>INF223J01FK8</v>
          </cell>
          <cell r="C4165" t="str">
            <v>-</v>
          </cell>
          <cell r="D4165" t="str">
            <v>PGIM India Ultra Short Duration Fund - Growth</v>
          </cell>
          <cell r="E4165">
            <v>36.098799999999997</v>
          </cell>
        </row>
        <row r="4166">
          <cell r="B4166" t="str">
            <v>INF223J01FL6</v>
          </cell>
          <cell r="C4166" t="str">
            <v>INF223J01FM4</v>
          </cell>
          <cell r="D4166" t="str">
            <v>PGIM India Ultra Short Duration Fund - Monthly Dividend</v>
          </cell>
          <cell r="E4166">
            <v>15.590199999999999</v>
          </cell>
        </row>
        <row r="4167">
          <cell r="B4167" t="str">
            <v>INF223J01FW3</v>
          </cell>
          <cell r="C4167" t="str">
            <v>-</v>
          </cell>
          <cell r="D4167" t="str">
            <v>PGIM India Ultra Short Duration Fund - Regular Plan - Daily Dividend</v>
          </cell>
          <cell r="E4167">
            <v>10.0215</v>
          </cell>
        </row>
        <row r="4168">
          <cell r="B4168" t="str">
            <v>INF223J01FX1</v>
          </cell>
          <cell r="C4168" t="str">
            <v>-</v>
          </cell>
          <cell r="D4168" t="str">
            <v>PGIM India Ultra Short Duration Fund - Regular Plan - Growth</v>
          </cell>
          <cell r="E4168">
            <v>34.245199999999997</v>
          </cell>
        </row>
        <row r="4169">
          <cell r="B4169" t="str">
            <v>INF223J01FY9</v>
          </cell>
          <cell r="C4169" t="str">
            <v>INF223J01FZ6</v>
          </cell>
          <cell r="D4169" t="str">
            <v>PGIM India Ultra Short Duration Fund - Regular Plan - Monthly Dividend</v>
          </cell>
          <cell r="E4169">
            <v>10.5275</v>
          </cell>
        </row>
        <row r="4170">
          <cell r="B4170" t="str">
            <v>INF223J01GC3</v>
          </cell>
          <cell r="C4170" t="str">
            <v>-</v>
          </cell>
          <cell r="D4170" t="str">
            <v>PGIM India Ultra Short Duration Fund - Regular Plan - Weekly Dividend</v>
          </cell>
          <cell r="E4170">
            <v>10.5017</v>
          </cell>
        </row>
        <row r="4171">
          <cell r="B4171" t="str">
            <v>INF223J01FO0</v>
          </cell>
          <cell r="C4171" t="str">
            <v>INF223J01FP7</v>
          </cell>
          <cell r="D4171" t="str">
            <v>PGIM India Ultra Short Duration Fund - Weekly Dividend</v>
          </cell>
          <cell r="E4171">
            <v>10.084</v>
          </cell>
        </row>
        <row r="4172">
          <cell r="B4172" t="str">
            <v>INF223J01XH7</v>
          </cell>
          <cell r="C4172" t="str">
            <v>-</v>
          </cell>
          <cell r="D4172" t="str">
            <v>PGIM India Ultra Short Term Fund - Annual Bonus</v>
          </cell>
          <cell r="E4172">
            <v>20.904499999999999</v>
          </cell>
        </row>
        <row r="4173">
          <cell r="B4173" t="str">
            <v>INF223J01JJ2</v>
          </cell>
          <cell r="C4173" t="str">
            <v>-</v>
          </cell>
          <cell r="D4173" t="str">
            <v>PGIM India Ultra Short Term Fund - Annual Dividend</v>
          </cell>
          <cell r="E4173">
            <v>10.788500000000001</v>
          </cell>
        </row>
        <row r="4174">
          <cell r="B4174" t="str">
            <v>INF223J01FN2</v>
          </cell>
          <cell r="C4174" t="str">
            <v>-</v>
          </cell>
          <cell r="D4174" t="str">
            <v>PGIM India Ultra Short Term Fund - Bonus</v>
          </cell>
          <cell r="E4174">
            <v>16.117100000000001</v>
          </cell>
        </row>
        <row r="4175">
          <cell r="B4175" t="str">
            <v>INF223J01XI5</v>
          </cell>
          <cell r="C4175" t="str">
            <v>-</v>
          </cell>
          <cell r="D4175" t="str">
            <v>PGIM India Ultra Short Term Fund - Direct Plan - Annual Bonus</v>
          </cell>
          <cell r="E4175">
            <v>15.366199999999999</v>
          </cell>
        </row>
        <row r="4176">
          <cell r="B4176" t="str">
            <v>INF223J01QI9</v>
          </cell>
          <cell r="C4176" t="str">
            <v>INF223J01QJ7</v>
          </cell>
          <cell r="D4176" t="str">
            <v>PGIM India Ultra Short Term Fund - Direct Plan - Annual Dividend</v>
          </cell>
          <cell r="E4176">
            <v>11.11</v>
          </cell>
        </row>
        <row r="4177">
          <cell r="B4177" t="str">
            <v>INF223J01QK5</v>
          </cell>
          <cell r="C4177" t="str">
            <v>-</v>
          </cell>
          <cell r="D4177" t="str">
            <v>PGIM India Ultra Short Term Fund - Direct Plan - Bonus</v>
          </cell>
          <cell r="E4177">
            <v>18.2209</v>
          </cell>
        </row>
        <row r="4178">
          <cell r="B4178" t="str">
            <v>INF223J01QM1</v>
          </cell>
          <cell r="C4178" t="str">
            <v>INF223J01QN9</v>
          </cell>
          <cell r="D4178" t="str">
            <v>PGIM India Ultra Short Term Fund - Direct Plan - Dividend</v>
          </cell>
          <cell r="E4178">
            <v>15.25</v>
          </cell>
        </row>
        <row r="4179">
          <cell r="B4179" t="str">
            <v>INF223J01VK5</v>
          </cell>
          <cell r="C4179" t="str">
            <v>-</v>
          </cell>
          <cell r="D4179" t="str">
            <v>PGIM India Ultra Short Term Fund - Direct Plan - Monthly Bonus</v>
          </cell>
          <cell r="E4179">
            <v>12.7173</v>
          </cell>
        </row>
        <row r="4180">
          <cell r="B4180" t="str">
            <v>INF223J01QT6</v>
          </cell>
          <cell r="C4180" t="str">
            <v>INF223J01QU4</v>
          </cell>
          <cell r="D4180" t="str">
            <v>PGIM India Ultra Short Term Fund - Direct Plan - Quarterly Dividend</v>
          </cell>
          <cell r="E4180">
            <v>11.297599999999999</v>
          </cell>
        </row>
        <row r="4181">
          <cell r="B4181" t="str">
            <v>INF223J01FI2</v>
          </cell>
          <cell r="C4181" t="str">
            <v>INF223J01FJ0</v>
          </cell>
          <cell r="D4181" t="str">
            <v>PGIM India Ultra Short Term Fund - Dividend</v>
          </cell>
          <cell r="E4181">
            <v>16.077000000000002</v>
          </cell>
        </row>
        <row r="4182">
          <cell r="B4182" t="str">
            <v>INF223J01VJ7</v>
          </cell>
          <cell r="C4182" t="str">
            <v>-</v>
          </cell>
          <cell r="D4182" t="str">
            <v>PGIM India Ultra Short Term Fund - Monthly Bonus</v>
          </cell>
          <cell r="E4182">
            <v>13.963699999999999</v>
          </cell>
        </row>
        <row r="4183">
          <cell r="B4183" t="str">
            <v>INF223J01JH6</v>
          </cell>
          <cell r="C4183" t="str">
            <v>-</v>
          </cell>
          <cell r="D4183" t="str">
            <v>PGIM India Ultra Short Term Fund - Quarterly Dividend</v>
          </cell>
          <cell r="E4183">
            <v>11.5762</v>
          </cell>
        </row>
        <row r="4184">
          <cell r="B4184" t="str">
            <v>INF223J01GA7</v>
          </cell>
          <cell r="C4184" t="str">
            <v>-</v>
          </cell>
          <cell r="D4184" t="str">
            <v>PGIM India Ultra Short Term Fund - Regular Plan - Bonus</v>
          </cell>
          <cell r="E4184">
            <v>16.668600000000001</v>
          </cell>
        </row>
        <row r="4185">
          <cell r="B4185" t="str">
            <v/>
          </cell>
          <cell r="C4185" t="str">
            <v/>
          </cell>
          <cell r="D4185" t="str">
            <v/>
          </cell>
        </row>
        <row r="4186">
          <cell r="B4186" t="str">
            <v/>
          </cell>
          <cell r="C4186" t="str">
            <v/>
          </cell>
          <cell r="D4186" t="str">
            <v/>
          </cell>
        </row>
        <row r="4187">
          <cell r="B4187" t="str">
            <v/>
          </cell>
          <cell r="C4187" t="str">
            <v/>
          </cell>
          <cell r="D4187" t="str">
            <v/>
          </cell>
        </row>
        <row r="4188">
          <cell r="B4188" t="str">
            <v>-</v>
          </cell>
          <cell r="C4188" t="str">
            <v>INF200K01TG3</v>
          </cell>
          <cell r="D4188" t="str">
            <v>SBI Ultra Short Duration Fund - Direct Plan - Daily Income Distribution cum Capital Withdrawal Option (IDCW)</v>
          </cell>
          <cell r="E4188">
            <v>2429.0590999999999</v>
          </cell>
        </row>
        <row r="4189">
          <cell r="B4189" t="str">
            <v>INF200K01TF5</v>
          </cell>
          <cell r="C4189" t="str">
            <v>-</v>
          </cell>
          <cell r="D4189" t="str">
            <v>SBI ULTRA SHORT DURATION FUND - DIRECT PLAN - GROWTH</v>
          </cell>
          <cell r="E4189">
            <v>6496.0734000000002</v>
          </cell>
        </row>
        <row r="4190">
          <cell r="B4190" t="str">
            <v>INF200K01TH1</v>
          </cell>
          <cell r="C4190" t="str">
            <v>INF200K01TI9</v>
          </cell>
          <cell r="D4190" t="str">
            <v>SBI Ultra Short Duration Fund - Direct Plan - Weekly Income Distribution cum Capital Withdrawal Option (IDCW)</v>
          </cell>
          <cell r="E4190">
            <v>1273.5952</v>
          </cell>
        </row>
        <row r="4191">
          <cell r="B4191" t="str">
            <v>-</v>
          </cell>
          <cell r="C4191" t="str">
            <v>INF200K01LK2</v>
          </cell>
          <cell r="D4191" t="str">
            <v>SBI Ultra Short Duration Fund - Regular Plan - Daily Income Distribution cum Capital Withdrawal Option (IDCW)</v>
          </cell>
          <cell r="E4191">
            <v>2399.1676000000002</v>
          </cell>
        </row>
        <row r="4192">
          <cell r="B4192" t="str">
            <v>INF200K01LJ4</v>
          </cell>
          <cell r="C4192" t="str">
            <v>-</v>
          </cell>
          <cell r="D4192" t="str">
            <v>SBI ULTRA SHORT DURATION FUND - REGULAR PLAN - GROWTH</v>
          </cell>
          <cell r="E4192">
            <v>6369.6562000000004</v>
          </cell>
        </row>
        <row r="4193">
          <cell r="B4193" t="str">
            <v>INF200K01LM8</v>
          </cell>
          <cell r="C4193" t="str">
            <v>INF200K01LL0</v>
          </cell>
          <cell r="D4193" t="str">
            <v>SBI Ultra Short Duration Fund - Regular Plan - Weekly Income Distribution cum Capital Withdrawal Option (IDCW)</v>
          </cell>
          <cell r="E4193">
            <v>1265.6032</v>
          </cell>
        </row>
        <row r="4194">
          <cell r="B4194" t="str">
            <v/>
          </cell>
          <cell r="C4194" t="str">
            <v/>
          </cell>
          <cell r="D4194" t="str">
            <v/>
          </cell>
        </row>
        <row r="4195">
          <cell r="B4195" t="str">
            <v/>
          </cell>
          <cell r="C4195" t="str">
            <v/>
          </cell>
          <cell r="D4195" t="str">
            <v/>
          </cell>
        </row>
        <row r="4196">
          <cell r="B4196" t="str">
            <v/>
          </cell>
          <cell r="C4196" t="str">
            <v/>
          </cell>
          <cell r="D4196" t="str">
            <v/>
          </cell>
        </row>
        <row r="4197">
          <cell r="B4197" t="str">
            <v>INF173K01CX3</v>
          </cell>
          <cell r="C4197" t="str">
            <v>INF173K01CY1</v>
          </cell>
          <cell r="D4197" t="str">
            <v>Sundaram Ultra Short Duration Fund (Formerly Known as Principal Ultra Short Term Fund) - Income Distribution CUM Capital Withdrawal Option (IDCW)</v>
          </cell>
          <cell r="E4197">
            <v>1077.5453</v>
          </cell>
        </row>
        <row r="4198">
          <cell r="B4198" t="str">
            <v>INF903JA1JQ0</v>
          </cell>
          <cell r="C4198" t="str">
            <v>INF903JA1JP2</v>
          </cell>
          <cell r="D4198" t="str">
            <v>Sundaram Ultra Short Duration Fund (Formerly Known as Principal Ultra Short Term Fund) Direct Plan -IDCW</v>
          </cell>
          <cell r="E4198">
            <v>1209.0534</v>
          </cell>
        </row>
        <row r="4199">
          <cell r="B4199" t="str">
            <v>-</v>
          </cell>
          <cell r="C4199" t="str">
            <v>INF903JA1JO5</v>
          </cell>
          <cell r="D4199" t="str">
            <v>Sundaram Ultra Short Duration Fund (Formerly Known as Principal Ultra Short Term Fund) Direct Plan Fortnightly IDCW</v>
          </cell>
          <cell r="E4199">
            <v>1064.1664000000001</v>
          </cell>
        </row>
        <row r="4200">
          <cell r="B4200" t="str">
            <v>-</v>
          </cell>
          <cell r="C4200" t="str">
            <v>INF173K01BZ0</v>
          </cell>
          <cell r="D4200" t="str">
            <v>Sundaram Ultra Short Duration Fund (Formerly Known as Principal Ultra Short Term Fund) Direct Plan IDCW Daily</v>
          </cell>
          <cell r="E4200">
            <v>1006.1763</v>
          </cell>
        </row>
        <row r="4201">
          <cell r="B4201" t="str">
            <v>INF173K01HI3</v>
          </cell>
          <cell r="C4201" t="str">
            <v>-</v>
          </cell>
          <cell r="D4201" t="str">
            <v>Sundaram Ultra Short Duration Fund (Formerly Known as Principal Ultra Short Term Fund)- Direct Plan -Growth Option</v>
          </cell>
          <cell r="E4201">
            <v>3131.8157999999999</v>
          </cell>
        </row>
        <row r="4202">
          <cell r="B4202" t="str">
            <v>-</v>
          </cell>
          <cell r="C4202" t="str">
            <v>INF173K01CA1</v>
          </cell>
          <cell r="D4202" t="str">
            <v>Sundaram Ultra Short Duration Fund (Formerly Known as Principal Ultra Short Term Fund)- Direct Plan IDCW Weekly</v>
          </cell>
          <cell r="E4202">
            <v>1020.1955</v>
          </cell>
        </row>
        <row r="4203">
          <cell r="B4203" t="str">
            <v>INF173K01HK9</v>
          </cell>
          <cell r="C4203" t="str">
            <v>INF173K01HJ1</v>
          </cell>
          <cell r="D4203" t="str">
            <v>Sundaram Ultra Short Duration Fund (Formerly Known as Principal Ultra Short Term Fund)- Direct Plan Income Distribution CUM Capital Withdrawal Option (IDCW)</v>
          </cell>
          <cell r="E4203">
            <v>1097.0461</v>
          </cell>
        </row>
        <row r="4204">
          <cell r="B4204" t="str">
            <v>-</v>
          </cell>
          <cell r="C4204" t="str">
            <v>INF173K01CV7</v>
          </cell>
          <cell r="D4204" t="str">
            <v>Sundaram Ultra Short Duration Fund (Formerly Known as Principal Ultra Short Term Fund)-Daily Income Distribution CUM Capital Withdrawal Option</v>
          </cell>
          <cell r="E4204">
            <v>1005.43</v>
          </cell>
        </row>
        <row r="4205">
          <cell r="B4205" t="str">
            <v>INF173K01CU9</v>
          </cell>
          <cell r="C4205" t="str">
            <v>-</v>
          </cell>
          <cell r="D4205" t="str">
            <v>Sundaram Ultra Short Duration Fund (Formerly Known as Principal Ultra Short Term Fund)-Growth Option</v>
          </cell>
          <cell r="E4205">
            <v>2834.8488000000002</v>
          </cell>
        </row>
        <row r="4206">
          <cell r="B4206" t="str">
            <v>-</v>
          </cell>
          <cell r="C4206" t="str">
            <v>INF173K01CW5</v>
          </cell>
          <cell r="D4206" t="str">
            <v>Sundaram Ultra Short Duration Fund (Formerly Known as Principal Ultra Short Term Fund)-Weekly Income Distribution CUM Capital Withdrawal Option</v>
          </cell>
          <cell r="E4206">
            <v>1020.3674999999999</v>
          </cell>
        </row>
        <row r="4207">
          <cell r="B4207" t="str">
            <v>INF903JA1JN7</v>
          </cell>
          <cell r="C4207" t="str">
            <v>INF903JA1JM9</v>
          </cell>
          <cell r="D4207" t="str">
            <v>Sundaram Ultra Short Duration Fund (Formerly Known as Prinicpal Ultra Short Term Fund) Regular Plan -IDCW</v>
          </cell>
          <cell r="E4207">
            <v>1155.9152999999999</v>
          </cell>
        </row>
        <row r="4208">
          <cell r="B4208" t="str">
            <v>-</v>
          </cell>
          <cell r="C4208" t="str">
            <v>INF903JA1JL1</v>
          </cell>
          <cell r="D4208" t="str">
            <v>Sundaram Ultra Short Duration Fund (Formerly Known as Prinicpal Ultra Short Term Fund) Regular Plan Fortnightly IDCW</v>
          </cell>
          <cell r="E4208">
            <v>1062.5332000000001</v>
          </cell>
        </row>
        <row r="4209">
          <cell r="B4209" t="str">
            <v/>
          </cell>
          <cell r="C4209" t="str">
            <v/>
          </cell>
          <cell r="D4209" t="str">
            <v/>
          </cell>
        </row>
        <row r="4210">
          <cell r="B4210" t="str">
            <v/>
          </cell>
          <cell r="C4210" t="str">
            <v/>
          </cell>
          <cell r="D4210" t="str">
            <v/>
          </cell>
        </row>
        <row r="4211">
          <cell r="B4211" t="str">
            <v/>
          </cell>
          <cell r="C4211" t="str">
            <v/>
          </cell>
          <cell r="D4211" t="str">
            <v/>
          </cell>
        </row>
        <row r="4212">
          <cell r="B4212" t="str">
            <v>-</v>
          </cell>
          <cell r="C4212" t="str">
            <v>INF277K013T6</v>
          </cell>
          <cell r="D4212" t="str">
            <v xml:space="preserve">TATA Ultra Short Term Fund Direct Plan - Monthly Reinvestment of Income Distribution cum capital withdrawal option  </v>
          </cell>
          <cell r="E4212">
            <v>16.009599999999999</v>
          </cell>
        </row>
        <row r="4213">
          <cell r="B4213" t="str">
            <v>-</v>
          </cell>
          <cell r="C4213" t="str">
            <v>INF277K015T1</v>
          </cell>
          <cell r="D4213" t="str">
            <v xml:space="preserve">TATA Ultra Short Term Fund Direct Plan - Weekly Reinvestment of Income Distribution cum capital withdrawal option   </v>
          </cell>
          <cell r="E4213">
            <v>10.4033</v>
          </cell>
        </row>
        <row r="4214">
          <cell r="B4214" t="str">
            <v>-</v>
          </cell>
          <cell r="C4214" t="str">
            <v>INF277K018S7</v>
          </cell>
          <cell r="D4214" t="str">
            <v xml:space="preserve">TATA Ultra Short Term Fund Regular Plan - Monthly Reinvestment of Income Distribution cum capital withdrawal option  </v>
          </cell>
          <cell r="E4214">
            <v>15.0825</v>
          </cell>
        </row>
        <row r="4215">
          <cell r="B4215" t="str">
            <v>-</v>
          </cell>
          <cell r="C4215" t="str">
            <v>INF277K010T2</v>
          </cell>
          <cell r="D4215" t="str">
            <v xml:space="preserve">TATA Ultra Short Term Fund Regular Plan -Weekly Reinvestment of Income Distribution cum capital withdrawal option  </v>
          </cell>
          <cell r="E4215">
            <v>10.3765</v>
          </cell>
        </row>
        <row r="4216">
          <cell r="B4216" t="str">
            <v>INF277K012T8</v>
          </cell>
          <cell r="C4216" t="str">
            <v>-</v>
          </cell>
          <cell r="D4216" t="str">
            <v xml:space="preserve">TATA Ultra Short Term Fund-Direct Plan - Monthly Payout of Income Distribution cum capital withdrawal option </v>
          </cell>
          <cell r="E4216">
            <v>16.009599999999999</v>
          </cell>
        </row>
        <row r="4217">
          <cell r="B4217" t="str">
            <v>INF277K014T4</v>
          </cell>
          <cell r="C4217" t="str">
            <v>-</v>
          </cell>
          <cell r="D4217" t="str">
            <v xml:space="preserve">TATA Ultra Short Term Fund-Direct Plan - Weekly Payout of Income Distribution cum capital withdrawal option </v>
          </cell>
          <cell r="E4217">
            <v>10.4033</v>
          </cell>
        </row>
        <row r="4218">
          <cell r="B4218" t="str">
            <v>INF277K011T0</v>
          </cell>
          <cell r="C4218" t="str">
            <v>-</v>
          </cell>
          <cell r="D4218" t="str">
            <v>Tata Ultra Short Term Fund-Direct Plan-Growth</v>
          </cell>
          <cell r="E4218">
            <v>15.988099999999999</v>
          </cell>
        </row>
        <row r="4219">
          <cell r="B4219" t="str">
            <v>INF277K017S9</v>
          </cell>
          <cell r="C4219" t="str">
            <v>-</v>
          </cell>
          <cell r="D4219" t="str">
            <v xml:space="preserve">TATA Ultra Short Term Fund-Regular Plan - Monthly Payout of Income Distribution cum capital withdrawal option </v>
          </cell>
          <cell r="E4219">
            <v>15.0825</v>
          </cell>
        </row>
        <row r="4220">
          <cell r="B4220" t="str">
            <v>INF277K019S5</v>
          </cell>
          <cell r="C4220" t="str">
            <v>-</v>
          </cell>
          <cell r="D4220" t="str">
            <v xml:space="preserve">TATA Ultra Short Term Fund-Regular Plan - Weekly Payout of Income Distribution cum capital withdrawal option </v>
          </cell>
          <cell r="E4220">
            <v>10.3765</v>
          </cell>
        </row>
        <row r="4221">
          <cell r="B4221" t="str">
            <v>INF277K016S1</v>
          </cell>
          <cell r="C4221" t="str">
            <v>-</v>
          </cell>
          <cell r="D4221" t="str">
            <v>Tata Ultra Short Term Fund-Regular Plan-Growth</v>
          </cell>
          <cell r="E4221">
            <v>15.076599999999999</v>
          </cell>
        </row>
        <row r="4222">
          <cell r="B4222" t="str">
            <v/>
          </cell>
          <cell r="C4222" t="str">
            <v/>
          </cell>
          <cell r="D4222" t="str">
            <v/>
          </cell>
        </row>
        <row r="4223">
          <cell r="B4223" t="str">
            <v/>
          </cell>
          <cell r="C4223" t="str">
            <v/>
          </cell>
          <cell r="D4223" t="str">
            <v/>
          </cell>
        </row>
        <row r="4224">
          <cell r="B4224" t="str">
            <v/>
          </cell>
          <cell r="C4224" t="str">
            <v/>
          </cell>
          <cell r="D4224" t="str">
            <v/>
          </cell>
        </row>
        <row r="4225">
          <cell r="B4225" t="str">
            <v>INF789FA1Q42</v>
          </cell>
          <cell r="C4225" t="str">
            <v>INF789FA1Q59</v>
          </cell>
          <cell r="D4225" t="str">
            <v>UTI Ultra Short Duration Fund - Direct Plan - Annual IDCW</v>
          </cell>
          <cell r="E4225">
            <v>1530.7529</v>
          </cell>
        </row>
        <row r="4226">
          <cell r="B4226" t="str">
            <v>INF789F01TG5</v>
          </cell>
          <cell r="C4226" t="str">
            <v>INF789F01TH3</v>
          </cell>
          <cell r="D4226" t="str">
            <v>UTI Ultra Short Duration Fund - Direct Plan - Daily IDCW (Reinvestment)</v>
          </cell>
          <cell r="E4226">
            <v>1619.0232000000001</v>
          </cell>
        </row>
        <row r="4227">
          <cell r="B4227" t="str">
            <v>INF789FB1KQ0</v>
          </cell>
          <cell r="C4227" t="str">
            <v>INF789FB1KR8</v>
          </cell>
          <cell r="D4227" t="str">
            <v>UTI Ultra Short Duration Fund - Direct Plan - Flexi IDCW</v>
          </cell>
          <cell r="E4227">
            <v>2361.1341000000002</v>
          </cell>
        </row>
        <row r="4228">
          <cell r="B4228" t="str">
            <v>INF789FA1P68</v>
          </cell>
          <cell r="C4228" t="str">
            <v>INF789FA1P76</v>
          </cell>
          <cell r="D4228" t="str">
            <v>UTI Ultra Short Duration Fund - Direct Plan - Fortnightly IDCW</v>
          </cell>
          <cell r="E4228">
            <v>1342.4093</v>
          </cell>
        </row>
        <row r="4229">
          <cell r="B4229" t="str">
            <v>INF789F01TI1</v>
          </cell>
          <cell r="C4229" t="str">
            <v>-</v>
          </cell>
          <cell r="D4229" t="str">
            <v>UTI Ultra Short Duration Fund - Direct Plan - Growth Option</v>
          </cell>
          <cell r="E4229">
            <v>4866.5595999999996</v>
          </cell>
        </row>
        <row r="4230">
          <cell r="B4230" t="str">
            <v>INF789FA1Q26</v>
          </cell>
          <cell r="C4230" t="str">
            <v>INF789FA1Q34</v>
          </cell>
          <cell r="D4230" t="str">
            <v>UTI Ultra Short Duration Fund - Direct Plan - Half-Yearly IDCW</v>
          </cell>
          <cell r="E4230">
            <v>1543.0220999999999</v>
          </cell>
        </row>
        <row r="4231">
          <cell r="B4231" t="str">
            <v>INF789FA1P84</v>
          </cell>
          <cell r="C4231" t="str">
            <v>INF789FA1P92</v>
          </cell>
          <cell r="D4231" t="str">
            <v>UTI Ultra Short Duration Fund - Direct Plan - Monthly IDCW</v>
          </cell>
          <cell r="E4231">
            <v>1172.7176999999999</v>
          </cell>
        </row>
        <row r="4232">
          <cell r="B4232" t="str">
            <v>INF789FA1Q00</v>
          </cell>
          <cell r="C4232" t="str">
            <v>INF789FA1Q18</v>
          </cell>
          <cell r="D4232" t="str">
            <v>UTI Ultra Short Duration Fund - Direct Plan - Quarterly IDCW</v>
          </cell>
          <cell r="E4232">
            <v>2020.6428000000001</v>
          </cell>
        </row>
        <row r="4233">
          <cell r="B4233" t="str">
            <v>INF789FB1S63</v>
          </cell>
          <cell r="C4233" t="str">
            <v>-</v>
          </cell>
          <cell r="D4233" t="str">
            <v>UTI Ultra Short Duration Fund - Direct Plan - Weekly IDCW (Reinvestment)</v>
          </cell>
          <cell r="E4233">
            <v>1083.1049</v>
          </cell>
        </row>
        <row r="4234">
          <cell r="B4234" t="str">
            <v>INF789F01PM1</v>
          </cell>
          <cell r="C4234" t="str">
            <v>-</v>
          </cell>
          <cell r="D4234" t="str">
            <v>UTI Ultra Short Duration Fund - Discontinued - INSTN GROWTH OPTION</v>
          </cell>
          <cell r="E4234">
            <v>3228.8523</v>
          </cell>
        </row>
        <row r="4235">
          <cell r="B4235" t="str">
            <v>-</v>
          </cell>
          <cell r="C4235" t="str">
            <v>INF789F01PL3</v>
          </cell>
          <cell r="D4235" t="str">
            <v>UTI Ultra Short Duration Fund - Discontinued - INSTN PLAN - PERIODIC DIVIDEND OPTION</v>
          </cell>
          <cell r="E4235">
            <v>1003.5556</v>
          </cell>
        </row>
        <row r="4236">
          <cell r="B4236" t="str">
            <v>INF789FA1P43</v>
          </cell>
          <cell r="C4236" t="str">
            <v>INF789FA1P50</v>
          </cell>
          <cell r="D4236" t="str">
            <v>UTI Ultra Short Duration Fund - Regular Plan - Annual IDCW</v>
          </cell>
          <cell r="E4236">
            <v>1474.5911000000001</v>
          </cell>
        </row>
        <row r="4237">
          <cell r="B4237" t="str">
            <v>-</v>
          </cell>
          <cell r="C4237" t="str">
            <v>INF789F01554</v>
          </cell>
          <cell r="D4237" t="str">
            <v>UTI Ultra Short Duration Fund - Regular Plan - Daily IDCW (Reinvestment)</v>
          </cell>
          <cell r="E4237">
            <v>1050.1854000000001</v>
          </cell>
        </row>
        <row r="4238">
          <cell r="B4238" t="str">
            <v>INF789FB1KS6</v>
          </cell>
          <cell r="C4238" t="str">
            <v>INF789FB1KT4</v>
          </cell>
          <cell r="D4238" t="str">
            <v>UTI Ultra Short Duration Fund - Regular Plan - Flexi IDCW</v>
          </cell>
          <cell r="E4238">
            <v>1739.5459000000001</v>
          </cell>
        </row>
        <row r="4239">
          <cell r="B4239" t="str">
            <v>INF789FA1O69</v>
          </cell>
          <cell r="C4239" t="str">
            <v>INF789FA1O77</v>
          </cell>
          <cell r="D4239" t="str">
            <v>UTI Ultra Short Duration Fund - Regular Plan - Fortnightly IDCW</v>
          </cell>
          <cell r="E4239">
            <v>1321.2858000000001</v>
          </cell>
        </row>
        <row r="4240">
          <cell r="B4240" t="str">
            <v>INF789F01570</v>
          </cell>
          <cell r="C4240" t="str">
            <v>-</v>
          </cell>
          <cell r="D4240" t="str">
            <v>UTI Ultra Short Duration Fund - Regular Plan - Growth Option</v>
          </cell>
          <cell r="E4240">
            <v>4506.2024000000001</v>
          </cell>
        </row>
        <row r="4241">
          <cell r="B4241" t="str">
            <v>INF789FA1P27</v>
          </cell>
          <cell r="C4241" t="str">
            <v>INF789FA1P35</v>
          </cell>
          <cell r="D4241" t="str">
            <v>UTI Ultra Short Duration Fund - Regular Plan - Half-Yearly IDCW</v>
          </cell>
          <cell r="E4241">
            <v>1020.0924</v>
          </cell>
        </row>
        <row r="4242">
          <cell r="B4242" t="str">
            <v>INF789FA1O85</v>
          </cell>
          <cell r="C4242" t="str">
            <v>INF789FA1O93</v>
          </cell>
          <cell r="D4242" t="str">
            <v>UTI Ultra Short Duration Fund - Regular Plan - Monthly IDCW</v>
          </cell>
          <cell r="E4242">
            <v>1117.1052999999999</v>
          </cell>
        </row>
        <row r="4243">
          <cell r="B4243" t="str">
            <v>INF789FA1P01</v>
          </cell>
          <cell r="C4243" t="str">
            <v>INF789FA1P19</v>
          </cell>
          <cell r="D4243" t="str">
            <v>UTI Ultra Short Duration Fund - Regular Plan - Quarterly IDCW</v>
          </cell>
          <cell r="E4243">
            <v>1302.0776000000001</v>
          </cell>
        </row>
        <row r="4244">
          <cell r="B4244" t="str">
            <v>-</v>
          </cell>
          <cell r="C4244" t="str">
            <v>INF789F01562</v>
          </cell>
          <cell r="D4244" t="str">
            <v>UTI Ultra Short Duration Fund - Regular Plan - Weekly IDCW (Reinvestment)</v>
          </cell>
          <cell r="E4244">
            <v>1426.0686000000001</v>
          </cell>
        </row>
        <row r="4245">
          <cell r="B4245" t="str">
            <v/>
          </cell>
          <cell r="C4245" t="str">
            <v/>
          </cell>
          <cell r="D4245" t="str">
            <v/>
          </cell>
        </row>
        <row r="4246">
          <cell r="B4246" t="str">
            <v/>
          </cell>
          <cell r="C4246" t="str">
            <v/>
          </cell>
          <cell r="D4246" t="str">
            <v/>
          </cell>
        </row>
        <row r="4247">
          <cell r="B4247" t="str">
            <v/>
          </cell>
          <cell r="C4247" t="str">
            <v/>
          </cell>
          <cell r="D4247" t="str">
            <v/>
          </cell>
        </row>
        <row r="4248">
          <cell r="B4248" t="str">
            <v>-</v>
          </cell>
          <cell r="C4248" t="str">
            <v>INF03VN01175</v>
          </cell>
          <cell r="D4248" t="str">
            <v>WhiteOak Capital Ultra Short Duration Fund- Direct plan-Daily Reinvestment of Income Distribution cum capital withdrawal option (IDCW)</v>
          </cell>
          <cell r="E4248">
            <v>1004.9897999999999</v>
          </cell>
        </row>
        <row r="4249">
          <cell r="B4249" t="str">
            <v>INF03VN01183</v>
          </cell>
          <cell r="C4249" t="str">
            <v>INF03VN01191</v>
          </cell>
          <cell r="D4249" t="str">
            <v>WhiteOak Capital Ultra Short Duration Fund- Direct plan-Fortnightly Payout/ Reinvestment of Income Distribution cum capital withdrawal option (IDCW)</v>
          </cell>
          <cell r="E4249">
            <v>1006.3971</v>
          </cell>
        </row>
        <row r="4250">
          <cell r="B4250" t="str">
            <v>INF03VN01209</v>
          </cell>
          <cell r="C4250" t="str">
            <v>-</v>
          </cell>
          <cell r="D4250" t="str">
            <v>WhiteOak Capital Ultra Short Duration Fund- Direct plan-Growth Option</v>
          </cell>
          <cell r="E4250">
            <v>1503.9277999999999</v>
          </cell>
        </row>
        <row r="4251">
          <cell r="B4251" t="str">
            <v>INF03VN01217</v>
          </cell>
          <cell r="C4251" t="str">
            <v>INF03VN01225</v>
          </cell>
          <cell r="D4251" t="str">
            <v>WhiteOak Capital Ultra Short Duration Fund- Direct plan-Monthly Payout/ Reinvestment of Income Distribution cum capital withdrawal option (IDCW)</v>
          </cell>
          <cell r="E4251">
            <v>1006.9225</v>
          </cell>
        </row>
        <row r="4252">
          <cell r="B4252" t="str">
            <v>INF03VN01233</v>
          </cell>
          <cell r="C4252" t="str">
            <v>INF03VN01241</v>
          </cell>
          <cell r="D4252" t="str">
            <v>WhiteOak Capital Ultra Short Duration Fund- Direct plan-Weekly Payout/ Reinvestment of Income Distribution cum capital withdrawal option (IDCW)</v>
          </cell>
          <cell r="E4252">
            <v>1004.888</v>
          </cell>
        </row>
        <row r="4253">
          <cell r="B4253" t="str">
            <v>-</v>
          </cell>
          <cell r="C4253" t="str">
            <v>INF03VN01258</v>
          </cell>
          <cell r="D4253" t="str">
            <v>WhiteOak Capital Ultra Short Duration Fund- Regular plan-Daily Reinvestment of Income Distribution cum capital withdrawal option (IDCW)</v>
          </cell>
          <cell r="E4253">
            <v>1004.9921000000001</v>
          </cell>
        </row>
        <row r="4254">
          <cell r="B4254" t="str">
            <v>INF03VN01266</v>
          </cell>
          <cell r="C4254" t="str">
            <v>INF03VN01274</v>
          </cell>
          <cell r="D4254" t="str">
            <v>WhiteOak Capital Ultra Short Duration Fund- Regular plan-Fortnightly Payout/ Reinvestment of Income Distribution cum capital withdrawal option (IDCW)</v>
          </cell>
          <cell r="E4254">
            <v>1006.2683</v>
          </cell>
        </row>
        <row r="4255">
          <cell r="B4255" t="str">
            <v>INF03VN01282</v>
          </cell>
          <cell r="C4255" t="str">
            <v>-</v>
          </cell>
          <cell r="D4255" t="str">
            <v>WhiteOak Capital Ultra Short Duration Fund- Regular plan-Growth Option</v>
          </cell>
          <cell r="E4255">
            <v>1444.6432</v>
          </cell>
        </row>
        <row r="4256">
          <cell r="B4256" t="str">
            <v>INF03VN01290</v>
          </cell>
          <cell r="C4256" t="str">
            <v>INF03VN01308</v>
          </cell>
          <cell r="D4256" t="str">
            <v>WhiteOak Capital Ultra Short Duration Fund- Regular plan-Monthly Payout/ Reinvestment of Income Distribution cum capital withdrawal option (IDCW)</v>
          </cell>
          <cell r="E4256">
            <v>1005.735</v>
          </cell>
        </row>
        <row r="4257">
          <cell r="B4257" t="str">
            <v>INF03VN01316</v>
          </cell>
          <cell r="C4257" t="str">
            <v>INF03VN01324</v>
          </cell>
          <cell r="D4257" t="str">
            <v>WhiteOak Capital Ultra Short Duration Fund- Regular plan-Weekly Payout/ Reinvestment of Income Distribution cum capital withdrawal option (IDCW)</v>
          </cell>
          <cell r="E4257">
            <v>1006.2885</v>
          </cell>
        </row>
        <row r="4258">
          <cell r="B4258" t="str">
            <v/>
          </cell>
          <cell r="C4258" t="str">
            <v/>
          </cell>
          <cell r="D4258" t="str">
            <v/>
          </cell>
        </row>
        <row r="4259">
          <cell r="B4259" t="str">
            <v/>
          </cell>
          <cell r="C4259" t="str">
            <v/>
          </cell>
          <cell r="D4259" t="str">
            <v/>
          </cell>
        </row>
        <row r="4260">
          <cell r="B4260" t="str">
            <v/>
          </cell>
          <cell r="C4260" t="str">
            <v/>
          </cell>
          <cell r="D4260" t="str">
            <v/>
          </cell>
        </row>
        <row r="4261">
          <cell r="B4261" t="str">
            <v/>
          </cell>
          <cell r="C4261" t="str">
            <v/>
          </cell>
          <cell r="D4261" t="str">
            <v/>
          </cell>
        </row>
        <row r="4262">
          <cell r="B4262" t="str">
            <v/>
          </cell>
          <cell r="C4262" t="str">
            <v/>
          </cell>
          <cell r="D4262" t="str">
            <v/>
          </cell>
        </row>
        <row r="4263">
          <cell r="B4263" t="str">
            <v>INF205K01LE4</v>
          </cell>
          <cell r="C4263" t="str">
            <v>-</v>
          </cell>
          <cell r="D4263" t="str">
            <v>Invesco India Contra Fund - Direct Plan - Growth</v>
          </cell>
          <cell r="E4263">
            <v>156.94</v>
          </cell>
        </row>
        <row r="4264">
          <cell r="B4264" t="str">
            <v>INF205K01LC8</v>
          </cell>
          <cell r="C4264" t="str">
            <v>INF205K01LD6</v>
          </cell>
          <cell r="D4264" t="str">
            <v>Invesco India Contra Fund - Direct Plan - IDCW (Payout / Reinvestment)</v>
          </cell>
          <cell r="E4264">
            <v>65.349999999999994</v>
          </cell>
        </row>
        <row r="4265">
          <cell r="B4265" t="str">
            <v>INF205K01189</v>
          </cell>
          <cell r="C4265" t="str">
            <v>-</v>
          </cell>
          <cell r="D4265" t="str">
            <v>Invesco India Contra Fund - Regular Plan - Growth</v>
          </cell>
          <cell r="E4265">
            <v>132.41999999999999</v>
          </cell>
        </row>
        <row r="4266">
          <cell r="B4266" t="str">
            <v>INF205K01205</v>
          </cell>
          <cell r="C4266" t="str">
            <v>INF205K01197</v>
          </cell>
          <cell r="D4266" t="str">
            <v>Invesco India Contra Fund - Regular Plan - IDCW (Payout / Reinvestment)</v>
          </cell>
          <cell r="E4266">
            <v>48.51</v>
          </cell>
        </row>
        <row r="4267">
          <cell r="B4267" t="str">
            <v/>
          </cell>
          <cell r="C4267" t="str">
            <v/>
          </cell>
          <cell r="D4267" t="str">
            <v/>
          </cell>
        </row>
        <row r="4268">
          <cell r="B4268" t="str">
            <v/>
          </cell>
          <cell r="C4268" t="str">
            <v/>
          </cell>
          <cell r="D4268" t="str">
            <v/>
          </cell>
        </row>
        <row r="4269">
          <cell r="B4269" t="str">
            <v/>
          </cell>
          <cell r="C4269" t="str">
            <v/>
          </cell>
          <cell r="D4269" t="str">
            <v/>
          </cell>
        </row>
        <row r="4270">
          <cell r="B4270" t="str">
            <v>INF174K01KZ9</v>
          </cell>
          <cell r="C4270" t="str">
            <v>-</v>
          </cell>
          <cell r="D4270" t="str">
            <v>Kotak Contra Fund - Direct Plan - Growth</v>
          </cell>
          <cell r="E4270">
            <v>183.00299999999999</v>
          </cell>
        </row>
        <row r="4271">
          <cell r="B4271" t="str">
            <v>INF174K01LA0</v>
          </cell>
          <cell r="C4271" t="str">
            <v>INF174K01LB8</v>
          </cell>
          <cell r="D4271" t="str">
            <v>Kotak Contra Fund - Direct Plan - IDCW -Payout &amp; Re-investment of Income Distribution cum capital withdrawal option- Direct</v>
          </cell>
          <cell r="E4271">
            <v>65.120999999999995</v>
          </cell>
        </row>
        <row r="4272">
          <cell r="B4272" t="str">
            <v>INF174K01245</v>
          </cell>
          <cell r="C4272" t="str">
            <v>-</v>
          </cell>
          <cell r="D4272" t="str">
            <v>Kotak Contra Fund - Regular Plan - Growth</v>
          </cell>
          <cell r="E4272">
            <v>153.20500000000001</v>
          </cell>
        </row>
        <row r="4273">
          <cell r="B4273" t="str">
            <v>INF174K01260</v>
          </cell>
          <cell r="C4273" t="str">
            <v>INF174K01252</v>
          </cell>
          <cell r="D4273" t="str">
            <v>Kotak Contra Fund - Regular Plan - IDCW - Payout &amp; Re-investment of Income Distribution cum capital withdrawal option</v>
          </cell>
          <cell r="E4273">
            <v>52.808999999999997</v>
          </cell>
        </row>
        <row r="4274">
          <cell r="B4274" t="str">
            <v/>
          </cell>
          <cell r="C4274" t="str">
            <v/>
          </cell>
          <cell r="D4274" t="str">
            <v/>
          </cell>
        </row>
        <row r="4275">
          <cell r="B4275" t="str">
            <v/>
          </cell>
          <cell r="C4275" t="str">
            <v/>
          </cell>
          <cell r="D4275" t="str">
            <v/>
          </cell>
        </row>
        <row r="4276">
          <cell r="B4276" t="str">
            <v/>
          </cell>
          <cell r="C4276" t="str">
            <v/>
          </cell>
          <cell r="D4276" t="str">
            <v/>
          </cell>
        </row>
        <row r="4277">
          <cell r="B4277" t="str">
            <v>INF247L01GW6</v>
          </cell>
          <cell r="C4277" t="str">
            <v>-</v>
          </cell>
          <cell r="D4277" t="str">
            <v>Motilal Oswal Contra Fund - Direct â€“ Growth</v>
          </cell>
          <cell r="E4277">
            <v>10.4831</v>
          </cell>
        </row>
        <row r="4278">
          <cell r="B4278" t="str">
            <v>INF247L01HA0</v>
          </cell>
          <cell r="C4278" t="str">
            <v>INF247L01HB8</v>
          </cell>
          <cell r="D4278" t="str">
            <v>Motilal Oswal Contra Fund - Regular - IDCW</v>
          </cell>
          <cell r="E4278">
            <v>10.458500000000001</v>
          </cell>
        </row>
        <row r="4279">
          <cell r="B4279" t="str">
            <v>INF247L01GZ9</v>
          </cell>
          <cell r="C4279" t="str">
            <v>-</v>
          </cell>
          <cell r="D4279" t="str">
            <v>Motilal Oswal Contra Fund - Regular â€“ Growth</v>
          </cell>
          <cell r="E4279">
            <v>10.458500000000001</v>
          </cell>
        </row>
        <row r="4280">
          <cell r="B4280" t="str">
            <v>INF247L01GX4</v>
          </cell>
          <cell r="C4280" t="str">
            <v>INF247L01GY2</v>
          </cell>
          <cell r="D4280" t="str">
            <v>Motilal Oswal Contra Fund â€“ Direct â€“ IDCW</v>
          </cell>
          <cell r="E4280">
            <v>10.4831</v>
          </cell>
        </row>
        <row r="4281">
          <cell r="B4281" t="str">
            <v/>
          </cell>
          <cell r="C4281" t="str">
            <v/>
          </cell>
          <cell r="D4281" t="str">
            <v/>
          </cell>
        </row>
        <row r="4282">
          <cell r="B4282" t="str">
            <v/>
          </cell>
          <cell r="C4282" t="str">
            <v/>
          </cell>
          <cell r="D4282" t="str">
            <v/>
          </cell>
        </row>
        <row r="4283">
          <cell r="B4283" t="str">
            <v/>
          </cell>
          <cell r="C4283" t="str">
            <v/>
          </cell>
          <cell r="D4283" t="str">
            <v/>
          </cell>
        </row>
        <row r="4284">
          <cell r="B4284" t="str">
            <v>INF200K01RA0</v>
          </cell>
          <cell r="C4284" t="str">
            <v>-</v>
          </cell>
          <cell r="D4284" t="str">
            <v>SBI CONTRA FUND - DIRECT PLAN - GROWTH</v>
          </cell>
          <cell r="E4284">
            <v>413.17529999999999</v>
          </cell>
        </row>
        <row r="4285">
          <cell r="B4285" t="str">
            <v>INF200K01QY2</v>
          </cell>
          <cell r="C4285" t="str">
            <v>INF200K01QZ9</v>
          </cell>
          <cell r="D4285" t="str">
            <v>SBI Contra Fund - Direct Plan - Income Distribution cum Capital Withdrawal Option (IDCW)</v>
          </cell>
          <cell r="E4285">
            <v>87.197900000000004</v>
          </cell>
        </row>
        <row r="4286">
          <cell r="B4286" t="str">
            <v>INF200K01347</v>
          </cell>
          <cell r="C4286" t="str">
            <v>INF200K01354</v>
          </cell>
          <cell r="D4286" t="str">
            <v>SBI Contra Fund - Regular Plan - Income Distribution cum Capital Withdrawal Option (IDCW)</v>
          </cell>
          <cell r="E4286">
            <v>65.088700000000003</v>
          </cell>
        </row>
        <row r="4287">
          <cell r="B4287" t="str">
            <v>INF200K01362</v>
          </cell>
          <cell r="C4287" t="str">
            <v>-</v>
          </cell>
          <cell r="D4287" t="str">
            <v>SBI CONTRA FUND - REGULAR PLAN -GROWTH</v>
          </cell>
          <cell r="E4287">
            <v>375.35570000000001</v>
          </cell>
        </row>
        <row r="4288">
          <cell r="B4288" t="str">
            <v/>
          </cell>
          <cell r="C4288" t="str">
            <v/>
          </cell>
          <cell r="D4288" t="str">
            <v/>
          </cell>
        </row>
        <row r="4289">
          <cell r="B4289" t="str">
            <v/>
          </cell>
          <cell r="C4289" t="str">
            <v/>
          </cell>
          <cell r="D4289" t="str">
            <v/>
          </cell>
        </row>
        <row r="4290">
          <cell r="B4290" t="str">
            <v/>
          </cell>
          <cell r="C4290" t="str">
            <v/>
          </cell>
          <cell r="D4290" t="str">
            <v/>
          </cell>
        </row>
        <row r="4291">
          <cell r="B4291" t="str">
            <v/>
          </cell>
          <cell r="C4291" t="str">
            <v/>
          </cell>
          <cell r="D4291" t="str">
            <v/>
          </cell>
        </row>
        <row r="4292">
          <cell r="B4292" t="str">
            <v/>
          </cell>
          <cell r="C4292" t="str">
            <v/>
          </cell>
          <cell r="D4292" t="str">
            <v/>
          </cell>
        </row>
        <row r="4293">
          <cell r="B4293" t="str">
            <v>INF209K01WA1</v>
          </cell>
          <cell r="C4293" t="str">
            <v>-</v>
          </cell>
          <cell r="D4293" t="str">
            <v>Aditya Birla Sun Life Dividend Yield Fund - Growth - Direct Plan</v>
          </cell>
          <cell r="E4293">
            <v>497.69</v>
          </cell>
        </row>
        <row r="4294">
          <cell r="B4294" t="str">
            <v>INF209K01405</v>
          </cell>
          <cell r="C4294" t="str">
            <v>-</v>
          </cell>
          <cell r="D4294" t="str">
            <v>Aditya Birla Sun Life Dividend Yield Fund - Growth - Regular Plan</v>
          </cell>
          <cell r="E4294">
            <v>449.38</v>
          </cell>
        </row>
        <row r="4295">
          <cell r="B4295" t="str">
            <v>INF209K01Q55</v>
          </cell>
          <cell r="C4295" t="str">
            <v>INF209K01WB9</v>
          </cell>
          <cell r="D4295" t="str">
            <v>Aditya Birla Sun Life Dividend Yield Fund -DIRECT - IDCW</v>
          </cell>
          <cell r="E4295">
            <v>45.95</v>
          </cell>
        </row>
        <row r="4296">
          <cell r="B4296" t="str">
            <v>INF209K01397</v>
          </cell>
          <cell r="C4296" t="str">
            <v>INF209K01CP1</v>
          </cell>
          <cell r="D4296" t="str">
            <v>Aditya Birla Sun Life Dividend Yield Fund -REGULAR - IDCW</v>
          </cell>
          <cell r="E4296">
            <v>25.11</v>
          </cell>
        </row>
        <row r="4297">
          <cell r="B4297" t="str">
            <v/>
          </cell>
          <cell r="C4297" t="str">
            <v/>
          </cell>
          <cell r="D4297" t="str">
            <v/>
          </cell>
        </row>
        <row r="4298">
          <cell r="B4298" t="str">
            <v/>
          </cell>
          <cell r="C4298" t="str">
            <v/>
          </cell>
          <cell r="D4298" t="str">
            <v/>
          </cell>
        </row>
        <row r="4299">
          <cell r="B4299" t="str">
            <v/>
          </cell>
          <cell r="C4299" t="str">
            <v/>
          </cell>
          <cell r="D4299" t="str">
            <v/>
          </cell>
        </row>
        <row r="4300">
          <cell r="B4300" t="str">
            <v>INF251K01TV5</v>
          </cell>
          <cell r="C4300" t="str">
            <v>-</v>
          </cell>
          <cell r="D4300" t="str">
            <v>Baroda BNP Paribas Dividend Yield Fund - Direct Plan - Growth Option</v>
          </cell>
          <cell r="E4300">
            <v>9.8795999999999999</v>
          </cell>
        </row>
        <row r="4301">
          <cell r="B4301" t="str">
            <v>INF251K01TW3</v>
          </cell>
          <cell r="C4301" t="str">
            <v>INF251K01TX1</v>
          </cell>
          <cell r="D4301" t="str">
            <v>Baroda BNP Paribas Dividend Yield Fund - Direct Plan - IDCW Option</v>
          </cell>
          <cell r="E4301">
            <v>9.8795999999999999</v>
          </cell>
        </row>
        <row r="4302">
          <cell r="B4302" t="str">
            <v>INF251K01TS1</v>
          </cell>
          <cell r="C4302" t="str">
            <v>-</v>
          </cell>
          <cell r="D4302" t="str">
            <v>Baroda BNP Paribas Dividend Yield Fund - Regular Plan - Growth Option</v>
          </cell>
          <cell r="E4302">
            <v>9.6034000000000006</v>
          </cell>
        </row>
        <row r="4303">
          <cell r="B4303" t="str">
            <v>INF251K01TT9</v>
          </cell>
          <cell r="C4303" t="str">
            <v>INF251K01TU7</v>
          </cell>
          <cell r="D4303" t="str">
            <v>Baroda BNP Paribas Dividend Yield Fund - Regular Plan - IDCW Option</v>
          </cell>
          <cell r="E4303">
            <v>9.6034000000000006</v>
          </cell>
        </row>
        <row r="4304">
          <cell r="B4304" t="str">
            <v/>
          </cell>
          <cell r="C4304" t="str">
            <v/>
          </cell>
          <cell r="D4304" t="str">
            <v/>
          </cell>
        </row>
        <row r="4305">
          <cell r="B4305" t="str">
            <v/>
          </cell>
          <cell r="C4305" t="str">
            <v/>
          </cell>
          <cell r="D4305" t="str">
            <v/>
          </cell>
        </row>
        <row r="4306">
          <cell r="B4306" t="str">
            <v/>
          </cell>
          <cell r="C4306" t="str">
            <v/>
          </cell>
          <cell r="D4306" t="str">
            <v/>
          </cell>
        </row>
        <row r="4307">
          <cell r="B4307" t="str">
            <v>INF090I01IT8</v>
          </cell>
          <cell r="C4307" t="str">
            <v>-</v>
          </cell>
          <cell r="D4307" t="str">
            <v>Franklin India Dividend Yield Fund - Direct - Growth</v>
          </cell>
          <cell r="E4307">
            <v>149.6893</v>
          </cell>
        </row>
        <row r="4308">
          <cell r="B4308" t="str">
            <v>INF090I01IR2</v>
          </cell>
          <cell r="C4308" t="str">
            <v>INF090I01IS0</v>
          </cell>
          <cell r="D4308" t="str">
            <v>Franklin India Dividend Yield Fund - Direct - IDCW</v>
          </cell>
          <cell r="E4308">
            <v>26.798999999999999</v>
          </cell>
        </row>
        <row r="4309">
          <cell r="B4309" t="str">
            <v>INF090I01932</v>
          </cell>
          <cell r="C4309" t="str">
            <v>INF090I01940</v>
          </cell>
          <cell r="D4309" t="str">
            <v>Franklin India Dividend Yield Fund - IDCW</v>
          </cell>
          <cell r="E4309">
            <v>23.538499999999999</v>
          </cell>
        </row>
        <row r="4310">
          <cell r="B4310" t="str">
            <v>INF090I01957</v>
          </cell>
          <cell r="C4310" t="str">
            <v>-</v>
          </cell>
          <cell r="D4310" t="str">
            <v>Franklin India Dividend Yield Fund-Growth Plan</v>
          </cell>
          <cell r="E4310">
            <v>135.6413</v>
          </cell>
        </row>
        <row r="4311">
          <cell r="B4311" t="str">
            <v/>
          </cell>
          <cell r="C4311" t="str">
            <v/>
          </cell>
          <cell r="D4311" t="str">
            <v/>
          </cell>
        </row>
        <row r="4312">
          <cell r="B4312" t="str">
            <v/>
          </cell>
          <cell r="C4312" t="str">
            <v/>
          </cell>
          <cell r="D4312" t="str">
            <v/>
          </cell>
        </row>
        <row r="4313">
          <cell r="B4313" t="str">
            <v/>
          </cell>
          <cell r="C4313" t="str">
            <v/>
          </cell>
          <cell r="D4313" t="str">
            <v/>
          </cell>
        </row>
        <row r="4314">
          <cell r="B4314" t="str">
            <v>INF179KC1AO6</v>
          </cell>
          <cell r="C4314" t="str">
            <v>-</v>
          </cell>
          <cell r="D4314" t="str">
            <v>HDFC Dividend Yield Fund - Growth Option Direct Plan</v>
          </cell>
          <cell r="E4314">
            <v>26.619</v>
          </cell>
        </row>
        <row r="4315">
          <cell r="B4315" t="str">
            <v>INF179KC1AR9</v>
          </cell>
          <cell r="C4315" t="str">
            <v>-</v>
          </cell>
          <cell r="D4315" t="str">
            <v>HDFC Dividend Yield Fund - Growth Plan</v>
          </cell>
          <cell r="E4315">
            <v>24.663</v>
          </cell>
        </row>
        <row r="4316">
          <cell r="B4316" t="str">
            <v>INF179KC1AP3</v>
          </cell>
          <cell r="C4316" t="str">
            <v>INF179KC1AQ1</v>
          </cell>
          <cell r="D4316" t="str">
            <v>HDFC Dividend Yield Fund - IDCW Option Direct Plan</v>
          </cell>
          <cell r="E4316">
            <v>21.57</v>
          </cell>
        </row>
        <row r="4317">
          <cell r="B4317" t="str">
            <v>INF179KC1AS7</v>
          </cell>
          <cell r="C4317" t="str">
            <v>INF179KC1AT5</v>
          </cell>
          <cell r="D4317" t="str">
            <v>HDFC Dividend Yield Fund - IDCW Plan</v>
          </cell>
          <cell r="E4317">
            <v>19.654</v>
          </cell>
        </row>
        <row r="4318">
          <cell r="B4318" t="str">
            <v/>
          </cell>
          <cell r="C4318" t="str">
            <v/>
          </cell>
          <cell r="D4318" t="str">
            <v/>
          </cell>
        </row>
        <row r="4319">
          <cell r="B4319" t="str">
            <v/>
          </cell>
          <cell r="C4319" t="str">
            <v/>
          </cell>
          <cell r="D4319" t="str">
            <v/>
          </cell>
        </row>
        <row r="4320">
          <cell r="B4320" t="str">
            <v/>
          </cell>
          <cell r="C4320" t="str">
            <v/>
          </cell>
          <cell r="D4320" t="str">
            <v/>
          </cell>
        </row>
        <row r="4321">
          <cell r="B4321" t="str">
            <v>INF109KA1UA0</v>
          </cell>
          <cell r="C4321" t="str">
            <v>-</v>
          </cell>
          <cell r="D4321" t="str">
            <v>ICICI Prudential Dividend Yield Equity Fund Direct Plan Growth Option</v>
          </cell>
          <cell r="E4321">
            <v>59.98</v>
          </cell>
        </row>
        <row r="4322">
          <cell r="B4322" t="str">
            <v>INF109KA1UB8</v>
          </cell>
          <cell r="C4322" t="str">
            <v>INF109KA1UC6</v>
          </cell>
          <cell r="D4322" t="str">
            <v>ICICI Prudential Dividend Yield Equity Fund Direct Plan IDCW Option</v>
          </cell>
          <cell r="E4322">
            <v>25.25</v>
          </cell>
        </row>
        <row r="4323">
          <cell r="B4323" t="str">
            <v>INF109KA1TX4</v>
          </cell>
          <cell r="C4323" t="str">
            <v>-</v>
          </cell>
          <cell r="D4323" t="str">
            <v>ICICI Prudential Dividend Yield Equity Fund Growth Option</v>
          </cell>
          <cell r="E4323">
            <v>53.11</v>
          </cell>
        </row>
        <row r="4324">
          <cell r="B4324" t="str">
            <v>INF109KA1TY2</v>
          </cell>
          <cell r="C4324" t="str">
            <v>INF109KA1TZ9</v>
          </cell>
          <cell r="D4324" t="str">
            <v>ICICI Prudential Dividend Yield Equity Fund IDCW Option</v>
          </cell>
          <cell r="E4324">
            <v>18.87</v>
          </cell>
        </row>
        <row r="4325">
          <cell r="B4325" t="str">
            <v/>
          </cell>
          <cell r="C4325" t="str">
            <v/>
          </cell>
          <cell r="D4325" t="str">
            <v/>
          </cell>
        </row>
        <row r="4326">
          <cell r="B4326" t="str">
            <v/>
          </cell>
          <cell r="C4326" t="str">
            <v/>
          </cell>
          <cell r="D4326" t="str">
            <v/>
          </cell>
        </row>
        <row r="4327">
          <cell r="B4327" t="str">
            <v/>
          </cell>
          <cell r="C4327" t="str">
            <v/>
          </cell>
          <cell r="D4327" t="str">
            <v/>
          </cell>
        </row>
        <row r="4328">
          <cell r="B4328" t="str">
            <v>INF174KA1YI5</v>
          </cell>
          <cell r="C4328" t="str">
            <v>-</v>
          </cell>
          <cell r="D4328" t="str">
            <v>Kotak Dividend Yield Fund - Direct - Growth</v>
          </cell>
          <cell r="E4328">
            <v>9.766</v>
          </cell>
        </row>
        <row r="4329">
          <cell r="B4329" t="str">
            <v>INF174KA1YJ3</v>
          </cell>
          <cell r="C4329" t="str">
            <v>INF174KA1YK1</v>
          </cell>
          <cell r="D4329" t="str">
            <v>Kotak Dividend Yield Fund - Direct - IDCW</v>
          </cell>
          <cell r="E4329">
            <v>9.766</v>
          </cell>
        </row>
        <row r="4330">
          <cell r="B4330" t="str">
            <v>INF174KA1YL9</v>
          </cell>
          <cell r="C4330" t="str">
            <v>-</v>
          </cell>
          <cell r="D4330" t="str">
            <v>Kotak Dividend Yield Fund - Regular -Growth</v>
          </cell>
          <cell r="E4330">
            <v>9.6950000000000003</v>
          </cell>
        </row>
        <row r="4331">
          <cell r="B4331" t="str">
            <v>INF174KA1YM7</v>
          </cell>
          <cell r="C4331" t="str">
            <v>INF174KA1YN5</v>
          </cell>
          <cell r="D4331" t="str">
            <v>Kotak Dividend Yield Fund - Regular IDCW</v>
          </cell>
          <cell r="E4331">
            <v>9.6950000000000003</v>
          </cell>
        </row>
        <row r="4332">
          <cell r="B4332" t="str">
            <v/>
          </cell>
          <cell r="C4332" t="str">
            <v/>
          </cell>
          <cell r="D4332" t="str">
            <v/>
          </cell>
        </row>
        <row r="4333">
          <cell r="B4333" t="str">
            <v/>
          </cell>
          <cell r="C4333" t="str">
            <v/>
          </cell>
          <cell r="D4333" t="str">
            <v/>
          </cell>
        </row>
        <row r="4334">
          <cell r="B4334" t="str">
            <v/>
          </cell>
          <cell r="C4334" t="str">
            <v/>
          </cell>
          <cell r="D4334" t="str">
            <v/>
          </cell>
        </row>
        <row r="4335">
          <cell r="B4335" t="str">
            <v>INF397L01LC1</v>
          </cell>
          <cell r="C4335" t="str">
            <v>-</v>
          </cell>
          <cell r="D4335" t="str">
            <v>LIC MF Dividend Yield Fund-Direct Plan-Growth</v>
          </cell>
          <cell r="E4335">
            <v>35.1892</v>
          </cell>
        </row>
        <row r="4336">
          <cell r="B4336" t="str">
            <v>INF397L01KZ4</v>
          </cell>
          <cell r="C4336" t="str">
            <v>INF397L01LA5</v>
          </cell>
          <cell r="D4336" t="str">
            <v>LIC MF Dividend Yield Fund-Direct Plan-IDCW</v>
          </cell>
          <cell r="E4336">
            <v>35.1706</v>
          </cell>
        </row>
        <row r="4337">
          <cell r="B4337" t="str">
            <v>INF397L01KY7</v>
          </cell>
          <cell r="C4337" t="str">
            <v>-</v>
          </cell>
          <cell r="D4337" t="str">
            <v>LIC MF Dividend Yield Fund-Regular Plan-Growth</v>
          </cell>
          <cell r="E4337">
            <v>31.935500000000001</v>
          </cell>
        </row>
        <row r="4338">
          <cell r="B4338" t="str">
            <v>INF397L01KV3</v>
          </cell>
          <cell r="C4338" t="str">
            <v>INF397L01KW1</v>
          </cell>
          <cell r="D4338" t="str">
            <v>LIC MF Dividend Yield Fund-Regular Plan-IDCW</v>
          </cell>
          <cell r="E4338">
            <v>31.934799999999999</v>
          </cell>
        </row>
        <row r="4339">
          <cell r="B4339" t="str">
            <v/>
          </cell>
          <cell r="C4339" t="str">
            <v/>
          </cell>
          <cell r="D4339" t="str">
            <v/>
          </cell>
        </row>
        <row r="4340">
          <cell r="B4340" t="str">
            <v/>
          </cell>
          <cell r="C4340" t="str">
            <v/>
          </cell>
          <cell r="D4340" t="str">
            <v/>
          </cell>
        </row>
        <row r="4341">
          <cell r="B4341" t="str">
            <v/>
          </cell>
          <cell r="C4341" t="str">
            <v/>
          </cell>
          <cell r="D4341" t="str">
            <v/>
          </cell>
        </row>
        <row r="4342">
          <cell r="B4342" t="str">
            <v>INF200KA14W3</v>
          </cell>
          <cell r="C4342" t="str">
            <v>-</v>
          </cell>
          <cell r="D4342" t="str">
            <v>SBI Dividend Yield Fund - Direct Plan - Growth</v>
          </cell>
          <cell r="E4342">
            <v>16.014099999999999</v>
          </cell>
        </row>
        <row r="4343">
          <cell r="B4343" t="str">
            <v>INF200KA15W0</v>
          </cell>
          <cell r="C4343" t="str">
            <v>INF200KA16W8</v>
          </cell>
          <cell r="D4343" t="str">
            <v>SBI Dividend Yield Fund - Direct Plan - Income Distribution cum Capital Withdrawal (IDCW) Option</v>
          </cell>
          <cell r="E4343">
            <v>16.0152</v>
          </cell>
        </row>
        <row r="4344">
          <cell r="B4344" t="str">
            <v>INF200KA11W9</v>
          </cell>
          <cell r="C4344" t="str">
            <v>-</v>
          </cell>
          <cell r="D4344" t="str">
            <v>SBI Dividend Yield Fund - Regular Plan - Growth</v>
          </cell>
          <cell r="E4344">
            <v>15.4763</v>
          </cell>
        </row>
        <row r="4345">
          <cell r="B4345" t="str">
            <v>INF200KA12W7</v>
          </cell>
          <cell r="C4345" t="str">
            <v>INF200KA13W5</v>
          </cell>
          <cell r="D4345" t="str">
            <v>SBI Dividend Yield Fund - Regular Plan - Income Distribution cum Capital Withdrawal (IDCW) Option</v>
          </cell>
          <cell r="E4345">
            <v>15.476100000000001</v>
          </cell>
        </row>
        <row r="4346">
          <cell r="B4346" t="str">
            <v/>
          </cell>
          <cell r="C4346" t="str">
            <v/>
          </cell>
          <cell r="D4346" t="str">
            <v/>
          </cell>
        </row>
        <row r="4347">
          <cell r="B4347" t="str">
            <v/>
          </cell>
          <cell r="C4347" t="str">
            <v/>
          </cell>
          <cell r="D4347" t="str">
            <v/>
          </cell>
        </row>
        <row r="4348">
          <cell r="B4348" t="str">
            <v/>
          </cell>
          <cell r="C4348" t="str">
            <v/>
          </cell>
          <cell r="D4348" t="str">
            <v/>
          </cell>
        </row>
        <row r="4349">
          <cell r="B4349" t="str">
            <v>INF173K01EV3</v>
          </cell>
          <cell r="C4349" t="str">
            <v>-</v>
          </cell>
          <cell r="D4349" t="str">
            <v>Sundaram Dividend Yield Fund (Formerly Known as Principal Dividend Yield Fund) - Direct Plan - Growth Option</v>
          </cell>
          <cell r="E4349">
            <v>145.21090000000001</v>
          </cell>
        </row>
        <row r="4350">
          <cell r="B4350" t="str">
            <v>INF173K01ES9</v>
          </cell>
          <cell r="C4350" t="str">
            <v>INF173K01ET7</v>
          </cell>
          <cell r="D4350" t="str">
            <v>Sundaram Dividend Yield Fund (Formerly Known as Principal Dividend Yield Fund)- Direct Plan - Income Distribution CUM Capital Withdrawal Option</v>
          </cell>
          <cell r="E4350">
            <v>60.610500000000002</v>
          </cell>
        </row>
        <row r="4351">
          <cell r="B4351" t="str">
            <v>INF173K01AD9</v>
          </cell>
          <cell r="C4351" t="str">
            <v>INF173K01AE7</v>
          </cell>
          <cell r="D4351" t="str">
            <v>Sundaram Dividend Yield Fund (Formerly Known as Principal Dividend Yield Fund)- Income Distribution CUM Capital Withdrawal Plan</v>
          </cell>
          <cell r="E4351">
            <v>35.744599999999998</v>
          </cell>
        </row>
        <row r="4352">
          <cell r="B4352" t="str">
            <v>INF173K01AC1</v>
          </cell>
          <cell r="C4352" t="str">
            <v>-</v>
          </cell>
          <cell r="D4352" t="str">
            <v>Sundaram Dividend Yield Fund (Formerly Known as Principal Dividend Yield Fund)-Growth Plan</v>
          </cell>
          <cell r="E4352">
            <v>131.459</v>
          </cell>
        </row>
        <row r="4353">
          <cell r="B4353" t="str">
            <v/>
          </cell>
          <cell r="C4353" t="str">
            <v/>
          </cell>
          <cell r="D4353" t="str">
            <v/>
          </cell>
        </row>
        <row r="4354">
          <cell r="B4354" t="str">
            <v/>
          </cell>
          <cell r="C4354" t="str">
            <v/>
          </cell>
          <cell r="D4354" t="str">
            <v/>
          </cell>
        </row>
        <row r="4355">
          <cell r="B4355" t="str">
            <v/>
          </cell>
          <cell r="C4355" t="str">
            <v/>
          </cell>
          <cell r="D4355" t="str">
            <v/>
          </cell>
        </row>
        <row r="4356">
          <cell r="B4356" t="str">
            <v>INF277K015Z8</v>
          </cell>
          <cell r="C4356" t="str">
            <v>-</v>
          </cell>
          <cell r="D4356" t="str">
            <v>Tata Dividend Yield Fund-Direct Plan-Growth</v>
          </cell>
          <cell r="E4356">
            <v>21.321899999999999</v>
          </cell>
        </row>
        <row r="4357">
          <cell r="B4357" t="str">
            <v>INF277K017Z4</v>
          </cell>
          <cell r="C4357" t="str">
            <v>-</v>
          </cell>
          <cell r="D4357" t="str">
            <v>Tata Dividend Yield Fund-Direct Plan-IDCW Payout</v>
          </cell>
          <cell r="E4357">
            <v>21.321899999999999</v>
          </cell>
        </row>
        <row r="4358">
          <cell r="B4358" t="str">
            <v>-</v>
          </cell>
          <cell r="C4358" t="str">
            <v>INF277K016Z6</v>
          </cell>
          <cell r="D4358" t="str">
            <v>Tata Dividend Yield Fund-Direct Plan-IDCW Reinvestment</v>
          </cell>
          <cell r="E4358">
            <v>21.321899999999999</v>
          </cell>
        </row>
        <row r="4359">
          <cell r="B4359" t="str">
            <v>INF277K018Z2</v>
          </cell>
          <cell r="C4359" t="str">
            <v>-</v>
          </cell>
          <cell r="D4359" t="str">
            <v>Tata Dividend Yield Fund-Regular Plan-Growth</v>
          </cell>
          <cell r="E4359">
            <v>19.492699999999999</v>
          </cell>
        </row>
        <row r="4360">
          <cell r="B4360" t="str">
            <v>INF277KA1018</v>
          </cell>
          <cell r="C4360" t="str">
            <v>-</v>
          </cell>
          <cell r="D4360" t="str">
            <v>Tata Dividend Yield Fund-Regular Plan-IDCW Payout</v>
          </cell>
          <cell r="E4360">
            <v>19.492699999999999</v>
          </cell>
        </row>
        <row r="4361">
          <cell r="B4361" t="str">
            <v>-</v>
          </cell>
          <cell r="C4361" t="str">
            <v>INF277K019Z0</v>
          </cell>
          <cell r="D4361" t="str">
            <v>Tata Dividend Yield Fund-Regular Plan-IDCW Reinvestment</v>
          </cell>
          <cell r="E4361">
            <v>19.492699999999999</v>
          </cell>
        </row>
        <row r="4362">
          <cell r="B4362" t="str">
            <v/>
          </cell>
          <cell r="C4362" t="str">
            <v/>
          </cell>
          <cell r="D4362" t="str">
            <v/>
          </cell>
        </row>
        <row r="4363">
          <cell r="B4363" t="str">
            <v/>
          </cell>
          <cell r="C4363" t="str">
            <v/>
          </cell>
          <cell r="D4363" t="str">
            <v/>
          </cell>
        </row>
        <row r="4364">
          <cell r="B4364" t="str">
            <v/>
          </cell>
          <cell r="C4364" t="str">
            <v/>
          </cell>
          <cell r="D4364" t="str">
            <v/>
          </cell>
        </row>
        <row r="4365">
          <cell r="B4365" t="str">
            <v>INF789F01SU8</v>
          </cell>
          <cell r="C4365" t="str">
            <v>INF789F01SV6</v>
          </cell>
          <cell r="D4365" t="str">
            <v>UTI Dividend Yield Fund - Direct Plan - IDCW</v>
          </cell>
          <cell r="E4365">
            <v>40.053800000000003</v>
          </cell>
        </row>
        <row r="4366">
          <cell r="B4366" t="str">
            <v>INF789F01448</v>
          </cell>
          <cell r="C4366" t="str">
            <v>INF789F01455</v>
          </cell>
          <cell r="D4366" t="str">
            <v>UTI Dividend Yield Fund - Regular Plan - IDCW</v>
          </cell>
          <cell r="E4366">
            <v>33.094700000000003</v>
          </cell>
        </row>
        <row r="4367">
          <cell r="B4367" t="str">
            <v>INF789F01463</v>
          </cell>
          <cell r="C4367" t="str">
            <v>-</v>
          </cell>
          <cell r="D4367" t="str">
            <v>UTI-Dividend Yield Fund.-Growth</v>
          </cell>
          <cell r="E4367">
            <v>175.83539999999999</v>
          </cell>
        </row>
        <row r="4368">
          <cell r="B4368" t="str">
            <v>INF789F01SW4</v>
          </cell>
          <cell r="C4368" t="str">
            <v>-</v>
          </cell>
          <cell r="D4368" t="str">
            <v>UTI-Dividend Yield Fund.-Growth-Direct</v>
          </cell>
          <cell r="E4368">
            <v>190.827</v>
          </cell>
        </row>
        <row r="4369">
          <cell r="B4369" t="str">
            <v/>
          </cell>
          <cell r="C4369" t="str">
            <v/>
          </cell>
          <cell r="D4369" t="str">
            <v/>
          </cell>
        </row>
        <row r="4370">
          <cell r="B4370" t="str">
            <v/>
          </cell>
          <cell r="C4370" t="str">
            <v/>
          </cell>
          <cell r="D4370" t="str">
            <v/>
          </cell>
        </row>
        <row r="4371">
          <cell r="B4371" t="str">
            <v/>
          </cell>
          <cell r="C4371" t="str">
            <v/>
          </cell>
          <cell r="D4371" t="str">
            <v/>
          </cell>
        </row>
        <row r="4372">
          <cell r="B4372" t="str">
            <v/>
          </cell>
          <cell r="C4372" t="str">
            <v/>
          </cell>
          <cell r="D4372" t="str">
            <v/>
          </cell>
        </row>
        <row r="4373">
          <cell r="B4373" t="str">
            <v/>
          </cell>
          <cell r="C4373" t="str">
            <v/>
          </cell>
          <cell r="D4373" t="str">
            <v/>
          </cell>
        </row>
        <row r="4374">
          <cell r="B4374" t="str">
            <v>INF579M01AN2</v>
          </cell>
          <cell r="C4374" t="str">
            <v>-</v>
          </cell>
          <cell r="D4374" t="str">
            <v>360 ONE ELSS Tax Saver Nifty 50 Index Fund - Direct Plan - Growth</v>
          </cell>
          <cell r="E4374">
            <v>13.629</v>
          </cell>
        </row>
        <row r="4375">
          <cell r="B4375" t="str">
            <v>INF579M01AO0</v>
          </cell>
          <cell r="C4375" t="str">
            <v>-</v>
          </cell>
          <cell r="D4375" t="str">
            <v>360 ONE ELSS Tax Saver Nifty 50 Index Fund - Direct Plan - IDCW Payout</v>
          </cell>
          <cell r="E4375">
            <v>13.629</v>
          </cell>
        </row>
        <row r="4376">
          <cell r="B4376" t="str">
            <v>INF579M01AL6</v>
          </cell>
          <cell r="C4376" t="str">
            <v>-</v>
          </cell>
          <cell r="D4376" t="str">
            <v>360 ONE ELSS Tax Saver Nifty 50 Index Fund - Regular Plan - Growth</v>
          </cell>
          <cell r="E4376">
            <v>13.507999999999999</v>
          </cell>
        </row>
        <row r="4377">
          <cell r="B4377" t="str">
            <v>INF579M01AM4</v>
          </cell>
          <cell r="C4377" t="str">
            <v>-</v>
          </cell>
          <cell r="D4377" t="str">
            <v>360 ONE ELSS Tax Saver Nifty 50 Index Fund - Regular Plan - IDCW Payout</v>
          </cell>
          <cell r="E4377">
            <v>13.507999999999999</v>
          </cell>
        </row>
        <row r="4378">
          <cell r="B4378" t="str">
            <v/>
          </cell>
          <cell r="C4378" t="str">
            <v/>
          </cell>
          <cell r="D4378" t="str">
            <v/>
          </cell>
        </row>
        <row r="4379">
          <cell r="B4379" t="str">
            <v/>
          </cell>
          <cell r="C4379" t="str">
            <v/>
          </cell>
          <cell r="D4379" t="str">
            <v/>
          </cell>
        </row>
        <row r="4380">
          <cell r="B4380" t="str">
            <v/>
          </cell>
          <cell r="C4380" t="str">
            <v/>
          </cell>
          <cell r="D4380" t="str">
            <v/>
          </cell>
        </row>
        <row r="4381">
          <cell r="B4381" t="str">
            <v>INF209K01UN8</v>
          </cell>
          <cell r="C4381" t="str">
            <v>-</v>
          </cell>
          <cell r="D4381" t="str">
            <v>Aditya Birla Sun Life ELSS Tax Saver Fund - Growth - Direct Plan</v>
          </cell>
          <cell r="E4381">
            <v>69.37</v>
          </cell>
        </row>
        <row r="4382">
          <cell r="B4382" t="str">
            <v>INF209K01108</v>
          </cell>
          <cell r="C4382" t="str">
            <v>-</v>
          </cell>
          <cell r="D4382" t="str">
            <v>Aditya Birla Sun Life ELSS Tax Saver Fund - Growth Option</v>
          </cell>
          <cell r="E4382">
            <v>61.7</v>
          </cell>
        </row>
        <row r="4383">
          <cell r="B4383" t="str">
            <v>INF209K01P23</v>
          </cell>
          <cell r="C4383" t="str">
            <v>INF209K01UM0</v>
          </cell>
          <cell r="D4383" t="str">
            <v>Aditya Birla Sun Life ELSS Tax Saver Fund-DIRECT - IDCW</v>
          </cell>
          <cell r="E4383">
            <v>435.96</v>
          </cell>
        </row>
        <row r="4384">
          <cell r="B4384" t="str">
            <v>INF209K01090</v>
          </cell>
          <cell r="C4384" t="str">
            <v>INF209K01CB1</v>
          </cell>
          <cell r="D4384" t="str">
            <v>Aditya Birla Sun Life ELSS Tax Saver Fund-Regular - IDCW</v>
          </cell>
          <cell r="E4384">
            <v>189.31</v>
          </cell>
        </row>
        <row r="4385">
          <cell r="B4385" t="str">
            <v/>
          </cell>
          <cell r="C4385" t="str">
            <v/>
          </cell>
          <cell r="D4385" t="str">
            <v/>
          </cell>
        </row>
        <row r="4386">
          <cell r="B4386" t="str">
            <v/>
          </cell>
          <cell r="C4386" t="str">
            <v/>
          </cell>
          <cell r="D4386" t="str">
            <v/>
          </cell>
        </row>
        <row r="4387">
          <cell r="B4387" t="str">
            <v/>
          </cell>
          <cell r="C4387" t="str">
            <v/>
          </cell>
          <cell r="D4387" t="str">
            <v/>
          </cell>
        </row>
        <row r="4388">
          <cell r="B4388" t="str">
            <v>INF846K01EW2</v>
          </cell>
          <cell r="C4388" t="str">
            <v>-</v>
          </cell>
          <cell r="D4388" t="str">
            <v>Axis ELSS Tax Saver Fund - Direct Plan - Growth Option</v>
          </cell>
          <cell r="E4388">
            <v>109.22790000000001</v>
          </cell>
        </row>
        <row r="4389">
          <cell r="B4389" t="str">
            <v>INF846K01EX0</v>
          </cell>
          <cell r="C4389" t="str">
            <v>INF846K01EY8</v>
          </cell>
          <cell r="D4389" t="str">
            <v>Axis ELSS Tax Saver Fund - Direct Plan - IDCW</v>
          </cell>
          <cell r="E4389">
            <v>50.540199999999999</v>
          </cell>
        </row>
        <row r="4390">
          <cell r="B4390" t="str">
            <v>INF846K01131</v>
          </cell>
          <cell r="C4390" t="str">
            <v>-</v>
          </cell>
          <cell r="D4390" t="str">
            <v>Axis ELSS Tax Saver Fund - Regular Plan - Growth</v>
          </cell>
          <cell r="E4390">
            <v>96.013000000000005</v>
          </cell>
        </row>
        <row r="4391">
          <cell r="B4391" t="str">
            <v>INF846K01149</v>
          </cell>
          <cell r="C4391" t="str">
            <v>INF846K01156</v>
          </cell>
          <cell r="D4391" t="str">
            <v>Axis ELSS Tax Saver Fund - Regular Plan - IDCW</v>
          </cell>
          <cell r="E4391">
            <v>23.508099999999999</v>
          </cell>
        </row>
        <row r="4392">
          <cell r="B4392" t="str">
            <v/>
          </cell>
          <cell r="C4392" t="str">
            <v/>
          </cell>
          <cell r="D4392" t="str">
            <v/>
          </cell>
        </row>
        <row r="4393">
          <cell r="B4393" t="str">
            <v/>
          </cell>
          <cell r="C4393" t="str">
            <v/>
          </cell>
          <cell r="D4393" t="str">
            <v/>
          </cell>
        </row>
        <row r="4394">
          <cell r="B4394" t="str">
            <v/>
          </cell>
          <cell r="C4394" t="str">
            <v/>
          </cell>
          <cell r="D4394" t="str">
            <v/>
          </cell>
        </row>
        <row r="4395">
          <cell r="B4395" t="str">
            <v>INF0QA701AK0</v>
          </cell>
          <cell r="C4395" t="str">
            <v>-</v>
          </cell>
          <cell r="D4395" t="str">
            <v>BAJAJ FINSERV ELSS TAX SAVER FUND - DIRECT - GROWTH</v>
          </cell>
          <cell r="E4395">
            <v>11.675000000000001</v>
          </cell>
        </row>
        <row r="4396">
          <cell r="B4396" t="str">
            <v>INF0QA701AL8</v>
          </cell>
          <cell r="C4396" t="str">
            <v>-</v>
          </cell>
          <cell r="D4396" t="str">
            <v>BAJAJ FINSERV ELSS TAX SAVER FUND - DIRECT - IDCW</v>
          </cell>
          <cell r="E4396">
            <v>11.675000000000001</v>
          </cell>
        </row>
        <row r="4397">
          <cell r="B4397" t="str">
            <v>INF0QA701AI4</v>
          </cell>
          <cell r="C4397" t="str">
            <v>-</v>
          </cell>
          <cell r="D4397" t="str">
            <v>BAJAJ FINSERV ELSS TAX SAVER FUND - REGULAR - GROWTH</v>
          </cell>
          <cell r="E4397">
            <v>11.377000000000001</v>
          </cell>
        </row>
        <row r="4398">
          <cell r="B4398" t="str">
            <v>INF0QA701AJ2</v>
          </cell>
          <cell r="C4398" t="str">
            <v>-</v>
          </cell>
          <cell r="D4398" t="str">
            <v>BAJAJ FINSERV ELSS TAX SAVER FUND - REGULAR - IDCW</v>
          </cell>
          <cell r="E4398">
            <v>11.377000000000001</v>
          </cell>
        </row>
        <row r="4399">
          <cell r="B4399" t="str">
            <v/>
          </cell>
          <cell r="C4399" t="str">
            <v/>
          </cell>
          <cell r="D4399" t="str">
            <v/>
          </cell>
        </row>
        <row r="4400">
          <cell r="B4400" t="str">
            <v/>
          </cell>
          <cell r="C4400" t="str">
            <v/>
          </cell>
          <cell r="D4400" t="str">
            <v/>
          </cell>
        </row>
        <row r="4401">
          <cell r="B4401" t="str">
            <v/>
          </cell>
          <cell r="C4401" t="str">
            <v/>
          </cell>
          <cell r="D4401" t="str">
            <v/>
          </cell>
        </row>
        <row r="4402">
          <cell r="B4402" t="str">
            <v>INF194K01Y29</v>
          </cell>
          <cell r="C4402" t="str">
            <v>-</v>
          </cell>
          <cell r="D4402" t="str">
            <v>BANDHAN ELSS Tax Saver Fund - Direct Plan - Growth</v>
          </cell>
          <cell r="E4402">
            <v>177.941</v>
          </cell>
        </row>
        <row r="4403">
          <cell r="B4403" t="str">
            <v>INF194K01Y37</v>
          </cell>
          <cell r="C4403" t="str">
            <v>INF194K01Y45</v>
          </cell>
          <cell r="D4403" t="str">
            <v>BANDHAN ELSS Tax Saver Fund - Direct Plan - IDCW</v>
          </cell>
          <cell r="E4403">
            <v>41.177999999999997</v>
          </cell>
        </row>
        <row r="4404">
          <cell r="B4404" t="str">
            <v>INF194K01292</v>
          </cell>
          <cell r="C4404" t="str">
            <v>-</v>
          </cell>
          <cell r="D4404" t="str">
            <v>BANDHAN ELSS Tax Saver Fund - Regular Plan - Growth</v>
          </cell>
          <cell r="E4404">
            <v>153.22499999999999</v>
          </cell>
        </row>
        <row r="4405">
          <cell r="B4405" t="str">
            <v>INF194K01300</v>
          </cell>
          <cell r="C4405" t="str">
            <v>INF194K01318</v>
          </cell>
          <cell r="D4405" t="str">
            <v>BANDHAN ELSS Tax Saver Fund - Regular Plan - IDCW</v>
          </cell>
          <cell r="E4405">
            <v>30.948</v>
          </cell>
        </row>
        <row r="4406">
          <cell r="B4406" t="str">
            <v/>
          </cell>
          <cell r="C4406" t="str">
            <v/>
          </cell>
          <cell r="D4406" t="str">
            <v/>
          </cell>
        </row>
        <row r="4407">
          <cell r="B4407" t="str">
            <v/>
          </cell>
          <cell r="C4407" t="str">
            <v/>
          </cell>
          <cell r="D4407" t="str">
            <v/>
          </cell>
        </row>
        <row r="4408">
          <cell r="B4408" t="str">
            <v/>
          </cell>
          <cell r="C4408" t="str">
            <v/>
          </cell>
          <cell r="D4408" t="str">
            <v/>
          </cell>
        </row>
        <row r="4409">
          <cell r="B4409" t="str">
            <v>INF761K01884</v>
          </cell>
          <cell r="C4409" t="str">
            <v>-</v>
          </cell>
          <cell r="D4409" t="str">
            <v>BANK OF INDIA ELSS Tax Saver -Direct Plan- Growth</v>
          </cell>
          <cell r="E4409">
            <v>192.94</v>
          </cell>
        </row>
        <row r="4410">
          <cell r="B4410" t="str">
            <v>INF761K01876</v>
          </cell>
          <cell r="C4410" t="str">
            <v>INF761K01868</v>
          </cell>
          <cell r="D4410" t="str">
            <v>BANK OF INDIA ELSS Tax Saver -Direct Plan-IDCW</v>
          </cell>
          <cell r="E4410">
            <v>77.05</v>
          </cell>
        </row>
        <row r="4411">
          <cell r="B4411" t="str">
            <v>INF761K01157</v>
          </cell>
          <cell r="C4411" t="str">
            <v>-</v>
          </cell>
          <cell r="D4411" t="str">
            <v>BANK OF INDIA ELSS Tax Saver -ECO Plan-Growth</v>
          </cell>
          <cell r="E4411">
            <v>177.51</v>
          </cell>
        </row>
        <row r="4412">
          <cell r="B4412" t="str">
            <v>INF761K01132</v>
          </cell>
          <cell r="C4412" t="str">
            <v>INF761K01140</v>
          </cell>
          <cell r="D4412" t="str">
            <v>BANK OF INDIA ELSS Tax Saver -ECO Plan-IDCW</v>
          </cell>
          <cell r="E4412">
            <v>29.46</v>
          </cell>
        </row>
        <row r="4413">
          <cell r="B4413" t="str">
            <v>INF761K01181</v>
          </cell>
          <cell r="C4413" t="str">
            <v>-</v>
          </cell>
          <cell r="D4413" t="str">
            <v>BANK OF INDIA ELSS Tax Saver -Regular Plan- Growth</v>
          </cell>
          <cell r="E4413">
            <v>163.65</v>
          </cell>
        </row>
        <row r="4414">
          <cell r="B4414" t="str">
            <v>INF761K01165</v>
          </cell>
          <cell r="C4414" t="str">
            <v>INF761K01173</v>
          </cell>
          <cell r="D4414" t="str">
            <v>BANK OF INDIA ELSS Tax Saver -Regular Plan-IDCW</v>
          </cell>
          <cell r="E4414">
            <v>31.52</v>
          </cell>
        </row>
        <row r="4415">
          <cell r="B4415" t="str">
            <v/>
          </cell>
          <cell r="C4415" t="str">
            <v/>
          </cell>
          <cell r="D4415" t="str">
            <v/>
          </cell>
        </row>
        <row r="4416">
          <cell r="B4416" t="str">
            <v/>
          </cell>
          <cell r="C4416" t="str">
            <v/>
          </cell>
          <cell r="D4416" t="str">
            <v/>
          </cell>
        </row>
        <row r="4417">
          <cell r="B4417" t="str">
            <v/>
          </cell>
          <cell r="C4417" t="str">
            <v/>
          </cell>
          <cell r="D4417" t="str">
            <v/>
          </cell>
        </row>
        <row r="4418">
          <cell r="B4418" t="str">
            <v>INF251K01HF3</v>
          </cell>
          <cell r="C4418" t="str">
            <v>-</v>
          </cell>
          <cell r="D4418" t="str">
            <v>BARODA BNP PARIBAS ELSS Tax Saver Fund - Direct Plan - Growth Option</v>
          </cell>
          <cell r="E4418">
            <v>112.56229999999999</v>
          </cell>
        </row>
        <row r="4419">
          <cell r="B4419" t="str">
            <v>INF251K01HH9</v>
          </cell>
          <cell r="C4419" t="str">
            <v>INF251K01HG1</v>
          </cell>
          <cell r="D4419" t="str">
            <v>BARODA BNP PARIBAS ELSS Tax Saver Fund - Direct Plan - IDCW Option</v>
          </cell>
          <cell r="E4419">
            <v>27.852499999999999</v>
          </cell>
        </row>
        <row r="4420">
          <cell r="B4420" t="str">
            <v>INF251K01985</v>
          </cell>
          <cell r="C4420" t="str">
            <v>-</v>
          </cell>
          <cell r="D4420" t="str">
            <v>BARODA BNP PARIBAS ELSS Tax Saver Fund - Regular - Growth Option</v>
          </cell>
          <cell r="E4420">
            <v>98.652600000000007</v>
          </cell>
        </row>
        <row r="4421">
          <cell r="B4421" t="str">
            <v>INF251K01AA9</v>
          </cell>
          <cell r="C4421" t="str">
            <v>INF251K01993</v>
          </cell>
          <cell r="D4421" t="str">
            <v>BARODA BNP PARIBAS ELSS Tax Saver Fund- Regular - IDCW Option</v>
          </cell>
          <cell r="E4421">
            <v>21.684000000000001</v>
          </cell>
        </row>
        <row r="4422">
          <cell r="B4422" t="str">
            <v/>
          </cell>
          <cell r="C4422" t="str">
            <v/>
          </cell>
          <cell r="D4422" t="str">
            <v/>
          </cell>
        </row>
        <row r="4423">
          <cell r="B4423" t="str">
            <v/>
          </cell>
          <cell r="C4423" t="str">
            <v/>
          </cell>
          <cell r="D4423" t="str">
            <v/>
          </cell>
        </row>
        <row r="4424">
          <cell r="B4424" t="str">
            <v/>
          </cell>
          <cell r="C4424" t="str">
            <v/>
          </cell>
          <cell r="D4424" t="str">
            <v/>
          </cell>
        </row>
        <row r="4425">
          <cell r="B4425" t="str">
            <v>INF760K01EL8</v>
          </cell>
          <cell r="C4425" t="str">
            <v>-</v>
          </cell>
          <cell r="D4425" t="str">
            <v>CANARA ROBECO ELSS TAX SAVER - DIRECT PLAN - GROWTH OPTION</v>
          </cell>
          <cell r="E4425">
            <v>200.59</v>
          </cell>
        </row>
        <row r="4426">
          <cell r="B4426" t="str">
            <v>INF760K01EJ2</v>
          </cell>
          <cell r="C4426" t="str">
            <v>INF760K01EK0</v>
          </cell>
          <cell r="D4426" t="str">
            <v>CANARA ROBECO ELSS TAX SAVER - DIRECT PLAN - IDCW (Payout)</v>
          </cell>
          <cell r="E4426">
            <v>77.77</v>
          </cell>
        </row>
        <row r="4427">
          <cell r="B4427" t="str">
            <v>INF760K01100</v>
          </cell>
          <cell r="C4427" t="str">
            <v>-</v>
          </cell>
          <cell r="D4427" t="str">
            <v>CANARA ROBECO ELSS TAX SAVER - REGULAR PLAN - GROWTH OPTION</v>
          </cell>
          <cell r="E4427">
            <v>177.46</v>
          </cell>
        </row>
        <row r="4428">
          <cell r="B4428" t="str">
            <v>INF760K01084</v>
          </cell>
          <cell r="C4428" t="str">
            <v>INF760K01092</v>
          </cell>
          <cell r="D4428" t="str">
            <v>CANARA ROBECO ELSS TAX SAVER - REGULAR PLAN -IDCW (Payout)</v>
          </cell>
          <cell r="E4428">
            <v>47.46</v>
          </cell>
        </row>
        <row r="4429">
          <cell r="B4429" t="str">
            <v/>
          </cell>
          <cell r="C4429" t="str">
            <v/>
          </cell>
          <cell r="D4429" t="str">
            <v/>
          </cell>
        </row>
        <row r="4430">
          <cell r="B4430" t="str">
            <v/>
          </cell>
          <cell r="C4430" t="str">
            <v/>
          </cell>
          <cell r="D4430" t="str">
            <v/>
          </cell>
        </row>
        <row r="4431">
          <cell r="B4431" t="str">
            <v/>
          </cell>
          <cell r="C4431" t="str">
            <v/>
          </cell>
          <cell r="D4431" t="str">
            <v/>
          </cell>
        </row>
        <row r="4432">
          <cell r="B4432" t="str">
            <v>INF740K01OK1</v>
          </cell>
          <cell r="C4432" t="str">
            <v>-</v>
          </cell>
          <cell r="D4432" t="str">
            <v>DSP ELSS Tax Saver Fund - Direct Plan - Growth</v>
          </cell>
          <cell r="E4432">
            <v>154.20500000000001</v>
          </cell>
        </row>
        <row r="4433">
          <cell r="B4433" t="str">
            <v>INF740K01OL9</v>
          </cell>
          <cell r="C4433" t="str">
            <v>INF740K01OM7</v>
          </cell>
          <cell r="D4433" t="str">
            <v>DSP ELSS Tax Saver Fund - Direct Plan - IDCW</v>
          </cell>
          <cell r="E4433">
            <v>91.414000000000001</v>
          </cell>
        </row>
        <row r="4434">
          <cell r="B4434" t="str">
            <v>INF740K01185</v>
          </cell>
          <cell r="C4434" t="str">
            <v>-</v>
          </cell>
          <cell r="D4434" t="str">
            <v>DSP ELSS Tax Saver Fund - Regular Plan - Growth</v>
          </cell>
          <cell r="E4434">
            <v>137.55500000000001</v>
          </cell>
        </row>
        <row r="4435">
          <cell r="B4435" t="str">
            <v>INF740K01169</v>
          </cell>
          <cell r="C4435" t="str">
            <v>INF740K01177</v>
          </cell>
          <cell r="D4435" t="str">
            <v>DSP ELSS Tax Saver Fund - Regular Plan - IDCW</v>
          </cell>
          <cell r="E4435">
            <v>21.856999999999999</v>
          </cell>
        </row>
        <row r="4436">
          <cell r="B4436" t="str">
            <v/>
          </cell>
          <cell r="C4436" t="str">
            <v/>
          </cell>
          <cell r="D4436" t="str">
            <v/>
          </cell>
        </row>
        <row r="4437">
          <cell r="B4437" t="str">
            <v/>
          </cell>
          <cell r="C4437" t="str">
            <v/>
          </cell>
          <cell r="D4437" t="str">
            <v/>
          </cell>
        </row>
        <row r="4438">
          <cell r="B4438" t="str">
            <v/>
          </cell>
          <cell r="C4438" t="str">
            <v/>
          </cell>
          <cell r="D4438" t="str">
            <v/>
          </cell>
        </row>
        <row r="4439">
          <cell r="B4439" t="str">
            <v>INF754K01BX2</v>
          </cell>
          <cell r="C4439" t="str">
            <v>INF754K01BY0</v>
          </cell>
          <cell r="D4439" t="str">
            <v>Edelweiss ELSS Tax Saver Fund - Direct Plan - IDCW Option</v>
          </cell>
          <cell r="E4439">
            <v>46.6</v>
          </cell>
        </row>
        <row r="4440">
          <cell r="B4440" t="str">
            <v>INF754K01CA8</v>
          </cell>
          <cell r="C4440" t="str">
            <v>-</v>
          </cell>
          <cell r="D4440" t="str">
            <v>Edelweiss ELSS Tax Saver Fund - Direct Plan-Growth Option</v>
          </cell>
          <cell r="E4440">
            <v>137.81</v>
          </cell>
        </row>
        <row r="4441">
          <cell r="B4441" t="str">
            <v>INF754K01517</v>
          </cell>
          <cell r="C4441" t="str">
            <v>-</v>
          </cell>
          <cell r="D4441" t="str">
            <v>Edelweiss ELSS Tax Saver Fund - Regular Plan - Growth Option</v>
          </cell>
          <cell r="E4441">
            <v>114.63</v>
          </cell>
        </row>
        <row r="4442">
          <cell r="B4442" t="str">
            <v>INF754K01525</v>
          </cell>
          <cell r="C4442" t="str">
            <v>INF754K01541</v>
          </cell>
          <cell r="D4442" t="str">
            <v>Edelweiss ELSS Tax Saver Fund - Regular Plan - IDCW Option</v>
          </cell>
          <cell r="E4442">
            <v>30.68</v>
          </cell>
        </row>
        <row r="4443">
          <cell r="B4443" t="str">
            <v/>
          </cell>
          <cell r="C4443" t="str">
            <v/>
          </cell>
          <cell r="D4443" t="str">
            <v/>
          </cell>
        </row>
        <row r="4444">
          <cell r="B4444" t="str">
            <v/>
          </cell>
          <cell r="C4444" t="str">
            <v/>
          </cell>
          <cell r="D4444" t="str">
            <v/>
          </cell>
        </row>
        <row r="4445">
          <cell r="B4445" t="str">
            <v/>
          </cell>
          <cell r="C4445" t="str">
            <v/>
          </cell>
          <cell r="D4445" t="str">
            <v/>
          </cell>
        </row>
        <row r="4446">
          <cell r="B4446" t="str">
            <v>INF090I01JS8</v>
          </cell>
          <cell r="C4446" t="str">
            <v>-</v>
          </cell>
          <cell r="D4446" t="str">
            <v>Franklin India ELSS Tax Saver Fund - Direct - Growth</v>
          </cell>
          <cell r="E4446">
            <v>1594.6229000000001</v>
          </cell>
        </row>
        <row r="4447">
          <cell r="B4447" t="str">
            <v>INF090I01JT6</v>
          </cell>
          <cell r="C4447" t="str">
            <v>INF090I01JU4</v>
          </cell>
          <cell r="D4447" t="str">
            <v>Franklin India ELSS Tax Saver Fund - Direct - IDCW</v>
          </cell>
          <cell r="E4447">
            <v>69.825400000000002</v>
          </cell>
        </row>
        <row r="4448">
          <cell r="B4448" t="str">
            <v>INF090I01783</v>
          </cell>
          <cell r="C4448" t="str">
            <v>INF090I01791</v>
          </cell>
          <cell r="D4448" t="str">
            <v>Franklin India ELSS Tax Saver Fund - IDCW</v>
          </cell>
          <cell r="E4448">
            <v>59.968200000000003</v>
          </cell>
        </row>
        <row r="4449">
          <cell r="B4449" t="str">
            <v>INF090I01775</v>
          </cell>
          <cell r="C4449" t="str">
            <v>-</v>
          </cell>
          <cell r="D4449" t="str">
            <v>Franklin India ELSS Tax Saver Fund-Growth</v>
          </cell>
          <cell r="E4449">
            <v>1419.1741999999999</v>
          </cell>
        </row>
        <row r="4450">
          <cell r="B4450" t="str">
            <v/>
          </cell>
          <cell r="C4450" t="str">
            <v/>
          </cell>
          <cell r="D4450" t="str">
            <v/>
          </cell>
        </row>
        <row r="4451">
          <cell r="B4451" t="str">
            <v/>
          </cell>
          <cell r="C4451" t="str">
            <v/>
          </cell>
          <cell r="D4451" t="str">
            <v/>
          </cell>
        </row>
        <row r="4452">
          <cell r="B4452" t="str">
            <v/>
          </cell>
          <cell r="C4452" t="str">
            <v/>
          </cell>
          <cell r="D4452" t="str">
            <v/>
          </cell>
        </row>
        <row r="4453">
          <cell r="B4453" t="str">
            <v>INF666M01DL5</v>
          </cell>
          <cell r="C4453" t="str">
            <v>-</v>
          </cell>
          <cell r="D4453" t="str">
            <v>Groww ELSS Tax Saver Fund (formerly known as Indiabulls Tax Savings Fund)- Direct Plan- Dividend Option</v>
          </cell>
          <cell r="E4453">
            <v>21.62</v>
          </cell>
        </row>
        <row r="4454">
          <cell r="B4454" t="str">
            <v>INF666M01DK7</v>
          </cell>
          <cell r="C4454" t="str">
            <v>-</v>
          </cell>
          <cell r="D4454" t="str">
            <v>Groww ELSS Tax Saver Fund (formerly known as Indiabulls Tax Savings Fund)- Direct Plan- Growth Option</v>
          </cell>
          <cell r="E4454">
            <v>21.65</v>
          </cell>
        </row>
        <row r="4455">
          <cell r="B4455" t="str">
            <v>INF666M01DO9</v>
          </cell>
          <cell r="C4455" t="str">
            <v>-</v>
          </cell>
          <cell r="D4455" t="str">
            <v>Groww ELSS Tax Saver Fund (formerly known as Indiabulls Tax Savings Fund)- Regular Plan- - Income Distribution cum capital withdrawal Option (Payout)</v>
          </cell>
          <cell r="E4455">
            <v>18.809999999999999</v>
          </cell>
        </row>
        <row r="4456">
          <cell r="B4456" t="str">
            <v>INF666M01DN1</v>
          </cell>
          <cell r="C4456" t="str">
            <v>-</v>
          </cell>
          <cell r="D4456" t="str">
            <v>Groww ELSS Tax Saver Fund (formerly known as Indiabulls Tax Savings Fund)-Regular Plan-Growth Option</v>
          </cell>
          <cell r="E4456">
            <v>18.8</v>
          </cell>
        </row>
        <row r="4457">
          <cell r="B4457" t="str">
            <v/>
          </cell>
          <cell r="C4457" t="str">
            <v/>
          </cell>
          <cell r="D4457" t="str">
            <v/>
          </cell>
        </row>
        <row r="4458">
          <cell r="B4458" t="str">
            <v/>
          </cell>
          <cell r="C4458" t="str">
            <v/>
          </cell>
          <cell r="D4458" t="str">
            <v/>
          </cell>
        </row>
        <row r="4459">
          <cell r="B4459" t="str">
            <v/>
          </cell>
          <cell r="C4459" t="str">
            <v/>
          </cell>
          <cell r="D4459" t="str">
            <v/>
          </cell>
        </row>
        <row r="4460">
          <cell r="B4460" t="str">
            <v>INF179K01YS4</v>
          </cell>
          <cell r="C4460" t="str">
            <v>-</v>
          </cell>
          <cell r="D4460" t="str">
            <v>HDFC ELSS Tax saver - Growth Option - Direct Plan</v>
          </cell>
          <cell r="E4460">
            <v>1477.65</v>
          </cell>
        </row>
        <row r="4461">
          <cell r="B4461" t="str">
            <v>INF179K01BB8</v>
          </cell>
          <cell r="C4461" t="str">
            <v>-</v>
          </cell>
          <cell r="D4461" t="str">
            <v>HDFC ELSS Tax saver - Growth Plan</v>
          </cell>
          <cell r="E4461">
            <v>1360.009</v>
          </cell>
        </row>
        <row r="4462">
          <cell r="B4462" t="str">
            <v>INF179K01YQ8</v>
          </cell>
          <cell r="C4462" t="str">
            <v>INF179K01YR6</v>
          </cell>
          <cell r="D4462" t="str">
            <v>HDFC ELSS Tax saver - IDCW Option - Direct Plan</v>
          </cell>
          <cell r="E4462">
            <v>92.363</v>
          </cell>
        </row>
        <row r="4463">
          <cell r="B4463" t="str">
            <v>INF179K01AZ9</v>
          </cell>
          <cell r="C4463" t="str">
            <v>INF179K01BA0</v>
          </cell>
          <cell r="D4463" t="str">
            <v>HDFC ELSS Tax saver - IDCW Plan</v>
          </cell>
          <cell r="E4463">
            <v>66.006</v>
          </cell>
        </row>
        <row r="4464">
          <cell r="B4464" t="str">
            <v>INF179K01WX8</v>
          </cell>
          <cell r="C4464" t="str">
            <v>-</v>
          </cell>
          <cell r="D4464" t="str">
            <v>HDFC Long Term Advantage Plan - Growth Option - Direct Plan</v>
          </cell>
          <cell r="E4464">
            <v>625.38499999999999</v>
          </cell>
        </row>
        <row r="4465">
          <cell r="B4465" t="str">
            <v>INF179K01996</v>
          </cell>
          <cell r="C4465" t="str">
            <v>-</v>
          </cell>
          <cell r="D4465" t="str">
            <v>HDFC Long Term Advantage Plan - Growth Plan</v>
          </cell>
          <cell r="E4465">
            <v>595.16800000000001</v>
          </cell>
        </row>
        <row r="4466">
          <cell r="B4466" t="str">
            <v>INF179K01WV2</v>
          </cell>
          <cell r="C4466" t="str">
            <v>INF179K01WW0</v>
          </cell>
          <cell r="D4466" t="str">
            <v>HDFC Long Term Advantage Plan - IDCW Option - Direct Plan</v>
          </cell>
          <cell r="E4466">
            <v>57.515000000000001</v>
          </cell>
        </row>
        <row r="4467">
          <cell r="B4467" t="str">
            <v>INF179K01970</v>
          </cell>
          <cell r="C4467" t="str">
            <v>INF179K01988</v>
          </cell>
          <cell r="D4467" t="str">
            <v>HDFC Long Term Advantage Plan - IDCW Plan</v>
          </cell>
          <cell r="E4467">
            <v>51.722000000000001</v>
          </cell>
        </row>
        <row r="4468">
          <cell r="B4468" t="str">
            <v/>
          </cell>
          <cell r="C4468" t="str">
            <v/>
          </cell>
          <cell r="D4468" t="str">
            <v/>
          </cell>
        </row>
        <row r="4469">
          <cell r="B4469" t="str">
            <v/>
          </cell>
          <cell r="C4469" t="str">
            <v/>
          </cell>
          <cell r="D4469" t="str">
            <v/>
          </cell>
        </row>
        <row r="4470">
          <cell r="B4470" t="str">
            <v/>
          </cell>
          <cell r="C4470" t="str">
            <v/>
          </cell>
          <cell r="D4470" t="str">
            <v/>
          </cell>
        </row>
        <row r="4471">
          <cell r="B4471" t="str">
            <v>INF917K01GP0</v>
          </cell>
          <cell r="C4471" t="str">
            <v>-</v>
          </cell>
          <cell r="D4471" t="str">
            <v>HSBC ELSS Tax saver Fund - Direct Growth</v>
          </cell>
          <cell r="E4471">
            <v>152.91679999999999</v>
          </cell>
        </row>
        <row r="4472">
          <cell r="B4472" t="str">
            <v>INF917K01GO3</v>
          </cell>
          <cell r="C4472" t="str">
            <v>-</v>
          </cell>
          <cell r="D4472" t="str">
            <v>HSBC ELSS Tax saver Fund - Direct IDCW Payout</v>
          </cell>
          <cell r="E4472">
            <v>39.571199999999997</v>
          </cell>
        </row>
        <row r="4473">
          <cell r="B4473" t="str">
            <v>INF677K01064</v>
          </cell>
          <cell r="C4473" t="str">
            <v>-</v>
          </cell>
          <cell r="D4473" t="str">
            <v>HSBC ELSS Tax saver Fund - Regular Growth</v>
          </cell>
          <cell r="E4473">
            <v>139.2381</v>
          </cell>
        </row>
        <row r="4474">
          <cell r="B4474" t="str">
            <v>INF677K01072</v>
          </cell>
          <cell r="C4474" t="str">
            <v>-</v>
          </cell>
          <cell r="D4474" t="str">
            <v>HSBC ELSS Tax saver Fund - Regular IDCW Payout</v>
          </cell>
          <cell r="E4474">
            <v>26.819900000000001</v>
          </cell>
        </row>
        <row r="4475">
          <cell r="B4475" t="str">
            <v/>
          </cell>
          <cell r="C4475" t="str">
            <v/>
          </cell>
          <cell r="D4475" t="str">
            <v/>
          </cell>
        </row>
        <row r="4476">
          <cell r="B4476" t="str">
            <v/>
          </cell>
          <cell r="C4476" t="str">
            <v/>
          </cell>
          <cell r="D4476" t="str">
            <v/>
          </cell>
        </row>
        <row r="4477">
          <cell r="B4477" t="str">
            <v/>
          </cell>
          <cell r="C4477" t="str">
            <v/>
          </cell>
          <cell r="D4477" t="str">
            <v/>
          </cell>
        </row>
        <row r="4478">
          <cell r="B4478" t="str">
            <v>INF109K01Y31</v>
          </cell>
          <cell r="C4478" t="str">
            <v>-</v>
          </cell>
          <cell r="D4478" t="str">
            <v>ICICI Prudential ELSS Tax Saver Fund - Direct Plan - Growth</v>
          </cell>
          <cell r="E4478">
            <v>1033.69</v>
          </cell>
        </row>
        <row r="4479">
          <cell r="B4479" t="str">
            <v>INF109K01Y15</v>
          </cell>
          <cell r="C4479" t="str">
            <v>INF109K01Y23</v>
          </cell>
          <cell r="D4479" t="str">
            <v>ICICI Prudential ELSS Tax Saver Fund - Direct Plan - IDCW</v>
          </cell>
          <cell r="E4479">
            <v>44.39</v>
          </cell>
        </row>
        <row r="4480">
          <cell r="B4480" t="str">
            <v>INF109K01464</v>
          </cell>
          <cell r="C4480" t="str">
            <v>-</v>
          </cell>
          <cell r="D4480" t="str">
            <v>ICICI Prudential ELSS Tax Saver Fund - Growth</v>
          </cell>
          <cell r="E4480">
            <v>925.46</v>
          </cell>
        </row>
        <row r="4481">
          <cell r="B4481" t="str">
            <v>INF109K01FN1</v>
          </cell>
          <cell r="C4481" t="str">
            <v>INF109K01472</v>
          </cell>
          <cell r="D4481" t="str">
            <v>ICICI Prudential ELSS Tax Saver Fund - IDCW</v>
          </cell>
          <cell r="E4481">
            <v>21.08</v>
          </cell>
        </row>
        <row r="4482">
          <cell r="B4482" t="str">
            <v/>
          </cell>
          <cell r="C4482" t="str">
            <v/>
          </cell>
          <cell r="D4482" t="str">
            <v/>
          </cell>
        </row>
        <row r="4483">
          <cell r="B4483" t="str">
            <v/>
          </cell>
          <cell r="C4483" t="str">
            <v/>
          </cell>
          <cell r="D4483" t="str">
            <v/>
          </cell>
        </row>
        <row r="4484">
          <cell r="B4484" t="str">
            <v/>
          </cell>
          <cell r="C4484" t="str">
            <v/>
          </cell>
          <cell r="D4484" t="str">
            <v/>
          </cell>
        </row>
        <row r="4485">
          <cell r="B4485" t="str">
            <v>INF205K01NT8</v>
          </cell>
          <cell r="C4485" t="str">
            <v>-</v>
          </cell>
          <cell r="D4485" t="str">
            <v>Invesco India ELSS Tax Saver Fund - Direct Plan - Growth</v>
          </cell>
          <cell r="E4485">
            <v>147.6</v>
          </cell>
        </row>
        <row r="4486">
          <cell r="B4486" t="str">
            <v>INF205K01NR2</v>
          </cell>
          <cell r="C4486" t="str">
            <v>INF205K01NS0</v>
          </cell>
          <cell r="D4486" t="str">
            <v>Invesco India ELSS Tax Saver Fund - Direct Plan - IDCW Payout</v>
          </cell>
          <cell r="E4486">
            <v>32.090000000000003</v>
          </cell>
        </row>
        <row r="4487">
          <cell r="B4487" t="str">
            <v>INF205K01270</v>
          </cell>
          <cell r="C4487" t="str">
            <v>-</v>
          </cell>
          <cell r="D4487" t="str">
            <v>Invesco India ELSS Tax Saver Fund - Regular Plan - Growth</v>
          </cell>
          <cell r="E4487">
            <v>123.39</v>
          </cell>
        </row>
        <row r="4488">
          <cell r="B4488" t="str">
            <v>INF205K01296</v>
          </cell>
          <cell r="C4488" t="str">
            <v>INF205K01288</v>
          </cell>
          <cell r="D4488" t="str">
            <v>Invesco India ELSS Tax Saver Fund - Regular Plan - IDCW Payout</v>
          </cell>
          <cell r="E4488">
            <v>24.15</v>
          </cell>
        </row>
        <row r="4489">
          <cell r="B4489" t="str">
            <v/>
          </cell>
          <cell r="C4489" t="str">
            <v/>
          </cell>
          <cell r="D4489" t="str">
            <v/>
          </cell>
        </row>
        <row r="4490">
          <cell r="B4490" t="str">
            <v/>
          </cell>
          <cell r="C4490" t="str">
            <v/>
          </cell>
          <cell r="D4490" t="str">
            <v/>
          </cell>
        </row>
        <row r="4491">
          <cell r="B4491" t="str">
            <v/>
          </cell>
          <cell r="C4491" t="str">
            <v/>
          </cell>
          <cell r="D4491" t="str">
            <v/>
          </cell>
        </row>
        <row r="4492">
          <cell r="B4492" t="str">
            <v>INF00XX01390</v>
          </cell>
          <cell r="C4492" t="str">
            <v>-</v>
          </cell>
          <cell r="D4492" t="str">
            <v>ITI ELSS Tax Saver Fund - Direct Plan - Growth Option</v>
          </cell>
          <cell r="E4492">
            <v>28.557200000000002</v>
          </cell>
        </row>
        <row r="4493">
          <cell r="B4493" t="str">
            <v>INF00XX01408</v>
          </cell>
          <cell r="C4493" t="str">
            <v>-</v>
          </cell>
          <cell r="D4493" t="str">
            <v>ITI ELSS Tax Saver Fund - Direct Plan - IDCW Option</v>
          </cell>
          <cell r="E4493">
            <v>25.2651</v>
          </cell>
        </row>
        <row r="4494">
          <cell r="B4494" t="str">
            <v>INF00XX01374</v>
          </cell>
          <cell r="C4494" t="str">
            <v>-</v>
          </cell>
          <cell r="D4494" t="str">
            <v>ITI ELSS Tax Saver Fund - Regular Plan - Growth Option</v>
          </cell>
          <cell r="E4494">
            <v>25</v>
          </cell>
        </row>
        <row r="4495">
          <cell r="B4495" t="str">
            <v>INF00XX01382</v>
          </cell>
          <cell r="C4495" t="str">
            <v>-</v>
          </cell>
          <cell r="D4495" t="str">
            <v>ITI ELSS Tax Saver Fund - Regular Plan - IDCW Option</v>
          </cell>
          <cell r="E4495">
            <v>21.8809</v>
          </cell>
        </row>
        <row r="4496">
          <cell r="B4496" t="str">
            <v/>
          </cell>
          <cell r="C4496" t="str">
            <v/>
          </cell>
          <cell r="D4496" t="str">
            <v/>
          </cell>
        </row>
        <row r="4497">
          <cell r="B4497" t="str">
            <v/>
          </cell>
          <cell r="C4497" t="str">
            <v/>
          </cell>
          <cell r="D4497" t="str">
            <v/>
          </cell>
        </row>
        <row r="4498">
          <cell r="B4498" t="str">
            <v/>
          </cell>
          <cell r="C4498" t="str">
            <v/>
          </cell>
          <cell r="D4498" t="str">
            <v/>
          </cell>
        </row>
        <row r="4499">
          <cell r="B4499" t="str">
            <v>INF192K01CE3</v>
          </cell>
          <cell r="C4499" t="str">
            <v>-</v>
          </cell>
          <cell r="D4499" t="str">
            <v>JM ELSS Tax Saver Fund (Direct) - Growth Option</v>
          </cell>
          <cell r="E4499">
            <v>58.578600000000002</v>
          </cell>
        </row>
        <row r="4500">
          <cell r="B4500" t="str">
            <v>INF192K01CD5</v>
          </cell>
          <cell r="C4500" t="str">
            <v>-</v>
          </cell>
          <cell r="D4500" t="str">
            <v>JM ELSS Tax Saver Fund (Direct) - IDCW</v>
          </cell>
          <cell r="E4500">
            <v>57.134399999999999</v>
          </cell>
        </row>
        <row r="4501">
          <cell r="B4501" t="str">
            <v>INF192K01650</v>
          </cell>
          <cell r="C4501" t="str">
            <v>-</v>
          </cell>
          <cell r="D4501" t="str">
            <v>JM ELSS Tax Saver Fund (Regular) - Growth option</v>
          </cell>
          <cell r="E4501">
            <v>50.609900000000003</v>
          </cell>
        </row>
        <row r="4502">
          <cell r="B4502" t="str">
            <v>INF192K01643</v>
          </cell>
          <cell r="C4502" t="str">
            <v>-</v>
          </cell>
          <cell r="D4502" t="str">
            <v>JM ELSS Tax Saver Fund (Regular) - IDCW</v>
          </cell>
          <cell r="E4502">
            <v>50.609099999999998</v>
          </cell>
        </row>
        <row r="4503">
          <cell r="B4503" t="str">
            <v/>
          </cell>
          <cell r="C4503" t="str">
            <v/>
          </cell>
          <cell r="D4503" t="str">
            <v/>
          </cell>
        </row>
        <row r="4504">
          <cell r="B4504" t="str">
            <v/>
          </cell>
          <cell r="C4504" t="str">
            <v/>
          </cell>
          <cell r="D4504" t="str">
            <v/>
          </cell>
        </row>
        <row r="4505">
          <cell r="B4505" t="str">
            <v/>
          </cell>
          <cell r="C4505" t="str">
            <v/>
          </cell>
          <cell r="D4505" t="str">
            <v/>
          </cell>
        </row>
        <row r="4506">
          <cell r="B4506" t="str">
            <v>INF174K01369</v>
          </cell>
          <cell r="C4506" t="str">
            <v>-</v>
          </cell>
          <cell r="D4506" t="str">
            <v>Kotak ELSS Tax Saver Fund-Growth</v>
          </cell>
          <cell r="E4506">
            <v>116.505</v>
          </cell>
        </row>
        <row r="4507">
          <cell r="B4507" t="str">
            <v>INF174K01LI3</v>
          </cell>
          <cell r="C4507" t="str">
            <v>-</v>
          </cell>
          <cell r="D4507" t="str">
            <v>Kotak ELSS Tax Saver Fund-Growth - Direct</v>
          </cell>
          <cell r="E4507">
            <v>138.05000000000001</v>
          </cell>
        </row>
        <row r="4508">
          <cell r="B4508" t="str">
            <v>INF174K01385</v>
          </cell>
          <cell r="C4508" t="str">
            <v>-</v>
          </cell>
          <cell r="D4508" t="str">
            <v>Kotak ELSS Tax Saver Fund-Payout of Income Distribution cum capital withdrawal option</v>
          </cell>
          <cell r="E4508">
            <v>43.600999999999999</v>
          </cell>
        </row>
        <row r="4509">
          <cell r="B4509" t="str">
            <v>INF174K01LJ1</v>
          </cell>
          <cell r="C4509" t="str">
            <v>-</v>
          </cell>
          <cell r="D4509" t="str">
            <v>Kotak ELSS Tax Saver Fund-Payout of Income Distribution cum capital withdrawal option - Direct</v>
          </cell>
          <cell r="E4509">
            <v>57.828000000000003</v>
          </cell>
        </row>
        <row r="4510">
          <cell r="B4510" t="str">
            <v/>
          </cell>
          <cell r="C4510" t="str">
            <v/>
          </cell>
          <cell r="D4510" t="str">
            <v/>
          </cell>
        </row>
        <row r="4511">
          <cell r="B4511" t="str">
            <v/>
          </cell>
          <cell r="C4511" t="str">
            <v/>
          </cell>
          <cell r="D4511" t="str">
            <v/>
          </cell>
        </row>
        <row r="4512">
          <cell r="B4512" t="str">
            <v/>
          </cell>
          <cell r="C4512" t="str">
            <v/>
          </cell>
          <cell r="D4512" t="str">
            <v/>
          </cell>
        </row>
        <row r="4513">
          <cell r="B4513" t="str">
            <v>INF767K01EM1</v>
          </cell>
          <cell r="C4513" t="str">
            <v>-</v>
          </cell>
          <cell r="D4513" t="str">
            <v>LIC MF ELSS Tax Saver-Direct Plan-Growth</v>
          </cell>
          <cell r="E4513">
            <v>169.5309</v>
          </cell>
        </row>
        <row r="4514">
          <cell r="B4514" t="str">
            <v>INF767K01EL3</v>
          </cell>
          <cell r="C4514" t="str">
            <v>INF767K01EN9</v>
          </cell>
          <cell r="D4514" t="str">
            <v>LIC MF ELSS Tax Saver-Direct Plan-IDCW</v>
          </cell>
          <cell r="E4514">
            <v>37.433999999999997</v>
          </cell>
        </row>
        <row r="4515">
          <cell r="B4515" t="str">
            <v>INF767K01956</v>
          </cell>
          <cell r="C4515" t="str">
            <v>-</v>
          </cell>
          <cell r="D4515" t="str">
            <v>LIC MF ELSS Tax Saver-Regular Plan-Growth</v>
          </cell>
          <cell r="E4515">
            <v>146.7516</v>
          </cell>
        </row>
        <row r="4516">
          <cell r="B4516" t="str">
            <v>INF767K01931</v>
          </cell>
          <cell r="C4516" t="str">
            <v>INF767K01949</v>
          </cell>
          <cell r="D4516" t="str">
            <v>LIC MF ELSS Tax Saver-Regular Plan-IDCW</v>
          </cell>
          <cell r="E4516">
            <v>30.721399999999999</v>
          </cell>
        </row>
        <row r="4517">
          <cell r="B4517" t="str">
            <v>-</v>
          </cell>
          <cell r="C4517" t="str">
            <v>INF767K01DR2</v>
          </cell>
          <cell r="D4517" t="str">
            <v>LIC MF ULIS (10 Yrs. Regular Premium Reducing Cover Half-Yearly)-Direct Plan-IDCW Reinvestment</v>
          </cell>
          <cell r="E4517">
            <v>40.7592</v>
          </cell>
        </row>
        <row r="4518">
          <cell r="B4518" t="str">
            <v>-</v>
          </cell>
          <cell r="C4518" t="str">
            <v>INF767K01998</v>
          </cell>
          <cell r="D4518" t="str">
            <v>LIC MF ULIS (10 Yrs. Regular Premium Reducing Cover Half-Yearly)-Regular Plan-IDCW Reinvestment</v>
          </cell>
          <cell r="E4518">
            <v>36.285499999999999</v>
          </cell>
        </row>
        <row r="4519">
          <cell r="B4519" t="str">
            <v>-</v>
          </cell>
          <cell r="C4519" t="str">
            <v>INF767K01DQ4</v>
          </cell>
          <cell r="D4519" t="str">
            <v>LIC MF ULIS (10 Yrs. Regular Premium Reducing Cover Monthly)-Direct Plan-IDCW Reinvestment</v>
          </cell>
          <cell r="E4519">
            <v>40.7592</v>
          </cell>
        </row>
        <row r="4520">
          <cell r="B4520" t="str">
            <v>-</v>
          </cell>
          <cell r="C4520" t="str">
            <v>INF767K01980</v>
          </cell>
          <cell r="D4520" t="str">
            <v>LIC MF ULIS (10 Yrs. Regular Premium Reducing Cover Monthly)-Regular Plan-IDCW Reinvestment</v>
          </cell>
          <cell r="E4520">
            <v>36.285499999999999</v>
          </cell>
        </row>
        <row r="4521">
          <cell r="B4521" t="str">
            <v>-</v>
          </cell>
          <cell r="C4521" t="str">
            <v>INF767K01OY5</v>
          </cell>
          <cell r="D4521" t="str">
            <v>LIC MF ULIS (10 Yrs. Regular Premium Reducing Cover Quarterly)-Direct Plan-IDCW Reinvestment</v>
          </cell>
          <cell r="E4521">
            <v>40.7592</v>
          </cell>
        </row>
        <row r="4522">
          <cell r="B4522" t="str">
            <v>-</v>
          </cell>
          <cell r="C4522" t="str">
            <v>INF767K01OV1</v>
          </cell>
          <cell r="D4522" t="str">
            <v>LIC MF ULIS (10 Yrs. Regular Premium Reducing Cover Quarterly)-Regular Plan-IDCW Reinvestment</v>
          </cell>
          <cell r="E4522">
            <v>36.285499999999999</v>
          </cell>
        </row>
        <row r="4523">
          <cell r="B4523" t="str">
            <v>-</v>
          </cell>
          <cell r="C4523" t="str">
            <v>INF767K01DS0</v>
          </cell>
          <cell r="D4523" t="str">
            <v>LIC MF ULIS (10 Yrs. Regular Premium Reducing Cover Yearly)-Direct Plan-IDCW Reinvestment</v>
          </cell>
          <cell r="E4523">
            <v>40.7592</v>
          </cell>
        </row>
        <row r="4524">
          <cell r="B4524" t="str">
            <v>-</v>
          </cell>
          <cell r="C4524" t="str">
            <v>INF767K01AA4</v>
          </cell>
          <cell r="D4524" t="str">
            <v>LIC MF ULIS (10 Yrs. Regular Premium Reducing Cover Yearly)-Regular Plan-IDCW Reinvestment</v>
          </cell>
          <cell r="E4524">
            <v>36.285499999999999</v>
          </cell>
        </row>
        <row r="4525">
          <cell r="B4525" t="str">
            <v>-</v>
          </cell>
          <cell r="C4525" t="str">
            <v>INF767K01DU6</v>
          </cell>
          <cell r="D4525" t="str">
            <v>LIC MF ULIS (10 Yrs. Regular Premium Uniform Cover Half-Yearly)-Direct Plan-IDCW Reinvestment</v>
          </cell>
          <cell r="E4525">
            <v>40.7592</v>
          </cell>
        </row>
        <row r="4526">
          <cell r="B4526" t="str">
            <v>-</v>
          </cell>
          <cell r="C4526" t="str">
            <v>INF767K01AC0</v>
          </cell>
          <cell r="D4526" t="str">
            <v>LIC MF ULIS (10 Yrs. Regular Premium Uniform Cover Half-Yearly)-Regular Plan-IDCW Reinvestment</v>
          </cell>
          <cell r="E4526">
            <v>36.285499999999999</v>
          </cell>
        </row>
        <row r="4527">
          <cell r="B4527" t="str">
            <v>-</v>
          </cell>
          <cell r="C4527" t="str">
            <v>INF767K01DT8</v>
          </cell>
          <cell r="D4527" t="str">
            <v>LIC MF ULIS (10 Yrs. Regular Premium Uniform Cover Monthly)-Direct Plan-IDCW Reinvestment</v>
          </cell>
          <cell r="E4527">
            <v>40.7592</v>
          </cell>
        </row>
        <row r="4528">
          <cell r="B4528" t="str">
            <v>-</v>
          </cell>
          <cell r="C4528" t="str">
            <v>INF767K01AB2</v>
          </cell>
          <cell r="D4528" t="str">
            <v>LIC MF ULIS (10 Yrs. Regular Premium Uniform Cover Monthly)-Regular Plan-IDCW Reinvestment</v>
          </cell>
          <cell r="E4528">
            <v>36.285499999999999</v>
          </cell>
        </row>
        <row r="4529">
          <cell r="B4529" t="str">
            <v>-</v>
          </cell>
          <cell r="C4529" t="str">
            <v>INF767K01PB0</v>
          </cell>
          <cell r="D4529" t="str">
            <v>LIC MF ULIS (10 Yrs. Regular Premium Uniform Cover Quarterly)-Direct Plan-IDCW Reinvestment</v>
          </cell>
          <cell r="E4529">
            <v>40.7592</v>
          </cell>
        </row>
        <row r="4530">
          <cell r="B4530" t="str">
            <v>-</v>
          </cell>
          <cell r="C4530" t="str">
            <v>INF767K01PA2</v>
          </cell>
          <cell r="D4530" t="str">
            <v>LIC MF ULIS (10 Yrs. Regular Premium Uniform Cover Quarterly)-Regular Plan-IDCW Reinvestment</v>
          </cell>
          <cell r="E4530">
            <v>36.285499999999999</v>
          </cell>
        </row>
        <row r="4531">
          <cell r="B4531" t="str">
            <v>-</v>
          </cell>
          <cell r="C4531" t="str">
            <v>INF767K01DV4</v>
          </cell>
          <cell r="D4531" t="str">
            <v>LIC MF ULIS (10 Yrs. Regular Premium Uniform Cover Yearly)-Direct Plan-IDCW Reinvestment</v>
          </cell>
          <cell r="E4531">
            <v>40.7592</v>
          </cell>
        </row>
        <row r="4532">
          <cell r="B4532" t="str">
            <v>-</v>
          </cell>
          <cell r="C4532" t="str">
            <v>INF767K01AD8</v>
          </cell>
          <cell r="D4532" t="str">
            <v>LIC MF ULIS (10 Yrs. Regular Premium Uniform Cover Yearly)-Regular Plan-IDCW Reinvestment</v>
          </cell>
          <cell r="E4532">
            <v>36.285499999999999</v>
          </cell>
        </row>
        <row r="4533">
          <cell r="B4533" t="str">
            <v>-</v>
          </cell>
          <cell r="C4533" t="str">
            <v>INF767K01DP6</v>
          </cell>
          <cell r="D4533" t="str">
            <v>LIC MF ULIS (10 Yrs. Single Premium)-Direct Plan-IDCW Reinvestment</v>
          </cell>
          <cell r="E4533">
            <v>40.7592</v>
          </cell>
        </row>
        <row r="4534">
          <cell r="B4534" t="str">
            <v>-</v>
          </cell>
          <cell r="C4534" t="str">
            <v>INF767K01972</v>
          </cell>
          <cell r="D4534" t="str">
            <v>LIC MF ULIS (10 Yrs. Single Premium)-Regular Plan-IDCW Reinvestment</v>
          </cell>
          <cell r="E4534">
            <v>36.285499999999999</v>
          </cell>
        </row>
        <row r="4535">
          <cell r="B4535" t="str">
            <v>-</v>
          </cell>
          <cell r="C4535" t="str">
            <v>INF767K01DX0</v>
          </cell>
          <cell r="D4535" t="str">
            <v>LIC MF ULIS (15 Yrs. Regular Premium Reducing Cover Half-Yearly)-Direct Plan-IDCW Reinvestment</v>
          </cell>
          <cell r="E4535">
            <v>40.7592</v>
          </cell>
        </row>
        <row r="4536">
          <cell r="B4536" t="str">
            <v>-</v>
          </cell>
          <cell r="C4536" t="str">
            <v>INF767K01AF3</v>
          </cell>
          <cell r="D4536" t="str">
            <v>LIC MF ULIS (15 Yrs. Regular Premium Reducing Cover Half-Yearly)-Regular Plan-IDCW Reinvestment</v>
          </cell>
          <cell r="E4536">
            <v>36.285499999999999</v>
          </cell>
        </row>
        <row r="4537">
          <cell r="B4537" t="str">
            <v>-</v>
          </cell>
          <cell r="C4537" t="str">
            <v>INF767K01DW2</v>
          </cell>
          <cell r="D4537" t="str">
            <v>LIC MF ULIS (15 Yrs. Regular Premium Reducing Cover Monthly)-Direct Plan-IDCW Reinvestment</v>
          </cell>
          <cell r="E4537">
            <v>40.7592</v>
          </cell>
        </row>
        <row r="4538">
          <cell r="B4538" t="str">
            <v>-</v>
          </cell>
          <cell r="C4538" t="str">
            <v>INF767K01AE6</v>
          </cell>
          <cell r="D4538" t="str">
            <v>LIC MF ULIS (15 Yrs. Regular Premium Reducing Cover Monthly)-Regular Plan-IDCW Reinvestment</v>
          </cell>
          <cell r="E4538">
            <v>36.285499999999999</v>
          </cell>
        </row>
        <row r="4539">
          <cell r="B4539" t="str">
            <v>-</v>
          </cell>
          <cell r="C4539" t="str">
            <v>INF767K01OX7</v>
          </cell>
          <cell r="D4539" t="str">
            <v>LIC MF ULIS (15 Yrs. Regular Premium Reducing Cover Quarterly)-Direct Plan-IDCW Reinvestment</v>
          </cell>
          <cell r="E4539">
            <v>40.7592</v>
          </cell>
        </row>
        <row r="4540">
          <cell r="B4540" t="str">
            <v>-</v>
          </cell>
          <cell r="C4540" t="str">
            <v>INF767K01OU3</v>
          </cell>
          <cell r="D4540" t="str">
            <v>LIC MF ULIS (15 Yrs. Regular Premium Reducing Cover Quarterly)-Regular Plan-IDCW Reinvestment</v>
          </cell>
          <cell r="E4540">
            <v>36.285499999999999</v>
          </cell>
        </row>
        <row r="4541">
          <cell r="B4541" t="str">
            <v>-</v>
          </cell>
          <cell r="C4541" t="str">
            <v>INF767K01DY8</v>
          </cell>
          <cell r="D4541" t="str">
            <v>LIC MF ULIS (15 Yrs. Regular Premium Reducing Cover Yearly)-Direct Plan-IDCW Reinvestment</v>
          </cell>
          <cell r="E4541">
            <v>40.7592</v>
          </cell>
        </row>
        <row r="4542">
          <cell r="B4542" t="str">
            <v>-</v>
          </cell>
          <cell r="C4542" t="str">
            <v>INF767K01AG1</v>
          </cell>
          <cell r="D4542" t="str">
            <v>LIC MF ULIS (15 Yrs. Regular Premium Reducing Cover Yearly)-Regular Plan-IDCW Reinvestment</v>
          </cell>
          <cell r="E4542">
            <v>36.285499999999999</v>
          </cell>
        </row>
        <row r="4543">
          <cell r="B4543" t="str">
            <v>-</v>
          </cell>
          <cell r="C4543" t="str">
            <v>INF767K01EA6</v>
          </cell>
          <cell r="D4543" t="str">
            <v>LIC MF ULIS (15 Yrs. Regular Premium Uniform Cover Half-Yearly)-Direct Plan-IDCW Reinvestment</v>
          </cell>
          <cell r="E4543">
            <v>40.7592</v>
          </cell>
        </row>
        <row r="4544">
          <cell r="B4544" t="str">
            <v>-</v>
          </cell>
          <cell r="C4544" t="str">
            <v>INF767K01AI7</v>
          </cell>
          <cell r="D4544" t="str">
            <v>LIC MF ULIS (15 Yrs. Regular Premium Uniform Cover Half-Yearly)-Regular Plan-IDCW Reinvestment</v>
          </cell>
          <cell r="E4544">
            <v>36.285499999999999</v>
          </cell>
        </row>
        <row r="4545">
          <cell r="B4545" t="str">
            <v>-</v>
          </cell>
          <cell r="C4545" t="str">
            <v>INF767K01DZ5</v>
          </cell>
          <cell r="D4545" t="str">
            <v>LIC MF ULIS (15 Yrs. Regular Premium Uniform Cover Monthly)-Direct Plan-IDCW Reinvestment</v>
          </cell>
          <cell r="E4545">
            <v>40.7592</v>
          </cell>
        </row>
        <row r="4546">
          <cell r="B4546" t="str">
            <v>-</v>
          </cell>
          <cell r="C4546" t="str">
            <v>INF767K01AH9</v>
          </cell>
          <cell r="D4546" t="str">
            <v>LIC MF ULIS (15 Yrs. Regular Premium Uniform Cover Monthly)-Regular Plan-IDCW Reinvestment</v>
          </cell>
          <cell r="E4546">
            <v>36.285499999999999</v>
          </cell>
        </row>
        <row r="4547">
          <cell r="B4547" t="str">
            <v>-</v>
          </cell>
          <cell r="C4547" t="str">
            <v>INF767K01OZ2</v>
          </cell>
          <cell r="D4547" t="str">
            <v>LIC MF ULIS (15 Yrs. Regular Premium Uniform Cover Quarterly)-Direct Plan-IDCW Reinvestment</v>
          </cell>
          <cell r="E4547">
            <v>40.7592</v>
          </cell>
        </row>
        <row r="4548">
          <cell r="B4548" t="str">
            <v>-</v>
          </cell>
          <cell r="C4548" t="str">
            <v>INF767K01OW9</v>
          </cell>
          <cell r="D4548" t="str">
            <v>LIC MF ULIS (15 Yrs. Regular Premium Uniform Cover Quarterly)-Regular Plan-IDCW Reinvestment</v>
          </cell>
          <cell r="E4548">
            <v>36.285499999999999</v>
          </cell>
        </row>
        <row r="4549">
          <cell r="B4549" t="str">
            <v>-</v>
          </cell>
          <cell r="C4549" t="str">
            <v>INF767K01EB4</v>
          </cell>
          <cell r="D4549" t="str">
            <v>LIC MF ULIS (15 Yrs. Regular Premium Uniform Cover Yearly)-Direct Plan-IDCW Reinvestment</v>
          </cell>
          <cell r="E4549">
            <v>40.7592</v>
          </cell>
        </row>
        <row r="4550">
          <cell r="B4550" t="str">
            <v>-</v>
          </cell>
          <cell r="C4550" t="str">
            <v>INF767K01AJ5</v>
          </cell>
          <cell r="D4550" t="str">
            <v>LIC MF ULIS (15Yrs. Regular Premium Uniform Cover Yearly)-Regular Plan-IDCW Reinvestment</v>
          </cell>
          <cell r="E4550">
            <v>36.285499999999999</v>
          </cell>
        </row>
        <row r="4551">
          <cell r="B4551" t="str">
            <v>-</v>
          </cell>
          <cell r="C4551" t="str">
            <v>INF767K01DO9</v>
          </cell>
          <cell r="D4551" t="str">
            <v>LIC MF ULIS (5 Yrs. Single Premium)-Direct Plan-IDCW Reinvestment</v>
          </cell>
          <cell r="E4551">
            <v>40.7592</v>
          </cell>
        </row>
        <row r="4552">
          <cell r="B4552" t="str">
            <v>-</v>
          </cell>
          <cell r="C4552" t="str">
            <v>INF767K01964</v>
          </cell>
          <cell r="D4552" t="str">
            <v>LIC MF ULIS (5 Yrs. Single Premium)-Regular Plan-IDCW Reinvestment</v>
          </cell>
          <cell r="E4552">
            <v>36.285499999999999</v>
          </cell>
        </row>
        <row r="4553">
          <cell r="B4553" t="str">
            <v/>
          </cell>
          <cell r="C4553" t="str">
            <v/>
          </cell>
          <cell r="D4553" t="str">
            <v/>
          </cell>
        </row>
        <row r="4554">
          <cell r="B4554" t="str">
            <v/>
          </cell>
          <cell r="C4554" t="str">
            <v/>
          </cell>
          <cell r="D4554" t="str">
            <v/>
          </cell>
        </row>
        <row r="4555">
          <cell r="B4555" t="str">
            <v/>
          </cell>
          <cell r="C4555" t="str">
            <v/>
          </cell>
          <cell r="D4555" t="str">
            <v/>
          </cell>
        </row>
        <row r="4556">
          <cell r="B4556" t="str">
            <v>INF769K01DM9</v>
          </cell>
          <cell r="C4556" t="str">
            <v>-</v>
          </cell>
          <cell r="D4556" t="str">
            <v>Mirae Asset ELSS Tax Saver Fund - Direct Plan - Growth</v>
          </cell>
          <cell r="E4556">
            <v>56.898000000000003</v>
          </cell>
        </row>
        <row r="4557">
          <cell r="B4557" t="str">
            <v>INF769K01DN7</v>
          </cell>
          <cell r="C4557" t="str">
            <v>-</v>
          </cell>
          <cell r="D4557" t="str">
            <v>Mirae Asset ELSS Tax Saver Fund - Direct Plan - IDCW</v>
          </cell>
          <cell r="E4557">
            <v>26.587</v>
          </cell>
        </row>
        <row r="4558">
          <cell r="B4558" t="str">
            <v>INF769K01DK3</v>
          </cell>
          <cell r="C4558" t="str">
            <v>-</v>
          </cell>
          <cell r="D4558" t="str">
            <v>Mirae Asset ELSS Tax Saver Fund - Regular Plan - Growth</v>
          </cell>
          <cell r="E4558">
            <v>49.805999999999997</v>
          </cell>
        </row>
        <row r="4559">
          <cell r="B4559" t="str">
            <v>INF769K01DL1</v>
          </cell>
          <cell r="C4559" t="str">
            <v>-</v>
          </cell>
          <cell r="D4559" t="str">
            <v>Mirae Asset ELSS Tax Saver Fund - Regular Plan - IDCW</v>
          </cell>
          <cell r="E4559">
            <v>22.353999999999999</v>
          </cell>
        </row>
        <row r="4560">
          <cell r="B4560" t="str">
            <v/>
          </cell>
          <cell r="C4560" t="str">
            <v/>
          </cell>
          <cell r="D4560" t="str">
            <v/>
          </cell>
        </row>
        <row r="4561">
          <cell r="B4561" t="str">
            <v/>
          </cell>
          <cell r="C4561" t="str">
            <v/>
          </cell>
          <cell r="D4561" t="str">
            <v/>
          </cell>
        </row>
        <row r="4562">
          <cell r="B4562" t="str">
            <v/>
          </cell>
          <cell r="C4562" t="str">
            <v/>
          </cell>
          <cell r="D4562" t="str">
            <v/>
          </cell>
        </row>
        <row r="4563">
          <cell r="B4563" t="str">
            <v>INF247L01569</v>
          </cell>
          <cell r="C4563" t="str">
            <v>-</v>
          </cell>
          <cell r="D4563" t="str">
            <v>Motilal Oswal ELSS Tax Saver Fund - Direct Plan - Growth Option</v>
          </cell>
          <cell r="E4563">
            <v>63.656999999999996</v>
          </cell>
        </row>
        <row r="4564">
          <cell r="B4564" t="str">
            <v>INF247L01551</v>
          </cell>
          <cell r="C4564" t="str">
            <v>-</v>
          </cell>
          <cell r="D4564" t="str">
            <v>Motilal Oswal ELSS Tax Saver Fund - IDCW Payout</v>
          </cell>
          <cell r="E4564">
            <v>30.306899999999999</v>
          </cell>
        </row>
        <row r="4565">
          <cell r="B4565" t="str">
            <v>INF247L01544</v>
          </cell>
          <cell r="C4565" t="str">
            <v>-</v>
          </cell>
          <cell r="D4565" t="str">
            <v>Motilal Oswal ELSS Tax Saver Fund - Regular Plan - Growth Option</v>
          </cell>
          <cell r="E4565">
            <v>54.9133</v>
          </cell>
        </row>
        <row r="4566">
          <cell r="B4566" t="str">
            <v>INF247L01577</v>
          </cell>
          <cell r="C4566" t="str">
            <v>-</v>
          </cell>
          <cell r="D4566" t="str">
            <v>Motilal Oswal ELSS Tax Saver Fund Direct - IDCW Payout</v>
          </cell>
          <cell r="E4566">
            <v>39.354100000000003</v>
          </cell>
        </row>
        <row r="4567">
          <cell r="B4567" t="str">
            <v/>
          </cell>
          <cell r="C4567" t="str">
            <v/>
          </cell>
          <cell r="D4567" t="str">
            <v/>
          </cell>
        </row>
        <row r="4568">
          <cell r="B4568" t="str">
            <v/>
          </cell>
          <cell r="C4568" t="str">
            <v/>
          </cell>
          <cell r="D4568" t="str">
            <v/>
          </cell>
        </row>
        <row r="4569">
          <cell r="B4569" t="str">
            <v/>
          </cell>
          <cell r="C4569" t="str">
            <v/>
          </cell>
          <cell r="D4569" t="str">
            <v/>
          </cell>
        </row>
        <row r="4570">
          <cell r="B4570" t="str">
            <v>INF959L01CE3</v>
          </cell>
          <cell r="C4570" t="str">
            <v>-</v>
          </cell>
          <cell r="D4570" t="str">
            <v>Navi ELSS Tax Saver Fund - Direct Plan IDCW Payout</v>
          </cell>
          <cell r="E4570">
            <v>32.403799999999997</v>
          </cell>
        </row>
        <row r="4571">
          <cell r="B4571" t="str">
            <v>INF959L01CG8</v>
          </cell>
          <cell r="C4571" t="str">
            <v>-</v>
          </cell>
          <cell r="D4571" t="str">
            <v>Navi ELSS Tax Saver Fund - Regular Plan IDCW Payout</v>
          </cell>
          <cell r="E4571">
            <v>27.301200000000001</v>
          </cell>
        </row>
        <row r="4572">
          <cell r="B4572" t="str">
            <v>INF959L01CD5</v>
          </cell>
          <cell r="C4572" t="str">
            <v>-</v>
          </cell>
          <cell r="D4572" t="str">
            <v>Navi ELSS Tax Saver Fund- Direct Plan- Growth Option</v>
          </cell>
          <cell r="E4572">
            <v>32.811900000000001</v>
          </cell>
        </row>
        <row r="4573">
          <cell r="B4573" t="str">
            <v>INF959L01CF0</v>
          </cell>
          <cell r="C4573" t="str">
            <v>-</v>
          </cell>
          <cell r="D4573" t="str">
            <v>Navi ELSS Tax Saver Fund- Regular Plan- Growth Option</v>
          </cell>
          <cell r="E4573">
            <v>27.303899999999999</v>
          </cell>
        </row>
        <row r="4574">
          <cell r="B4574" t="str">
            <v>INF959L01GR6</v>
          </cell>
          <cell r="C4574" t="str">
            <v>-</v>
          </cell>
          <cell r="D4574" t="str">
            <v>NAVI ELSS TAX SAVER NIFTY 50 INDEX FUND - DIRECT PLAN GROWTH</v>
          </cell>
          <cell r="E4574">
            <v>14.5783</v>
          </cell>
        </row>
        <row r="4575">
          <cell r="B4575" t="str">
            <v>INF959L01GT2</v>
          </cell>
          <cell r="C4575" t="str">
            <v>-</v>
          </cell>
          <cell r="D4575" t="str">
            <v>NAVI ELSS TAX SAVER NIFTY 50 INDEX FUND - DIRECT PLAN IDCW PAYOUT</v>
          </cell>
          <cell r="E4575">
            <v>14.5848</v>
          </cell>
        </row>
        <row r="4576">
          <cell r="B4576" t="str">
            <v>INF959L01GS4</v>
          </cell>
          <cell r="C4576" t="str">
            <v>-</v>
          </cell>
          <cell r="D4576" t="str">
            <v>NAVI ELSS TAX SAVER NIFTY 50 INDEX FUND - REGULAR PLAN GROWTH</v>
          </cell>
          <cell r="E4576">
            <v>14.1252</v>
          </cell>
        </row>
        <row r="4577">
          <cell r="B4577" t="str">
            <v>INF959L01GU0</v>
          </cell>
          <cell r="C4577" t="str">
            <v>-</v>
          </cell>
          <cell r="D4577" t="str">
            <v>NAVI ELSS TAX SAVER NIFTY 50 INDEX FUND - REGULAR PLAN IDCW PAYOUT</v>
          </cell>
          <cell r="E4577">
            <v>14.180999999999999</v>
          </cell>
        </row>
        <row r="4578">
          <cell r="B4578" t="str">
            <v/>
          </cell>
          <cell r="C4578" t="str">
            <v/>
          </cell>
          <cell r="D4578" t="str">
            <v/>
          </cell>
        </row>
        <row r="4579">
          <cell r="B4579" t="str">
            <v/>
          </cell>
          <cell r="C4579" t="str">
            <v/>
          </cell>
          <cell r="D4579" t="str">
            <v/>
          </cell>
        </row>
        <row r="4580">
          <cell r="B4580" t="str">
            <v/>
          </cell>
          <cell r="C4580" t="str">
            <v/>
          </cell>
          <cell r="D4580" t="str">
            <v/>
          </cell>
        </row>
        <row r="4581">
          <cell r="B4581" t="str">
            <v>INF204KA1E04</v>
          </cell>
          <cell r="C4581" t="str">
            <v>-</v>
          </cell>
          <cell r="D4581" t="str">
            <v>NIPPON INDIA ELSS TAX SAVER FUND - ANNUAL IDCW Option</v>
          </cell>
          <cell r="E4581">
            <v>20.404199999999999</v>
          </cell>
        </row>
        <row r="4582">
          <cell r="B4582" t="str">
            <v>INF204KA1E12</v>
          </cell>
          <cell r="C4582" t="str">
            <v>-</v>
          </cell>
          <cell r="D4582" t="str">
            <v>NIPPON INDIA ELSS TAX SAVER FUND - DIRECT Plan - ANNUAL IDCW Option</v>
          </cell>
          <cell r="E4582">
            <v>22.454499999999999</v>
          </cell>
        </row>
        <row r="4583">
          <cell r="B4583" t="str">
            <v>INF204K01L30</v>
          </cell>
          <cell r="C4583" t="str">
            <v>INF204K01L48</v>
          </cell>
          <cell r="D4583" t="str">
            <v>NIPPON INDIA ELSS TAX SAVER FUND - DIRECT Plan - IDCW Option</v>
          </cell>
          <cell r="E4583">
            <v>45.491799999999998</v>
          </cell>
        </row>
        <row r="4584">
          <cell r="B4584" t="str">
            <v>INF204K01L55</v>
          </cell>
          <cell r="C4584" t="str">
            <v>-</v>
          </cell>
          <cell r="D4584" t="str">
            <v>Nippon India ELSS Tax Saver Fund - Direct Plan Growth Plan - Growth Option</v>
          </cell>
          <cell r="E4584">
            <v>143.73589999999999</v>
          </cell>
        </row>
        <row r="4585">
          <cell r="B4585" t="str">
            <v>INF204K01GL2</v>
          </cell>
          <cell r="C4585" t="str">
            <v>INF204K01GM0</v>
          </cell>
          <cell r="D4585" t="str">
            <v>NIPPON INDIA ELSS TAX SAVER FUND - IDCW Option</v>
          </cell>
          <cell r="E4585">
            <v>33.783200000000001</v>
          </cell>
        </row>
        <row r="4586">
          <cell r="B4586" t="str">
            <v>INF204K01GK4</v>
          </cell>
          <cell r="C4586" t="str">
            <v>-</v>
          </cell>
          <cell r="D4586" t="str">
            <v>Nippon India ELSS Tax Saver Fund-Growth Plan-Growth Option</v>
          </cell>
          <cell r="E4586">
            <v>130.0625</v>
          </cell>
        </row>
        <row r="4587">
          <cell r="B4587" t="str">
            <v/>
          </cell>
          <cell r="C4587" t="str">
            <v/>
          </cell>
          <cell r="D4587" t="str">
            <v/>
          </cell>
        </row>
        <row r="4588">
          <cell r="B4588" t="str">
            <v/>
          </cell>
          <cell r="C4588" t="str">
            <v/>
          </cell>
          <cell r="D4588" t="str">
            <v/>
          </cell>
        </row>
        <row r="4589">
          <cell r="B4589" t="str">
            <v/>
          </cell>
          <cell r="C4589" t="str">
            <v/>
          </cell>
          <cell r="D4589" t="str">
            <v/>
          </cell>
        </row>
        <row r="4590">
          <cell r="B4590" t="str">
            <v>INF0J8L01115</v>
          </cell>
          <cell r="C4590" t="str">
            <v>-</v>
          </cell>
          <cell r="D4590" t="str">
            <v>NJ ELSS Tax Saver Scheme Direct Growth</v>
          </cell>
          <cell r="E4590">
            <v>14.84</v>
          </cell>
        </row>
        <row r="4591">
          <cell r="B4591" t="str">
            <v>INF0J8L01123</v>
          </cell>
          <cell r="C4591" t="str">
            <v>-</v>
          </cell>
          <cell r="D4591" t="str">
            <v>NJ ELSS Tax Saver Scheme Direct IDCW</v>
          </cell>
          <cell r="E4591">
            <v>14.84</v>
          </cell>
        </row>
        <row r="4592">
          <cell r="B4592" t="str">
            <v>INF0J8L01099</v>
          </cell>
          <cell r="C4592" t="str">
            <v>-</v>
          </cell>
          <cell r="D4592" t="str">
            <v>NJ ELSS Tax Saver Scheme Regular Growth</v>
          </cell>
          <cell r="E4592">
            <v>14.04</v>
          </cell>
        </row>
        <row r="4593">
          <cell r="B4593" t="str">
            <v>INF0J8L01107</v>
          </cell>
          <cell r="C4593" t="str">
            <v>-</v>
          </cell>
          <cell r="D4593" t="str">
            <v>NJ ELSS Tax Saver Scheme Regular IDCW</v>
          </cell>
          <cell r="E4593">
            <v>14.04</v>
          </cell>
        </row>
        <row r="4594">
          <cell r="B4594" t="str">
            <v/>
          </cell>
          <cell r="C4594" t="str">
            <v/>
          </cell>
          <cell r="D4594" t="str">
            <v/>
          </cell>
        </row>
        <row r="4595">
          <cell r="B4595" t="str">
            <v/>
          </cell>
          <cell r="C4595" t="str">
            <v/>
          </cell>
          <cell r="D4595" t="str">
            <v/>
          </cell>
        </row>
        <row r="4596">
          <cell r="B4596" t="str">
            <v/>
          </cell>
          <cell r="C4596" t="str">
            <v/>
          </cell>
          <cell r="D4596" t="str">
            <v/>
          </cell>
        </row>
        <row r="4597">
          <cell r="B4597" t="str">
            <v>INF663L01FO3</v>
          </cell>
          <cell r="C4597" t="str">
            <v>-</v>
          </cell>
          <cell r="D4597" t="str">
            <v>PGIM India ELSS Tax Saver Fund - Direct Plan - Dividend Option</v>
          </cell>
          <cell r="E4597">
            <v>17.64</v>
          </cell>
        </row>
        <row r="4598">
          <cell r="B4598" t="str">
            <v>INF663L01FN5</v>
          </cell>
          <cell r="C4598" t="str">
            <v>-</v>
          </cell>
          <cell r="D4598" t="str">
            <v>PGIM India ELSS Tax Saver Fund - Direct Plan - Growth Option</v>
          </cell>
          <cell r="E4598">
            <v>39.76</v>
          </cell>
        </row>
        <row r="4599">
          <cell r="B4599" t="str">
            <v>INF663L01FR6</v>
          </cell>
          <cell r="C4599" t="str">
            <v>-</v>
          </cell>
          <cell r="D4599" t="str">
            <v>PGIM India ELSS Tax Saver Fund - Regular Plan - Dividend Option</v>
          </cell>
          <cell r="E4599">
            <v>16.350000000000001</v>
          </cell>
        </row>
        <row r="4600">
          <cell r="B4600" t="str">
            <v>INF663L01FQ8</v>
          </cell>
          <cell r="C4600" t="str">
            <v>-</v>
          </cell>
          <cell r="D4600" t="str">
            <v>PGIM India ELSS Tax Saver Fund - Regular Plan - Growth Option</v>
          </cell>
          <cell r="E4600">
            <v>34.21</v>
          </cell>
        </row>
        <row r="4601">
          <cell r="B4601" t="str">
            <v/>
          </cell>
          <cell r="C4601" t="str">
            <v/>
          </cell>
          <cell r="D4601" t="str">
            <v/>
          </cell>
        </row>
        <row r="4602">
          <cell r="B4602" t="str">
            <v/>
          </cell>
          <cell r="C4602" t="str">
            <v/>
          </cell>
          <cell r="D4602" t="str">
            <v/>
          </cell>
        </row>
        <row r="4603">
          <cell r="B4603" t="str">
            <v/>
          </cell>
          <cell r="C4603" t="str">
            <v/>
          </cell>
          <cell r="D4603" t="str">
            <v/>
          </cell>
        </row>
        <row r="4604">
          <cell r="B4604" t="str">
            <v>INF879O01100</v>
          </cell>
          <cell r="C4604" t="str">
            <v>-</v>
          </cell>
          <cell r="D4604" t="str">
            <v>Parag Parikh ELSS Tax Saver Fund- Direct Growth</v>
          </cell>
          <cell r="E4604">
            <v>31.844000000000001</v>
          </cell>
        </row>
        <row r="4605">
          <cell r="B4605" t="str">
            <v>INF879O01092</v>
          </cell>
          <cell r="C4605" t="str">
            <v>-</v>
          </cell>
          <cell r="D4605" t="str">
            <v>Parag Parikh ELSS Tax Saver Fund- Regular Growth</v>
          </cell>
          <cell r="E4605">
            <v>29.301600000000001</v>
          </cell>
        </row>
        <row r="4606">
          <cell r="B4606" t="str">
            <v/>
          </cell>
          <cell r="C4606" t="str">
            <v/>
          </cell>
          <cell r="D4606" t="str">
            <v/>
          </cell>
        </row>
        <row r="4607">
          <cell r="B4607" t="str">
            <v/>
          </cell>
          <cell r="C4607" t="str">
            <v/>
          </cell>
          <cell r="D4607" t="str">
            <v/>
          </cell>
        </row>
        <row r="4608">
          <cell r="B4608" t="str">
            <v/>
          </cell>
          <cell r="C4608" t="str">
            <v/>
          </cell>
          <cell r="D4608" t="str">
            <v/>
          </cell>
        </row>
        <row r="4609">
          <cell r="B4609" t="str">
            <v>INF966L01986</v>
          </cell>
          <cell r="C4609" t="str">
            <v>-</v>
          </cell>
          <cell r="D4609" t="str">
            <v>quant ELSS Tax Saver Fund - Growth Option - Direct Plan</v>
          </cell>
          <cell r="E4609">
            <v>458.13389999999998</v>
          </cell>
        </row>
        <row r="4610">
          <cell r="B4610" t="str">
            <v>INF966L01135</v>
          </cell>
          <cell r="C4610" t="str">
            <v>-</v>
          </cell>
          <cell r="D4610" t="str">
            <v>quant ELSS Tax Saver Fund - Growth Option - Regular Plan</v>
          </cell>
          <cell r="E4610">
            <v>405.33390000000003</v>
          </cell>
        </row>
        <row r="4611">
          <cell r="B4611" t="str">
            <v>INF966L01960</v>
          </cell>
          <cell r="C4611" t="str">
            <v>INF966L01127</v>
          </cell>
          <cell r="D4611" t="str">
            <v>quant ELSS Tax Saver Fund - IDCW Option - Direct Plan</v>
          </cell>
          <cell r="E4611">
            <v>61.071300000000001</v>
          </cell>
        </row>
        <row r="4612">
          <cell r="B4612" t="str">
            <v>INF966L01119</v>
          </cell>
          <cell r="C4612" t="str">
            <v>-</v>
          </cell>
          <cell r="D4612" t="str">
            <v>quant ELSS Tax Saver Fund - IDCW Option - Regular Plan</v>
          </cell>
          <cell r="E4612">
            <v>56.285200000000003</v>
          </cell>
        </row>
        <row r="4613">
          <cell r="B4613" t="str">
            <v/>
          </cell>
          <cell r="C4613" t="str">
            <v/>
          </cell>
          <cell r="D4613" t="str">
            <v/>
          </cell>
        </row>
        <row r="4614">
          <cell r="B4614" t="str">
            <v/>
          </cell>
          <cell r="C4614" t="str">
            <v/>
          </cell>
          <cell r="D4614" t="str">
            <v/>
          </cell>
        </row>
        <row r="4615">
          <cell r="B4615" t="str">
            <v/>
          </cell>
          <cell r="C4615" t="str">
            <v/>
          </cell>
          <cell r="D4615" t="str">
            <v/>
          </cell>
        </row>
        <row r="4616">
          <cell r="B4616" t="str">
            <v>INF082J01069</v>
          </cell>
          <cell r="C4616" t="str">
            <v>-</v>
          </cell>
          <cell r="D4616" t="str">
            <v>Quantum ELSS Tax Saver Fund - Direct Plan Growth Option</v>
          </cell>
          <cell r="E4616">
            <v>124.98</v>
          </cell>
        </row>
        <row r="4617">
          <cell r="B4617" t="str">
            <v>INF082J01077</v>
          </cell>
          <cell r="C4617" t="str">
            <v>INF082J01085</v>
          </cell>
          <cell r="D4617" t="str">
            <v>Quantum ELSS Tax Saver Fund - Direct Plan IDCW</v>
          </cell>
          <cell r="E4617">
            <v>124.18</v>
          </cell>
        </row>
        <row r="4618">
          <cell r="B4618" t="str">
            <v>INF082J01366</v>
          </cell>
          <cell r="C4618" t="str">
            <v>-</v>
          </cell>
          <cell r="D4618" t="str">
            <v>Quantum ELSS Tax Saver Fund - Regular Plan Growth Option</v>
          </cell>
          <cell r="E4618">
            <v>117.81</v>
          </cell>
        </row>
        <row r="4619">
          <cell r="B4619" t="str">
            <v>INF082J01374</v>
          </cell>
          <cell r="C4619" t="str">
            <v>-</v>
          </cell>
          <cell r="D4619" t="str">
            <v>Quantum ELSS Tax Saver Fund - Regular Plan IDCW</v>
          </cell>
          <cell r="E4619">
            <v>117.01</v>
          </cell>
        </row>
        <row r="4620">
          <cell r="B4620" t="str">
            <v/>
          </cell>
          <cell r="C4620" t="str">
            <v/>
          </cell>
          <cell r="D4620" t="str">
            <v/>
          </cell>
        </row>
        <row r="4621">
          <cell r="B4621" t="str">
            <v/>
          </cell>
          <cell r="C4621" t="str">
            <v/>
          </cell>
          <cell r="D4621" t="str">
            <v/>
          </cell>
        </row>
        <row r="4622">
          <cell r="B4622" t="str">
            <v/>
          </cell>
          <cell r="C4622" t="str">
            <v/>
          </cell>
          <cell r="D4622" t="str">
            <v/>
          </cell>
        </row>
        <row r="4623">
          <cell r="B4623" t="str">
            <v>INF0K1H01065</v>
          </cell>
          <cell r="C4623" t="str">
            <v>-</v>
          </cell>
          <cell r="D4623" t="str">
            <v>Samco ELSS Tax Saver Fund - Direct Plan - Growth Option</v>
          </cell>
          <cell r="E4623">
            <v>13.26</v>
          </cell>
        </row>
        <row r="4624">
          <cell r="B4624" t="str">
            <v>INF0K1H01057</v>
          </cell>
          <cell r="C4624" t="str">
            <v>-</v>
          </cell>
          <cell r="D4624" t="str">
            <v>Samco ELSS Tax Saver Fund - Regular Plan - Growth Option</v>
          </cell>
          <cell r="E4624">
            <v>12.6</v>
          </cell>
        </row>
        <row r="4625">
          <cell r="B4625" t="str">
            <v/>
          </cell>
          <cell r="C4625" t="str">
            <v/>
          </cell>
          <cell r="D4625" t="str">
            <v/>
          </cell>
        </row>
        <row r="4626">
          <cell r="B4626" t="str">
            <v/>
          </cell>
          <cell r="C4626" t="str">
            <v/>
          </cell>
          <cell r="D4626" t="str">
            <v/>
          </cell>
        </row>
        <row r="4627">
          <cell r="B4627" t="str">
            <v/>
          </cell>
          <cell r="C4627" t="str">
            <v/>
          </cell>
          <cell r="D4627" t="str">
            <v/>
          </cell>
        </row>
        <row r="4628">
          <cell r="B4628" t="str">
            <v>INF200K01UK3</v>
          </cell>
          <cell r="C4628" t="str">
            <v>-</v>
          </cell>
          <cell r="D4628" t="str">
            <v>SBI ELSS Tax Saver Fund - Direct Plan - Income Distribution cum Capital Withdrawal Option (IDCW)</v>
          </cell>
          <cell r="E4628">
            <v>117.24120000000001</v>
          </cell>
        </row>
        <row r="4629">
          <cell r="B4629" t="str">
            <v>INF200K01UM9</v>
          </cell>
          <cell r="C4629" t="str">
            <v>-</v>
          </cell>
          <cell r="D4629" t="str">
            <v>SBI ELSS Tax Saver FUND - DIRECT PLAN -GROWTH</v>
          </cell>
          <cell r="E4629">
            <v>473.34109999999998</v>
          </cell>
        </row>
        <row r="4630">
          <cell r="B4630" t="str">
            <v>INF200K01479</v>
          </cell>
          <cell r="C4630" t="str">
            <v>-</v>
          </cell>
          <cell r="D4630" t="str">
            <v>SBI ELSS Tax Saver Fund - Regular Plan - Income Distribution cum Capital Withdrawal Option (IDCW)</v>
          </cell>
          <cell r="E4630">
            <v>88.232900000000001</v>
          </cell>
        </row>
        <row r="4631">
          <cell r="B4631" t="str">
            <v>INF200K01495</v>
          </cell>
          <cell r="C4631" t="str">
            <v>-</v>
          </cell>
          <cell r="D4631" t="str">
            <v>SBI ELSS Tax Saver FUND - REGULAR PLAN- GROWTH</v>
          </cell>
          <cell r="E4631">
            <v>435.20159999999998</v>
          </cell>
        </row>
        <row r="4632">
          <cell r="B4632" t="str">
            <v/>
          </cell>
          <cell r="C4632" t="str">
            <v/>
          </cell>
          <cell r="D4632" t="str">
            <v/>
          </cell>
        </row>
        <row r="4633">
          <cell r="B4633" t="str">
            <v/>
          </cell>
          <cell r="C4633" t="str">
            <v/>
          </cell>
          <cell r="D4633" t="str">
            <v/>
          </cell>
        </row>
        <row r="4634">
          <cell r="B4634" t="str">
            <v/>
          </cell>
          <cell r="C4634" t="str">
            <v/>
          </cell>
          <cell r="D4634" t="str">
            <v/>
          </cell>
        </row>
        <row r="4635">
          <cell r="B4635" t="str">
            <v>INF680P01158</v>
          </cell>
          <cell r="C4635" t="str">
            <v>-</v>
          </cell>
          <cell r="D4635" t="str">
            <v>Shriram ELSS Tax Saver Fund - Direct Growth</v>
          </cell>
          <cell r="E4635">
            <v>23.585699999999999</v>
          </cell>
        </row>
        <row r="4636">
          <cell r="B4636" t="str">
            <v>INF680P01166</v>
          </cell>
          <cell r="C4636" t="str">
            <v>-</v>
          </cell>
          <cell r="D4636" t="str">
            <v>Shriram ELSS Tax Saver Fund - Direct- IDCW</v>
          </cell>
          <cell r="E4636">
            <v>23.395700000000001</v>
          </cell>
        </row>
        <row r="4637">
          <cell r="B4637" t="str">
            <v>INF680P01133</v>
          </cell>
          <cell r="C4637" t="str">
            <v>-</v>
          </cell>
          <cell r="D4637" t="str">
            <v>Shriram ELSS Tax Saver Fund - Regular Growth</v>
          </cell>
          <cell r="E4637">
            <v>20.66</v>
          </cell>
        </row>
        <row r="4638">
          <cell r="B4638" t="str">
            <v>INF680P01141</v>
          </cell>
          <cell r="C4638" t="str">
            <v>-</v>
          </cell>
          <cell r="D4638" t="str">
            <v>Shriram ELSS Tax Saver Fund - Regular-IDCW</v>
          </cell>
          <cell r="E4638">
            <v>20.663</v>
          </cell>
        </row>
        <row r="4639">
          <cell r="B4639" t="str">
            <v/>
          </cell>
          <cell r="C4639" t="str">
            <v/>
          </cell>
          <cell r="D4639" t="str">
            <v/>
          </cell>
        </row>
        <row r="4640">
          <cell r="B4640" t="str">
            <v/>
          </cell>
          <cell r="C4640" t="str">
            <v/>
          </cell>
          <cell r="D4640" t="str">
            <v/>
          </cell>
        </row>
        <row r="4641">
          <cell r="B4641" t="str">
            <v/>
          </cell>
          <cell r="C4641" t="str">
            <v/>
          </cell>
          <cell r="D4641" t="str">
            <v/>
          </cell>
        </row>
        <row r="4642">
          <cell r="B4642" t="str">
            <v>INF173K01NN1</v>
          </cell>
          <cell r="C4642" t="str">
            <v>-</v>
          </cell>
          <cell r="D4642" t="str">
            <v>Sundaram ELSS Tax Saver Fund Direct Plan - Income Distribution CUM Capital Withdrawal Option (IDCW)</v>
          </cell>
          <cell r="E4642">
            <v>505.97089999999997</v>
          </cell>
        </row>
        <row r="4643">
          <cell r="B4643" t="str">
            <v>INF173K01HZ7</v>
          </cell>
          <cell r="C4643" t="str">
            <v>-</v>
          </cell>
          <cell r="D4643" t="str">
            <v>Sundaram ELSS Tax Saver Fund Direct Plan Growth</v>
          </cell>
          <cell r="E4643">
            <v>528.35640000000001</v>
          </cell>
        </row>
        <row r="4644">
          <cell r="B4644" t="str">
            <v>INF173K01361</v>
          </cell>
          <cell r="C4644" t="str">
            <v>-</v>
          </cell>
          <cell r="D4644" t="str">
            <v>Sundaram ELSS Tax Saver Fund Regular Growth</v>
          </cell>
          <cell r="E4644">
            <v>491.45949999999999</v>
          </cell>
        </row>
        <row r="4645">
          <cell r="B4645" t="str">
            <v>INF173K01NM3</v>
          </cell>
          <cell r="C4645" t="str">
            <v>-</v>
          </cell>
          <cell r="D4645" t="str">
            <v>Sundaram ELSS Tax Saver Fund Regular Plan - Income Distribution CUM Capital Withdrawal Option (IDCW)</v>
          </cell>
          <cell r="E4645">
            <v>377.79059999999998</v>
          </cell>
        </row>
        <row r="4646">
          <cell r="B4646" t="str">
            <v/>
          </cell>
          <cell r="C4646" t="str">
            <v/>
          </cell>
          <cell r="D4646" t="str">
            <v/>
          </cell>
        </row>
        <row r="4647">
          <cell r="B4647" t="str">
            <v/>
          </cell>
          <cell r="C4647" t="str">
            <v/>
          </cell>
          <cell r="D4647" t="str">
            <v/>
          </cell>
        </row>
        <row r="4648">
          <cell r="B4648" t="str">
            <v/>
          </cell>
          <cell r="C4648" t="str">
            <v/>
          </cell>
          <cell r="D4648" t="str">
            <v/>
          </cell>
        </row>
        <row r="4649">
          <cell r="B4649" t="str">
            <v>INF277K01I94</v>
          </cell>
          <cell r="C4649" t="str">
            <v>-</v>
          </cell>
          <cell r="D4649" t="str">
            <v>Tata ELSS Fund- Direct Plan - Payout of IDCW Option</v>
          </cell>
          <cell r="E4649">
            <v>231.8391</v>
          </cell>
        </row>
        <row r="4650">
          <cell r="B4650" t="str">
            <v>INF277K01I60</v>
          </cell>
          <cell r="C4650" t="str">
            <v>-</v>
          </cell>
          <cell r="D4650" t="str">
            <v>Tata ELSS Fund- Regular Plan - Payout of IDCW Option</v>
          </cell>
          <cell r="E4650">
            <v>94.798599999999993</v>
          </cell>
        </row>
        <row r="4651">
          <cell r="B4651" t="str">
            <v>INF277K01I86</v>
          </cell>
          <cell r="C4651" t="str">
            <v>-</v>
          </cell>
          <cell r="D4651" t="str">
            <v>Tata ELSS Fund-Growth-Direct Plan</v>
          </cell>
          <cell r="E4651">
            <v>53.588700000000003</v>
          </cell>
        </row>
        <row r="4652">
          <cell r="B4652" t="str">
            <v>INF277K01I52</v>
          </cell>
          <cell r="C4652" t="str">
            <v>-</v>
          </cell>
          <cell r="D4652" t="str">
            <v>Tata ELSS Fund-Growth-Regular Plan</v>
          </cell>
          <cell r="E4652">
            <v>46.302300000000002</v>
          </cell>
        </row>
        <row r="4653">
          <cell r="B4653" t="str">
            <v/>
          </cell>
          <cell r="C4653" t="str">
            <v/>
          </cell>
          <cell r="D4653" t="str">
            <v/>
          </cell>
        </row>
        <row r="4654">
          <cell r="B4654" t="str">
            <v/>
          </cell>
          <cell r="C4654" t="str">
            <v/>
          </cell>
          <cell r="D4654" t="str">
            <v/>
          </cell>
        </row>
        <row r="4655">
          <cell r="B4655" t="str">
            <v/>
          </cell>
          <cell r="C4655" t="str">
            <v/>
          </cell>
          <cell r="D4655" t="str">
            <v/>
          </cell>
        </row>
        <row r="4656">
          <cell r="B4656" t="str">
            <v>INF044D01CG6</v>
          </cell>
          <cell r="C4656" t="str">
            <v>INF044D01AA3</v>
          </cell>
          <cell r="D4656" t="str">
            <v>Taurus ELSS Tax Saver Fund - Direct Plan - Growth</v>
          </cell>
          <cell r="E4656">
            <v>195.71</v>
          </cell>
        </row>
        <row r="4657">
          <cell r="B4657" t="str">
            <v>INF044D01CH4</v>
          </cell>
          <cell r="C4657" t="str">
            <v>INF044D01CI2</v>
          </cell>
          <cell r="D4657" t="str">
            <v>Taurus ELSS Tax Saver Fund - Direct Plan - Payout of Income Distribution cum Capital Withdrawal option</v>
          </cell>
          <cell r="E4657">
            <v>90.2</v>
          </cell>
        </row>
        <row r="4658">
          <cell r="B4658" t="str">
            <v>INF044D01AC9</v>
          </cell>
          <cell r="C4658" t="str">
            <v>-</v>
          </cell>
          <cell r="D4658" t="str">
            <v>Taurus ELSS Tax Saver Fund - Regular Plan - Growth</v>
          </cell>
          <cell r="E4658">
            <v>178.42</v>
          </cell>
        </row>
        <row r="4659">
          <cell r="B4659" t="str">
            <v>INF044D01997</v>
          </cell>
          <cell r="C4659" t="str">
            <v>-</v>
          </cell>
          <cell r="D4659" t="str">
            <v>Taurus ELSS Tax Saver Fund - Regular Plan - Payout of Income Distribution cum Capital Withdrawal option</v>
          </cell>
          <cell r="E4659">
            <v>83.58</v>
          </cell>
        </row>
        <row r="4660">
          <cell r="B4660" t="str">
            <v/>
          </cell>
          <cell r="C4660" t="str">
            <v/>
          </cell>
          <cell r="D4660" t="str">
            <v/>
          </cell>
        </row>
        <row r="4661">
          <cell r="B4661" t="str">
            <v/>
          </cell>
          <cell r="C4661" t="str">
            <v/>
          </cell>
          <cell r="D4661" t="str">
            <v/>
          </cell>
        </row>
        <row r="4662">
          <cell r="B4662" t="str">
            <v/>
          </cell>
          <cell r="C4662" t="str">
            <v/>
          </cell>
          <cell r="D4662" t="str">
            <v/>
          </cell>
        </row>
        <row r="4663">
          <cell r="B4663" t="str">
            <v>INF582M01765</v>
          </cell>
          <cell r="C4663" t="str">
            <v>-</v>
          </cell>
          <cell r="D4663" t="str">
            <v>Union ELSS Tax Saver Fund - Direct Plan - Growth Option</v>
          </cell>
          <cell r="E4663">
            <v>71.67</v>
          </cell>
        </row>
        <row r="4664">
          <cell r="B4664" t="str">
            <v>INF582M01781</v>
          </cell>
          <cell r="C4664" t="str">
            <v>INF582M01773</v>
          </cell>
          <cell r="D4664" t="str">
            <v>Union ELSS Tax Saver Fund - Direct Plan - IDCW Option</v>
          </cell>
          <cell r="E4664">
            <v>71.67</v>
          </cell>
        </row>
        <row r="4665">
          <cell r="B4665" t="str">
            <v>INF582M01302</v>
          </cell>
          <cell r="C4665" t="str">
            <v>-</v>
          </cell>
          <cell r="D4665" t="str">
            <v>Union ELSS Tax Saver Fund - Growth Option</v>
          </cell>
          <cell r="E4665">
            <v>65.39</v>
          </cell>
        </row>
        <row r="4666">
          <cell r="B4666" t="str">
            <v>INF582M01328</v>
          </cell>
          <cell r="C4666" t="str">
            <v>INF582M01310</v>
          </cell>
          <cell r="D4666" t="str">
            <v>Union ELSS Tax Saver Fund - IDCW Option</v>
          </cell>
          <cell r="E4666">
            <v>36.56</v>
          </cell>
        </row>
        <row r="4667">
          <cell r="B4667" t="str">
            <v/>
          </cell>
          <cell r="C4667" t="str">
            <v/>
          </cell>
          <cell r="D4667" t="str">
            <v/>
          </cell>
        </row>
        <row r="4668">
          <cell r="B4668" t="str">
            <v/>
          </cell>
          <cell r="C4668" t="str">
            <v/>
          </cell>
          <cell r="D4668" t="str">
            <v/>
          </cell>
        </row>
        <row r="4669">
          <cell r="B4669" t="str">
            <v/>
          </cell>
          <cell r="C4669" t="str">
            <v/>
          </cell>
          <cell r="D4669" t="str">
            <v/>
          </cell>
        </row>
        <row r="4670">
          <cell r="B4670" t="str">
            <v>INF789F01TF7</v>
          </cell>
          <cell r="C4670" t="str">
            <v>-</v>
          </cell>
          <cell r="D4670" t="str">
            <v>UTI ELSS Tax Saver Fund - Direct Plan - Growth Option</v>
          </cell>
          <cell r="E4670">
            <v>226.74260000000001</v>
          </cell>
        </row>
        <row r="4671">
          <cell r="B4671" t="str">
            <v>INF789F01TD2</v>
          </cell>
          <cell r="C4671" t="str">
            <v>INF789F01TE0</v>
          </cell>
          <cell r="D4671" t="str">
            <v>UTI ELSS Tax Saver Fund - Direct Plan - IDCW</v>
          </cell>
          <cell r="E4671">
            <v>53.434899999999999</v>
          </cell>
        </row>
        <row r="4672">
          <cell r="B4672" t="str">
            <v>INF789F01547</v>
          </cell>
          <cell r="C4672" t="str">
            <v>-</v>
          </cell>
          <cell r="D4672" t="str">
            <v>UTI ELSS Tax Saver Fund - Regular Plan - Growth Option</v>
          </cell>
          <cell r="E4672">
            <v>200.65199999999999</v>
          </cell>
        </row>
        <row r="4673">
          <cell r="B4673" t="str">
            <v>INF789F01521</v>
          </cell>
          <cell r="C4673" t="str">
            <v>INF789F01539</v>
          </cell>
          <cell r="D4673" t="str">
            <v>UTI ELSS Tax Saver Fund - Regular Plan - IDCW</v>
          </cell>
          <cell r="E4673">
            <v>38.332700000000003</v>
          </cell>
        </row>
        <row r="4674">
          <cell r="B4674" t="str">
            <v/>
          </cell>
          <cell r="C4674" t="str">
            <v/>
          </cell>
          <cell r="D4674" t="str">
            <v/>
          </cell>
        </row>
        <row r="4675">
          <cell r="B4675" t="str">
            <v/>
          </cell>
          <cell r="C4675" t="str">
            <v/>
          </cell>
          <cell r="D4675" t="str">
            <v/>
          </cell>
        </row>
        <row r="4676">
          <cell r="B4676" t="str">
            <v/>
          </cell>
          <cell r="C4676" t="str">
            <v/>
          </cell>
          <cell r="D4676" t="str">
            <v/>
          </cell>
        </row>
        <row r="4677">
          <cell r="B4677" t="str">
            <v>INF03VN01621</v>
          </cell>
          <cell r="C4677" t="str">
            <v>-</v>
          </cell>
          <cell r="D4677" t="str">
            <v>WhiteOak Capital ELSS Tax Saver Fund Direct Plan Growth</v>
          </cell>
          <cell r="E4677">
            <v>18.933</v>
          </cell>
        </row>
        <row r="4678">
          <cell r="B4678" t="str">
            <v>INF03VN01639</v>
          </cell>
          <cell r="C4678" t="str">
            <v>-</v>
          </cell>
          <cell r="D4678" t="str">
            <v>WhiteOak Capital ELSS Tax Saver Fund Direct Plan IDCW</v>
          </cell>
          <cell r="E4678">
            <v>18.933</v>
          </cell>
        </row>
        <row r="4679">
          <cell r="B4679" t="str">
            <v>INF03VN01647</v>
          </cell>
          <cell r="C4679" t="str">
            <v>-</v>
          </cell>
          <cell r="D4679" t="str">
            <v>WhiteOak Capital ELSS Tax Saver Fund Regular Plan Growth</v>
          </cell>
          <cell r="E4679">
            <v>17.754000000000001</v>
          </cell>
        </row>
        <row r="4680">
          <cell r="B4680" t="str">
            <v>INF03VN01654</v>
          </cell>
          <cell r="C4680" t="str">
            <v>-</v>
          </cell>
          <cell r="D4680" t="str">
            <v>WhiteOak Capital ELSS Tax Saver Fund Regular Plan IDCW</v>
          </cell>
          <cell r="E4680">
            <v>17.754000000000001</v>
          </cell>
        </row>
        <row r="4681">
          <cell r="B4681" t="str">
            <v/>
          </cell>
          <cell r="C4681" t="str">
            <v/>
          </cell>
          <cell r="D4681" t="str">
            <v/>
          </cell>
        </row>
        <row r="4682">
          <cell r="B4682" t="str">
            <v/>
          </cell>
          <cell r="C4682" t="str">
            <v/>
          </cell>
          <cell r="D4682" t="str">
            <v/>
          </cell>
        </row>
        <row r="4683">
          <cell r="B4683" t="str">
            <v/>
          </cell>
          <cell r="C4683" t="str">
            <v/>
          </cell>
          <cell r="D4683" t="str">
            <v/>
          </cell>
        </row>
        <row r="4684">
          <cell r="B4684" t="str">
            <v/>
          </cell>
          <cell r="C4684" t="str">
            <v/>
          </cell>
          <cell r="D4684" t="str">
            <v/>
          </cell>
        </row>
        <row r="4685">
          <cell r="B4685" t="str">
            <v/>
          </cell>
          <cell r="C4685" t="str">
            <v/>
          </cell>
          <cell r="D4685" t="str">
            <v/>
          </cell>
        </row>
        <row r="4686">
          <cell r="B4686" t="str">
            <v>INF579M01AS1</v>
          </cell>
          <cell r="C4686" t="str">
            <v>-</v>
          </cell>
          <cell r="D4686" t="str">
            <v>360 ONE FLEXICAP FUND-DIRECT PLAN- GROWTH</v>
          </cell>
          <cell r="E4686">
            <v>16.4437</v>
          </cell>
        </row>
        <row r="4687">
          <cell r="B4687" t="str">
            <v>INF579M01AT9</v>
          </cell>
          <cell r="C4687" t="str">
            <v>INF579M01AU7</v>
          </cell>
          <cell r="D4687" t="str">
            <v>360 ONE FLEXICAP FUND-DIRECT PLAN- IDCW</v>
          </cell>
          <cell r="E4687">
            <v>16.4437</v>
          </cell>
        </row>
        <row r="4688">
          <cell r="B4688" t="str">
            <v>INF579M01AP7</v>
          </cell>
          <cell r="C4688" t="str">
            <v>-</v>
          </cell>
          <cell r="D4688" t="str">
            <v>360 ONE FLEXICAP FUND-REGULAR PLAN- GROWTH</v>
          </cell>
          <cell r="E4688">
            <v>15.6776</v>
          </cell>
        </row>
        <row r="4689">
          <cell r="B4689" t="str">
            <v>INF579M01AQ5</v>
          </cell>
          <cell r="C4689" t="str">
            <v>INF579M01AR3</v>
          </cell>
          <cell r="D4689" t="str">
            <v>360 ONE FLEXICAP FUND-REGULAR PLAN- IDCW</v>
          </cell>
          <cell r="E4689">
            <v>15.6776</v>
          </cell>
        </row>
        <row r="4690">
          <cell r="B4690" t="str">
            <v/>
          </cell>
          <cell r="C4690" t="str">
            <v/>
          </cell>
          <cell r="D4690" t="str">
            <v/>
          </cell>
        </row>
        <row r="4691">
          <cell r="B4691" t="str">
            <v/>
          </cell>
          <cell r="C4691" t="str">
            <v/>
          </cell>
          <cell r="D4691" t="str">
            <v/>
          </cell>
        </row>
        <row r="4692">
          <cell r="B4692" t="str">
            <v/>
          </cell>
          <cell r="C4692" t="str">
            <v/>
          </cell>
          <cell r="D4692" t="str">
            <v/>
          </cell>
        </row>
        <row r="4693">
          <cell r="B4693" t="str">
            <v>INF2JJD01136</v>
          </cell>
          <cell r="C4693" t="str">
            <v>-</v>
          </cell>
          <cell r="D4693" t="str">
            <v>Abakkus Flexi Cap Fund - Direct - Growth</v>
          </cell>
          <cell r="E4693">
            <v>11.005000000000001</v>
          </cell>
        </row>
        <row r="4694">
          <cell r="B4694" t="str">
            <v>INF2JJD01128</v>
          </cell>
          <cell r="C4694" t="str">
            <v>INF2JJD01110</v>
          </cell>
          <cell r="D4694" t="str">
            <v>Abakkus Flexi Cap Fund - Direct - IDCW</v>
          </cell>
          <cell r="E4694">
            <v>11.009</v>
          </cell>
        </row>
        <row r="4695">
          <cell r="B4695" t="str">
            <v>INF2JJD01169</v>
          </cell>
          <cell r="C4695" t="str">
            <v>-</v>
          </cell>
          <cell r="D4695" t="str">
            <v>Abakkus Flexi Cap Fund - Regular - Growth</v>
          </cell>
          <cell r="E4695">
            <v>10.917</v>
          </cell>
        </row>
        <row r="4696">
          <cell r="B4696" t="str">
            <v>INF2JJD01151</v>
          </cell>
          <cell r="C4696" t="str">
            <v>INF2JJD01144</v>
          </cell>
          <cell r="D4696" t="str">
            <v>Abakkus Flexi Cap Fund - Regular - IDCW</v>
          </cell>
          <cell r="E4696">
            <v>10.917</v>
          </cell>
        </row>
        <row r="4697">
          <cell r="B4697" t="str">
            <v/>
          </cell>
          <cell r="C4697" t="str">
            <v/>
          </cell>
          <cell r="D4697" t="str">
            <v/>
          </cell>
        </row>
        <row r="4698">
          <cell r="B4698" t="str">
            <v/>
          </cell>
          <cell r="C4698" t="str">
            <v/>
          </cell>
          <cell r="D4698" t="str">
            <v/>
          </cell>
        </row>
        <row r="4699">
          <cell r="B4699" t="str">
            <v/>
          </cell>
          <cell r="C4699" t="str">
            <v/>
          </cell>
          <cell r="D4699" t="str">
            <v/>
          </cell>
        </row>
        <row r="4700">
          <cell r="B4700" t="str">
            <v>INF209K01XX1</v>
          </cell>
          <cell r="C4700" t="str">
            <v>-</v>
          </cell>
          <cell r="D4700" t="str">
            <v>Aditya Birla Sun Life Flexi Cap Fund - Growth - Direct Plan</v>
          </cell>
          <cell r="E4700">
            <v>2159.65</v>
          </cell>
        </row>
        <row r="4701">
          <cell r="B4701" t="str">
            <v>INF209K01AJ8</v>
          </cell>
          <cell r="C4701" t="str">
            <v>-</v>
          </cell>
          <cell r="D4701" t="str">
            <v>Aditya Birla Sun Life Flexi Cap Fund - Growth - Regular Plan</v>
          </cell>
          <cell r="E4701">
            <v>1917.22</v>
          </cell>
        </row>
        <row r="4702">
          <cell r="B4702" t="str">
            <v>INF209KA1LE0</v>
          </cell>
          <cell r="C4702" t="str">
            <v>INF209K01XY9</v>
          </cell>
          <cell r="D4702" t="str">
            <v>Aditya Birla Sun Life Flexi Cap Fund -DIRECT - IDCW</v>
          </cell>
          <cell r="E4702">
            <v>235.14</v>
          </cell>
        </row>
        <row r="4703">
          <cell r="B4703" t="str">
            <v>INF209K01AQ3</v>
          </cell>
          <cell r="C4703" t="str">
            <v>INF209K01DT1</v>
          </cell>
          <cell r="D4703" t="str">
            <v>Aditya Birla Sun Life Flexi Cap Fund -Regular - IDCW</v>
          </cell>
          <cell r="E4703">
            <v>165.17</v>
          </cell>
        </row>
        <row r="4704">
          <cell r="B4704" t="str">
            <v/>
          </cell>
          <cell r="C4704" t="str">
            <v/>
          </cell>
          <cell r="D4704" t="str">
            <v/>
          </cell>
        </row>
        <row r="4705">
          <cell r="B4705" t="str">
            <v/>
          </cell>
          <cell r="C4705" t="str">
            <v/>
          </cell>
          <cell r="D4705" t="str">
            <v/>
          </cell>
        </row>
        <row r="4706">
          <cell r="B4706" t="str">
            <v/>
          </cell>
          <cell r="C4706" t="str">
            <v/>
          </cell>
          <cell r="D4706" t="str">
            <v/>
          </cell>
        </row>
        <row r="4707">
          <cell r="B4707" t="str">
            <v>INF846K01B28</v>
          </cell>
          <cell r="C4707" t="str">
            <v>-</v>
          </cell>
          <cell r="D4707" t="str">
            <v>Axis Flexi Cap Fund - Direct Plan - Growth</v>
          </cell>
          <cell r="E4707">
            <v>30.56</v>
          </cell>
        </row>
        <row r="4708">
          <cell r="B4708" t="str">
            <v>INF846K01B02</v>
          </cell>
          <cell r="C4708" t="str">
            <v>INF846K01B10</v>
          </cell>
          <cell r="D4708" t="str">
            <v>Axis Flexi Cap fund - Direct Plan - IDCW</v>
          </cell>
          <cell r="E4708">
            <v>18.91</v>
          </cell>
        </row>
        <row r="4709">
          <cell r="B4709" t="str">
            <v>INF846K01B51</v>
          </cell>
          <cell r="C4709" t="str">
            <v>-</v>
          </cell>
          <cell r="D4709" t="str">
            <v>Axis Flexi Cap Fund - Regular Plan - Growth</v>
          </cell>
          <cell r="E4709">
            <v>27.4</v>
          </cell>
        </row>
        <row r="4710">
          <cell r="B4710" t="str">
            <v>INF846K01B36</v>
          </cell>
          <cell r="C4710" t="str">
            <v>INF846K01B44</v>
          </cell>
          <cell r="D4710" t="str">
            <v>Axis Flexi Cap Fund - Regular Plan - IDCW</v>
          </cell>
          <cell r="E4710">
            <v>17.12</v>
          </cell>
        </row>
        <row r="4711">
          <cell r="B4711" t="str">
            <v/>
          </cell>
          <cell r="C4711" t="str">
            <v/>
          </cell>
          <cell r="D4711" t="str">
            <v/>
          </cell>
        </row>
        <row r="4712">
          <cell r="B4712" t="str">
            <v/>
          </cell>
          <cell r="C4712" t="str">
            <v/>
          </cell>
          <cell r="D4712" t="str">
            <v/>
          </cell>
        </row>
        <row r="4713">
          <cell r="B4713" t="str">
            <v/>
          </cell>
          <cell r="C4713" t="str">
            <v/>
          </cell>
          <cell r="D4713" t="str">
            <v/>
          </cell>
        </row>
        <row r="4714">
          <cell r="B4714" t="str">
            <v>INF0QA701383</v>
          </cell>
          <cell r="C4714" t="str">
            <v>-</v>
          </cell>
          <cell r="D4714" t="str">
            <v>Bajaj Finserv Flexi Cap Fund -Regular Plan-Growth</v>
          </cell>
          <cell r="E4714">
            <v>15.46</v>
          </cell>
        </row>
        <row r="4715">
          <cell r="B4715" t="str">
            <v>INF0QA701342</v>
          </cell>
          <cell r="C4715" t="str">
            <v>-</v>
          </cell>
          <cell r="D4715" t="str">
            <v>Bajaj Finserv Flexi Cap Fund-Direct Plan-Growth</v>
          </cell>
          <cell r="E4715">
            <v>16.102</v>
          </cell>
        </row>
        <row r="4716">
          <cell r="B4716" t="str">
            <v>INF0QA701359</v>
          </cell>
          <cell r="C4716" t="str">
            <v>INF0QA701367</v>
          </cell>
          <cell r="D4716" t="str">
            <v>Bajaj Finserv Flexi Cap Fund-Direct Plan-IDCW</v>
          </cell>
          <cell r="E4716">
            <v>16.102</v>
          </cell>
        </row>
        <row r="4717">
          <cell r="B4717" t="str">
            <v>INF0QA701409</v>
          </cell>
          <cell r="C4717" t="str">
            <v>INF0QA701417</v>
          </cell>
          <cell r="D4717" t="str">
            <v>Bajaj Finserv Flexi Cap Fund-Regular Plan-IDCW</v>
          </cell>
          <cell r="E4717">
            <v>15.46</v>
          </cell>
        </row>
        <row r="4718">
          <cell r="B4718" t="str">
            <v/>
          </cell>
          <cell r="C4718" t="str">
            <v/>
          </cell>
          <cell r="D4718" t="str">
            <v/>
          </cell>
        </row>
        <row r="4719">
          <cell r="B4719" t="str">
            <v/>
          </cell>
          <cell r="C4719" t="str">
            <v/>
          </cell>
          <cell r="D4719" t="str">
            <v/>
          </cell>
        </row>
        <row r="4720">
          <cell r="B4720" t="str">
            <v/>
          </cell>
          <cell r="C4720" t="str">
            <v/>
          </cell>
          <cell r="D4720" t="str">
            <v/>
          </cell>
        </row>
        <row r="4721">
          <cell r="B4721" t="str">
            <v>INF194K01391</v>
          </cell>
          <cell r="C4721" t="str">
            <v>-</v>
          </cell>
          <cell r="D4721" t="str">
            <v>BANDHAN Flexi Cap Fund - Regular Plan - Growth</v>
          </cell>
          <cell r="E4721">
            <v>208.8</v>
          </cell>
        </row>
        <row r="4722">
          <cell r="B4722" t="str">
            <v>INF194K01409</v>
          </cell>
          <cell r="C4722" t="str">
            <v>INF194K01417</v>
          </cell>
          <cell r="D4722" t="str">
            <v>BANDHAN Flexi Cap Fund - Regular Plan - IDCW</v>
          </cell>
          <cell r="E4722">
            <v>46.732999999999997</v>
          </cell>
        </row>
        <row r="4723">
          <cell r="B4723" t="str">
            <v>INF194K01W62</v>
          </cell>
          <cell r="C4723" t="str">
            <v>-</v>
          </cell>
          <cell r="D4723" t="str">
            <v>BANDHAN Flexi Cap Fund-Direct Plan-Growth</v>
          </cell>
          <cell r="E4723">
            <v>229.96700000000001</v>
          </cell>
        </row>
        <row r="4724">
          <cell r="B4724" t="str">
            <v>INF194K01W70</v>
          </cell>
          <cell r="C4724" t="str">
            <v>INF194K01W88</v>
          </cell>
          <cell r="D4724" t="str">
            <v>BANDHAN Flexi Cap Fund-Direct Plan-IDCW</v>
          </cell>
          <cell r="E4724">
            <v>51.280999999999999</v>
          </cell>
        </row>
        <row r="4725">
          <cell r="B4725" t="str">
            <v/>
          </cell>
          <cell r="C4725" t="str">
            <v/>
          </cell>
          <cell r="D4725" t="str">
            <v/>
          </cell>
        </row>
        <row r="4726">
          <cell r="B4726" t="str">
            <v/>
          </cell>
          <cell r="C4726" t="str">
            <v/>
          </cell>
          <cell r="D4726" t="str">
            <v/>
          </cell>
        </row>
        <row r="4727">
          <cell r="B4727" t="str">
            <v/>
          </cell>
          <cell r="C4727" t="str">
            <v/>
          </cell>
          <cell r="D4727" t="str">
            <v/>
          </cell>
        </row>
        <row r="4728">
          <cell r="B4728" t="str">
            <v>INF761K01FF5</v>
          </cell>
          <cell r="C4728" t="str">
            <v>-</v>
          </cell>
          <cell r="D4728" t="str">
            <v>BANK OF INDIA Flexi Cap Fund Direct Plan -Growth</v>
          </cell>
          <cell r="E4728">
            <v>41.37</v>
          </cell>
        </row>
        <row r="4729">
          <cell r="B4729" t="str">
            <v>INF761K01FE8</v>
          </cell>
          <cell r="C4729" t="str">
            <v>INF761K01FG3</v>
          </cell>
          <cell r="D4729" t="str">
            <v>BANK OF INDIA Flexi Cap Fund Direct Plan -IDCW</v>
          </cell>
          <cell r="E4729">
            <v>35.35</v>
          </cell>
        </row>
        <row r="4730">
          <cell r="B4730" t="str">
            <v>INF761K01FI9</v>
          </cell>
          <cell r="C4730" t="str">
            <v>-</v>
          </cell>
          <cell r="D4730" t="str">
            <v>BANK OF INDIA Flexi Cap Fund Regular Plan -Growth</v>
          </cell>
          <cell r="E4730">
            <v>37.659999999999997</v>
          </cell>
        </row>
        <row r="4731">
          <cell r="B4731" t="str">
            <v>INF761K01FH1</v>
          </cell>
          <cell r="C4731" t="str">
            <v>INF761K01FJ7</v>
          </cell>
          <cell r="D4731" t="str">
            <v>BANK OF INDIA Flexi Cap Fund Regular Plan -IDCW</v>
          </cell>
          <cell r="E4731">
            <v>34.22</v>
          </cell>
        </row>
        <row r="4732">
          <cell r="B4732" t="str">
            <v/>
          </cell>
          <cell r="C4732" t="str">
            <v/>
          </cell>
          <cell r="D4732" t="str">
            <v/>
          </cell>
        </row>
        <row r="4733">
          <cell r="B4733" t="str">
            <v/>
          </cell>
          <cell r="C4733" t="str">
            <v/>
          </cell>
          <cell r="D4733" t="str">
            <v/>
          </cell>
        </row>
        <row r="4734">
          <cell r="B4734" t="str">
            <v/>
          </cell>
          <cell r="C4734" t="str">
            <v/>
          </cell>
          <cell r="D4734" t="str">
            <v/>
          </cell>
        </row>
        <row r="4735">
          <cell r="B4735" t="str">
            <v>INF251K01QZ2</v>
          </cell>
          <cell r="C4735" t="str">
            <v>-</v>
          </cell>
          <cell r="D4735" t="str">
            <v>Baroda BNP Paribas Flexi Cap Fund - Direct Plan - Growth Option</v>
          </cell>
          <cell r="E4735">
            <v>16.791499999999999</v>
          </cell>
        </row>
        <row r="4736">
          <cell r="B4736" t="str">
            <v>INF251K01RA3</v>
          </cell>
          <cell r="C4736" t="str">
            <v>INF251K01RB1</v>
          </cell>
          <cell r="D4736" t="str">
            <v>Baroda BNP Paribas Flexi Cap Fund - Direct Plan - IDCW Option</v>
          </cell>
          <cell r="E4736">
            <v>14.023400000000001</v>
          </cell>
        </row>
        <row r="4737">
          <cell r="B4737" t="str">
            <v>INF251K01QW9</v>
          </cell>
          <cell r="C4737" t="str">
            <v>-</v>
          </cell>
          <cell r="D4737" t="str">
            <v>Baroda BNP Paribas Flexi Cap Fund - Regular Plan - Growth Option</v>
          </cell>
          <cell r="E4737">
            <v>15.911099999999999</v>
          </cell>
        </row>
        <row r="4738">
          <cell r="B4738" t="str">
            <v>INF251K01QX7</v>
          </cell>
          <cell r="C4738" t="str">
            <v>INF251K01QY5</v>
          </cell>
          <cell r="D4738" t="str">
            <v>Baroda BNP Paribas Flexi Cap Fund - Regular Plan - IDCW Option</v>
          </cell>
          <cell r="E4738">
            <v>13.2843</v>
          </cell>
        </row>
        <row r="4739">
          <cell r="B4739" t="str">
            <v/>
          </cell>
          <cell r="C4739" t="str">
            <v/>
          </cell>
          <cell r="D4739" t="str">
            <v/>
          </cell>
        </row>
        <row r="4740">
          <cell r="B4740" t="str">
            <v/>
          </cell>
          <cell r="C4740" t="str">
            <v/>
          </cell>
          <cell r="D4740" t="str">
            <v/>
          </cell>
        </row>
        <row r="4741">
          <cell r="B4741" t="str">
            <v/>
          </cell>
          <cell r="C4741" t="str">
            <v/>
          </cell>
          <cell r="D4741" t="str">
            <v/>
          </cell>
        </row>
        <row r="4742">
          <cell r="B4742" t="str">
            <v>INF760K01EF0</v>
          </cell>
          <cell r="C4742" t="str">
            <v>-</v>
          </cell>
          <cell r="D4742" t="str">
            <v>CANARA ROBECO FLEXICAP FUND - DIRECT PLAN - GROWTH OPTION</v>
          </cell>
          <cell r="E4742">
            <v>384.98</v>
          </cell>
        </row>
        <row r="4743">
          <cell r="B4743" t="str">
            <v>INF760K01ED5</v>
          </cell>
          <cell r="C4743" t="str">
            <v>INF760K01EE3</v>
          </cell>
          <cell r="D4743" t="str">
            <v>CANARA ROBECO FLEXICAP FUND - DIRECT PLAN - IDCW (Payout/Reinvestment)</v>
          </cell>
          <cell r="E4743">
            <v>90.87</v>
          </cell>
        </row>
        <row r="4744">
          <cell r="B4744" t="str">
            <v>INF760K01019</v>
          </cell>
          <cell r="C4744" t="str">
            <v>-</v>
          </cell>
          <cell r="D4744" t="str">
            <v>CANARA ROBECO FLEXICAP FUND - REGULAR PLAN - GROWTH OPTION</v>
          </cell>
          <cell r="E4744">
            <v>339.36</v>
          </cell>
        </row>
        <row r="4745">
          <cell r="B4745" t="str">
            <v>INF760K01027</v>
          </cell>
          <cell r="C4745" t="str">
            <v>INF760K01035</v>
          </cell>
          <cell r="D4745" t="str">
            <v>CANARA ROBECO FLEXICAP FUND - REGULAR PLAN - IDCW (Payout/Reinvestment)</v>
          </cell>
          <cell r="E4745">
            <v>59.1</v>
          </cell>
        </row>
        <row r="4746">
          <cell r="B4746" t="str">
            <v/>
          </cell>
          <cell r="C4746" t="str">
            <v/>
          </cell>
          <cell r="D4746" t="str">
            <v/>
          </cell>
        </row>
        <row r="4747">
          <cell r="B4747" t="str">
            <v/>
          </cell>
          <cell r="C4747" t="str">
            <v/>
          </cell>
          <cell r="D4747" t="str">
            <v/>
          </cell>
        </row>
        <row r="4748">
          <cell r="B4748" t="str">
            <v/>
          </cell>
          <cell r="C4748" t="str">
            <v/>
          </cell>
          <cell r="D4748" t="str">
            <v/>
          </cell>
        </row>
        <row r="4749">
          <cell r="B4749" t="str">
            <v>INF226401018</v>
          </cell>
          <cell r="C4749" t="str">
            <v>-</v>
          </cell>
          <cell r="D4749" t="str">
            <v>CAPITALMIND FLEXI CAP FUND DIRECT GROWTH</v>
          </cell>
          <cell r="E4749">
            <v>10.154</v>
          </cell>
        </row>
        <row r="4750">
          <cell r="B4750" t="str">
            <v>INF226401026</v>
          </cell>
          <cell r="C4750" t="str">
            <v>-</v>
          </cell>
          <cell r="D4750" t="str">
            <v>CAPITALMIND FLEXI CAP FUND REGULAR GROWTH</v>
          </cell>
          <cell r="E4750">
            <v>10.0168</v>
          </cell>
        </row>
        <row r="4751">
          <cell r="B4751" t="str">
            <v/>
          </cell>
          <cell r="C4751" t="str">
            <v/>
          </cell>
          <cell r="D4751" t="str">
            <v/>
          </cell>
        </row>
        <row r="4752">
          <cell r="B4752" t="str">
            <v/>
          </cell>
          <cell r="C4752" t="str">
            <v/>
          </cell>
          <cell r="D4752" t="str">
            <v/>
          </cell>
        </row>
        <row r="4753">
          <cell r="B4753" t="str">
            <v/>
          </cell>
          <cell r="C4753" t="str">
            <v/>
          </cell>
          <cell r="D4753" t="str">
            <v/>
          </cell>
        </row>
        <row r="4754">
          <cell r="B4754" t="str">
            <v>INF740K01PI2</v>
          </cell>
          <cell r="C4754" t="str">
            <v>-</v>
          </cell>
          <cell r="D4754" t="str">
            <v>DSP Flexi Cap Fund - Direct Plan - Growth</v>
          </cell>
          <cell r="E4754">
            <v>115.09399999999999</v>
          </cell>
        </row>
        <row r="4755">
          <cell r="B4755" t="str">
            <v>INF740K01PJ0</v>
          </cell>
          <cell r="C4755" t="str">
            <v>INF740K01PK8</v>
          </cell>
          <cell r="D4755" t="str">
            <v>DSP Flexi Cap Fund - Direct Plan - IDCW</v>
          </cell>
          <cell r="E4755">
            <v>84.611000000000004</v>
          </cell>
        </row>
        <row r="4756">
          <cell r="B4756" t="str">
            <v>INF740K01037</v>
          </cell>
          <cell r="C4756" t="str">
            <v>-</v>
          </cell>
          <cell r="D4756" t="str">
            <v>DSP Flexi Cap Fund - Regular Plan - Growth</v>
          </cell>
          <cell r="E4756">
            <v>102.43</v>
          </cell>
        </row>
        <row r="4757">
          <cell r="B4757" t="str">
            <v>INF740K01011</v>
          </cell>
          <cell r="C4757" t="str">
            <v>INF740K01029</v>
          </cell>
          <cell r="D4757" t="str">
            <v>DSP Flexi Cap Fund - Regular Plan - IDCW</v>
          </cell>
          <cell r="E4757">
            <v>58.118000000000002</v>
          </cell>
        </row>
        <row r="4758">
          <cell r="B4758" t="str">
            <v/>
          </cell>
          <cell r="C4758" t="str">
            <v/>
          </cell>
          <cell r="D4758" t="str">
            <v/>
          </cell>
        </row>
        <row r="4759">
          <cell r="B4759" t="str">
            <v/>
          </cell>
          <cell r="C4759" t="str">
            <v/>
          </cell>
          <cell r="D4759" t="str">
            <v/>
          </cell>
        </row>
        <row r="4760">
          <cell r="B4760" t="str">
            <v/>
          </cell>
          <cell r="C4760" t="str">
            <v/>
          </cell>
          <cell r="D4760" t="str">
            <v/>
          </cell>
        </row>
        <row r="4761">
          <cell r="B4761" t="str">
            <v>INF843K01KK1</v>
          </cell>
          <cell r="C4761" t="str">
            <v>-</v>
          </cell>
          <cell r="D4761" t="str">
            <v>Edelweiss Flexi Cap Fund - Direct Plan - Growth Option</v>
          </cell>
          <cell r="E4761">
            <v>45.243000000000002</v>
          </cell>
        </row>
        <row r="4762">
          <cell r="B4762" t="str">
            <v>INF843K01KL9</v>
          </cell>
          <cell r="C4762" t="str">
            <v>INF843K01KM7</v>
          </cell>
          <cell r="D4762" t="str">
            <v>Edelweiss Flexi Cap Fund - Direct Plan - IDCW Option</v>
          </cell>
          <cell r="E4762">
            <v>36.640999999999998</v>
          </cell>
        </row>
        <row r="4763">
          <cell r="B4763" t="str">
            <v>INF843K01KO3</v>
          </cell>
          <cell r="C4763" t="str">
            <v>INF843K01KP0</v>
          </cell>
          <cell r="D4763" t="str">
            <v>Edelweiss Flexi Cap Fund - Regular - IDCW Option</v>
          </cell>
          <cell r="E4763">
            <v>31.15</v>
          </cell>
        </row>
        <row r="4764">
          <cell r="B4764" t="str">
            <v>INF843K01KN5</v>
          </cell>
          <cell r="C4764" t="str">
            <v>-</v>
          </cell>
          <cell r="D4764" t="str">
            <v>Edelweiss Flexi Cap Fund - Regular Plan - Growth Option</v>
          </cell>
          <cell r="E4764">
            <v>38.548000000000002</v>
          </cell>
        </row>
        <row r="4765">
          <cell r="B4765" t="str">
            <v/>
          </cell>
          <cell r="C4765" t="str">
            <v/>
          </cell>
          <cell r="D4765" t="str">
            <v/>
          </cell>
        </row>
        <row r="4766">
          <cell r="B4766" t="str">
            <v/>
          </cell>
          <cell r="C4766" t="str">
            <v/>
          </cell>
          <cell r="D4766" t="str">
            <v/>
          </cell>
        </row>
        <row r="4767">
          <cell r="B4767" t="str">
            <v/>
          </cell>
          <cell r="C4767" t="str">
            <v/>
          </cell>
          <cell r="D4767" t="str">
            <v/>
          </cell>
        </row>
        <row r="4768">
          <cell r="B4768" t="str">
            <v>INF090I01FK3</v>
          </cell>
          <cell r="C4768" t="str">
            <v>-</v>
          </cell>
          <cell r="D4768" t="str">
            <v>Franklin India Flexi Cap Fund - Direct - Growth</v>
          </cell>
          <cell r="E4768">
            <v>1783.6194</v>
          </cell>
        </row>
        <row r="4769">
          <cell r="B4769" t="str">
            <v>INF090I01FL1</v>
          </cell>
          <cell r="C4769" t="str">
            <v>INF090I01FM9</v>
          </cell>
          <cell r="D4769" t="str">
            <v xml:space="preserve">Franklin India Flexi Cap Fund - Direct - IDCW </v>
          </cell>
          <cell r="E4769">
            <v>68.965699999999998</v>
          </cell>
        </row>
        <row r="4770">
          <cell r="B4770" t="str">
            <v>INF090I01239</v>
          </cell>
          <cell r="C4770" t="str">
            <v>-</v>
          </cell>
          <cell r="D4770" t="str">
            <v>Franklin India Flexi Cap Fund - Growth</v>
          </cell>
          <cell r="E4770">
            <v>1589.4767999999999</v>
          </cell>
        </row>
        <row r="4771">
          <cell r="B4771" t="str">
            <v>INF090I01213</v>
          </cell>
          <cell r="C4771" t="str">
            <v>INF090I01221</v>
          </cell>
          <cell r="D4771" t="str">
            <v xml:space="preserve">Franklin India Flexi Cap Fund - IDCW </v>
          </cell>
          <cell r="E4771">
            <v>61.501399999999997</v>
          </cell>
        </row>
        <row r="4772">
          <cell r="B4772" t="str">
            <v/>
          </cell>
          <cell r="C4772" t="str">
            <v/>
          </cell>
          <cell r="D4772" t="str">
            <v/>
          </cell>
        </row>
        <row r="4773">
          <cell r="B4773" t="str">
            <v/>
          </cell>
          <cell r="C4773" t="str">
            <v/>
          </cell>
          <cell r="D4773" t="str">
            <v/>
          </cell>
        </row>
        <row r="4774">
          <cell r="B4774" t="str">
            <v/>
          </cell>
          <cell r="C4774" t="str">
            <v/>
          </cell>
          <cell r="D4774" t="str">
            <v/>
          </cell>
        </row>
        <row r="4775">
          <cell r="B4775" t="str">
            <v>INF179K01UT0</v>
          </cell>
          <cell r="C4775" t="str">
            <v>-</v>
          </cell>
          <cell r="D4775" t="str">
            <v>HDFC Flexi Cap Fund - Growth Option - Direct Plan</v>
          </cell>
          <cell r="E4775">
            <v>2220.855</v>
          </cell>
        </row>
        <row r="4776">
          <cell r="B4776" t="str">
            <v>INF179K01608</v>
          </cell>
          <cell r="C4776" t="str">
            <v>-</v>
          </cell>
          <cell r="D4776" t="str">
            <v>HDFC Flexi Cap Fund - Growth Plan</v>
          </cell>
          <cell r="E4776">
            <v>2018.0519999999999</v>
          </cell>
        </row>
        <row r="4777">
          <cell r="B4777" t="str">
            <v>INF179K01VL5</v>
          </cell>
          <cell r="C4777" t="str">
            <v>INF179K01VM3</v>
          </cell>
          <cell r="D4777" t="str">
            <v>HDFC Flexi Cap Fund - IDCW Option - Direct Plan</v>
          </cell>
          <cell r="E4777">
            <v>89.798000000000002</v>
          </cell>
        </row>
        <row r="4778">
          <cell r="B4778" t="str">
            <v>INF179K01582</v>
          </cell>
          <cell r="C4778" t="str">
            <v>INF179K01590</v>
          </cell>
          <cell r="D4778" t="str">
            <v>HDFC Flexi Cap Fund - IDCW Plan</v>
          </cell>
          <cell r="E4778">
            <v>72.923000000000002</v>
          </cell>
        </row>
        <row r="4779">
          <cell r="B4779" t="str">
            <v/>
          </cell>
          <cell r="C4779" t="str">
            <v/>
          </cell>
          <cell r="D4779" t="str">
            <v/>
          </cell>
        </row>
        <row r="4780">
          <cell r="B4780" t="str">
            <v/>
          </cell>
          <cell r="C4780" t="str">
            <v/>
          </cell>
          <cell r="D4780" t="str">
            <v/>
          </cell>
        </row>
        <row r="4781">
          <cell r="B4781" t="str">
            <v/>
          </cell>
          <cell r="C4781" t="str">
            <v/>
          </cell>
          <cell r="D4781" t="str">
            <v/>
          </cell>
        </row>
        <row r="4782">
          <cell r="B4782" t="str">
            <v>INF0R8701046</v>
          </cell>
          <cell r="C4782" t="str">
            <v>-</v>
          </cell>
          <cell r="D4782" t="str">
            <v>Helios Flexi Cap Fund - Direct Plan - Growth Option</v>
          </cell>
          <cell r="E4782">
            <v>15.99</v>
          </cell>
        </row>
        <row r="4783">
          <cell r="B4783" t="str">
            <v>INF0R8701053</v>
          </cell>
          <cell r="C4783" t="str">
            <v>INF0R8701061</v>
          </cell>
          <cell r="D4783" t="str">
            <v>Helios Flexi Cap Fund - Direct Plan - IDCW Option</v>
          </cell>
          <cell r="E4783">
            <v>16</v>
          </cell>
        </row>
        <row r="4784">
          <cell r="B4784" t="str">
            <v>INF0R8701012</v>
          </cell>
          <cell r="C4784" t="str">
            <v>-</v>
          </cell>
          <cell r="D4784" t="str">
            <v>Helios Flexi Cap Fund - Regular Plan - Growth Option</v>
          </cell>
          <cell r="E4784">
            <v>15.39</v>
          </cell>
        </row>
        <row r="4785">
          <cell r="B4785" t="str">
            <v>INF0R8701020</v>
          </cell>
          <cell r="C4785" t="str">
            <v>INF0R8701038</v>
          </cell>
          <cell r="D4785" t="str">
            <v>Helios Flexi Cap Fund - Regular Plan - IDCW Option</v>
          </cell>
          <cell r="E4785">
            <v>15.39</v>
          </cell>
        </row>
        <row r="4786">
          <cell r="B4786" t="str">
            <v/>
          </cell>
          <cell r="C4786" t="str">
            <v/>
          </cell>
          <cell r="D4786" t="str">
            <v/>
          </cell>
        </row>
        <row r="4787">
          <cell r="B4787" t="str">
            <v/>
          </cell>
          <cell r="C4787" t="str">
            <v/>
          </cell>
          <cell r="D4787" t="str">
            <v/>
          </cell>
        </row>
        <row r="4788">
          <cell r="B4788" t="str">
            <v/>
          </cell>
          <cell r="C4788" t="str">
            <v/>
          </cell>
          <cell r="D4788" t="str">
            <v/>
          </cell>
        </row>
        <row r="4789">
          <cell r="B4789" t="str">
            <v>INF336L01DH5</v>
          </cell>
          <cell r="C4789" t="str">
            <v>-</v>
          </cell>
          <cell r="D4789" t="str">
            <v>HSBC Flexi Cap Fund - Direct Growth</v>
          </cell>
          <cell r="E4789">
            <v>252.59309999999999</v>
          </cell>
        </row>
        <row r="4790">
          <cell r="B4790" t="str">
            <v>INF336L01DF9</v>
          </cell>
          <cell r="C4790" t="str">
            <v>INF336L01DG7</v>
          </cell>
          <cell r="D4790" t="str">
            <v>HSBC Flexi Cap Fund - Direct IDCW</v>
          </cell>
          <cell r="E4790">
            <v>46.0092</v>
          </cell>
        </row>
        <row r="4791">
          <cell r="B4791" t="str">
            <v>INF336L01AF5</v>
          </cell>
          <cell r="C4791" t="str">
            <v>-</v>
          </cell>
          <cell r="D4791" t="str">
            <v>HSBC Flexi Cap Fund - Regular Growth</v>
          </cell>
          <cell r="E4791">
            <v>224.73480000000001</v>
          </cell>
        </row>
        <row r="4792">
          <cell r="B4792" t="str">
            <v>INF336L01AE8</v>
          </cell>
          <cell r="C4792" t="str">
            <v>INF336L01AD0</v>
          </cell>
          <cell r="D4792" t="str">
            <v>HSBC Flexi Cap Fund - Regular IDCW</v>
          </cell>
          <cell r="E4792">
            <v>41.999699999999997</v>
          </cell>
        </row>
        <row r="4793">
          <cell r="B4793" t="str">
            <v/>
          </cell>
          <cell r="C4793" t="str">
            <v/>
          </cell>
          <cell r="D4793" t="str">
            <v/>
          </cell>
        </row>
        <row r="4794">
          <cell r="B4794" t="str">
            <v/>
          </cell>
          <cell r="C4794" t="str">
            <v/>
          </cell>
          <cell r="D4794" t="str">
            <v/>
          </cell>
        </row>
        <row r="4795">
          <cell r="B4795" t="str">
            <v/>
          </cell>
          <cell r="C4795" t="str">
            <v/>
          </cell>
          <cell r="D4795" t="str">
            <v/>
          </cell>
        </row>
        <row r="4796">
          <cell r="B4796" t="str">
            <v>INF109KC1R14</v>
          </cell>
          <cell r="C4796" t="str">
            <v>-</v>
          </cell>
          <cell r="D4796" t="str">
            <v>ICICI Prudential Flexicap Fund - Direct Plan - Growth</v>
          </cell>
          <cell r="E4796">
            <v>21.06</v>
          </cell>
        </row>
        <row r="4797">
          <cell r="B4797" t="str">
            <v>INF109KC1R22</v>
          </cell>
          <cell r="C4797" t="str">
            <v>INF109KC1R30</v>
          </cell>
          <cell r="D4797" t="str">
            <v>ICICI Prudential Flexicap Fund - Direct Plan - IDCW</v>
          </cell>
          <cell r="E4797">
            <v>17.809999999999999</v>
          </cell>
        </row>
        <row r="4798">
          <cell r="B4798" t="str">
            <v>INF109KC1Q80</v>
          </cell>
          <cell r="C4798" t="str">
            <v>-</v>
          </cell>
          <cell r="D4798" t="str">
            <v>ICICI Prudential Flexicap Fund - Growth</v>
          </cell>
          <cell r="E4798">
            <v>19.899999999999999</v>
          </cell>
        </row>
        <row r="4799">
          <cell r="B4799" t="str">
            <v>INF109KC1Q98</v>
          </cell>
          <cell r="C4799" t="str">
            <v>INF109KC1R06</v>
          </cell>
          <cell r="D4799" t="str">
            <v>ICICI Prudential Flexicap Fund - IDCW</v>
          </cell>
          <cell r="E4799">
            <v>16.670000000000002</v>
          </cell>
        </row>
        <row r="4800">
          <cell r="B4800" t="str">
            <v/>
          </cell>
          <cell r="C4800" t="str">
            <v/>
          </cell>
          <cell r="D4800" t="str">
            <v/>
          </cell>
        </row>
        <row r="4801">
          <cell r="B4801" t="str">
            <v/>
          </cell>
          <cell r="C4801" t="str">
            <v/>
          </cell>
          <cell r="D4801" t="str">
            <v/>
          </cell>
        </row>
        <row r="4802">
          <cell r="B4802" t="str">
            <v/>
          </cell>
          <cell r="C4802" t="str">
            <v/>
          </cell>
          <cell r="D4802" t="str">
            <v/>
          </cell>
        </row>
        <row r="4803">
          <cell r="B4803" t="str">
            <v>INF205KA1494</v>
          </cell>
          <cell r="C4803" t="str">
            <v>-</v>
          </cell>
          <cell r="D4803" t="str">
            <v>Invesco India Flexi Cap Fund - Direct Plan - Growth</v>
          </cell>
          <cell r="E4803">
            <v>20.49</v>
          </cell>
        </row>
        <row r="4804">
          <cell r="B4804" t="str">
            <v>INF205KA1486</v>
          </cell>
          <cell r="C4804" t="str">
            <v>INF205KA1502</v>
          </cell>
          <cell r="D4804" t="str">
            <v>Invesco India Flexi Cap Fund - Direct Plan - IDCW</v>
          </cell>
          <cell r="E4804">
            <v>18.329999999999998</v>
          </cell>
        </row>
        <row r="4805">
          <cell r="B4805" t="str">
            <v>INF205KA1460</v>
          </cell>
          <cell r="C4805" t="str">
            <v>-</v>
          </cell>
          <cell r="D4805" t="str">
            <v>Invesco India Flexi Cap Fund - Regular Plan - Growth</v>
          </cell>
          <cell r="E4805">
            <v>19.170000000000002</v>
          </cell>
        </row>
        <row r="4806">
          <cell r="B4806" t="str">
            <v>INF205KA1452</v>
          </cell>
          <cell r="C4806" t="str">
            <v>INF205KA1478</v>
          </cell>
          <cell r="D4806" t="str">
            <v>Invesco India Flexi Cap Fund - Regular Plan - IDCW</v>
          </cell>
          <cell r="E4806">
            <v>17.04</v>
          </cell>
        </row>
        <row r="4807">
          <cell r="B4807" t="str">
            <v/>
          </cell>
          <cell r="C4807" t="str">
            <v/>
          </cell>
          <cell r="D4807" t="str">
            <v/>
          </cell>
        </row>
        <row r="4808">
          <cell r="B4808" t="str">
            <v/>
          </cell>
          <cell r="C4808" t="str">
            <v/>
          </cell>
          <cell r="D4808" t="str">
            <v/>
          </cell>
        </row>
        <row r="4809">
          <cell r="B4809" t="str">
            <v/>
          </cell>
          <cell r="C4809" t="str">
            <v/>
          </cell>
          <cell r="D4809" t="str">
            <v/>
          </cell>
        </row>
        <row r="4810">
          <cell r="B4810" t="str">
            <v>INF00XX01CO7</v>
          </cell>
          <cell r="C4810" t="str">
            <v>-</v>
          </cell>
          <cell r="D4810" t="str">
            <v>ITI Flexi Cap Fund- Direct Plan- Growth</v>
          </cell>
          <cell r="E4810">
            <v>20.4008</v>
          </cell>
        </row>
        <row r="4811">
          <cell r="B4811" t="str">
            <v>INF00XX01CP4</v>
          </cell>
          <cell r="C4811" t="str">
            <v>INF00XX01CQ2</v>
          </cell>
          <cell r="D4811" t="str">
            <v>ITI Flexi Cap Fund- Direct Plan- IDCW</v>
          </cell>
          <cell r="E4811">
            <v>19.760100000000001</v>
          </cell>
        </row>
        <row r="4812">
          <cell r="B4812" t="str">
            <v>INF00XX01CL3</v>
          </cell>
          <cell r="C4812" t="str">
            <v>-</v>
          </cell>
          <cell r="D4812" t="str">
            <v>ITI Flexi Cap Fund- Regular Plan- Growth</v>
          </cell>
          <cell r="E4812">
            <v>19.243300000000001</v>
          </cell>
        </row>
        <row r="4813">
          <cell r="B4813" t="str">
            <v>INF00XX01CM1</v>
          </cell>
          <cell r="C4813" t="str">
            <v>INF00XX01CN9</v>
          </cell>
          <cell r="D4813" t="str">
            <v>ITI Flexi Cap Fund- Regular Plan- IDCW</v>
          </cell>
          <cell r="E4813">
            <v>18.607099999999999</v>
          </cell>
        </row>
        <row r="4814">
          <cell r="B4814" t="str">
            <v/>
          </cell>
          <cell r="C4814" t="str">
            <v/>
          </cell>
          <cell r="D4814" t="str">
            <v/>
          </cell>
        </row>
        <row r="4815">
          <cell r="B4815" t="str">
            <v/>
          </cell>
          <cell r="C4815" t="str">
            <v/>
          </cell>
          <cell r="D4815" t="str">
            <v/>
          </cell>
        </row>
        <row r="4816">
          <cell r="B4816" t="str">
            <v/>
          </cell>
          <cell r="C4816" t="str">
            <v/>
          </cell>
          <cell r="D4816" t="str">
            <v/>
          </cell>
        </row>
        <row r="4817">
          <cell r="B4817" t="str">
            <v>INF22M001093</v>
          </cell>
          <cell r="C4817" t="str">
            <v>-</v>
          </cell>
          <cell r="D4817" t="str">
            <v>JioBlackRock Flexi Cap Fund - Direct Plan - Growth Option</v>
          </cell>
          <cell r="E4817">
            <v>9.9132999999999996</v>
          </cell>
        </row>
        <row r="4818">
          <cell r="B4818" t="str">
            <v/>
          </cell>
          <cell r="C4818" t="str">
            <v/>
          </cell>
          <cell r="D4818" t="str">
            <v/>
          </cell>
        </row>
        <row r="4819">
          <cell r="B4819" t="str">
            <v/>
          </cell>
          <cell r="C4819" t="str">
            <v/>
          </cell>
          <cell r="D4819" t="str">
            <v/>
          </cell>
        </row>
        <row r="4820">
          <cell r="B4820" t="str">
            <v/>
          </cell>
          <cell r="C4820" t="str">
            <v/>
          </cell>
          <cell r="D4820" t="str">
            <v/>
          </cell>
        </row>
        <row r="4821">
          <cell r="B4821" t="str">
            <v>INF192K01CC7</v>
          </cell>
          <cell r="C4821" t="str">
            <v>-</v>
          </cell>
          <cell r="D4821" t="str">
            <v>JM Flexicap Fund (Direct) - Growth Option</v>
          </cell>
          <cell r="E4821">
            <v>111.37479999999999</v>
          </cell>
        </row>
        <row r="4822">
          <cell r="B4822" t="str">
            <v>INF192K01CA1</v>
          </cell>
          <cell r="C4822" t="str">
            <v>INF192K01CB9</v>
          </cell>
          <cell r="D4822" t="str">
            <v>JM Flexicap Fund (Direct) - IDCW</v>
          </cell>
          <cell r="E4822">
            <v>101.2342</v>
          </cell>
        </row>
        <row r="4823">
          <cell r="B4823" t="str">
            <v>INF192K01635</v>
          </cell>
          <cell r="C4823" t="str">
            <v>-</v>
          </cell>
          <cell r="D4823" t="str">
            <v>JM Flexicap Fund (Regular) - Growth option</v>
          </cell>
          <cell r="E4823">
            <v>96.679400000000001</v>
          </cell>
        </row>
        <row r="4824">
          <cell r="B4824" t="str">
            <v>INF192K01619</v>
          </cell>
          <cell r="C4824" t="str">
            <v>INF192K01627</v>
          </cell>
          <cell r="D4824" t="str">
            <v>JM Flexicap Fund (Regular) - IDCW</v>
          </cell>
          <cell r="E4824">
            <v>74.498900000000006</v>
          </cell>
        </row>
        <row r="4825">
          <cell r="B4825" t="str">
            <v/>
          </cell>
          <cell r="C4825" t="str">
            <v/>
          </cell>
          <cell r="D4825" t="str">
            <v/>
          </cell>
        </row>
        <row r="4826">
          <cell r="B4826" t="str">
            <v/>
          </cell>
          <cell r="C4826" t="str">
            <v/>
          </cell>
          <cell r="D4826" t="str">
            <v/>
          </cell>
        </row>
        <row r="4827">
          <cell r="B4827" t="str">
            <v/>
          </cell>
          <cell r="C4827" t="str">
            <v/>
          </cell>
          <cell r="D4827" t="str">
            <v/>
          </cell>
        </row>
        <row r="4828">
          <cell r="B4828" t="str">
            <v>INF174K01336</v>
          </cell>
          <cell r="C4828" t="str">
            <v>-</v>
          </cell>
          <cell r="D4828" t="str">
            <v>Kotak Flexicap Fund - Growth</v>
          </cell>
          <cell r="E4828">
            <v>85.206000000000003</v>
          </cell>
        </row>
        <row r="4829">
          <cell r="B4829" t="str">
            <v>INF174K01LS2</v>
          </cell>
          <cell r="C4829" t="str">
            <v>-</v>
          </cell>
          <cell r="D4829" t="str">
            <v>Kotak Flexicap Fund - Growth - Direct</v>
          </cell>
          <cell r="E4829">
            <v>96.804000000000002</v>
          </cell>
        </row>
        <row r="4830">
          <cell r="B4830" t="str">
            <v>INF174K01351</v>
          </cell>
          <cell r="C4830" t="str">
            <v>INF174K01344</v>
          </cell>
          <cell r="D4830" t="str">
            <v>Kotak Flexicap Fund - Payout of Income Distribution cum capital withdrawal option</v>
          </cell>
          <cell r="E4830">
            <v>51.451000000000001</v>
          </cell>
        </row>
        <row r="4831">
          <cell r="B4831" t="str">
            <v>INF174K01LQ6</v>
          </cell>
          <cell r="C4831" t="str">
            <v>INF174K01LR4</v>
          </cell>
          <cell r="D4831" t="str">
            <v>Kotak Flexicap Fund - Payout of Income Distribution cum capital withdrawal option- Direct</v>
          </cell>
          <cell r="E4831">
            <v>59.119</v>
          </cell>
        </row>
        <row r="4832">
          <cell r="B4832" t="str">
            <v/>
          </cell>
          <cell r="C4832" t="str">
            <v/>
          </cell>
          <cell r="D4832" t="str">
            <v/>
          </cell>
        </row>
        <row r="4833">
          <cell r="B4833" t="str">
            <v/>
          </cell>
          <cell r="C4833" t="str">
            <v/>
          </cell>
          <cell r="D4833" t="str">
            <v/>
          </cell>
        </row>
        <row r="4834">
          <cell r="B4834" t="str">
            <v/>
          </cell>
          <cell r="C4834" t="str">
            <v/>
          </cell>
          <cell r="D4834" t="str">
            <v/>
          </cell>
        </row>
        <row r="4835">
          <cell r="B4835" t="str">
            <v>INF767K01EG3</v>
          </cell>
          <cell r="C4835" t="str">
            <v>-</v>
          </cell>
          <cell r="D4835" t="str">
            <v>LIC MF Flexi Cap Fund-Direct Plan-Growth</v>
          </cell>
          <cell r="E4835">
            <v>115.0335</v>
          </cell>
        </row>
        <row r="4836">
          <cell r="B4836" t="str">
            <v>INF767K01EF5</v>
          </cell>
          <cell r="C4836" t="str">
            <v>INF767K01EH1</v>
          </cell>
          <cell r="D4836" t="str">
            <v>LIC MF Flexi Cap Fund-Direct Plan-IDCW</v>
          </cell>
          <cell r="E4836">
            <v>38.702500000000001</v>
          </cell>
        </row>
        <row r="4837">
          <cell r="B4837" t="str">
            <v>INF767K01071</v>
          </cell>
          <cell r="C4837" t="str">
            <v>-</v>
          </cell>
          <cell r="D4837" t="str">
            <v>LIC MF Flexi Cap Fund-Regular Plan-Growth</v>
          </cell>
          <cell r="E4837">
            <v>103.4162</v>
          </cell>
        </row>
        <row r="4838">
          <cell r="B4838" t="str">
            <v>INF767K01063</v>
          </cell>
          <cell r="C4838" t="str">
            <v>INF767K01055</v>
          </cell>
          <cell r="D4838" t="str">
            <v>LIC MF Flexi Cap Fund-Regular Plan-IDCW</v>
          </cell>
          <cell r="E4838">
            <v>32.6342</v>
          </cell>
        </row>
        <row r="4839">
          <cell r="B4839" t="str">
            <v/>
          </cell>
          <cell r="C4839" t="str">
            <v/>
          </cell>
          <cell r="D4839" t="str">
            <v/>
          </cell>
        </row>
        <row r="4840">
          <cell r="B4840" t="str">
            <v/>
          </cell>
          <cell r="C4840" t="str">
            <v/>
          </cell>
          <cell r="D4840" t="str">
            <v/>
          </cell>
        </row>
        <row r="4841">
          <cell r="B4841" t="str">
            <v/>
          </cell>
          <cell r="C4841" t="str">
            <v/>
          </cell>
          <cell r="D4841" t="str">
            <v/>
          </cell>
        </row>
        <row r="4842">
          <cell r="B4842" t="str">
            <v>INF769K01JI4</v>
          </cell>
          <cell r="C4842" t="str">
            <v>INF769K01JK0</v>
          </cell>
          <cell r="D4842" t="str">
            <v>Mirae Asset Flexi Cap Fund - Direct Plan -  IDCW</v>
          </cell>
          <cell r="E4842">
            <v>16.786999999999999</v>
          </cell>
        </row>
        <row r="4843">
          <cell r="B4843" t="str">
            <v>INF769K01JJ2</v>
          </cell>
          <cell r="C4843" t="str">
            <v>-</v>
          </cell>
          <cell r="D4843" t="str">
            <v>Mirae Asset Flexi Cap Fund - Direct Plan - Growth</v>
          </cell>
          <cell r="E4843">
            <v>16.837</v>
          </cell>
        </row>
        <row r="4844">
          <cell r="B4844" t="str">
            <v>INF769K01JG8</v>
          </cell>
          <cell r="C4844" t="str">
            <v>-</v>
          </cell>
          <cell r="D4844" t="str">
            <v>Mirae Asset Flexi Cap Fund - Regular Plan - Growth</v>
          </cell>
          <cell r="E4844">
            <v>16.013000000000002</v>
          </cell>
        </row>
        <row r="4845">
          <cell r="B4845" t="str">
            <v>INF769K01JF0</v>
          </cell>
          <cell r="C4845" t="str">
            <v>INF769K01JH6</v>
          </cell>
          <cell r="D4845" t="str">
            <v>Mirae Asset Flexi Cap Fund - Regular Plan - IDCW</v>
          </cell>
          <cell r="E4845">
            <v>16.018000000000001</v>
          </cell>
        </row>
        <row r="4846">
          <cell r="B4846" t="str">
            <v/>
          </cell>
          <cell r="C4846" t="str">
            <v/>
          </cell>
          <cell r="D4846" t="str">
            <v/>
          </cell>
        </row>
        <row r="4847">
          <cell r="B4847" t="str">
            <v/>
          </cell>
          <cell r="C4847" t="str">
            <v/>
          </cell>
          <cell r="D4847" t="str">
            <v/>
          </cell>
        </row>
        <row r="4848">
          <cell r="B4848" t="str">
            <v/>
          </cell>
          <cell r="C4848" t="str">
            <v/>
          </cell>
          <cell r="D4848" t="str">
            <v/>
          </cell>
        </row>
        <row r="4849">
          <cell r="B4849" t="str">
            <v>INF247L01528</v>
          </cell>
          <cell r="C4849" t="str">
            <v>INF247L01510</v>
          </cell>
          <cell r="D4849" t="str">
            <v>Motilal Oswal Flexi Cap Fund Direct - IDCW Payout/Reinvestment</v>
          </cell>
          <cell r="E4849">
            <v>33.362900000000003</v>
          </cell>
        </row>
        <row r="4850">
          <cell r="B4850" t="str">
            <v>INF247L01502</v>
          </cell>
          <cell r="C4850" t="str">
            <v>-</v>
          </cell>
          <cell r="D4850" t="str">
            <v>Motilal Oswal Flexi cap Fund Direct Plan-Growth Option</v>
          </cell>
          <cell r="E4850">
            <v>67.44</v>
          </cell>
        </row>
        <row r="4851">
          <cell r="B4851" t="str">
            <v>INF247L01494</v>
          </cell>
          <cell r="C4851" t="str">
            <v>INF247L01486</v>
          </cell>
          <cell r="D4851" t="str">
            <v>Motilal Oswal Flexi cap Fund Regular - IDCW Payout/Reinvestment</v>
          </cell>
          <cell r="E4851">
            <v>31.688800000000001</v>
          </cell>
        </row>
        <row r="4852">
          <cell r="B4852" t="str">
            <v>INF247L01478</v>
          </cell>
          <cell r="C4852" t="str">
            <v>-</v>
          </cell>
          <cell r="D4852" t="str">
            <v>Motilal Oswal Flexi Cap Fund Regular Plan-Growth Option</v>
          </cell>
          <cell r="E4852">
            <v>60.333599999999997</v>
          </cell>
        </row>
        <row r="4853">
          <cell r="B4853" t="str">
            <v/>
          </cell>
          <cell r="C4853" t="str">
            <v/>
          </cell>
          <cell r="D4853" t="str">
            <v/>
          </cell>
        </row>
        <row r="4854">
          <cell r="B4854" t="str">
            <v/>
          </cell>
          <cell r="C4854" t="str">
            <v/>
          </cell>
          <cell r="D4854" t="str">
            <v/>
          </cell>
        </row>
        <row r="4855">
          <cell r="B4855" t="str">
            <v/>
          </cell>
          <cell r="C4855" t="str">
            <v/>
          </cell>
          <cell r="D4855" t="str">
            <v/>
          </cell>
        </row>
        <row r="4856">
          <cell r="B4856" t="str">
            <v>INF959L01DT9</v>
          </cell>
          <cell r="C4856" t="str">
            <v>-</v>
          </cell>
          <cell r="D4856" t="str">
            <v>Navi Flexi Cap Fund - Direct Plan - Growth</v>
          </cell>
          <cell r="E4856">
            <v>28.460899999999999</v>
          </cell>
        </row>
        <row r="4857">
          <cell r="B4857" t="str">
            <v>INF959L01EC3</v>
          </cell>
          <cell r="C4857" t="str">
            <v>INF959L01ED1</v>
          </cell>
          <cell r="D4857" t="str">
            <v>NAVI FLEXI CAP FUND - DIRECT PLAN ANNUAL IDCW PAYOUT</v>
          </cell>
          <cell r="E4857">
            <v>28.242000000000001</v>
          </cell>
        </row>
        <row r="4858">
          <cell r="B4858" t="str">
            <v>INF959L01EA7</v>
          </cell>
          <cell r="C4858" t="str">
            <v>INF959L01EB5</v>
          </cell>
          <cell r="D4858" t="str">
            <v>NAVI FLEXI CAP FUND - DIRECT PLAN HALF YEARLY IDCW PAYOUT</v>
          </cell>
          <cell r="E4858">
            <v>28.242699999999999</v>
          </cell>
        </row>
        <row r="4859">
          <cell r="B4859" t="str">
            <v>INF959L01DW3</v>
          </cell>
          <cell r="C4859" t="str">
            <v>INF959L01DX1</v>
          </cell>
          <cell r="D4859" t="str">
            <v>NAVI FLEXI CAP FUND - DIRECT PLAN MONTHLY IDCW PAYOUT</v>
          </cell>
          <cell r="E4859">
            <v>28.236699999999999</v>
          </cell>
        </row>
        <row r="4860">
          <cell r="B4860" t="str">
            <v>INF959L01DU7</v>
          </cell>
          <cell r="C4860" t="str">
            <v>INF959L01DV5</v>
          </cell>
          <cell r="D4860" t="str">
            <v>NAVI FLEXI CAP FUND - DIRECT PLAN NORMAL IDCW PAYOUT</v>
          </cell>
          <cell r="E4860">
            <v>28.2059</v>
          </cell>
        </row>
        <row r="4861">
          <cell r="B4861" t="str">
            <v>INF959L01DY9</v>
          </cell>
          <cell r="C4861" t="str">
            <v>INF959L01DZ6</v>
          </cell>
          <cell r="D4861" t="str">
            <v>NAVI FLEXI CAP FUND - DIRECT PLAN QUARTERLY IDCW PAYOUT</v>
          </cell>
          <cell r="E4861">
            <v>28.265000000000001</v>
          </cell>
        </row>
        <row r="4862">
          <cell r="B4862" t="str">
            <v>INF959L01EE9</v>
          </cell>
          <cell r="C4862" t="str">
            <v>-</v>
          </cell>
          <cell r="D4862" t="str">
            <v>Navi Flexi Cap Fund - Regular Plan - Growth</v>
          </cell>
          <cell r="E4862">
            <v>24.339300000000001</v>
          </cell>
        </row>
        <row r="4863">
          <cell r="B4863" t="str">
            <v>INF959L01EN0</v>
          </cell>
          <cell r="C4863" t="str">
            <v>INF959L01EO8</v>
          </cell>
          <cell r="D4863" t="str">
            <v>NAVI FLEXI CAP FUND - REGULAR PLAN ANNUAL IDCW PAYOUT</v>
          </cell>
          <cell r="E4863">
            <v>24.3399</v>
          </cell>
        </row>
        <row r="4864">
          <cell r="B4864" t="str">
            <v>INF959L01EL4</v>
          </cell>
          <cell r="C4864" t="str">
            <v>INF959L01EM2</v>
          </cell>
          <cell r="D4864" t="str">
            <v>NAVI FLEXI CAP FUND - REGULAR PLAN HALF YEARLY IDCW PAYOUT</v>
          </cell>
          <cell r="E4864">
            <v>24.3432</v>
          </cell>
        </row>
        <row r="4865">
          <cell r="B4865" t="str">
            <v>INF959L01EH2</v>
          </cell>
          <cell r="C4865" t="str">
            <v>INF959L01EI0</v>
          </cell>
          <cell r="D4865" t="str">
            <v>NAVI FLEXI CAP FUND - REGULAR PLAN MONTHLY IDCW PAYOUT</v>
          </cell>
          <cell r="E4865">
            <v>24.3489</v>
          </cell>
        </row>
        <row r="4866">
          <cell r="B4866" t="str">
            <v>INF959L01EF6</v>
          </cell>
          <cell r="C4866" t="str">
            <v>INF959L01EG4</v>
          </cell>
          <cell r="D4866" t="str">
            <v>NAVI FLEXI CAP FUND - REGULAR PLAN NORMAL IDCW PAYOUT</v>
          </cell>
          <cell r="E4866">
            <v>24.3428</v>
          </cell>
        </row>
        <row r="4867">
          <cell r="B4867" t="str">
            <v>INF959L01EJ8</v>
          </cell>
          <cell r="C4867" t="str">
            <v>INF959L01EK6</v>
          </cell>
          <cell r="D4867" t="str">
            <v>NAVI FLEXI CAP FUND - REGULAR PLAN QUARTERLY IDCW PAYOUT</v>
          </cell>
          <cell r="E4867">
            <v>24.336600000000001</v>
          </cell>
        </row>
        <row r="4868">
          <cell r="B4868" t="str">
            <v/>
          </cell>
          <cell r="C4868" t="str">
            <v/>
          </cell>
          <cell r="D4868" t="str">
            <v/>
          </cell>
        </row>
        <row r="4869">
          <cell r="B4869" t="str">
            <v/>
          </cell>
          <cell r="C4869" t="str">
            <v/>
          </cell>
          <cell r="D4869" t="str">
            <v/>
          </cell>
        </row>
        <row r="4870">
          <cell r="B4870" t="str">
            <v/>
          </cell>
          <cell r="C4870" t="str">
            <v/>
          </cell>
          <cell r="D4870" t="str">
            <v/>
          </cell>
        </row>
        <row r="4871">
          <cell r="B4871" t="str">
            <v>INF204KC1121</v>
          </cell>
          <cell r="C4871" t="str">
            <v>-</v>
          </cell>
          <cell r="D4871" t="str">
            <v>Nippon India Flexi Cap Fund - Direct Plan - Growth Plan - Growth Option</v>
          </cell>
          <cell r="E4871">
            <v>17.643799999999999</v>
          </cell>
        </row>
        <row r="4872">
          <cell r="B4872" t="str">
            <v>INF204KC1139</v>
          </cell>
          <cell r="C4872" t="str">
            <v>INF204KC1147</v>
          </cell>
          <cell r="D4872" t="str">
            <v>Nippon India Flexi Cap Fund - Direct Plan - IDCW Option</v>
          </cell>
          <cell r="E4872">
            <v>17.643799999999999</v>
          </cell>
        </row>
        <row r="4873">
          <cell r="B4873" t="str">
            <v>INF204KC1097</v>
          </cell>
          <cell r="C4873" t="str">
            <v>-</v>
          </cell>
          <cell r="D4873" t="str">
            <v>Nippon India Flexi Cap Fund - Regular Plan - Growth Plan - Growth Option</v>
          </cell>
          <cell r="E4873">
            <v>16.4742</v>
          </cell>
        </row>
        <row r="4874">
          <cell r="B4874" t="str">
            <v>INF204KC1105</v>
          </cell>
          <cell r="C4874" t="str">
            <v>INF204KC1113</v>
          </cell>
          <cell r="D4874" t="str">
            <v>Nippon India Flexi Cap Fund - Regular Plan - IDCW Option</v>
          </cell>
          <cell r="E4874">
            <v>16.4742</v>
          </cell>
        </row>
        <row r="4875">
          <cell r="B4875" t="str">
            <v/>
          </cell>
          <cell r="C4875" t="str">
            <v/>
          </cell>
          <cell r="D4875" t="str">
            <v/>
          </cell>
        </row>
        <row r="4876">
          <cell r="B4876" t="str">
            <v/>
          </cell>
          <cell r="C4876" t="str">
            <v/>
          </cell>
          <cell r="D4876" t="str">
            <v/>
          </cell>
        </row>
        <row r="4877">
          <cell r="B4877" t="str">
            <v/>
          </cell>
          <cell r="C4877" t="str">
            <v/>
          </cell>
          <cell r="D4877" t="str">
            <v/>
          </cell>
        </row>
        <row r="4878">
          <cell r="B4878" t="str">
            <v>INF0J8L01156</v>
          </cell>
          <cell r="C4878" t="str">
            <v>-</v>
          </cell>
          <cell r="D4878" t="str">
            <v>NJ Flexi Cap Fund - Direct Plan - Growth Option</v>
          </cell>
          <cell r="E4878">
            <v>13.65</v>
          </cell>
        </row>
        <row r="4879">
          <cell r="B4879" t="str">
            <v>INF0J8L01164</v>
          </cell>
          <cell r="C4879" t="str">
            <v>-</v>
          </cell>
          <cell r="D4879" t="str">
            <v>NJ Flexi Cap Fund - Direct Plan - IDCW Option</v>
          </cell>
          <cell r="E4879">
            <v>13.65</v>
          </cell>
        </row>
        <row r="4880">
          <cell r="B4880" t="str">
            <v>INF0J8L01131</v>
          </cell>
          <cell r="C4880" t="str">
            <v>-</v>
          </cell>
          <cell r="D4880" t="str">
            <v>NJ Flexi Cap Fund - Regular Plan - Growth Option</v>
          </cell>
          <cell r="E4880">
            <v>13.05</v>
          </cell>
        </row>
        <row r="4881">
          <cell r="B4881" t="str">
            <v>INF0J8L01149</v>
          </cell>
          <cell r="C4881" t="str">
            <v>-</v>
          </cell>
          <cell r="D4881" t="str">
            <v>NJ Flexi Cap Fund - Regular Plan - IDCW Option</v>
          </cell>
          <cell r="E4881">
            <v>13.05</v>
          </cell>
        </row>
        <row r="4882">
          <cell r="B4882" t="str">
            <v/>
          </cell>
          <cell r="C4882" t="str">
            <v/>
          </cell>
          <cell r="D4882" t="str">
            <v/>
          </cell>
        </row>
        <row r="4883">
          <cell r="B4883" t="str">
            <v/>
          </cell>
          <cell r="C4883" t="str">
            <v/>
          </cell>
          <cell r="D4883" t="str">
            <v/>
          </cell>
        </row>
        <row r="4884">
          <cell r="B4884" t="str">
            <v/>
          </cell>
          <cell r="C4884" t="str">
            <v/>
          </cell>
          <cell r="D4884" t="str">
            <v/>
          </cell>
        </row>
        <row r="4885">
          <cell r="B4885" t="str">
            <v>INF0S5R01133</v>
          </cell>
          <cell r="C4885" t="str">
            <v>-</v>
          </cell>
          <cell r="D4885" t="str">
            <v>Old Bridge Flexi Cap Fund Direct Growth</v>
          </cell>
          <cell r="E4885">
            <v>11</v>
          </cell>
        </row>
        <row r="4886">
          <cell r="B4886" t="str">
            <v>INF0S5R01141</v>
          </cell>
          <cell r="C4886" t="str">
            <v>INF0S5R01158</v>
          </cell>
          <cell r="D4886" t="str">
            <v>Old Bridge Flexi Cap Fund Direct IDCW</v>
          </cell>
          <cell r="E4886">
            <v>11</v>
          </cell>
        </row>
        <row r="4887">
          <cell r="B4887" t="str">
            <v>INF0S5R01166</v>
          </cell>
          <cell r="C4887" t="str">
            <v>-</v>
          </cell>
          <cell r="D4887" t="str">
            <v>Old Bridge Flexi Cap Fund Regular Growth</v>
          </cell>
          <cell r="E4887">
            <v>10.94</v>
          </cell>
        </row>
        <row r="4888">
          <cell r="B4888" t="str">
            <v>INF0S5R01174</v>
          </cell>
          <cell r="C4888" t="str">
            <v>INF0S5R01182</v>
          </cell>
          <cell r="D4888" t="str">
            <v>Old Bridge Flexi Cap Fund Regular IDCW</v>
          </cell>
          <cell r="E4888">
            <v>10.94</v>
          </cell>
        </row>
        <row r="4889">
          <cell r="B4889" t="str">
            <v/>
          </cell>
          <cell r="C4889" t="str">
            <v/>
          </cell>
          <cell r="D4889" t="str">
            <v/>
          </cell>
        </row>
        <row r="4890">
          <cell r="B4890" t="str">
            <v/>
          </cell>
          <cell r="C4890" t="str">
            <v/>
          </cell>
          <cell r="D4890" t="str">
            <v/>
          </cell>
        </row>
        <row r="4891">
          <cell r="B4891" t="str">
            <v/>
          </cell>
          <cell r="C4891" t="str">
            <v/>
          </cell>
          <cell r="D4891" t="str">
            <v/>
          </cell>
        </row>
        <row r="4892">
          <cell r="B4892" t="str">
            <v>INF663L01FG9</v>
          </cell>
          <cell r="C4892" t="str">
            <v>INF663L01FH7</v>
          </cell>
          <cell r="D4892" t="str">
            <v>PGIM India Flexi Cap Fund - Direct Plan - Dividend Option</v>
          </cell>
          <cell r="E4892">
            <v>20.350000000000001</v>
          </cell>
        </row>
        <row r="4893">
          <cell r="B4893" t="str">
            <v>INF663L01FF1</v>
          </cell>
          <cell r="C4893" t="str">
            <v>-</v>
          </cell>
          <cell r="D4893" t="str">
            <v>PGIM India Flexi Cap Fund - Direct Plan - Growth Option</v>
          </cell>
          <cell r="E4893">
            <v>43.07</v>
          </cell>
        </row>
        <row r="4894">
          <cell r="B4894" t="str">
            <v>INF663L01FK1</v>
          </cell>
          <cell r="C4894" t="str">
            <v>INF663L01FL9</v>
          </cell>
          <cell r="D4894" t="str">
            <v>PGIM India Flexi Cap Fund - Regular Plan - Dividend Option</v>
          </cell>
          <cell r="E4894">
            <v>17.78</v>
          </cell>
        </row>
        <row r="4895">
          <cell r="B4895" t="str">
            <v>INF663L01FJ3</v>
          </cell>
          <cell r="C4895" t="str">
            <v>-</v>
          </cell>
          <cell r="D4895" t="str">
            <v>PGIM India Flexi Cap Fund - Regular Plan - Growth Option</v>
          </cell>
          <cell r="E4895">
            <v>36.36</v>
          </cell>
        </row>
        <row r="4896">
          <cell r="B4896" t="str">
            <v/>
          </cell>
          <cell r="C4896" t="str">
            <v/>
          </cell>
          <cell r="D4896" t="str">
            <v/>
          </cell>
        </row>
        <row r="4897">
          <cell r="B4897" t="str">
            <v/>
          </cell>
          <cell r="C4897" t="str">
            <v/>
          </cell>
          <cell r="D4897" t="str">
            <v/>
          </cell>
        </row>
        <row r="4898">
          <cell r="B4898" t="str">
            <v/>
          </cell>
          <cell r="C4898" t="str">
            <v/>
          </cell>
          <cell r="D4898" t="str">
            <v/>
          </cell>
        </row>
        <row r="4899">
          <cell r="B4899" t="str">
            <v>INF879O01027</v>
          </cell>
          <cell r="C4899" t="str">
            <v>-</v>
          </cell>
          <cell r="D4899" t="str">
            <v>Parag Parikh Flexi Cap Fund - Direct Plan - Growth</v>
          </cell>
          <cell r="E4899">
            <v>90.386300000000006</v>
          </cell>
        </row>
        <row r="4900">
          <cell r="B4900" t="str">
            <v>-</v>
          </cell>
          <cell r="C4900" t="str">
            <v>INF879O01308</v>
          </cell>
          <cell r="D4900" t="str">
            <v>Parag Parikh Flexi Cap Fund - Direct Plan - IDCW</v>
          </cell>
          <cell r="E4900">
            <v>90.386300000000006</v>
          </cell>
        </row>
        <row r="4901">
          <cell r="B4901" t="str">
            <v>INF879O01019</v>
          </cell>
          <cell r="C4901" t="str">
            <v>-</v>
          </cell>
          <cell r="D4901" t="str">
            <v>Parag Parikh Flexi Cap Fund - Regular Plan - Growth</v>
          </cell>
          <cell r="E4901">
            <v>82.413899999999998</v>
          </cell>
        </row>
        <row r="4902">
          <cell r="B4902" t="str">
            <v>-</v>
          </cell>
          <cell r="C4902" t="str">
            <v>INF879O01324</v>
          </cell>
          <cell r="D4902" t="str">
            <v>Parag Parikh Flexi Cap Fund - Regular Plan - IDCW</v>
          </cell>
          <cell r="E4902">
            <v>82.413700000000006</v>
          </cell>
        </row>
        <row r="4903">
          <cell r="B4903" t="str">
            <v/>
          </cell>
          <cell r="C4903" t="str">
            <v/>
          </cell>
          <cell r="D4903" t="str">
            <v/>
          </cell>
        </row>
        <row r="4904">
          <cell r="B4904" t="str">
            <v/>
          </cell>
          <cell r="C4904" t="str">
            <v/>
          </cell>
          <cell r="D4904" t="str">
            <v/>
          </cell>
        </row>
        <row r="4905">
          <cell r="B4905" t="str">
            <v/>
          </cell>
          <cell r="C4905" t="str">
            <v/>
          </cell>
          <cell r="D4905" t="str">
            <v/>
          </cell>
        </row>
        <row r="4906">
          <cell r="B4906" t="str">
            <v>INF966L01457</v>
          </cell>
          <cell r="C4906" t="str">
            <v>-</v>
          </cell>
          <cell r="D4906" t="str">
            <v>quant Flexi Cap Fund - Growth Option - Regular Plan</v>
          </cell>
          <cell r="E4906">
            <v>108.1267</v>
          </cell>
        </row>
        <row r="4907">
          <cell r="B4907" t="str">
            <v>INF966L01911</v>
          </cell>
          <cell r="C4907" t="str">
            <v>-</v>
          </cell>
          <cell r="D4907" t="str">
            <v>quant Flexi Cap Fund - Growth Option-Direct Plan</v>
          </cell>
          <cell r="E4907">
            <v>121.5599</v>
          </cell>
        </row>
        <row r="4908">
          <cell r="B4908" t="str">
            <v>INF966L01895</v>
          </cell>
          <cell r="C4908" t="str">
            <v>INF966L01903</v>
          </cell>
          <cell r="D4908" t="str">
            <v>quant Flexi Cap Fund - IDCW Option - Direct Plan</v>
          </cell>
          <cell r="E4908">
            <v>82.629499999999993</v>
          </cell>
        </row>
        <row r="4909">
          <cell r="B4909" t="str">
            <v>INF966L01432</v>
          </cell>
          <cell r="C4909" t="str">
            <v>INF966L01440</v>
          </cell>
          <cell r="D4909" t="str">
            <v>quant Flexi Cap Fund - IDCW Option - Regular Plan</v>
          </cell>
          <cell r="E4909">
            <v>77.280199999999994</v>
          </cell>
        </row>
        <row r="4910">
          <cell r="B4910" t="str">
            <v/>
          </cell>
          <cell r="C4910" t="str">
            <v/>
          </cell>
          <cell r="D4910" t="str">
            <v/>
          </cell>
        </row>
        <row r="4911">
          <cell r="B4911" t="str">
            <v/>
          </cell>
          <cell r="C4911" t="str">
            <v/>
          </cell>
          <cell r="D4911" t="str">
            <v/>
          </cell>
        </row>
        <row r="4912">
          <cell r="B4912" t="str">
            <v/>
          </cell>
          <cell r="C4912" t="str">
            <v/>
          </cell>
          <cell r="D4912" t="str">
            <v/>
          </cell>
        </row>
        <row r="4913">
          <cell r="B4913" t="str">
            <v>INF0K1H01024</v>
          </cell>
          <cell r="C4913" t="str">
            <v>-</v>
          </cell>
          <cell r="D4913" t="str">
            <v>Samco Flexi Cap Fund - Direct Plan - Growth Option</v>
          </cell>
          <cell r="E4913">
            <v>10.36</v>
          </cell>
        </row>
        <row r="4914">
          <cell r="B4914" t="str">
            <v>INF0K1H01016</v>
          </cell>
          <cell r="C4914" t="str">
            <v>-</v>
          </cell>
          <cell r="D4914" t="str">
            <v>Samco Flexi Cap Fund - Regular Plan - Growth Option</v>
          </cell>
          <cell r="E4914">
            <v>9.7100000000000009</v>
          </cell>
        </row>
        <row r="4915">
          <cell r="B4915" t="str">
            <v/>
          </cell>
          <cell r="C4915" t="str">
            <v/>
          </cell>
          <cell r="D4915" t="str">
            <v/>
          </cell>
        </row>
        <row r="4916">
          <cell r="B4916" t="str">
            <v/>
          </cell>
          <cell r="C4916" t="str">
            <v/>
          </cell>
          <cell r="D4916" t="str">
            <v/>
          </cell>
        </row>
        <row r="4917">
          <cell r="B4917" t="str">
            <v/>
          </cell>
          <cell r="C4917" t="str">
            <v/>
          </cell>
          <cell r="D4917" t="str">
            <v/>
          </cell>
        </row>
        <row r="4918">
          <cell r="B4918" t="str">
            <v>INF200K01UG1</v>
          </cell>
          <cell r="C4918" t="str">
            <v>-</v>
          </cell>
          <cell r="D4918" t="str">
            <v>SBI Flexicap Fund - DIRECT PLAN - Growth Option</v>
          </cell>
          <cell r="E4918">
            <v>120.00279999999999</v>
          </cell>
        </row>
        <row r="4919">
          <cell r="B4919" t="str">
            <v>INF200K01UE6</v>
          </cell>
          <cell r="C4919" t="str">
            <v>INF200K01UF3</v>
          </cell>
          <cell r="D4919" t="str">
            <v>SBI Flexicap Fund - Direct Plan - Income Distribution cum Capital Withdrawal Option (IDCW)</v>
          </cell>
          <cell r="E4919">
            <v>59.980899999999998</v>
          </cell>
        </row>
        <row r="4920">
          <cell r="B4920" t="str">
            <v>INF200K01230</v>
          </cell>
          <cell r="C4920" t="str">
            <v>INF200K01248</v>
          </cell>
          <cell r="D4920" t="str">
            <v>SBI Flexicap Fund - Regular Plan - Income Distribution cum Capital Withdrawal Option (IDCW)</v>
          </cell>
          <cell r="E4920">
            <v>47.714500000000001</v>
          </cell>
        </row>
        <row r="4921">
          <cell r="B4921" t="str">
            <v>INF200K01222</v>
          </cell>
          <cell r="C4921" t="str">
            <v>-</v>
          </cell>
          <cell r="D4921" t="str">
            <v>SBI Flexicap Fund - REGULAR PLAN -Growth Option</v>
          </cell>
          <cell r="E4921">
            <v>106.5586</v>
          </cell>
        </row>
        <row r="4922">
          <cell r="B4922" t="str">
            <v/>
          </cell>
          <cell r="C4922" t="str">
            <v/>
          </cell>
          <cell r="D4922" t="str">
            <v/>
          </cell>
        </row>
        <row r="4923">
          <cell r="B4923" t="str">
            <v/>
          </cell>
          <cell r="C4923" t="str">
            <v/>
          </cell>
          <cell r="D4923" t="str">
            <v/>
          </cell>
        </row>
        <row r="4924">
          <cell r="B4924" t="str">
            <v/>
          </cell>
          <cell r="C4924" t="str">
            <v/>
          </cell>
          <cell r="D4924" t="str">
            <v/>
          </cell>
        </row>
        <row r="4925">
          <cell r="B4925" t="str">
            <v>INF680P01109</v>
          </cell>
          <cell r="C4925" t="str">
            <v>-</v>
          </cell>
          <cell r="D4925" t="str">
            <v>Shriram Flexi Cap Fund - Direct Growth</v>
          </cell>
          <cell r="E4925">
            <v>22.614999999999998</v>
          </cell>
        </row>
        <row r="4926">
          <cell r="B4926" t="str">
            <v>INF680P01117</v>
          </cell>
          <cell r="C4926" t="str">
            <v>INF680P01125</v>
          </cell>
          <cell r="D4926" t="str">
            <v>Shriram Flexi Cap Fund - Direct-IDCW</v>
          </cell>
          <cell r="E4926">
            <v>22.387699999999999</v>
          </cell>
        </row>
        <row r="4927">
          <cell r="B4927" t="str">
            <v>INF680P01075</v>
          </cell>
          <cell r="C4927" t="str">
            <v>-</v>
          </cell>
          <cell r="D4927" t="str">
            <v>Shriram Flexi Cap Fund - Regular Growth</v>
          </cell>
          <cell r="E4927">
            <v>19.7121</v>
          </cell>
        </row>
        <row r="4928">
          <cell r="B4928" t="str">
            <v>INF680P01083</v>
          </cell>
          <cell r="C4928" t="str">
            <v>INF680P01091</v>
          </cell>
          <cell r="D4928" t="str">
            <v>Shriram Flexi Cap Fund - Regular-IDCW</v>
          </cell>
          <cell r="E4928">
            <v>19.705100000000002</v>
          </cell>
        </row>
        <row r="4929">
          <cell r="B4929" t="str">
            <v/>
          </cell>
          <cell r="C4929" t="str">
            <v/>
          </cell>
          <cell r="D4929" t="str">
            <v/>
          </cell>
        </row>
        <row r="4930">
          <cell r="B4930" t="str">
            <v/>
          </cell>
          <cell r="C4930" t="str">
            <v/>
          </cell>
          <cell r="D4930" t="str">
            <v/>
          </cell>
        </row>
        <row r="4931">
          <cell r="B4931" t="str">
            <v/>
          </cell>
          <cell r="C4931" t="str">
            <v/>
          </cell>
          <cell r="D4931" t="str">
            <v/>
          </cell>
        </row>
        <row r="4932">
          <cell r="B4932" t="str">
            <v>INF903JA1LE2</v>
          </cell>
          <cell r="C4932" t="str">
            <v>-</v>
          </cell>
          <cell r="D4932" t="str">
            <v>Sundaram Flexicap Fund Direct Growth</v>
          </cell>
          <cell r="E4932">
            <v>15.096299999999999</v>
          </cell>
        </row>
        <row r="4933">
          <cell r="B4933" t="str">
            <v>INF903JA1LF9</v>
          </cell>
          <cell r="C4933" t="str">
            <v>-</v>
          </cell>
          <cell r="D4933" t="str">
            <v>Sundaram Flexicap Fund Direct Plan IDCW Payout</v>
          </cell>
          <cell r="E4933">
            <v>12.491400000000001</v>
          </cell>
        </row>
        <row r="4934">
          <cell r="B4934" t="str">
            <v>-</v>
          </cell>
          <cell r="C4934" t="str">
            <v>INF903JA1LG7</v>
          </cell>
          <cell r="D4934" t="str">
            <v>Sundaram Flexicap Fund Direct Plan IDCW Reinvestment</v>
          </cell>
          <cell r="E4934">
            <v>12.491400000000001</v>
          </cell>
        </row>
        <row r="4935">
          <cell r="B4935" t="str">
            <v>INF903JA1LB8</v>
          </cell>
          <cell r="C4935" t="str">
            <v>-</v>
          </cell>
          <cell r="D4935" t="str">
            <v>Sundaram Flexicap Fund Regular Growth</v>
          </cell>
          <cell r="E4935">
            <v>14.235799999999999</v>
          </cell>
        </row>
        <row r="4936">
          <cell r="B4936" t="str">
            <v>INF903JA1LC6</v>
          </cell>
          <cell r="C4936" t="str">
            <v>-</v>
          </cell>
          <cell r="D4936" t="str">
            <v>Sundaram Flexicap Fund Regular Plan IDCW Payout</v>
          </cell>
          <cell r="E4936">
            <v>11.769500000000001</v>
          </cell>
        </row>
        <row r="4937">
          <cell r="B4937" t="str">
            <v>-</v>
          </cell>
          <cell r="C4937" t="str">
            <v>INF903JA1LD4</v>
          </cell>
          <cell r="D4937" t="str">
            <v>Sundaram Flexicap Fund Regular Plan IDCW Reinvestment</v>
          </cell>
          <cell r="E4937">
            <v>11.769500000000001</v>
          </cell>
        </row>
        <row r="4938">
          <cell r="B4938" t="str">
            <v/>
          </cell>
          <cell r="C4938" t="str">
            <v/>
          </cell>
          <cell r="D4938" t="str">
            <v/>
          </cell>
        </row>
        <row r="4939">
          <cell r="B4939" t="str">
            <v/>
          </cell>
          <cell r="C4939" t="str">
            <v/>
          </cell>
          <cell r="D4939" t="str">
            <v/>
          </cell>
        </row>
        <row r="4940">
          <cell r="B4940" t="str">
            <v/>
          </cell>
          <cell r="C4940" t="str">
            <v/>
          </cell>
          <cell r="D4940" t="str">
            <v/>
          </cell>
        </row>
        <row r="4941">
          <cell r="B4941" t="str">
            <v>INF277K017K6</v>
          </cell>
          <cell r="C4941" t="str">
            <v>-</v>
          </cell>
          <cell r="D4941" t="str">
            <v xml:space="preserve">TATA Flexi Cap Fund - Direct Plan - Payout of Income Distribution cum capital withdrawal option </v>
          </cell>
          <cell r="E4941">
            <v>25.677700000000002</v>
          </cell>
        </row>
        <row r="4942">
          <cell r="B4942" t="str">
            <v>INF277K019K2</v>
          </cell>
          <cell r="C4942" t="str">
            <v>-</v>
          </cell>
          <cell r="D4942" t="str">
            <v>Tata Flexi Cap Fund -Regular Plan-Growth</v>
          </cell>
          <cell r="E4942">
            <v>23.6996</v>
          </cell>
        </row>
        <row r="4943">
          <cell r="B4943" t="str">
            <v>-</v>
          </cell>
          <cell r="C4943" t="str">
            <v>INF277K016K8</v>
          </cell>
          <cell r="D4943" t="str">
            <v>TATA Flexi Cap Fund Direct Plan - Reinvestment of Income Distribution cum capital withdrawal option</v>
          </cell>
          <cell r="E4943">
            <v>25.677700000000002</v>
          </cell>
        </row>
        <row r="4944">
          <cell r="B4944" t="str">
            <v>INF277K011L7</v>
          </cell>
          <cell r="C4944" t="str">
            <v>-</v>
          </cell>
          <cell r="D4944" t="str">
            <v xml:space="preserve">TATA Flexi Cap Fund Regular Plan - Payout of Income Distribution cum capital withdrawal option </v>
          </cell>
          <cell r="E4944">
            <v>22.729700000000001</v>
          </cell>
        </row>
        <row r="4945">
          <cell r="B4945" t="str">
            <v>-</v>
          </cell>
          <cell r="C4945" t="str">
            <v>INF277K010L9</v>
          </cell>
          <cell r="D4945" t="str">
            <v xml:space="preserve">TATA Flexi Cap Fund Regular Plan - Reinvestment of Income Distribution cum capital withdrawal option </v>
          </cell>
          <cell r="E4945">
            <v>22.729700000000001</v>
          </cell>
        </row>
        <row r="4946">
          <cell r="B4946" t="str">
            <v>INF277K015K0</v>
          </cell>
          <cell r="C4946" t="str">
            <v>-</v>
          </cell>
          <cell r="D4946" t="str">
            <v>Tata Flexi Cap Fund-Direct Plan-Growth</v>
          </cell>
          <cell r="E4946">
            <v>26.649100000000001</v>
          </cell>
        </row>
        <row r="4947">
          <cell r="B4947" t="str">
            <v/>
          </cell>
          <cell r="C4947" t="str">
            <v/>
          </cell>
          <cell r="D4947" t="str">
            <v/>
          </cell>
        </row>
        <row r="4948">
          <cell r="B4948" t="str">
            <v/>
          </cell>
          <cell r="C4948" t="str">
            <v/>
          </cell>
          <cell r="D4948" t="str">
            <v/>
          </cell>
        </row>
        <row r="4949">
          <cell r="B4949" t="str">
            <v/>
          </cell>
          <cell r="C4949" t="str">
            <v/>
          </cell>
          <cell r="D4949" t="str">
            <v/>
          </cell>
        </row>
        <row r="4950">
          <cell r="B4950" t="str">
            <v>INF044D01BV7</v>
          </cell>
          <cell r="C4950" t="str">
            <v>INF044D01BW5</v>
          </cell>
          <cell r="D4950" t="str">
            <v>Taurus Flexi Cap Fund - Direct Plan -  Payout of Income Distribution cum Capital Withdrawal option</v>
          </cell>
          <cell r="E4950">
            <v>120.86</v>
          </cell>
        </row>
        <row r="4951">
          <cell r="B4951" t="str">
            <v>INF044D01BU9</v>
          </cell>
          <cell r="C4951" t="str">
            <v>-</v>
          </cell>
          <cell r="D4951" t="str">
            <v>Taurus Flexi Cap Fund - Direct Plan - Growth</v>
          </cell>
          <cell r="E4951">
            <v>239.55</v>
          </cell>
        </row>
        <row r="4952">
          <cell r="B4952" t="str">
            <v>INF044D01989</v>
          </cell>
          <cell r="C4952" t="str">
            <v>-</v>
          </cell>
          <cell r="D4952" t="str">
            <v xml:space="preserve">Taurus Flexi Cap Fund - Regular Plan - Growth </v>
          </cell>
          <cell r="E4952">
            <v>230.1</v>
          </cell>
        </row>
        <row r="4953">
          <cell r="B4953" t="str">
            <v>INF044D01955</v>
          </cell>
          <cell r="C4953" t="str">
            <v>INF044D01963</v>
          </cell>
          <cell r="D4953" t="str">
            <v>Taurus Flexi Cap Fund - Regular Plan - Payout of Income Distribution cum Capital Withdrawal option</v>
          </cell>
          <cell r="E4953">
            <v>111.66</v>
          </cell>
        </row>
        <row r="4954">
          <cell r="B4954" t="str">
            <v/>
          </cell>
          <cell r="C4954" t="str">
            <v/>
          </cell>
          <cell r="D4954" t="str">
            <v/>
          </cell>
        </row>
        <row r="4955">
          <cell r="B4955" t="str">
            <v/>
          </cell>
          <cell r="C4955" t="str">
            <v/>
          </cell>
          <cell r="D4955" t="str">
            <v/>
          </cell>
        </row>
        <row r="4956">
          <cell r="B4956" t="str">
            <v/>
          </cell>
          <cell r="C4956" t="str">
            <v/>
          </cell>
          <cell r="D4956" t="str">
            <v/>
          </cell>
        </row>
        <row r="4957">
          <cell r="B4957" t="str">
            <v>INF2F0001040</v>
          </cell>
          <cell r="C4957" t="str">
            <v>-</v>
          </cell>
          <cell r="D4957" t="str">
            <v>THE WEALTH COMPANY FLEXI CAP FUND - DIRECT GROWTH</v>
          </cell>
          <cell r="E4957">
            <v>10.0953</v>
          </cell>
        </row>
        <row r="4958">
          <cell r="B4958" t="str">
            <v>INF2F0001057</v>
          </cell>
          <cell r="C4958" t="str">
            <v>INF2F0001065</v>
          </cell>
          <cell r="D4958" t="str">
            <v>THE WEALTH COMPANY FLEXI CAP FUND - DIRECT IDCW</v>
          </cell>
          <cell r="E4958">
            <v>10.094799999999999</v>
          </cell>
        </row>
        <row r="4959">
          <cell r="B4959" t="str">
            <v>INF2F0001016</v>
          </cell>
          <cell r="C4959" t="str">
            <v>-</v>
          </cell>
          <cell r="D4959" t="str">
            <v>THE WEALTH COMPANY FLEXI CAP FUND - REGULAR GROWTH</v>
          </cell>
          <cell r="E4959">
            <v>9.9404000000000003</v>
          </cell>
        </row>
        <row r="4960">
          <cell r="B4960" t="str">
            <v>INF2F0001024</v>
          </cell>
          <cell r="C4960" t="str">
            <v>INF2F0001032</v>
          </cell>
          <cell r="D4960" t="str">
            <v>THE WEALTH COMPANY FLEXI CAP FUND - REGULAR IDCW</v>
          </cell>
          <cell r="E4960">
            <v>9.9403000000000006</v>
          </cell>
        </row>
        <row r="4961">
          <cell r="B4961" t="str">
            <v/>
          </cell>
          <cell r="C4961" t="str">
            <v/>
          </cell>
          <cell r="D4961" t="str">
            <v/>
          </cell>
        </row>
        <row r="4962">
          <cell r="B4962" t="str">
            <v/>
          </cell>
          <cell r="C4962" t="str">
            <v/>
          </cell>
          <cell r="D4962" t="str">
            <v/>
          </cell>
        </row>
        <row r="4963">
          <cell r="B4963" t="str">
            <v/>
          </cell>
          <cell r="C4963" t="str">
            <v/>
          </cell>
          <cell r="D4963" t="str">
            <v/>
          </cell>
        </row>
        <row r="4964">
          <cell r="B4964" t="str">
            <v>INF0GCD01743</v>
          </cell>
          <cell r="C4964" t="str">
            <v>-</v>
          </cell>
          <cell r="D4964" t="str">
            <v>TRUSTMF Flexi Cap Fund-Direct Plan- Growth</v>
          </cell>
          <cell r="E4964">
            <v>12.21</v>
          </cell>
        </row>
        <row r="4965">
          <cell r="B4965" t="str">
            <v>INF0GCD01750</v>
          </cell>
          <cell r="C4965" t="str">
            <v>INF0GCD01768</v>
          </cell>
          <cell r="D4965" t="str">
            <v>TRUSTMF Flexi Cap Fund-Direct Plan- IDCW</v>
          </cell>
          <cell r="E4965">
            <v>12.19</v>
          </cell>
        </row>
        <row r="4966">
          <cell r="B4966" t="str">
            <v>INF0GCD01719</v>
          </cell>
          <cell r="C4966" t="str">
            <v>-</v>
          </cell>
          <cell r="D4966" t="str">
            <v>TRUSTMF Flexi Cap Fund-Regular Plan- Growth</v>
          </cell>
          <cell r="E4966">
            <v>11.76</v>
          </cell>
        </row>
        <row r="4967">
          <cell r="B4967" t="str">
            <v>INF0GCD01727</v>
          </cell>
          <cell r="C4967" t="str">
            <v>INF0GCD01735</v>
          </cell>
          <cell r="D4967" t="str">
            <v>TRUSTMF Flexi Cap Fund-Regular Plan- IDCW</v>
          </cell>
          <cell r="E4967">
            <v>11.76</v>
          </cell>
        </row>
        <row r="4968">
          <cell r="B4968" t="str">
            <v/>
          </cell>
          <cell r="C4968" t="str">
            <v/>
          </cell>
          <cell r="D4968" t="str">
            <v/>
          </cell>
        </row>
        <row r="4969">
          <cell r="B4969" t="str">
            <v/>
          </cell>
          <cell r="C4969" t="str">
            <v/>
          </cell>
          <cell r="D4969" t="str">
            <v/>
          </cell>
        </row>
        <row r="4970">
          <cell r="B4970" t="str">
            <v/>
          </cell>
          <cell r="C4970" t="str">
            <v/>
          </cell>
          <cell r="D4970" t="str">
            <v/>
          </cell>
        </row>
        <row r="4971">
          <cell r="B4971" t="str">
            <v>INF1MIY01031</v>
          </cell>
          <cell r="C4971" t="str">
            <v>-</v>
          </cell>
          <cell r="D4971" t="str">
            <v>Unifi Flexi Cap Fund - Direct Growth</v>
          </cell>
          <cell r="E4971">
            <v>10.5494</v>
          </cell>
        </row>
        <row r="4972">
          <cell r="B4972" t="str">
            <v>INF1MIY01049</v>
          </cell>
          <cell r="C4972" t="str">
            <v>-</v>
          </cell>
          <cell r="D4972" t="str">
            <v>Unifi Flexi Cap Fund - Regular Growth</v>
          </cell>
          <cell r="E4972">
            <v>10.396100000000001</v>
          </cell>
        </row>
        <row r="4973">
          <cell r="B4973" t="str">
            <v/>
          </cell>
          <cell r="C4973" t="str">
            <v/>
          </cell>
          <cell r="D4973" t="str">
            <v/>
          </cell>
        </row>
        <row r="4974">
          <cell r="B4974" t="str">
            <v/>
          </cell>
          <cell r="C4974" t="str">
            <v/>
          </cell>
          <cell r="D4974" t="str">
            <v/>
          </cell>
        </row>
        <row r="4975">
          <cell r="B4975" t="str">
            <v/>
          </cell>
          <cell r="C4975" t="str">
            <v/>
          </cell>
          <cell r="D4975" t="str">
            <v/>
          </cell>
        </row>
        <row r="4976">
          <cell r="B4976" t="str">
            <v>INF582M01633</v>
          </cell>
          <cell r="C4976" t="str">
            <v>-</v>
          </cell>
          <cell r="D4976" t="str">
            <v>Union Flexi Cap Fund - Direct Plan - Growth Option</v>
          </cell>
          <cell r="E4976">
            <v>58.16</v>
          </cell>
        </row>
        <row r="4977">
          <cell r="B4977" t="str">
            <v>INF582M01658</v>
          </cell>
          <cell r="C4977" t="str">
            <v>INF582M01641</v>
          </cell>
          <cell r="D4977" t="str">
            <v>Union Flexi Cap Fund - Direct Plan - IDCW Option</v>
          </cell>
          <cell r="E4977">
            <v>46.97</v>
          </cell>
        </row>
        <row r="4978">
          <cell r="B4978" t="str">
            <v>INF582M01104</v>
          </cell>
          <cell r="C4978" t="str">
            <v>-</v>
          </cell>
          <cell r="D4978" t="str">
            <v>Union Flexi Cap Fund - Growth Option</v>
          </cell>
          <cell r="E4978">
            <v>51.67</v>
          </cell>
        </row>
        <row r="4979">
          <cell r="B4979" t="str">
            <v>INF582M01120</v>
          </cell>
          <cell r="C4979" t="str">
            <v>INF582M01112</v>
          </cell>
          <cell r="D4979" t="str">
            <v>Union Flexi Cap Fund - IDCW Option</v>
          </cell>
          <cell r="E4979">
            <v>28.79</v>
          </cell>
        </row>
        <row r="4980">
          <cell r="B4980" t="str">
            <v/>
          </cell>
          <cell r="C4980" t="str">
            <v/>
          </cell>
          <cell r="D4980" t="str">
            <v/>
          </cell>
        </row>
        <row r="4981">
          <cell r="B4981" t="str">
            <v/>
          </cell>
          <cell r="C4981" t="str">
            <v/>
          </cell>
          <cell r="D4981" t="str">
            <v/>
          </cell>
        </row>
        <row r="4982">
          <cell r="B4982" t="str">
            <v/>
          </cell>
          <cell r="C4982" t="str">
            <v/>
          </cell>
          <cell r="D4982" t="str">
            <v/>
          </cell>
        </row>
        <row r="4983">
          <cell r="B4983" t="str">
            <v>INF789F01513</v>
          </cell>
          <cell r="C4983" t="str">
            <v>-</v>
          </cell>
          <cell r="D4983" t="str">
            <v>UTI - Flexi Cap Fund-Growth Option</v>
          </cell>
          <cell r="E4983">
            <v>316.6148</v>
          </cell>
        </row>
        <row r="4984">
          <cell r="B4984" t="str">
            <v>INF789F01TC4</v>
          </cell>
          <cell r="C4984" t="str">
            <v>-</v>
          </cell>
          <cell r="D4984" t="str">
            <v>UTI - Flexi Cap Fund-Growth Option - Direct</v>
          </cell>
          <cell r="E4984">
            <v>341.7482</v>
          </cell>
        </row>
        <row r="4985">
          <cell r="B4985" t="str">
            <v>INF789F01TA8</v>
          </cell>
          <cell r="C4985" t="str">
            <v>INF789F01TB6</v>
          </cell>
          <cell r="D4985" t="str">
            <v>UTI Flexi Cap Fund - Direct Plan - IDCW</v>
          </cell>
          <cell r="E4985">
            <v>227.42789999999999</v>
          </cell>
        </row>
        <row r="4986">
          <cell r="B4986" t="str">
            <v>INF189A01053</v>
          </cell>
          <cell r="C4986" t="str">
            <v>INF789F01505</v>
          </cell>
          <cell r="D4986" t="str">
            <v>UTI Flexi Cap Fund - Regular Plan - IDCW</v>
          </cell>
          <cell r="E4986">
            <v>209.32550000000001</v>
          </cell>
        </row>
        <row r="4987">
          <cell r="B4987" t="str">
            <v/>
          </cell>
          <cell r="C4987" t="str">
            <v/>
          </cell>
          <cell r="D4987" t="str">
            <v/>
          </cell>
        </row>
        <row r="4988">
          <cell r="B4988" t="str">
            <v/>
          </cell>
          <cell r="C4988" t="str">
            <v/>
          </cell>
          <cell r="D4988" t="str">
            <v/>
          </cell>
        </row>
        <row r="4989">
          <cell r="B4989" t="str">
            <v/>
          </cell>
          <cell r="C4989" t="str">
            <v/>
          </cell>
          <cell r="D4989" t="str">
            <v/>
          </cell>
        </row>
        <row r="4990">
          <cell r="B4990" t="str">
            <v>INF03VN01555</v>
          </cell>
          <cell r="C4990" t="str">
            <v>INF03VN01548</v>
          </cell>
          <cell r="D4990" t="str">
            <v>WhiteOak Capital Flexi Cap Fund Direct Plan IDCW</v>
          </cell>
          <cell r="E4990">
            <v>18.914000000000001</v>
          </cell>
        </row>
        <row r="4991">
          <cell r="B4991" t="str">
            <v>INF03VN01530</v>
          </cell>
          <cell r="C4991" t="str">
            <v>-</v>
          </cell>
          <cell r="D4991" t="str">
            <v>WhiteOak Capital Flexi Cap Fund Direct Plan-Growth</v>
          </cell>
          <cell r="E4991">
            <v>18.914000000000001</v>
          </cell>
        </row>
        <row r="4992">
          <cell r="B4992" t="str">
            <v>INF03VN01522</v>
          </cell>
          <cell r="C4992" t="str">
            <v>INF03VN01514</v>
          </cell>
          <cell r="D4992" t="str">
            <v>WhiteOak Capital Flexi Cap Fund Regular Plan IDCW</v>
          </cell>
          <cell r="E4992">
            <v>17.859000000000002</v>
          </cell>
        </row>
        <row r="4993">
          <cell r="B4993" t="str">
            <v>INF03VN01506</v>
          </cell>
          <cell r="C4993" t="str">
            <v>-</v>
          </cell>
          <cell r="D4993" t="str">
            <v>WhiteOak Capital Flexi Cap Fund Regular Plan-Growth</v>
          </cell>
          <cell r="E4993">
            <v>17.859000000000002</v>
          </cell>
        </row>
        <row r="4994">
          <cell r="B4994" t="str">
            <v/>
          </cell>
          <cell r="C4994" t="str">
            <v/>
          </cell>
          <cell r="D4994" t="str">
            <v/>
          </cell>
        </row>
        <row r="4995">
          <cell r="B4995" t="str">
            <v/>
          </cell>
          <cell r="C4995" t="str">
            <v/>
          </cell>
          <cell r="D4995" t="str">
            <v/>
          </cell>
        </row>
        <row r="4996">
          <cell r="B4996" t="str">
            <v/>
          </cell>
          <cell r="C4996" t="str">
            <v/>
          </cell>
          <cell r="D4996" t="str">
            <v/>
          </cell>
        </row>
        <row r="4997">
          <cell r="B4997" t="str">
            <v/>
          </cell>
          <cell r="C4997" t="str">
            <v/>
          </cell>
          <cell r="D4997" t="str">
            <v/>
          </cell>
        </row>
        <row r="4998">
          <cell r="B4998" t="str">
            <v/>
          </cell>
          <cell r="C4998" t="str">
            <v/>
          </cell>
          <cell r="D4998" t="str">
            <v/>
          </cell>
        </row>
        <row r="4999">
          <cell r="B4999" t="str">
            <v>INF579M01910</v>
          </cell>
          <cell r="C4999" t="str">
            <v>INF579M01928</v>
          </cell>
          <cell r="D4999" t="str">
            <v>360 ONE Focused Fund - Direct Plan - Dividend</v>
          </cell>
          <cell r="E4999">
            <v>54.297899999999998</v>
          </cell>
        </row>
        <row r="5000">
          <cell r="B5000" t="str">
            <v>INF579M01886</v>
          </cell>
          <cell r="C5000" t="str">
            <v>INF579M01894</v>
          </cell>
          <cell r="D5000" t="str">
            <v>360 ONE Focused Fund - Regular Plan - Dividend</v>
          </cell>
          <cell r="E5000">
            <v>42.394500000000001</v>
          </cell>
        </row>
        <row r="5001">
          <cell r="B5001" t="str">
            <v>INF579M01878</v>
          </cell>
          <cell r="C5001" t="str">
            <v>-</v>
          </cell>
          <cell r="D5001" t="str">
            <v>360 ONE Focused Fund -Regular Plan - Growth</v>
          </cell>
          <cell r="E5001">
            <v>47.914299999999997</v>
          </cell>
        </row>
        <row r="5002">
          <cell r="B5002" t="str">
            <v>INF579M01902</v>
          </cell>
          <cell r="C5002" t="str">
            <v>-</v>
          </cell>
          <cell r="D5002" t="str">
            <v>360 ONE Focused Fund-Direct Plan-Growth</v>
          </cell>
          <cell r="E5002">
            <v>54.857399999999998</v>
          </cell>
        </row>
        <row r="5003">
          <cell r="B5003" t="str">
            <v/>
          </cell>
          <cell r="C5003" t="str">
            <v/>
          </cell>
          <cell r="D5003" t="str">
            <v/>
          </cell>
        </row>
        <row r="5004">
          <cell r="B5004" t="str">
            <v/>
          </cell>
          <cell r="C5004" t="str">
            <v/>
          </cell>
          <cell r="D5004" t="str">
            <v/>
          </cell>
        </row>
        <row r="5005">
          <cell r="B5005" t="str">
            <v/>
          </cell>
          <cell r="C5005" t="str">
            <v/>
          </cell>
          <cell r="D5005" t="str">
            <v/>
          </cell>
        </row>
        <row r="5006">
          <cell r="B5006" t="str">
            <v>INF209K01WE3</v>
          </cell>
          <cell r="C5006" t="str">
            <v>-</v>
          </cell>
          <cell r="D5006" t="str">
            <v>Aditya Birla Sun Life Focused Fund - Growth - Direct Plan</v>
          </cell>
          <cell r="E5006">
            <v>165.3143</v>
          </cell>
        </row>
        <row r="5007">
          <cell r="B5007" t="str">
            <v>INF209K01Q71</v>
          </cell>
          <cell r="C5007" t="str">
            <v>INF209K01WF0</v>
          </cell>
          <cell r="D5007" t="str">
            <v>Aditya Birla Sun Life Focused Fund -Direct - IDCW</v>
          </cell>
          <cell r="E5007">
            <v>59.018799999999999</v>
          </cell>
        </row>
        <row r="5008">
          <cell r="B5008" t="str">
            <v>INF209K01462</v>
          </cell>
          <cell r="C5008" t="str">
            <v>-</v>
          </cell>
          <cell r="D5008" t="str">
            <v>Aditya Birla Sun Life Focused Fund -Growth Option</v>
          </cell>
          <cell r="E5008">
            <v>145.39410000000001</v>
          </cell>
        </row>
        <row r="5009">
          <cell r="B5009" t="str">
            <v>INF209K01454</v>
          </cell>
          <cell r="C5009" t="str">
            <v>INF209K01CS5</v>
          </cell>
          <cell r="D5009" t="str">
            <v>Aditya Birla Sun Life Focused Fund -Regular - IDCW</v>
          </cell>
          <cell r="E5009">
            <v>24.823899999999998</v>
          </cell>
        </row>
        <row r="5010">
          <cell r="B5010" t="str">
            <v/>
          </cell>
          <cell r="C5010" t="str">
            <v/>
          </cell>
          <cell r="D5010" t="str">
            <v/>
          </cell>
        </row>
        <row r="5011">
          <cell r="B5011" t="str">
            <v/>
          </cell>
          <cell r="C5011" t="str">
            <v/>
          </cell>
          <cell r="D5011" t="str">
            <v/>
          </cell>
        </row>
        <row r="5012">
          <cell r="B5012" t="str">
            <v/>
          </cell>
          <cell r="C5012" t="str">
            <v/>
          </cell>
          <cell r="D5012" t="str">
            <v/>
          </cell>
        </row>
        <row r="5013">
          <cell r="B5013" t="str">
            <v>INF846K01CQ8</v>
          </cell>
          <cell r="C5013" t="str">
            <v>-</v>
          </cell>
          <cell r="D5013" t="str">
            <v>Axis Focused Fund - Direct Plan - Growth Option</v>
          </cell>
          <cell r="E5013">
            <v>63.02</v>
          </cell>
        </row>
        <row r="5014">
          <cell r="B5014" t="str">
            <v>INF846K01CO3</v>
          </cell>
          <cell r="C5014" t="str">
            <v>INF846K01CP0</v>
          </cell>
          <cell r="D5014" t="str">
            <v>Axis Focused Fund - Direct Plan - IDCW</v>
          </cell>
          <cell r="E5014">
            <v>32.07</v>
          </cell>
        </row>
        <row r="5015">
          <cell r="B5015" t="str">
            <v>INF846K01CH7</v>
          </cell>
          <cell r="C5015" t="str">
            <v>-</v>
          </cell>
          <cell r="D5015" t="str">
            <v>Axis Focused Fund - Regular Plan - Growth Option</v>
          </cell>
          <cell r="E5015">
            <v>54.11</v>
          </cell>
        </row>
        <row r="5016">
          <cell r="B5016" t="str">
            <v>INF846K01CI5</v>
          </cell>
          <cell r="C5016" t="str">
            <v>INF846K01CJ3</v>
          </cell>
          <cell r="D5016" t="str">
            <v>Axis Focused Fund - Regular Plan - IDCW</v>
          </cell>
          <cell r="E5016">
            <v>17.84</v>
          </cell>
        </row>
        <row r="5017">
          <cell r="B5017" t="str">
            <v/>
          </cell>
          <cell r="C5017" t="str">
            <v/>
          </cell>
          <cell r="D5017" t="str">
            <v/>
          </cell>
        </row>
        <row r="5018">
          <cell r="B5018" t="str">
            <v/>
          </cell>
          <cell r="C5018" t="str">
            <v/>
          </cell>
          <cell r="D5018" t="str">
            <v/>
          </cell>
        </row>
        <row r="5019">
          <cell r="B5019" t="str">
            <v/>
          </cell>
          <cell r="C5019" t="str">
            <v/>
          </cell>
          <cell r="D5019" t="str">
            <v/>
          </cell>
        </row>
        <row r="5020">
          <cell r="B5020" t="str">
            <v>INF194K01W21</v>
          </cell>
          <cell r="C5020" t="str">
            <v>-</v>
          </cell>
          <cell r="D5020" t="str">
            <v>Bandhan Focused Fund - Direct Plan - Growth</v>
          </cell>
          <cell r="E5020">
            <v>104.39100000000001</v>
          </cell>
        </row>
        <row r="5021">
          <cell r="B5021" t="str">
            <v>INF194K01W39</v>
          </cell>
          <cell r="C5021" t="str">
            <v>INF194K01W47</v>
          </cell>
          <cell r="D5021" t="str">
            <v>Bandhan Focused Fund - Direct Plan - IDCW</v>
          </cell>
          <cell r="E5021">
            <v>33.433</v>
          </cell>
        </row>
        <row r="5022">
          <cell r="B5022" t="str">
            <v>INF194K01466</v>
          </cell>
          <cell r="C5022" t="str">
            <v>-</v>
          </cell>
          <cell r="D5022" t="str">
            <v>Bandhan Focused Fund - Regular Plan - Growth</v>
          </cell>
          <cell r="E5022">
            <v>87.513999999999996</v>
          </cell>
        </row>
        <row r="5023">
          <cell r="B5023" t="str">
            <v>INF194K01474</v>
          </cell>
          <cell r="C5023" t="str">
            <v>INF194K01482</v>
          </cell>
          <cell r="D5023" t="str">
            <v>Bandhan Focused Fund - Regular Plan - IDCW</v>
          </cell>
          <cell r="E5023">
            <v>18.741</v>
          </cell>
        </row>
        <row r="5024">
          <cell r="B5024" t="str">
            <v/>
          </cell>
          <cell r="C5024" t="str">
            <v/>
          </cell>
          <cell r="D5024" t="str">
            <v/>
          </cell>
        </row>
        <row r="5025">
          <cell r="B5025" t="str">
            <v/>
          </cell>
          <cell r="C5025" t="str">
            <v/>
          </cell>
          <cell r="D5025" t="str">
            <v/>
          </cell>
        </row>
        <row r="5026">
          <cell r="B5026" t="str">
            <v/>
          </cell>
          <cell r="C5026" t="str">
            <v/>
          </cell>
          <cell r="D5026" t="str">
            <v/>
          </cell>
        </row>
        <row r="5027">
          <cell r="B5027" t="str">
            <v>INF251K01PN0</v>
          </cell>
          <cell r="C5027" t="str">
            <v>-</v>
          </cell>
          <cell r="D5027" t="str">
            <v>BARODA BNP PARIBAS Focused Fund - Direct Plan - Growth Option</v>
          </cell>
          <cell r="E5027">
            <v>24.224599999999999</v>
          </cell>
        </row>
        <row r="5028">
          <cell r="B5028" t="str">
            <v>INF251K01PO8</v>
          </cell>
          <cell r="C5028" t="str">
            <v>INF251K01PP5</v>
          </cell>
          <cell r="D5028" t="str">
            <v>BARODA BNP PARIBAS Focused Fund - Direct Plan - IDCW Option</v>
          </cell>
          <cell r="E5028">
            <v>15.930899999999999</v>
          </cell>
        </row>
        <row r="5029">
          <cell r="B5029" t="str">
            <v>INF251K01PL4</v>
          </cell>
          <cell r="C5029" t="str">
            <v>INF251K01PM2</v>
          </cell>
          <cell r="D5029" t="str">
            <v>BARODA BNP PARIBAS Focused Fund - Regular Plan - IDCW Option</v>
          </cell>
          <cell r="E5029">
            <v>13.844799999999999</v>
          </cell>
        </row>
        <row r="5030">
          <cell r="B5030" t="str">
            <v>INF251K01PK6</v>
          </cell>
          <cell r="C5030" t="str">
            <v>-</v>
          </cell>
          <cell r="D5030" t="str">
            <v>BARODA BNP PARIBAS Focused Fund - Regular Plan-Growth Option</v>
          </cell>
          <cell r="E5030">
            <v>21.005700000000001</v>
          </cell>
        </row>
        <row r="5031">
          <cell r="B5031" t="str">
            <v/>
          </cell>
          <cell r="C5031" t="str">
            <v/>
          </cell>
          <cell r="D5031" t="str">
            <v/>
          </cell>
        </row>
        <row r="5032">
          <cell r="B5032" t="str">
            <v/>
          </cell>
          <cell r="C5032" t="str">
            <v/>
          </cell>
          <cell r="D5032" t="str">
            <v/>
          </cell>
        </row>
        <row r="5033">
          <cell r="B5033" t="str">
            <v/>
          </cell>
          <cell r="C5033" t="str">
            <v/>
          </cell>
          <cell r="D5033" t="str">
            <v/>
          </cell>
        </row>
        <row r="5034">
          <cell r="B5034" t="str">
            <v>INF760K01JQ6</v>
          </cell>
          <cell r="C5034" t="str">
            <v>-</v>
          </cell>
          <cell r="D5034" t="str">
            <v>Canara Robeco Focused Fund - Direct Plan - Growth Option</v>
          </cell>
          <cell r="E5034">
            <v>21.15</v>
          </cell>
        </row>
        <row r="5035">
          <cell r="B5035" t="str">
            <v>INF760K01JS2</v>
          </cell>
          <cell r="C5035" t="str">
            <v>INF760K01JR4</v>
          </cell>
          <cell r="D5035" t="str">
            <v>Canara Robeco Focused Fund - Direct Plan - IDCW (Payout/Reinvestment)</v>
          </cell>
          <cell r="E5035">
            <v>18.920000000000002</v>
          </cell>
        </row>
        <row r="5036">
          <cell r="B5036" t="str">
            <v>INF760K01JT0</v>
          </cell>
          <cell r="C5036" t="str">
            <v>-</v>
          </cell>
          <cell r="D5036" t="str">
            <v>Canara Robeco Focused Fund - Regular Plan - Growth Option</v>
          </cell>
          <cell r="E5036">
            <v>19.53</v>
          </cell>
        </row>
        <row r="5037">
          <cell r="B5037" t="str">
            <v>INF760K01JV6</v>
          </cell>
          <cell r="C5037" t="str">
            <v>INF760K01JU8</v>
          </cell>
          <cell r="D5037" t="str">
            <v>Canara Robeco Focused Fund - Regular Plan - IDCW (Payout/Reinvestment)</v>
          </cell>
          <cell r="E5037">
            <v>17.399999999999999</v>
          </cell>
        </row>
        <row r="5038">
          <cell r="B5038" t="str">
            <v/>
          </cell>
          <cell r="C5038" t="str">
            <v/>
          </cell>
          <cell r="D5038" t="str">
            <v/>
          </cell>
        </row>
        <row r="5039">
          <cell r="B5039" t="str">
            <v/>
          </cell>
          <cell r="C5039" t="str">
            <v/>
          </cell>
          <cell r="D5039" t="str">
            <v/>
          </cell>
        </row>
        <row r="5040">
          <cell r="B5040" t="str">
            <v/>
          </cell>
          <cell r="C5040" t="str">
            <v/>
          </cell>
          <cell r="D5040" t="str">
            <v/>
          </cell>
        </row>
        <row r="5041">
          <cell r="B5041" t="str">
            <v>INF740K01OB0</v>
          </cell>
          <cell r="C5041" t="str">
            <v>-</v>
          </cell>
          <cell r="D5041" t="str">
            <v>DSP Focused Fund - Direct Plan - Growth</v>
          </cell>
          <cell r="E5041">
            <v>61.756999999999998</v>
          </cell>
        </row>
        <row r="5042">
          <cell r="B5042" t="str">
            <v>INF740K01OC8</v>
          </cell>
          <cell r="C5042" t="str">
            <v>INF740K01OD6</v>
          </cell>
          <cell r="D5042" t="str">
            <v>DSP Focused Fund - Direct Plan - IDCW</v>
          </cell>
          <cell r="E5042">
            <v>39.932000000000002</v>
          </cell>
        </row>
        <row r="5043">
          <cell r="B5043" t="str">
            <v>INF740K01532</v>
          </cell>
          <cell r="C5043" t="str">
            <v>-</v>
          </cell>
          <cell r="D5043" t="str">
            <v>DSP Focused Fund - Regular Plan - Growth</v>
          </cell>
          <cell r="E5043">
            <v>54.710999999999999</v>
          </cell>
        </row>
        <row r="5044">
          <cell r="B5044" t="str">
            <v>INF740K01540</v>
          </cell>
          <cell r="C5044" t="str">
            <v>INF740K01AC7</v>
          </cell>
          <cell r="D5044" t="str">
            <v>DSP Focused Fund - Regular Plan - IDCW</v>
          </cell>
          <cell r="E5044">
            <v>20.192</v>
          </cell>
        </row>
        <row r="5045">
          <cell r="B5045" t="str">
            <v/>
          </cell>
          <cell r="C5045" t="str">
            <v/>
          </cell>
          <cell r="D5045" t="str">
            <v/>
          </cell>
        </row>
        <row r="5046">
          <cell r="B5046" t="str">
            <v/>
          </cell>
          <cell r="C5046" t="str">
            <v/>
          </cell>
          <cell r="D5046" t="str">
            <v/>
          </cell>
        </row>
        <row r="5047">
          <cell r="B5047" t="str">
            <v/>
          </cell>
          <cell r="C5047" t="str">
            <v/>
          </cell>
          <cell r="D5047" t="str">
            <v/>
          </cell>
        </row>
        <row r="5048">
          <cell r="B5048" t="str">
            <v>INF754K01OP1</v>
          </cell>
          <cell r="C5048" t="str">
            <v>-</v>
          </cell>
          <cell r="D5048" t="str">
            <v>Edelweiss Focused Fund - Direct Plan - Growth</v>
          </cell>
          <cell r="E5048">
            <v>17.564</v>
          </cell>
        </row>
        <row r="5049">
          <cell r="B5049" t="str">
            <v>INF754K01OQ9</v>
          </cell>
          <cell r="C5049" t="str">
            <v>INF754K01OR7</v>
          </cell>
          <cell r="D5049" t="str">
            <v>Edelweiss Focused Fund - Direct Plan - IDCW</v>
          </cell>
          <cell r="E5049">
            <v>16.062999999999999</v>
          </cell>
        </row>
        <row r="5050">
          <cell r="B5050" t="str">
            <v>INF754K01OL0</v>
          </cell>
          <cell r="C5050" t="str">
            <v>-</v>
          </cell>
          <cell r="D5050" t="str">
            <v>Edelweiss Focused Fund - Regular Plan - Growth</v>
          </cell>
          <cell r="E5050">
            <v>16.47</v>
          </cell>
        </row>
        <row r="5051">
          <cell r="B5051" t="str">
            <v>INF754K01OM8</v>
          </cell>
          <cell r="C5051" t="str">
            <v>INF754K01ON6</v>
          </cell>
          <cell r="D5051" t="str">
            <v>Edelweiss Focused Fund - Regular Plan - IDCW</v>
          </cell>
          <cell r="E5051">
            <v>14.97</v>
          </cell>
        </row>
        <row r="5052">
          <cell r="B5052" t="str">
            <v/>
          </cell>
          <cell r="C5052" t="str">
            <v/>
          </cell>
          <cell r="D5052" t="str">
            <v/>
          </cell>
        </row>
        <row r="5053">
          <cell r="B5053" t="str">
            <v/>
          </cell>
          <cell r="C5053" t="str">
            <v/>
          </cell>
          <cell r="D5053" t="str">
            <v/>
          </cell>
        </row>
        <row r="5054">
          <cell r="B5054" t="str">
            <v/>
          </cell>
          <cell r="C5054" t="str">
            <v/>
          </cell>
          <cell r="D5054" t="str">
            <v/>
          </cell>
        </row>
        <row r="5055">
          <cell r="B5055" t="str">
            <v>INF090I01IW2</v>
          </cell>
          <cell r="C5055" t="str">
            <v>-</v>
          </cell>
          <cell r="D5055" t="str">
            <v>Franklin India Focused Equity Fund - Direct - Growth</v>
          </cell>
          <cell r="E5055">
            <v>114.148</v>
          </cell>
        </row>
        <row r="5056">
          <cell r="B5056" t="str">
            <v>INF090I01IU6</v>
          </cell>
          <cell r="C5056" t="str">
            <v>INF090I01IV4</v>
          </cell>
          <cell r="D5056" t="str">
            <v xml:space="preserve">Franklin India Focused Equity Fund - Direct - IDCW </v>
          </cell>
          <cell r="E5056">
            <v>39.793199999999999</v>
          </cell>
        </row>
        <row r="5057">
          <cell r="B5057" t="str">
            <v>INF090I01981</v>
          </cell>
          <cell r="C5057" t="str">
            <v>-</v>
          </cell>
          <cell r="D5057" t="str">
            <v>Franklin India Focused Equity Fund - Growth Plan</v>
          </cell>
          <cell r="E5057">
            <v>100.5437</v>
          </cell>
        </row>
        <row r="5058">
          <cell r="B5058" t="str">
            <v>INF090I01965</v>
          </cell>
          <cell r="C5058" t="str">
            <v>INF090I01973</v>
          </cell>
          <cell r="D5058" t="str">
            <v xml:space="preserve">Franklin India Focused Equity Fund - IDCW </v>
          </cell>
          <cell r="E5058">
            <v>33.395099999999999</v>
          </cell>
        </row>
        <row r="5059">
          <cell r="B5059" t="str">
            <v/>
          </cell>
          <cell r="C5059" t="str">
            <v/>
          </cell>
          <cell r="D5059" t="str">
            <v/>
          </cell>
        </row>
        <row r="5060">
          <cell r="B5060" t="str">
            <v/>
          </cell>
          <cell r="C5060" t="str">
            <v/>
          </cell>
          <cell r="D5060" t="str">
            <v/>
          </cell>
        </row>
        <row r="5061">
          <cell r="B5061" t="str">
            <v/>
          </cell>
          <cell r="C5061" t="str">
            <v/>
          </cell>
          <cell r="D5061" t="str">
            <v/>
          </cell>
        </row>
        <row r="5062">
          <cell r="B5062" t="str">
            <v>INF179K01VK7</v>
          </cell>
          <cell r="C5062" t="str">
            <v>-</v>
          </cell>
          <cell r="D5062" t="str">
            <v>HDFC Focused Fund - Growth Option - Direct Plan</v>
          </cell>
          <cell r="E5062">
            <v>264.779</v>
          </cell>
        </row>
        <row r="5063">
          <cell r="B5063" t="str">
            <v>INF179K01574</v>
          </cell>
          <cell r="C5063" t="str">
            <v>-</v>
          </cell>
          <cell r="D5063" t="str">
            <v>HDFC Focused Fund - GROWTH PLAN</v>
          </cell>
          <cell r="E5063">
            <v>231.22800000000001</v>
          </cell>
        </row>
        <row r="5064">
          <cell r="B5064" t="str">
            <v>INF179K01VI1</v>
          </cell>
          <cell r="C5064" t="str">
            <v>INF179K01VJ9</v>
          </cell>
          <cell r="D5064" t="str">
            <v>HDFC Focused Fund - IDCW Option - Direct Plan</v>
          </cell>
          <cell r="E5064">
            <v>31.488</v>
          </cell>
        </row>
        <row r="5065">
          <cell r="B5065" t="str">
            <v>INF179K01558</v>
          </cell>
          <cell r="C5065" t="str">
            <v>INF179K01566</v>
          </cell>
          <cell r="D5065" t="str">
            <v>HDFC Focused Fund - IDCW PLAN</v>
          </cell>
          <cell r="E5065">
            <v>23.509</v>
          </cell>
        </row>
        <row r="5066">
          <cell r="B5066" t="str">
            <v/>
          </cell>
          <cell r="C5066" t="str">
            <v/>
          </cell>
          <cell r="D5066" t="str">
            <v/>
          </cell>
        </row>
        <row r="5067">
          <cell r="B5067" t="str">
            <v/>
          </cell>
          <cell r="C5067" t="str">
            <v/>
          </cell>
          <cell r="D5067" t="str">
            <v/>
          </cell>
        </row>
        <row r="5068">
          <cell r="B5068" t="str">
            <v/>
          </cell>
          <cell r="C5068" t="str">
            <v/>
          </cell>
          <cell r="D5068" t="str">
            <v/>
          </cell>
        </row>
        <row r="5069">
          <cell r="B5069" t="str">
            <v>INF336L01PB2</v>
          </cell>
          <cell r="C5069" t="str">
            <v>-</v>
          </cell>
          <cell r="D5069" t="str">
            <v>HSBC Focused Fund - Direct Growth</v>
          </cell>
          <cell r="E5069">
            <v>28.544799999999999</v>
          </cell>
        </row>
        <row r="5070">
          <cell r="B5070" t="str">
            <v>INF336L01PC0</v>
          </cell>
          <cell r="C5070" t="str">
            <v>INF336L01PD8</v>
          </cell>
          <cell r="D5070" t="str">
            <v>HSBC Focused Fund - Direct IDCW</v>
          </cell>
          <cell r="E5070">
            <v>23.187899999999999</v>
          </cell>
        </row>
        <row r="5071">
          <cell r="B5071" t="str">
            <v>INF336L01PE6</v>
          </cell>
          <cell r="C5071" t="str">
            <v>-</v>
          </cell>
          <cell r="D5071" t="str">
            <v>HSBC Focused Fund - Regular Growth</v>
          </cell>
          <cell r="E5071">
            <v>26.302099999999999</v>
          </cell>
        </row>
        <row r="5072">
          <cell r="B5072" t="str">
            <v>INF336L01PF3</v>
          </cell>
          <cell r="C5072" t="str">
            <v>INF336L01PG1</v>
          </cell>
          <cell r="D5072" t="str">
            <v>HSBC Focused Fund - Regular IDCW</v>
          </cell>
          <cell r="E5072">
            <v>18.596599999999999</v>
          </cell>
        </row>
        <row r="5073">
          <cell r="B5073" t="str">
            <v/>
          </cell>
          <cell r="C5073" t="str">
            <v/>
          </cell>
          <cell r="D5073" t="str">
            <v/>
          </cell>
        </row>
        <row r="5074">
          <cell r="B5074" t="str">
            <v/>
          </cell>
          <cell r="C5074" t="str">
            <v/>
          </cell>
          <cell r="D5074" t="str">
            <v/>
          </cell>
        </row>
        <row r="5075">
          <cell r="B5075" t="str">
            <v/>
          </cell>
          <cell r="C5075" t="str">
            <v/>
          </cell>
          <cell r="D5075" t="str">
            <v/>
          </cell>
        </row>
        <row r="5076">
          <cell r="B5076" t="str">
            <v>INF109K018N2</v>
          </cell>
          <cell r="C5076" t="str">
            <v>-</v>
          </cell>
          <cell r="D5076" t="str">
            <v>ICICI Prudential Focused Equity Fund - Direct Plan - Growth</v>
          </cell>
          <cell r="E5076">
            <v>109.84</v>
          </cell>
        </row>
        <row r="5077">
          <cell r="B5077" t="str">
            <v>INF109K016N6</v>
          </cell>
          <cell r="C5077" t="str">
            <v>INF109K017N4</v>
          </cell>
          <cell r="D5077" t="str">
            <v>ICICI Prudential Focused Equity Fund - Direct Plan - IDCW</v>
          </cell>
          <cell r="E5077">
            <v>63.95</v>
          </cell>
        </row>
        <row r="5078">
          <cell r="B5078" t="str">
            <v>INF109K01BZ4</v>
          </cell>
          <cell r="C5078" t="str">
            <v>-</v>
          </cell>
          <cell r="D5078" t="str">
            <v>ICICI Prudential Focused Equity Fund - Growth</v>
          </cell>
          <cell r="E5078">
            <v>94.79</v>
          </cell>
        </row>
        <row r="5079">
          <cell r="B5079" t="str">
            <v>INF109K01FM3</v>
          </cell>
          <cell r="C5079" t="str">
            <v>INF109K01CA5</v>
          </cell>
          <cell r="D5079" t="str">
            <v>ICICI Prudential Focused Equity Fund - IDCW</v>
          </cell>
          <cell r="E5079">
            <v>27.92</v>
          </cell>
        </row>
        <row r="5080">
          <cell r="B5080" t="str">
            <v/>
          </cell>
          <cell r="C5080" t="str">
            <v/>
          </cell>
          <cell r="D5080" t="str">
            <v/>
          </cell>
        </row>
        <row r="5081">
          <cell r="B5081" t="str">
            <v/>
          </cell>
          <cell r="C5081" t="str">
            <v/>
          </cell>
          <cell r="D5081" t="str">
            <v/>
          </cell>
        </row>
        <row r="5082">
          <cell r="B5082" t="str">
            <v/>
          </cell>
          <cell r="C5082" t="str">
            <v/>
          </cell>
          <cell r="D5082" t="str">
            <v/>
          </cell>
        </row>
        <row r="5083">
          <cell r="B5083" t="str">
            <v>INF205KA1213</v>
          </cell>
          <cell r="C5083" t="str">
            <v>-</v>
          </cell>
          <cell r="D5083" t="str">
            <v>Invesco India Focused Fund - Direct Plan - Growth</v>
          </cell>
          <cell r="E5083">
            <v>31.1</v>
          </cell>
        </row>
        <row r="5084">
          <cell r="B5084" t="str">
            <v>INF205KA1205</v>
          </cell>
          <cell r="C5084" t="str">
            <v>INF205KA1221</v>
          </cell>
          <cell r="D5084" t="str">
            <v>Invesco India Focused Fund - Direct Plan - IDCW (Payout / Reinvestment)</v>
          </cell>
          <cell r="E5084">
            <v>22.87</v>
          </cell>
        </row>
        <row r="5085">
          <cell r="B5085" t="str">
            <v>INF205KA1189</v>
          </cell>
          <cell r="C5085" t="str">
            <v>-</v>
          </cell>
          <cell r="D5085" t="str">
            <v>Invesco India Focused Fund - Regular Plan - Growth</v>
          </cell>
          <cell r="E5085">
            <v>28.54</v>
          </cell>
        </row>
        <row r="5086">
          <cell r="B5086" t="str">
            <v>INF205KA1171</v>
          </cell>
          <cell r="C5086" t="str">
            <v>INF205KA1197</v>
          </cell>
          <cell r="D5086" t="str">
            <v>Invesco India Focused Fund - Regular Plan - IDCW (Payout / Reinvestment)</v>
          </cell>
          <cell r="E5086">
            <v>20.54</v>
          </cell>
        </row>
        <row r="5087">
          <cell r="B5087" t="str">
            <v/>
          </cell>
          <cell r="C5087" t="str">
            <v/>
          </cell>
          <cell r="D5087" t="str">
            <v/>
          </cell>
        </row>
        <row r="5088">
          <cell r="B5088" t="str">
            <v/>
          </cell>
          <cell r="C5088" t="str">
            <v/>
          </cell>
          <cell r="D5088" t="str">
            <v/>
          </cell>
        </row>
        <row r="5089">
          <cell r="B5089" t="str">
            <v/>
          </cell>
          <cell r="C5089" t="str">
            <v/>
          </cell>
          <cell r="D5089" t="str">
            <v/>
          </cell>
        </row>
        <row r="5090">
          <cell r="B5090" t="str">
            <v>INF00XX01CS8</v>
          </cell>
          <cell r="C5090" t="str">
            <v>-</v>
          </cell>
          <cell r="D5090" t="str">
            <v>ITI Focused Fund - Direct Plan - Growth</v>
          </cell>
          <cell r="E5090">
            <v>17.169499999999999</v>
          </cell>
        </row>
        <row r="5091">
          <cell r="B5091" t="str">
            <v>INF00XX01CT6</v>
          </cell>
          <cell r="C5091" t="str">
            <v>INF00XX01CU4</v>
          </cell>
          <cell r="D5091" t="str">
            <v>ITI Focused Fund - Direct Plan - IDCW</v>
          </cell>
          <cell r="E5091">
            <v>16.1325</v>
          </cell>
        </row>
        <row r="5092">
          <cell r="B5092" t="str">
            <v>INF00XX01CV2</v>
          </cell>
          <cell r="C5092" t="str">
            <v>-</v>
          </cell>
          <cell r="D5092" t="str">
            <v>ITI Focused Fund - Regular Plan - Growth</v>
          </cell>
          <cell r="E5092">
            <v>16.218800000000002</v>
          </cell>
        </row>
        <row r="5093">
          <cell r="B5093" t="str">
            <v>INF00XX01CW0</v>
          </cell>
          <cell r="C5093" t="str">
            <v>INF00XX01CR0</v>
          </cell>
          <cell r="D5093" t="str">
            <v>ITI Focused Fund - Regular Plan - IDCW</v>
          </cell>
          <cell r="E5093">
            <v>15.1899</v>
          </cell>
        </row>
        <row r="5094">
          <cell r="B5094" t="str">
            <v/>
          </cell>
          <cell r="C5094" t="str">
            <v/>
          </cell>
          <cell r="D5094" t="str">
            <v/>
          </cell>
        </row>
        <row r="5095">
          <cell r="B5095" t="str">
            <v/>
          </cell>
          <cell r="C5095" t="str">
            <v/>
          </cell>
          <cell r="D5095" t="str">
            <v/>
          </cell>
        </row>
        <row r="5096">
          <cell r="B5096" t="str">
            <v/>
          </cell>
          <cell r="C5096" t="str">
            <v/>
          </cell>
          <cell r="D5096" t="str">
            <v/>
          </cell>
        </row>
        <row r="5097">
          <cell r="B5097" t="str">
            <v>INF192K01BW7</v>
          </cell>
          <cell r="C5097" t="str">
            <v>-</v>
          </cell>
          <cell r="D5097" t="str">
            <v>JM Focused Fund (Direct)  - Growth Option</v>
          </cell>
          <cell r="E5097">
            <v>23.478000000000002</v>
          </cell>
        </row>
        <row r="5098">
          <cell r="B5098" t="str">
            <v>INF192K01BU1</v>
          </cell>
          <cell r="C5098" t="str">
            <v>INF192K01BV9</v>
          </cell>
          <cell r="D5098" t="str">
            <v>JM Focused Fund (Direct) -  IDCW</v>
          </cell>
          <cell r="E5098">
            <v>23.0091</v>
          </cell>
        </row>
        <row r="5099">
          <cell r="B5099" t="str">
            <v>INF192K01577</v>
          </cell>
          <cell r="C5099" t="str">
            <v>-</v>
          </cell>
          <cell r="D5099" t="str">
            <v>JM Focused Fund (Regular) - Growth Option</v>
          </cell>
          <cell r="E5099">
            <v>19.793299999999999</v>
          </cell>
        </row>
        <row r="5100">
          <cell r="B5100" t="str">
            <v>INF192K01551</v>
          </cell>
          <cell r="C5100" t="str">
            <v>INF192K01569</v>
          </cell>
          <cell r="D5100" t="str">
            <v>JM Focused Fund (Regular) - IDCW</v>
          </cell>
          <cell r="E5100">
            <v>19.7925</v>
          </cell>
        </row>
        <row r="5101">
          <cell r="B5101" t="str">
            <v/>
          </cell>
          <cell r="C5101" t="str">
            <v/>
          </cell>
          <cell r="D5101" t="str">
            <v/>
          </cell>
        </row>
        <row r="5102">
          <cell r="B5102" t="str">
            <v/>
          </cell>
          <cell r="C5102" t="str">
            <v/>
          </cell>
          <cell r="D5102" t="str">
            <v/>
          </cell>
        </row>
        <row r="5103">
          <cell r="B5103" t="str">
            <v/>
          </cell>
          <cell r="C5103" t="str">
            <v/>
          </cell>
          <cell r="D5103" t="str">
            <v/>
          </cell>
        </row>
        <row r="5104">
          <cell r="B5104" t="str">
            <v>INF174KA1EN7</v>
          </cell>
          <cell r="C5104" t="str">
            <v>-</v>
          </cell>
          <cell r="D5104" t="str">
            <v>Kotak Focused Fund- Direct Plan- Growth option</v>
          </cell>
          <cell r="E5104">
            <v>30.355</v>
          </cell>
        </row>
        <row r="5105">
          <cell r="B5105" t="str">
            <v>INF174KA1EK3</v>
          </cell>
          <cell r="C5105" t="str">
            <v>-</v>
          </cell>
          <cell r="D5105" t="str">
            <v>Kotak Focused Fund- Regular plan _ Growth Option</v>
          </cell>
          <cell r="E5105">
            <v>27.251000000000001</v>
          </cell>
        </row>
        <row r="5106">
          <cell r="B5106" t="str">
            <v>INF174KA1EM9</v>
          </cell>
          <cell r="C5106" t="str">
            <v>INF174KA1EL1</v>
          </cell>
          <cell r="D5106" t="str">
            <v>Kotak Focused Fund- Regular Plan-Income Distribution cum capital withdrawal option</v>
          </cell>
          <cell r="E5106">
            <v>27.251000000000001</v>
          </cell>
        </row>
        <row r="5107">
          <cell r="B5107" t="str">
            <v>INF174KA1EP2</v>
          </cell>
          <cell r="C5107" t="str">
            <v>INF174KA1EO5</v>
          </cell>
          <cell r="D5107" t="str">
            <v>Kotak Focused Fund-Direct Plan- Income Distribution cum capital withdrawal option</v>
          </cell>
          <cell r="E5107">
            <v>30.356999999999999</v>
          </cell>
        </row>
        <row r="5108">
          <cell r="B5108" t="str">
            <v/>
          </cell>
          <cell r="C5108" t="str">
            <v/>
          </cell>
          <cell r="D5108" t="str">
            <v/>
          </cell>
        </row>
        <row r="5109">
          <cell r="B5109" t="str">
            <v/>
          </cell>
          <cell r="C5109" t="str">
            <v/>
          </cell>
          <cell r="D5109" t="str">
            <v/>
          </cell>
        </row>
        <row r="5110">
          <cell r="B5110" t="str">
            <v/>
          </cell>
          <cell r="C5110" t="str">
            <v/>
          </cell>
          <cell r="D5110" t="str">
            <v/>
          </cell>
        </row>
        <row r="5111">
          <cell r="B5111" t="str">
            <v>INF397L01KA7</v>
          </cell>
          <cell r="C5111" t="str">
            <v>-</v>
          </cell>
          <cell r="D5111" t="str">
            <v>LIC MF Focused Fund-Direct Plan-Growth</v>
          </cell>
          <cell r="E5111">
            <v>23.972300000000001</v>
          </cell>
        </row>
        <row r="5112">
          <cell r="B5112" t="str">
            <v>INF397L01JX1</v>
          </cell>
          <cell r="C5112" t="str">
            <v>INF397L01JY9</v>
          </cell>
          <cell r="D5112" t="str">
            <v>LIC MF Focused Fund-Direct Plan-IDCW</v>
          </cell>
          <cell r="E5112">
            <v>23.942599999999999</v>
          </cell>
        </row>
        <row r="5113">
          <cell r="B5113" t="str">
            <v>INF397L01KE9</v>
          </cell>
          <cell r="C5113" t="str">
            <v>-</v>
          </cell>
          <cell r="D5113" t="str">
            <v>LIC MF Focused Fund-Regular Plan-Growth</v>
          </cell>
          <cell r="E5113">
            <v>21.576499999999999</v>
          </cell>
        </row>
        <row r="5114">
          <cell r="B5114" t="str">
            <v>INF397L01KB5</v>
          </cell>
          <cell r="C5114" t="str">
            <v>INF397L01KC3</v>
          </cell>
          <cell r="D5114" t="str">
            <v>LIC MF Focused Fund-Regular Plan-IDCW</v>
          </cell>
          <cell r="E5114">
            <v>21.5762</v>
          </cell>
        </row>
        <row r="5115">
          <cell r="B5115" t="str">
            <v/>
          </cell>
          <cell r="C5115" t="str">
            <v/>
          </cell>
          <cell r="D5115" t="str">
            <v/>
          </cell>
        </row>
        <row r="5116">
          <cell r="B5116" t="str">
            <v/>
          </cell>
          <cell r="C5116" t="str">
            <v/>
          </cell>
          <cell r="D5116" t="str">
            <v/>
          </cell>
        </row>
        <row r="5117">
          <cell r="B5117" t="str">
            <v/>
          </cell>
          <cell r="C5117" t="str">
            <v/>
          </cell>
          <cell r="D5117" t="str">
            <v/>
          </cell>
        </row>
        <row r="5118">
          <cell r="B5118" t="str">
            <v>INF769K01ET2</v>
          </cell>
          <cell r="C5118" t="str">
            <v>INF769K01EW6</v>
          </cell>
          <cell r="D5118" t="str">
            <v>Mirae Asset Focused Fund Direct IDCW</v>
          </cell>
          <cell r="E5118">
            <v>24.617999999999999</v>
          </cell>
        </row>
        <row r="5119">
          <cell r="B5119" t="str">
            <v>INF769K01EU0</v>
          </cell>
          <cell r="C5119" t="str">
            <v>-</v>
          </cell>
          <cell r="D5119" t="str">
            <v>Mirae Asset Focused Fund Direct Plan Growth</v>
          </cell>
          <cell r="E5119">
            <v>26.765999999999998</v>
          </cell>
        </row>
        <row r="5120">
          <cell r="B5120" t="str">
            <v>INF769K01ER6</v>
          </cell>
          <cell r="C5120" t="str">
            <v>INF769K01EV8</v>
          </cell>
          <cell r="D5120" t="str">
            <v>Mirae Asset Focused Fund Regular IDCW</v>
          </cell>
          <cell r="E5120">
            <v>22.347999999999999</v>
          </cell>
        </row>
        <row r="5121">
          <cell r="B5121" t="str">
            <v>INF769K01ES4</v>
          </cell>
          <cell r="C5121" t="str">
            <v>-</v>
          </cell>
          <cell r="D5121" t="str">
            <v>Mirae Asset Focused Fund Regular Plan Growth</v>
          </cell>
          <cell r="E5121">
            <v>24.31</v>
          </cell>
        </row>
        <row r="5122">
          <cell r="B5122" t="str">
            <v/>
          </cell>
          <cell r="C5122" t="str">
            <v/>
          </cell>
          <cell r="D5122" t="str">
            <v/>
          </cell>
        </row>
        <row r="5123">
          <cell r="B5123" t="str">
            <v/>
          </cell>
          <cell r="C5123" t="str">
            <v/>
          </cell>
          <cell r="D5123" t="str">
            <v/>
          </cell>
        </row>
        <row r="5124">
          <cell r="B5124" t="str">
            <v/>
          </cell>
          <cell r="C5124" t="str">
            <v/>
          </cell>
          <cell r="D5124" t="str">
            <v/>
          </cell>
        </row>
        <row r="5125">
          <cell r="B5125" t="str">
            <v>INF247L01189</v>
          </cell>
          <cell r="C5125" t="str">
            <v>-</v>
          </cell>
          <cell r="D5125" t="str">
            <v>Motilal Oswal Focused Fund - Direct Plan Growth Option</v>
          </cell>
          <cell r="E5125">
            <v>58.189300000000003</v>
          </cell>
        </row>
        <row r="5126">
          <cell r="B5126" t="str">
            <v>INF247L01155</v>
          </cell>
          <cell r="C5126" t="str">
            <v>-</v>
          </cell>
          <cell r="D5126" t="str">
            <v>Motilal Oswal Focused Fund - Regular Plan Growth Option</v>
          </cell>
          <cell r="E5126">
            <v>49.2151</v>
          </cell>
        </row>
        <row r="5127">
          <cell r="B5127" t="str">
            <v>INF247L01205</v>
          </cell>
          <cell r="C5127" t="str">
            <v>INF247L01197</v>
          </cell>
          <cell r="D5127" t="str">
            <v>Motilal Oswal Focused Fund Direct - IDCW Payout/Reinvestment</v>
          </cell>
          <cell r="E5127">
            <v>23.919799999999999</v>
          </cell>
        </row>
        <row r="5128">
          <cell r="B5128" t="str">
            <v>INF247L01171</v>
          </cell>
          <cell r="C5128" t="str">
            <v>INF247L01163</v>
          </cell>
          <cell r="D5128" t="str">
            <v>Motilal Oswal Focused Fund Regular - IDCW Payout/Reinvestment</v>
          </cell>
          <cell r="E5128">
            <v>20.3188</v>
          </cell>
        </row>
        <row r="5129">
          <cell r="B5129" t="str">
            <v/>
          </cell>
          <cell r="C5129" t="str">
            <v/>
          </cell>
          <cell r="D5129" t="str">
            <v/>
          </cell>
        </row>
        <row r="5130">
          <cell r="B5130" t="str">
            <v/>
          </cell>
          <cell r="C5130" t="str">
            <v/>
          </cell>
          <cell r="D5130" t="str">
            <v/>
          </cell>
        </row>
        <row r="5131">
          <cell r="B5131" t="str">
            <v/>
          </cell>
          <cell r="C5131" t="str">
            <v/>
          </cell>
          <cell r="D5131" t="str">
            <v/>
          </cell>
        </row>
        <row r="5132">
          <cell r="B5132" t="str">
            <v>INF204K01F79</v>
          </cell>
          <cell r="C5132" t="str">
            <v>INF204K01F87</v>
          </cell>
          <cell r="D5132" t="str">
            <v>NIPPON INDIA FOCUSED  FUND - DIRECT Plan - IDCW Option</v>
          </cell>
          <cell r="E5132">
            <v>44.515900000000002</v>
          </cell>
        </row>
        <row r="5133">
          <cell r="B5133" t="str">
            <v>INF204K01GF4</v>
          </cell>
          <cell r="C5133" t="str">
            <v>INF204K01GG2</v>
          </cell>
          <cell r="D5133" t="str">
            <v>NIPPON INDIA FOCUSED  FUND - IDCW OPTION</v>
          </cell>
          <cell r="E5133">
            <v>32.2605</v>
          </cell>
        </row>
        <row r="5134">
          <cell r="B5134" t="str">
            <v>INF204K01F95</v>
          </cell>
          <cell r="C5134" t="str">
            <v>-</v>
          </cell>
          <cell r="D5134" t="str">
            <v>Nippon India Focused Fund - Direct Plan Growth Plan - Growth Option</v>
          </cell>
          <cell r="E5134">
            <v>133.50200000000001</v>
          </cell>
        </row>
        <row r="5135">
          <cell r="B5135" t="str">
            <v>INF204K01GE7</v>
          </cell>
          <cell r="C5135" t="str">
            <v>-</v>
          </cell>
          <cell r="D5135" t="str">
            <v>Nippon India Focused Fund -Growth Plan -Growth Option</v>
          </cell>
          <cell r="E5135">
            <v>120.50109999999999</v>
          </cell>
        </row>
        <row r="5136">
          <cell r="B5136" t="str">
            <v/>
          </cell>
          <cell r="C5136" t="str">
            <v/>
          </cell>
          <cell r="D5136" t="str">
            <v/>
          </cell>
        </row>
        <row r="5137">
          <cell r="B5137" t="str">
            <v/>
          </cell>
          <cell r="C5137" t="str">
            <v/>
          </cell>
          <cell r="D5137" t="str">
            <v/>
          </cell>
        </row>
        <row r="5138">
          <cell r="B5138" t="str">
            <v/>
          </cell>
          <cell r="C5138" t="str">
            <v/>
          </cell>
          <cell r="D5138" t="str">
            <v/>
          </cell>
        </row>
        <row r="5139">
          <cell r="B5139" t="str">
            <v>INF0S5R01042</v>
          </cell>
          <cell r="C5139" t="str">
            <v>-</v>
          </cell>
          <cell r="D5139" t="str">
            <v>Old Bridge Focused Fund - Direct Growth</v>
          </cell>
          <cell r="E5139">
            <v>13.41</v>
          </cell>
        </row>
        <row r="5140">
          <cell r="B5140" t="str">
            <v>INF0S5R01059</v>
          </cell>
          <cell r="C5140" t="str">
            <v>INF0S5R01067</v>
          </cell>
          <cell r="D5140" t="str">
            <v>Old Bridge Focused Fund - Direct IDCW</v>
          </cell>
          <cell r="E5140">
            <v>13.41</v>
          </cell>
        </row>
        <row r="5141">
          <cell r="B5141" t="str">
            <v>INF0S5R01034</v>
          </cell>
          <cell r="C5141" t="str">
            <v>-</v>
          </cell>
          <cell r="D5141" t="str">
            <v>Old Bridge Focused Fund - Regular Growth</v>
          </cell>
          <cell r="E5141">
            <v>13.06</v>
          </cell>
        </row>
        <row r="5142">
          <cell r="B5142" t="str">
            <v>INF0S5R01018</v>
          </cell>
          <cell r="C5142" t="str">
            <v>INF0S5R01026</v>
          </cell>
          <cell r="D5142" t="str">
            <v>Old Bridge Focused Fund - Regular IDCW</v>
          </cell>
          <cell r="E5142">
            <v>13.06</v>
          </cell>
        </row>
        <row r="5143">
          <cell r="B5143" t="str">
            <v/>
          </cell>
          <cell r="C5143" t="str">
            <v/>
          </cell>
          <cell r="D5143" t="str">
            <v/>
          </cell>
        </row>
        <row r="5144">
          <cell r="B5144" t="str">
            <v/>
          </cell>
          <cell r="C5144" t="str">
            <v/>
          </cell>
          <cell r="D5144" t="str">
            <v/>
          </cell>
        </row>
        <row r="5145">
          <cell r="B5145" t="str">
            <v/>
          </cell>
          <cell r="C5145" t="str">
            <v/>
          </cell>
          <cell r="D5145" t="str">
            <v/>
          </cell>
        </row>
        <row r="5146">
          <cell r="B5146" t="str">
            <v>INF966L01374</v>
          </cell>
          <cell r="C5146" t="str">
            <v>-</v>
          </cell>
          <cell r="D5146" t="str">
            <v>quant Focused Fund - Growth Option - Regular Plan</v>
          </cell>
          <cell r="E5146">
            <v>93.187200000000004</v>
          </cell>
        </row>
        <row r="5147">
          <cell r="B5147" t="str">
            <v>INF966L01853</v>
          </cell>
          <cell r="C5147" t="str">
            <v>-</v>
          </cell>
          <cell r="D5147" t="str">
            <v>quant Focused Fund - Growth Option-Direct Plan</v>
          </cell>
          <cell r="E5147">
            <v>104.92489999999999</v>
          </cell>
        </row>
        <row r="5148">
          <cell r="B5148" t="str">
            <v>INF966L01838</v>
          </cell>
          <cell r="C5148" t="str">
            <v>INF966L01846</v>
          </cell>
          <cell r="D5148" t="str">
            <v>quant Focused Fund - IDCW Option - Direct Plan</v>
          </cell>
          <cell r="E5148">
            <v>61.335500000000003</v>
          </cell>
        </row>
        <row r="5149">
          <cell r="B5149" t="str">
            <v>INF966L01358</v>
          </cell>
          <cell r="C5149" t="str">
            <v>INF966L01366</v>
          </cell>
          <cell r="D5149" t="str">
            <v>quant Focused Fund - IDCW Option - Regular Plan</v>
          </cell>
          <cell r="E5149">
            <v>69.289299999999997</v>
          </cell>
        </row>
        <row r="5150">
          <cell r="B5150" t="str">
            <v/>
          </cell>
          <cell r="C5150" t="str">
            <v/>
          </cell>
          <cell r="D5150" t="str">
            <v/>
          </cell>
        </row>
        <row r="5151">
          <cell r="B5151" t="str">
            <v/>
          </cell>
          <cell r="C5151" t="str">
            <v/>
          </cell>
          <cell r="D5151" t="str">
            <v/>
          </cell>
        </row>
        <row r="5152">
          <cell r="B5152" t="str">
            <v/>
          </cell>
          <cell r="C5152" t="str">
            <v/>
          </cell>
          <cell r="D5152" t="str">
            <v/>
          </cell>
        </row>
        <row r="5153">
          <cell r="B5153" t="str">
            <v>INF200K01RH5</v>
          </cell>
          <cell r="C5153" t="str">
            <v>INF200K01RI3</v>
          </cell>
          <cell r="D5153" t="str">
            <v>SBI Focused Fund - Direct Plan - Income Distribution cum Capital Withdrawal Option (IDCW)</v>
          </cell>
          <cell r="E5153">
            <v>108.8526</v>
          </cell>
        </row>
        <row r="5154">
          <cell r="B5154" t="str">
            <v>INF200K01RJ1</v>
          </cell>
          <cell r="C5154" t="str">
            <v>-</v>
          </cell>
          <cell r="D5154" t="str">
            <v>SBI FOCUSED FUND - DIRECT PLAN -GROWTH</v>
          </cell>
          <cell r="E5154">
            <v>446.68450000000001</v>
          </cell>
        </row>
        <row r="5155">
          <cell r="B5155" t="str">
            <v>INF200K01388</v>
          </cell>
          <cell r="C5155" t="str">
            <v>INF200K01396</v>
          </cell>
          <cell r="D5155" t="str">
            <v>SBI Focused Fund - Regular Plan - Income Distribution cum Capital Withdrawal Option (IDCW)</v>
          </cell>
          <cell r="E5155">
            <v>72.210499999999996</v>
          </cell>
        </row>
        <row r="5156">
          <cell r="B5156" t="str">
            <v>INF200K01370</v>
          </cell>
          <cell r="C5156" t="str">
            <v>-</v>
          </cell>
          <cell r="D5156" t="str">
            <v>SBI FOCUSED FUND - REGULAR PLAN -GROWTH</v>
          </cell>
          <cell r="E5156">
            <v>394.78980000000001</v>
          </cell>
        </row>
        <row r="5157">
          <cell r="B5157" t="str">
            <v/>
          </cell>
          <cell r="C5157" t="str">
            <v/>
          </cell>
          <cell r="D5157" t="str">
            <v/>
          </cell>
        </row>
        <row r="5158">
          <cell r="B5158" t="str">
            <v/>
          </cell>
          <cell r="C5158" t="str">
            <v/>
          </cell>
          <cell r="D5158" t="str">
            <v/>
          </cell>
        </row>
        <row r="5159">
          <cell r="B5159" t="str">
            <v/>
          </cell>
          <cell r="C5159" t="str">
            <v/>
          </cell>
          <cell r="D5159" t="str">
            <v/>
          </cell>
        </row>
        <row r="5160">
          <cell r="B5160" t="str">
            <v>INF173K01EK6</v>
          </cell>
          <cell r="C5160" t="str">
            <v>-</v>
          </cell>
          <cell r="D5160" t="str">
            <v>Sundaram Focused Fund (Formerly Known as Principal Focused Multicap Fund)- Direct Plan - Growth Option</v>
          </cell>
          <cell r="E5160">
            <v>181.24700000000001</v>
          </cell>
        </row>
        <row r="5161">
          <cell r="B5161" t="str">
            <v>INF173K01EM2</v>
          </cell>
          <cell r="C5161" t="str">
            <v>INF173K01EL4</v>
          </cell>
          <cell r="D5161" t="str">
            <v>Sundaram Focused Fund (Formerly Known as Principal Focused Multicap Fund)- Direct Plan - Income Distribution CUM Capital Withdrawal Option (IDCW)</v>
          </cell>
          <cell r="E5161">
            <v>42.476900000000001</v>
          </cell>
        </row>
        <row r="5162">
          <cell r="B5162" t="str">
            <v>INF173K01197</v>
          </cell>
          <cell r="C5162" t="str">
            <v>INF173K01205</v>
          </cell>
          <cell r="D5162" t="str">
            <v>Sundaram Focused Fund (Formerly Known as Principal Focused Multicap Fund)- Income Distribution CUM Capital Withdrawal Option (IDCW)</v>
          </cell>
          <cell r="E5162">
            <v>38.647300000000001</v>
          </cell>
        </row>
        <row r="5163">
          <cell r="B5163" t="str">
            <v>INF173K01189</v>
          </cell>
          <cell r="C5163" t="str">
            <v>-</v>
          </cell>
          <cell r="D5163" t="str">
            <v>Sundaram Focused Fund (Formerly Known as Principal Focused Multicap Fund)-Growth Option</v>
          </cell>
          <cell r="E5163">
            <v>162.04490000000001</v>
          </cell>
        </row>
        <row r="5164">
          <cell r="B5164" t="str">
            <v/>
          </cell>
          <cell r="C5164" t="str">
            <v/>
          </cell>
          <cell r="D5164" t="str">
            <v/>
          </cell>
        </row>
        <row r="5165">
          <cell r="B5165" t="str">
            <v/>
          </cell>
          <cell r="C5165" t="str">
            <v/>
          </cell>
          <cell r="D5165" t="str">
            <v/>
          </cell>
        </row>
        <row r="5166">
          <cell r="B5166" t="str">
            <v/>
          </cell>
          <cell r="C5166" t="str">
            <v/>
          </cell>
          <cell r="D5166" t="str">
            <v/>
          </cell>
        </row>
        <row r="5167">
          <cell r="B5167" t="str">
            <v>INF277K019X5</v>
          </cell>
          <cell r="C5167" t="str">
            <v>-</v>
          </cell>
          <cell r="D5167" t="str">
            <v>TATA Focused Fund Direct Plan - Payout of Income Distribution cum capital withdrawal option</v>
          </cell>
          <cell r="E5167">
            <v>24.611699999999999</v>
          </cell>
        </row>
        <row r="5168">
          <cell r="B5168" t="str">
            <v>-</v>
          </cell>
          <cell r="C5168" t="str">
            <v>INF277K018X7</v>
          </cell>
          <cell r="D5168" t="str">
            <v>TATA Focused Fund Direct Plan - Reinvestment of Income Distribution cum capital withdrawal option</v>
          </cell>
          <cell r="E5168">
            <v>24.611699999999999</v>
          </cell>
        </row>
        <row r="5169">
          <cell r="B5169" t="str">
            <v>INF277K012Y8</v>
          </cell>
          <cell r="C5169" t="str">
            <v>-</v>
          </cell>
          <cell r="D5169" t="str">
            <v>TATA Focused Fund Regular Plan - Payout of Income Distribution cum capital withdrawal option</v>
          </cell>
          <cell r="E5169">
            <v>21.993600000000001</v>
          </cell>
        </row>
        <row r="5170">
          <cell r="B5170" t="str">
            <v>-</v>
          </cell>
          <cell r="C5170" t="str">
            <v>INF277K011Y0</v>
          </cell>
          <cell r="D5170" t="str">
            <v>TATA Focused Fund Regular Plan - Reinvestment of Income Distribution cum capital withdrawal option</v>
          </cell>
          <cell r="E5170">
            <v>21.993600000000001</v>
          </cell>
        </row>
        <row r="5171">
          <cell r="B5171" t="str">
            <v>INF277K017X9</v>
          </cell>
          <cell r="C5171" t="str">
            <v>-</v>
          </cell>
          <cell r="D5171" t="str">
            <v>Tata Focused Fund-Direct Plan-Growth</v>
          </cell>
          <cell r="E5171">
            <v>25.553599999999999</v>
          </cell>
        </row>
        <row r="5172">
          <cell r="B5172" t="str">
            <v>INF277K010Y2</v>
          </cell>
          <cell r="C5172" t="str">
            <v>-</v>
          </cell>
          <cell r="D5172" t="str">
            <v>Tata Focused Fund-Regular Plan-Growth</v>
          </cell>
          <cell r="E5172">
            <v>22.933900000000001</v>
          </cell>
        </row>
        <row r="5173">
          <cell r="B5173" t="str">
            <v/>
          </cell>
          <cell r="C5173" t="str">
            <v/>
          </cell>
          <cell r="D5173" t="str">
            <v/>
          </cell>
        </row>
        <row r="5174">
          <cell r="B5174" t="str">
            <v/>
          </cell>
          <cell r="C5174" t="str">
            <v/>
          </cell>
          <cell r="D5174" t="str">
            <v/>
          </cell>
        </row>
        <row r="5175">
          <cell r="B5175" t="str">
            <v/>
          </cell>
          <cell r="C5175" t="str">
            <v/>
          </cell>
          <cell r="D5175" t="str">
            <v/>
          </cell>
        </row>
        <row r="5176">
          <cell r="B5176" t="str">
            <v>INF582M01FS4</v>
          </cell>
          <cell r="C5176" t="str">
            <v>-</v>
          </cell>
          <cell r="D5176" t="str">
            <v>Union Focused Fund - Direct Plan - Growth Option</v>
          </cell>
          <cell r="E5176">
            <v>29.37</v>
          </cell>
        </row>
        <row r="5177">
          <cell r="B5177" t="str">
            <v>INF582M01FU0</v>
          </cell>
          <cell r="C5177" t="str">
            <v>INF582M01FT2</v>
          </cell>
          <cell r="D5177" t="str">
            <v>Union Focused Fund - Direct Plan - IDCW Option</v>
          </cell>
          <cell r="E5177">
            <v>29.37</v>
          </cell>
        </row>
        <row r="5178">
          <cell r="B5178" t="str">
            <v>INF582M01FW6</v>
          </cell>
          <cell r="C5178" t="str">
            <v>-</v>
          </cell>
          <cell r="D5178" t="str">
            <v>Union Focused Fund - Regular Plan - Growth Option</v>
          </cell>
          <cell r="E5178">
            <v>27.47</v>
          </cell>
        </row>
        <row r="5179">
          <cell r="B5179" t="str">
            <v>INF582M01FY2</v>
          </cell>
          <cell r="C5179" t="str">
            <v>INF582M01FX4</v>
          </cell>
          <cell r="D5179" t="str">
            <v>Union Focused Fund - Regular Plan - IDCW Option</v>
          </cell>
          <cell r="E5179">
            <v>27.47</v>
          </cell>
        </row>
        <row r="5180">
          <cell r="B5180" t="str">
            <v/>
          </cell>
          <cell r="C5180" t="str">
            <v/>
          </cell>
          <cell r="D5180" t="str">
            <v/>
          </cell>
        </row>
        <row r="5181">
          <cell r="B5181" t="str">
            <v/>
          </cell>
          <cell r="C5181" t="str">
            <v/>
          </cell>
          <cell r="D5181" t="str">
            <v/>
          </cell>
        </row>
        <row r="5182">
          <cell r="B5182" t="str">
            <v/>
          </cell>
          <cell r="C5182" t="str">
            <v/>
          </cell>
          <cell r="D5182" t="str">
            <v/>
          </cell>
        </row>
        <row r="5183">
          <cell r="B5183" t="str">
            <v>INF789F1AVA3</v>
          </cell>
          <cell r="C5183" t="str">
            <v>-</v>
          </cell>
          <cell r="D5183" t="str">
            <v>UTI Focused Fund - Direct Plan - Growth Option</v>
          </cell>
          <cell r="E5183">
            <v>16.324100000000001</v>
          </cell>
        </row>
        <row r="5184">
          <cell r="B5184" t="str">
            <v>INF789F1AVB1</v>
          </cell>
          <cell r="C5184" t="str">
            <v>-</v>
          </cell>
          <cell r="D5184" t="str">
            <v>UTI Focused Fund - Direct Plan - IDCW Payout Option</v>
          </cell>
          <cell r="E5184">
            <v>16.323699999999999</v>
          </cell>
        </row>
        <row r="5185">
          <cell r="B5185" t="str">
            <v>INF789F1AUY5</v>
          </cell>
          <cell r="C5185" t="str">
            <v>-</v>
          </cell>
          <cell r="D5185" t="str">
            <v>UTI Focused Fund - Regular Plan - Growth Option</v>
          </cell>
          <cell r="E5185">
            <v>15.1738</v>
          </cell>
        </row>
        <row r="5186">
          <cell r="B5186" t="str">
            <v>INF789F1AUZ2</v>
          </cell>
          <cell r="C5186" t="str">
            <v>-</v>
          </cell>
          <cell r="D5186" t="str">
            <v>UTI Focused Fund - Regular Plan - IDCW Payout Option</v>
          </cell>
          <cell r="E5186">
            <v>15.1739</v>
          </cell>
        </row>
        <row r="5187">
          <cell r="B5187" t="str">
            <v/>
          </cell>
          <cell r="C5187" t="str">
            <v/>
          </cell>
          <cell r="D5187" t="str">
            <v/>
          </cell>
        </row>
        <row r="5188">
          <cell r="B5188" t="str">
            <v/>
          </cell>
          <cell r="C5188" t="str">
            <v/>
          </cell>
          <cell r="D5188" t="str">
            <v/>
          </cell>
        </row>
        <row r="5189">
          <cell r="B5189" t="str">
            <v/>
          </cell>
          <cell r="C5189" t="str">
            <v/>
          </cell>
          <cell r="D5189" t="str">
            <v/>
          </cell>
        </row>
        <row r="5190">
          <cell r="B5190" t="str">
            <v/>
          </cell>
          <cell r="C5190" t="str">
            <v/>
          </cell>
          <cell r="D5190" t="str">
            <v/>
          </cell>
        </row>
        <row r="5191">
          <cell r="B5191" t="str">
            <v/>
          </cell>
          <cell r="C5191" t="str">
            <v/>
          </cell>
          <cell r="D5191" t="str">
            <v/>
          </cell>
        </row>
        <row r="5192">
          <cell r="B5192" t="str">
            <v>INF209K01VH8</v>
          </cell>
          <cell r="C5192" t="str">
            <v>-</v>
          </cell>
          <cell r="D5192" t="str">
            <v>Aditya Birla Sun Life Large &amp; Mid Cap Fund - Growth - Direct Plan</v>
          </cell>
          <cell r="E5192">
            <v>1045.67</v>
          </cell>
        </row>
        <row r="5193">
          <cell r="B5193" t="str">
            <v>INF209K01165</v>
          </cell>
          <cell r="C5193" t="str">
            <v>-</v>
          </cell>
          <cell r="D5193" t="str">
            <v>Aditya Birla Sun Life Large &amp; Mid Cap Fund - Regular Growth</v>
          </cell>
          <cell r="E5193">
            <v>932.75</v>
          </cell>
        </row>
        <row r="5194">
          <cell r="B5194" t="str">
            <v>INF209K01VG0</v>
          </cell>
          <cell r="C5194" t="str">
            <v>INF209K01VI6</v>
          </cell>
          <cell r="D5194" t="str">
            <v>Aditya Birla Sun Life Large &amp; Mid Cap Fund -Direct - IDCW</v>
          </cell>
          <cell r="E5194">
            <v>210.44</v>
          </cell>
        </row>
        <row r="5195">
          <cell r="B5195" t="str">
            <v>INF209K01157</v>
          </cell>
          <cell r="C5195" t="str">
            <v>INF209K01CE5</v>
          </cell>
          <cell r="D5195" t="str">
            <v>Aditya Birla Sun Life Large &amp; Mid Cap Fund -Regular - IDCW</v>
          </cell>
          <cell r="E5195">
            <v>135.85</v>
          </cell>
        </row>
        <row r="5196">
          <cell r="B5196" t="str">
            <v/>
          </cell>
          <cell r="C5196" t="str">
            <v/>
          </cell>
          <cell r="D5196" t="str">
            <v/>
          </cell>
        </row>
        <row r="5197">
          <cell r="B5197" t="str">
            <v/>
          </cell>
          <cell r="C5197" t="str">
            <v/>
          </cell>
          <cell r="D5197" t="str">
            <v/>
          </cell>
        </row>
        <row r="5198">
          <cell r="B5198" t="str">
            <v/>
          </cell>
          <cell r="C5198" t="str">
            <v/>
          </cell>
          <cell r="D5198" t="str">
            <v/>
          </cell>
        </row>
        <row r="5199">
          <cell r="B5199" t="str">
            <v>INF846K01J46</v>
          </cell>
          <cell r="C5199" t="str">
            <v>-</v>
          </cell>
          <cell r="D5199" t="str">
            <v>Axis Large &amp; Mid Cap Fund - Direct Plan - Growth</v>
          </cell>
          <cell r="E5199">
            <v>38.21</v>
          </cell>
        </row>
        <row r="5200">
          <cell r="B5200" t="str">
            <v>INF846K01J53</v>
          </cell>
          <cell r="C5200" t="str">
            <v>INF846K01J61</v>
          </cell>
          <cell r="D5200" t="str">
            <v>Axis Large &amp; Mid Cap Fund - Direct Plan - IDCW</v>
          </cell>
          <cell r="E5200">
            <v>25.64</v>
          </cell>
        </row>
        <row r="5201">
          <cell r="B5201" t="str">
            <v>INF846K01J79</v>
          </cell>
          <cell r="C5201" t="str">
            <v>-</v>
          </cell>
          <cell r="D5201" t="str">
            <v>Axis Large &amp; Mid Cap Fund - Regular Plan - Growth</v>
          </cell>
          <cell r="E5201">
            <v>34.31</v>
          </cell>
        </row>
        <row r="5202">
          <cell r="B5202" t="str">
            <v>INF846K01J87</v>
          </cell>
          <cell r="C5202" t="str">
            <v>INF846K01J95</v>
          </cell>
          <cell r="D5202" t="str">
            <v>Axis Large &amp; Mid Cap Fund - Regular Plan - IDCW</v>
          </cell>
          <cell r="E5202">
            <v>20.010000000000002</v>
          </cell>
        </row>
        <row r="5203">
          <cell r="B5203" t="str">
            <v/>
          </cell>
          <cell r="C5203" t="str">
            <v/>
          </cell>
          <cell r="D5203" t="str">
            <v/>
          </cell>
        </row>
        <row r="5204">
          <cell r="B5204" t="str">
            <v/>
          </cell>
          <cell r="C5204" t="str">
            <v/>
          </cell>
          <cell r="D5204" t="str">
            <v/>
          </cell>
        </row>
        <row r="5205">
          <cell r="B5205" t="str">
            <v/>
          </cell>
          <cell r="C5205" t="str">
            <v/>
          </cell>
          <cell r="D5205" t="str">
            <v/>
          </cell>
        </row>
        <row r="5206">
          <cell r="B5206" t="str">
            <v>INF0QA701763</v>
          </cell>
          <cell r="C5206" t="str">
            <v>-</v>
          </cell>
          <cell r="D5206" t="str">
            <v>Bajaj Finserv Large and Mid Cap Fund- Direct Plan- Growth</v>
          </cell>
          <cell r="E5206">
            <v>12.67</v>
          </cell>
        </row>
        <row r="5207">
          <cell r="B5207" t="str">
            <v>INF0QA701771</v>
          </cell>
          <cell r="C5207" t="str">
            <v>INF0QA701789</v>
          </cell>
          <cell r="D5207" t="str">
            <v>Bajaj Finserv Large and Mid Cap Fund- Direct Plan- IDCW</v>
          </cell>
          <cell r="E5207">
            <v>12.67</v>
          </cell>
        </row>
        <row r="5208">
          <cell r="B5208" t="str">
            <v>INF0QA701730</v>
          </cell>
          <cell r="C5208" t="str">
            <v>-</v>
          </cell>
          <cell r="D5208" t="str">
            <v>Bajaj Finserv Large and Mid Cap Fund- Regular Plan- Growth</v>
          </cell>
          <cell r="E5208">
            <v>12.234999999999999</v>
          </cell>
        </row>
        <row r="5209">
          <cell r="B5209" t="str">
            <v>INF0QA701748</v>
          </cell>
          <cell r="C5209" t="str">
            <v>INF0QA701755</v>
          </cell>
          <cell r="D5209" t="str">
            <v>Bajaj Finserv Large and Mid Cap Fund- Regular Plan- IDCW</v>
          </cell>
          <cell r="E5209">
            <v>12.234999999999999</v>
          </cell>
        </row>
        <row r="5210">
          <cell r="B5210" t="str">
            <v/>
          </cell>
          <cell r="C5210" t="str">
            <v/>
          </cell>
          <cell r="D5210" t="str">
            <v/>
          </cell>
        </row>
        <row r="5211">
          <cell r="B5211" t="str">
            <v/>
          </cell>
          <cell r="C5211" t="str">
            <v/>
          </cell>
          <cell r="D5211" t="str">
            <v/>
          </cell>
        </row>
        <row r="5212">
          <cell r="B5212" t="str">
            <v/>
          </cell>
          <cell r="C5212" t="str">
            <v/>
          </cell>
          <cell r="D5212" t="str">
            <v/>
          </cell>
        </row>
        <row r="5213">
          <cell r="B5213" t="str">
            <v>INF194K01V89</v>
          </cell>
          <cell r="C5213" t="str">
            <v>-</v>
          </cell>
          <cell r="D5213" t="str">
            <v>Bandhan Large &amp; Mid Cap Fund - Direct Plan - Growth</v>
          </cell>
          <cell r="E5213">
            <v>163.49700000000001</v>
          </cell>
        </row>
        <row r="5214">
          <cell r="B5214" t="str">
            <v>INF194K01V97</v>
          </cell>
          <cell r="C5214" t="str">
            <v>INF194K01W05</v>
          </cell>
          <cell r="D5214" t="str">
            <v>Bandhan Large &amp; Mid Cap Fund - Direct Plan - IDCW</v>
          </cell>
          <cell r="E5214">
            <v>36.372</v>
          </cell>
        </row>
        <row r="5215">
          <cell r="B5215" t="str">
            <v>INF194K01524</v>
          </cell>
          <cell r="C5215" t="str">
            <v>-</v>
          </cell>
          <cell r="D5215" t="str">
            <v>Bandhan Large &amp; Mid Cap Fund - Regular Plan - Growth</v>
          </cell>
          <cell r="E5215">
            <v>138.648</v>
          </cell>
        </row>
        <row r="5216">
          <cell r="B5216" t="str">
            <v>INF194K01532</v>
          </cell>
          <cell r="C5216" t="str">
            <v>INF194K01540</v>
          </cell>
          <cell r="D5216" t="str">
            <v>Bandhan Large &amp; Mid Cap Fund - Regular Plan - IDCW</v>
          </cell>
          <cell r="E5216">
            <v>27.420999999999999</v>
          </cell>
        </row>
        <row r="5217">
          <cell r="B5217" t="str">
            <v/>
          </cell>
          <cell r="C5217" t="str">
            <v/>
          </cell>
          <cell r="D5217" t="str">
            <v/>
          </cell>
        </row>
        <row r="5218">
          <cell r="B5218" t="str">
            <v/>
          </cell>
          <cell r="C5218" t="str">
            <v/>
          </cell>
          <cell r="D5218" t="str">
            <v/>
          </cell>
        </row>
        <row r="5219">
          <cell r="B5219" t="str">
            <v/>
          </cell>
          <cell r="C5219" t="str">
            <v/>
          </cell>
          <cell r="D5219" t="str">
            <v/>
          </cell>
        </row>
        <row r="5220">
          <cell r="B5220" t="str">
            <v>INF761K01678</v>
          </cell>
          <cell r="C5220" t="str">
            <v>INF761K01660</v>
          </cell>
          <cell r="D5220" t="str">
            <v>BANK OF INDIA Large &amp; Mid Cap Fund Direct  Plan- Quarterly IDCW</v>
          </cell>
          <cell r="E5220">
            <v>29.7</v>
          </cell>
        </row>
        <row r="5221">
          <cell r="B5221" t="str">
            <v>INF761K01629</v>
          </cell>
          <cell r="C5221" t="str">
            <v>-</v>
          </cell>
          <cell r="D5221" t="str">
            <v>BANK OF INDIA Large &amp; Mid Cap Fund Direct Plan- Bonus</v>
          </cell>
          <cell r="E5221">
            <v>55.22</v>
          </cell>
        </row>
        <row r="5222">
          <cell r="B5222" t="str">
            <v>INF761K01652</v>
          </cell>
          <cell r="C5222" t="str">
            <v>-</v>
          </cell>
          <cell r="D5222" t="str">
            <v>BANK OF INDIA Large &amp; Mid Cap Fund Direct Plan-Growth</v>
          </cell>
          <cell r="E5222">
            <v>106.95</v>
          </cell>
        </row>
        <row r="5223">
          <cell r="B5223" t="str">
            <v>INF761K01645</v>
          </cell>
          <cell r="C5223" t="str">
            <v>INF761K01637</v>
          </cell>
          <cell r="D5223" t="str">
            <v>BANK OF INDIA Large &amp; Mid Cap Fund Direct Plan-Regular IDCW</v>
          </cell>
          <cell r="E5223">
            <v>29.25</v>
          </cell>
        </row>
        <row r="5224">
          <cell r="B5224" t="str">
            <v>INF761K01041</v>
          </cell>
          <cell r="C5224" t="str">
            <v>-</v>
          </cell>
          <cell r="D5224" t="str">
            <v>BANK OF INDIA Large &amp; Mid Cap Fund Eco Plan- Growth</v>
          </cell>
          <cell r="E5224">
            <v>101.75</v>
          </cell>
        </row>
        <row r="5225">
          <cell r="B5225" t="str">
            <v>INF761K01017</v>
          </cell>
          <cell r="C5225" t="str">
            <v>-</v>
          </cell>
          <cell r="D5225" t="str">
            <v>BANK OF INDIA Large &amp; Mid Cap Fund Eco Plan-Bonus</v>
          </cell>
          <cell r="E5225">
            <v>101.75</v>
          </cell>
        </row>
        <row r="5226">
          <cell r="B5226" t="str">
            <v>INF761K01058</v>
          </cell>
          <cell r="C5226" t="str">
            <v>INF761K01066</v>
          </cell>
          <cell r="D5226" t="str">
            <v>BANK OF INDIA Large &amp; Mid Cap Fund Eco Plan-Quarterly IDCW</v>
          </cell>
          <cell r="E5226">
            <v>28.7</v>
          </cell>
        </row>
        <row r="5227">
          <cell r="B5227" t="str">
            <v>INF761K01025</v>
          </cell>
          <cell r="C5227" t="str">
            <v>INF761K01033</v>
          </cell>
          <cell r="D5227" t="str">
            <v>BANK OF INDIA Large &amp; Mid Cap Fund Eco Plan-Regular IDCW</v>
          </cell>
          <cell r="E5227">
            <v>28.49</v>
          </cell>
        </row>
        <row r="5228">
          <cell r="B5228" t="str">
            <v>INF761K01108</v>
          </cell>
          <cell r="C5228" t="str">
            <v>-</v>
          </cell>
          <cell r="D5228" t="str">
            <v>BANK OF INDIA Large &amp; Mid Cap Fund Regular Plan- Growth</v>
          </cell>
          <cell r="E5228">
            <v>91.88</v>
          </cell>
        </row>
        <row r="5229">
          <cell r="B5229" t="str">
            <v>INF761K01116</v>
          </cell>
          <cell r="C5229" t="str">
            <v>INF761K01124</v>
          </cell>
          <cell r="D5229" t="str">
            <v>BANK OF INDIA Large &amp; Mid Cap Fund Regular Plan- Quarterly IDCW</v>
          </cell>
          <cell r="E5229">
            <v>33.46</v>
          </cell>
        </row>
        <row r="5230">
          <cell r="B5230" t="str">
            <v>INF761K01082</v>
          </cell>
          <cell r="C5230" t="str">
            <v>INF761K01090</v>
          </cell>
          <cell r="D5230" t="str">
            <v>BANK OF INDIA Large &amp; Mid Cap Fund Regular Plan- Regular IDCW</v>
          </cell>
          <cell r="E5230">
            <v>27.42</v>
          </cell>
        </row>
        <row r="5231">
          <cell r="B5231" t="str">
            <v>INF761K01074</v>
          </cell>
          <cell r="C5231" t="str">
            <v>-</v>
          </cell>
          <cell r="D5231" t="str">
            <v>BANK OF INDIA Large &amp; Mid Cap Fund Regular Plan-Bonus</v>
          </cell>
          <cell r="E5231">
            <v>91.87</v>
          </cell>
        </row>
        <row r="5232">
          <cell r="B5232" t="str">
            <v/>
          </cell>
          <cell r="C5232" t="str">
            <v/>
          </cell>
          <cell r="D5232" t="str">
            <v/>
          </cell>
        </row>
        <row r="5233">
          <cell r="B5233" t="str">
            <v/>
          </cell>
          <cell r="C5233" t="str">
            <v/>
          </cell>
          <cell r="D5233" t="str">
            <v/>
          </cell>
        </row>
        <row r="5234">
          <cell r="B5234" t="str">
            <v/>
          </cell>
          <cell r="C5234" t="str">
            <v/>
          </cell>
          <cell r="D5234" t="str">
            <v/>
          </cell>
        </row>
        <row r="5235">
          <cell r="B5235" t="str">
            <v>INF955L01JU2</v>
          </cell>
          <cell r="C5235" t="str">
            <v>-</v>
          </cell>
          <cell r="D5235" t="str">
            <v>Baroda BNP Paribas Large and Mid Cap Fund- Direct Plan -Growth Option</v>
          </cell>
          <cell r="E5235">
            <v>29.708600000000001</v>
          </cell>
        </row>
        <row r="5236">
          <cell r="B5236" t="str">
            <v>INF955L01JV0</v>
          </cell>
          <cell r="C5236" t="str">
            <v>INF955L01JW8</v>
          </cell>
          <cell r="D5236" t="str">
            <v>Baroda BNP Paribas Large and Mid Cap Fund-Direct Plan-IDCW Option</v>
          </cell>
          <cell r="E5236">
            <v>20.832999999999998</v>
          </cell>
        </row>
        <row r="5237">
          <cell r="B5237" t="str">
            <v>INF955L01JR8</v>
          </cell>
          <cell r="C5237" t="str">
            <v>-</v>
          </cell>
          <cell r="D5237" t="str">
            <v>Baroda BNP Paribas Large and Mid Cap Fund-Regular Plan-Growth Option</v>
          </cell>
          <cell r="E5237">
            <v>27.301100000000002</v>
          </cell>
        </row>
        <row r="5238">
          <cell r="B5238" t="str">
            <v>INF955L01JS6</v>
          </cell>
          <cell r="C5238" t="str">
            <v>INF955L01JT4</v>
          </cell>
          <cell r="D5238" t="str">
            <v>Baroda BNP Paribas Large and Mid Cap Fund-Regular plan-IDCW Option</v>
          </cell>
          <cell r="E5238">
            <v>18.006</v>
          </cell>
        </row>
        <row r="5239">
          <cell r="B5239" t="str">
            <v/>
          </cell>
          <cell r="C5239" t="str">
            <v/>
          </cell>
          <cell r="D5239" t="str">
            <v/>
          </cell>
        </row>
        <row r="5240">
          <cell r="B5240" t="str">
            <v/>
          </cell>
          <cell r="C5240" t="str">
            <v/>
          </cell>
          <cell r="D5240" t="str">
            <v/>
          </cell>
        </row>
        <row r="5241">
          <cell r="B5241" t="str">
            <v/>
          </cell>
          <cell r="C5241" t="str">
            <v/>
          </cell>
          <cell r="D5241" t="str">
            <v/>
          </cell>
        </row>
        <row r="5242">
          <cell r="B5242" t="str">
            <v>INF760K01EI4</v>
          </cell>
          <cell r="C5242" t="str">
            <v>-</v>
          </cell>
          <cell r="D5242" t="str">
            <v>CANARA ROBECO LARGE AND MID CAP FUND - DIRECT PLAN - GROWTH OPTION</v>
          </cell>
          <cell r="E5242">
            <v>294.33</v>
          </cell>
        </row>
        <row r="5243">
          <cell r="B5243" t="str">
            <v>INF760K01EG8</v>
          </cell>
          <cell r="C5243" t="str">
            <v>INF760K01EH6</v>
          </cell>
          <cell r="D5243" t="str">
            <v>CANARA ROBECO LARGE AND MID CAP FUND - DIRECT PLAN - IDCW (Payout/Reinvestment)</v>
          </cell>
          <cell r="E5243">
            <v>127.02</v>
          </cell>
        </row>
        <row r="5244">
          <cell r="B5244" t="str">
            <v>INF760K01167</v>
          </cell>
          <cell r="C5244" t="str">
            <v>-</v>
          </cell>
          <cell r="D5244" t="str">
            <v>CANARA ROBECO LARGE AND MID CAP FUND - REGULAR PLAN - GROWTH OPTION</v>
          </cell>
          <cell r="E5244">
            <v>254.41</v>
          </cell>
        </row>
        <row r="5245">
          <cell r="B5245" t="str">
            <v>INF760K01175</v>
          </cell>
          <cell r="C5245" t="str">
            <v>INF760K01183</v>
          </cell>
          <cell r="D5245" t="str">
            <v>CANARA ROBECO LARGE AND MID CAP FUND - REGULAR PLAN - IDCW (Payout/Reinvestment)</v>
          </cell>
          <cell r="E5245">
            <v>82.63</v>
          </cell>
        </row>
        <row r="5246">
          <cell r="B5246" t="str">
            <v/>
          </cell>
          <cell r="C5246" t="str">
            <v/>
          </cell>
          <cell r="D5246" t="str">
            <v/>
          </cell>
        </row>
        <row r="5247">
          <cell r="B5247" t="str">
            <v/>
          </cell>
          <cell r="C5247" t="str">
            <v/>
          </cell>
          <cell r="D5247" t="str">
            <v/>
          </cell>
        </row>
        <row r="5248">
          <cell r="B5248" t="str">
            <v/>
          </cell>
          <cell r="C5248" t="str">
            <v/>
          </cell>
          <cell r="D5248" t="str">
            <v/>
          </cell>
        </row>
        <row r="5249">
          <cell r="B5249" t="str">
            <v>INF740K01PL6</v>
          </cell>
          <cell r="C5249" t="str">
            <v>-</v>
          </cell>
          <cell r="D5249" t="str">
            <v>DSP Large &amp; Mid Cap Fund - Direct Plan - Growth</v>
          </cell>
          <cell r="E5249">
            <v>697.34</v>
          </cell>
        </row>
        <row r="5250">
          <cell r="B5250" t="str">
            <v>INF740K01PM4</v>
          </cell>
          <cell r="C5250" t="str">
            <v>INF740K01PN2</v>
          </cell>
          <cell r="D5250" t="str">
            <v>DSP Large &amp; Mid Cap Fund - Direct Plan - IDCW</v>
          </cell>
          <cell r="E5250">
            <v>104.00700000000001</v>
          </cell>
        </row>
        <row r="5251">
          <cell r="B5251" t="str">
            <v>INF740K01094</v>
          </cell>
          <cell r="C5251" t="str">
            <v>-</v>
          </cell>
          <cell r="D5251" t="str">
            <v>DSP Large &amp; Mid Cap Fund - Regular Plan - Growth</v>
          </cell>
          <cell r="E5251">
            <v>617.65800000000002</v>
          </cell>
        </row>
        <row r="5252">
          <cell r="B5252" t="str">
            <v>INF740K01078</v>
          </cell>
          <cell r="C5252" t="str">
            <v>INF740K01086</v>
          </cell>
          <cell r="D5252" t="str">
            <v>DSP Large &amp; Mid Cap Fund - Regular Plan - IDCW</v>
          </cell>
          <cell r="E5252">
            <v>36.145000000000003</v>
          </cell>
        </row>
        <row r="5253">
          <cell r="B5253" t="str">
            <v/>
          </cell>
          <cell r="C5253" t="str">
            <v/>
          </cell>
          <cell r="D5253" t="str">
            <v/>
          </cell>
        </row>
        <row r="5254">
          <cell r="B5254" t="str">
            <v/>
          </cell>
          <cell r="C5254" t="str">
            <v/>
          </cell>
          <cell r="D5254" t="str">
            <v/>
          </cell>
        </row>
        <row r="5255">
          <cell r="B5255" t="str">
            <v/>
          </cell>
          <cell r="C5255" t="str">
            <v/>
          </cell>
          <cell r="D5255" t="str">
            <v/>
          </cell>
        </row>
        <row r="5256">
          <cell r="B5256" t="str">
            <v>INF843K01AL0</v>
          </cell>
          <cell r="C5256" t="str">
            <v>-</v>
          </cell>
          <cell r="D5256" t="str">
            <v>Edelweiss Large &amp; Mid Cap Fund - Direct Plan - Growth Option</v>
          </cell>
          <cell r="E5256">
            <v>106.452</v>
          </cell>
        </row>
        <row r="5257">
          <cell r="B5257" t="str">
            <v>INF843K01047</v>
          </cell>
          <cell r="C5257" t="str">
            <v>-</v>
          </cell>
          <cell r="D5257" t="str">
            <v>Edelweiss Large &amp; Mid Cap Fund - Regular Plan - Growth Option</v>
          </cell>
          <cell r="E5257">
            <v>89.222999999999999</v>
          </cell>
        </row>
        <row r="5258">
          <cell r="B5258" t="str">
            <v>INF843K01AM8</v>
          </cell>
          <cell r="C5258" t="str">
            <v>INF843K01AN6</v>
          </cell>
          <cell r="D5258" t="str">
            <v>Edelweiss Large and Mid Cap Fund - Direct Plan - IDCW Option</v>
          </cell>
          <cell r="E5258">
            <v>41.290999999999997</v>
          </cell>
        </row>
        <row r="5259">
          <cell r="B5259" t="str">
            <v>INF843K01054</v>
          </cell>
          <cell r="C5259" t="str">
            <v>INF843K01062</v>
          </cell>
          <cell r="D5259" t="str">
            <v>Edelweiss Large and Mid Cap Fund - Regular Plan - IDCW Option</v>
          </cell>
          <cell r="E5259">
            <v>34.027999999999999</v>
          </cell>
        </row>
        <row r="5260">
          <cell r="B5260" t="str">
            <v/>
          </cell>
          <cell r="C5260" t="str">
            <v/>
          </cell>
          <cell r="D5260" t="str">
            <v/>
          </cell>
        </row>
        <row r="5261">
          <cell r="B5261" t="str">
            <v/>
          </cell>
          <cell r="C5261" t="str">
            <v/>
          </cell>
          <cell r="D5261" t="str">
            <v/>
          </cell>
        </row>
        <row r="5262">
          <cell r="B5262" t="str">
            <v/>
          </cell>
          <cell r="C5262" t="str">
            <v/>
          </cell>
          <cell r="D5262" t="str">
            <v/>
          </cell>
        </row>
        <row r="5263">
          <cell r="B5263" t="str">
            <v>INF090I01IN1</v>
          </cell>
          <cell r="C5263" t="str">
            <v>-</v>
          </cell>
          <cell r="D5263" t="str">
            <v>Franklin India Large &amp; Mid Cap Fund - Direct - Growth</v>
          </cell>
          <cell r="E5263">
            <v>209.44640000000001</v>
          </cell>
        </row>
        <row r="5264">
          <cell r="B5264" t="str">
            <v>INF090I01IL5</v>
          </cell>
          <cell r="C5264" t="str">
            <v>INF090I01IM3</v>
          </cell>
          <cell r="D5264" t="str">
            <v>Franklin India Large &amp; Mid cap Fund - Direct - IDCW</v>
          </cell>
          <cell r="E5264">
            <v>22.665700000000001</v>
          </cell>
        </row>
        <row r="5265">
          <cell r="B5265" t="str">
            <v>INF090I01205</v>
          </cell>
          <cell r="C5265" t="str">
            <v>-</v>
          </cell>
          <cell r="D5265" t="str">
            <v>Franklin India Large &amp; Mid Cap Fund - Growth Plan</v>
          </cell>
          <cell r="E5265">
            <v>189.33099999999999</v>
          </cell>
        </row>
        <row r="5266">
          <cell r="B5266" t="str">
            <v>INF090I01189</v>
          </cell>
          <cell r="C5266" t="str">
            <v>INF090I01197</v>
          </cell>
          <cell r="D5266" t="str">
            <v>Franklin India Large &amp; Mid Cap Fund - IDCW</v>
          </cell>
          <cell r="E5266">
            <v>19.6432</v>
          </cell>
        </row>
        <row r="5267">
          <cell r="B5267" t="str">
            <v/>
          </cell>
          <cell r="C5267" t="str">
            <v/>
          </cell>
          <cell r="D5267" t="str">
            <v/>
          </cell>
        </row>
        <row r="5268">
          <cell r="B5268" t="str">
            <v/>
          </cell>
          <cell r="C5268" t="str">
            <v/>
          </cell>
          <cell r="D5268" t="str">
            <v/>
          </cell>
        </row>
        <row r="5269">
          <cell r="B5269" t="str">
            <v/>
          </cell>
          <cell r="C5269" t="str">
            <v/>
          </cell>
          <cell r="D5269" t="str">
            <v/>
          </cell>
        </row>
        <row r="5270">
          <cell r="B5270" t="str">
            <v>INF179KA1RT1</v>
          </cell>
          <cell r="C5270" t="str">
            <v>-</v>
          </cell>
          <cell r="D5270" t="str">
            <v>HDFC Large and Mid Cap Fund - Growth Option</v>
          </cell>
          <cell r="E5270">
            <v>344.03399999999999</v>
          </cell>
        </row>
        <row r="5271">
          <cell r="B5271" t="str">
            <v>INF179KA1RQ7</v>
          </cell>
          <cell r="C5271" t="str">
            <v>-</v>
          </cell>
          <cell r="D5271" t="str">
            <v>HDFC Large and Mid Cap Fund - Growth Option - Direct Plan</v>
          </cell>
          <cell r="E5271">
            <v>364.59199999999998</v>
          </cell>
        </row>
        <row r="5272">
          <cell r="B5272" t="str">
            <v>INF179KA1RU9</v>
          </cell>
          <cell r="C5272" t="str">
            <v>-</v>
          </cell>
          <cell r="D5272" t="str">
            <v>HDFC Large and Mid Cap Fund - IDCW Option</v>
          </cell>
          <cell r="E5272">
            <v>35.36</v>
          </cell>
        </row>
        <row r="5273">
          <cell r="B5273" t="str">
            <v>INF179KA1RR5</v>
          </cell>
          <cell r="C5273" t="str">
            <v>-</v>
          </cell>
          <cell r="D5273" t="str">
            <v>HDFC Large and Mid Cap Fund - IDCW Option - Direct Plan</v>
          </cell>
          <cell r="E5273">
            <v>47.341999999999999</v>
          </cell>
        </row>
        <row r="5274">
          <cell r="B5274" t="str">
            <v/>
          </cell>
          <cell r="C5274" t="str">
            <v/>
          </cell>
          <cell r="D5274" t="str">
            <v/>
          </cell>
        </row>
        <row r="5275">
          <cell r="B5275" t="str">
            <v/>
          </cell>
          <cell r="C5275" t="str">
            <v/>
          </cell>
          <cell r="D5275" t="str">
            <v/>
          </cell>
        </row>
        <row r="5276">
          <cell r="B5276" t="str">
            <v/>
          </cell>
          <cell r="C5276" t="str">
            <v/>
          </cell>
          <cell r="D5276" t="str">
            <v/>
          </cell>
        </row>
        <row r="5277">
          <cell r="B5277" t="str">
            <v>INF0R8701269</v>
          </cell>
          <cell r="C5277" t="str">
            <v>-</v>
          </cell>
          <cell r="D5277" t="str">
            <v>Helios Large &amp; Mid Cap Fund - Direct Plan - Growth Option</v>
          </cell>
          <cell r="E5277">
            <v>11.56</v>
          </cell>
        </row>
        <row r="5278">
          <cell r="B5278" t="str">
            <v>INF0R8701277</v>
          </cell>
          <cell r="C5278" t="str">
            <v>INF0R8701285</v>
          </cell>
          <cell r="D5278" t="str">
            <v>Helios Large &amp; Mid Cap Fund - Direct Plan - IDCW Option</v>
          </cell>
          <cell r="E5278">
            <v>11.56</v>
          </cell>
        </row>
        <row r="5279">
          <cell r="B5279" t="str">
            <v>INF0R8701236</v>
          </cell>
          <cell r="C5279" t="str">
            <v>-</v>
          </cell>
          <cell r="D5279" t="str">
            <v>Helios Large &amp; Mid Cap Fund - Regular Plan - Growth Option</v>
          </cell>
          <cell r="E5279">
            <v>11.24</v>
          </cell>
        </row>
        <row r="5280">
          <cell r="B5280" t="str">
            <v>INF0R8701244</v>
          </cell>
          <cell r="C5280" t="str">
            <v>INF0R8701251</v>
          </cell>
          <cell r="D5280" t="str">
            <v>Helios Large &amp; Mid Cap Fund - Regular Plan - IDCW Option</v>
          </cell>
          <cell r="E5280">
            <v>11.24</v>
          </cell>
        </row>
        <row r="5281">
          <cell r="B5281" t="str">
            <v/>
          </cell>
          <cell r="C5281" t="str">
            <v/>
          </cell>
          <cell r="D5281" t="str">
            <v/>
          </cell>
        </row>
        <row r="5282">
          <cell r="B5282" t="str">
            <v/>
          </cell>
          <cell r="C5282" t="str">
            <v/>
          </cell>
          <cell r="D5282" t="str">
            <v/>
          </cell>
        </row>
        <row r="5283">
          <cell r="B5283" t="str">
            <v/>
          </cell>
          <cell r="C5283" t="str">
            <v/>
          </cell>
          <cell r="D5283" t="str">
            <v/>
          </cell>
        </row>
        <row r="5284">
          <cell r="B5284" t="str">
            <v>INF336L01NV5</v>
          </cell>
          <cell r="C5284" t="str">
            <v>-</v>
          </cell>
          <cell r="D5284" t="str">
            <v>HSBC Large &amp; Mid Cap Fund - Direct Growth</v>
          </cell>
          <cell r="E5284">
            <v>32.3523</v>
          </cell>
        </row>
        <row r="5285">
          <cell r="B5285" t="str">
            <v>INF336L01NW3</v>
          </cell>
          <cell r="C5285" t="str">
            <v>INF336L01NX1</v>
          </cell>
          <cell r="D5285" t="str">
            <v>HSBC Large &amp; Mid Cap Fund - Direct IDCW</v>
          </cell>
          <cell r="E5285">
            <v>22.524100000000001</v>
          </cell>
        </row>
        <row r="5286">
          <cell r="B5286" t="str">
            <v>INF336L01NY9</v>
          </cell>
          <cell r="C5286" t="str">
            <v>-</v>
          </cell>
          <cell r="D5286" t="str">
            <v>HSBC Large &amp; Mid Cap Fund - Regular Growth</v>
          </cell>
          <cell r="E5286">
            <v>29.2819</v>
          </cell>
        </row>
        <row r="5287">
          <cell r="B5287" t="str">
            <v>INF336L01NZ6</v>
          </cell>
          <cell r="C5287" t="str">
            <v>INF336L01OA7</v>
          </cell>
          <cell r="D5287" t="str">
            <v>HSBC Large &amp; Mid Cap Fund - Regular IDCW</v>
          </cell>
          <cell r="E5287">
            <v>20.277100000000001</v>
          </cell>
        </row>
        <row r="5288">
          <cell r="B5288" t="str">
            <v/>
          </cell>
          <cell r="C5288" t="str">
            <v/>
          </cell>
          <cell r="D5288" t="str">
            <v/>
          </cell>
        </row>
        <row r="5289">
          <cell r="B5289" t="str">
            <v/>
          </cell>
          <cell r="C5289" t="str">
            <v/>
          </cell>
          <cell r="D5289" t="str">
            <v/>
          </cell>
        </row>
        <row r="5290">
          <cell r="B5290" t="str">
            <v/>
          </cell>
          <cell r="C5290" t="str">
            <v/>
          </cell>
          <cell r="D5290" t="str">
            <v/>
          </cell>
        </row>
        <row r="5291">
          <cell r="B5291" t="str">
            <v>INF109K011O5</v>
          </cell>
          <cell r="C5291" t="str">
            <v>-</v>
          </cell>
          <cell r="D5291" t="str">
            <v>ICICI Prudential Large &amp; Mid Cap Fund - Direct Plan - Growth</v>
          </cell>
          <cell r="E5291">
            <v>1164.49</v>
          </cell>
        </row>
        <row r="5292">
          <cell r="B5292" t="str">
            <v>INF109K019N0</v>
          </cell>
          <cell r="C5292" t="str">
            <v>INF109K010O7</v>
          </cell>
          <cell r="D5292" t="str">
            <v>ICICI Prudential Large &amp; Mid Cap Fund - Direct Plan - IDCW</v>
          </cell>
          <cell r="E5292">
            <v>54.4</v>
          </cell>
        </row>
        <row r="5293">
          <cell r="B5293" t="str">
            <v>INF109K01431</v>
          </cell>
          <cell r="C5293" t="str">
            <v>-</v>
          </cell>
          <cell r="D5293" t="str">
            <v>ICICI Prudential Large &amp; Mid Cap Fund - Growth</v>
          </cell>
          <cell r="E5293">
            <v>1033.49</v>
          </cell>
        </row>
        <row r="5294">
          <cell r="B5294" t="str">
            <v>INF109K01EQ7</v>
          </cell>
          <cell r="C5294" t="str">
            <v>INF109K01449</v>
          </cell>
          <cell r="D5294" t="str">
            <v>ICICI Prudential Large &amp; Mid Cap Fund - IDCW</v>
          </cell>
          <cell r="E5294">
            <v>30.33</v>
          </cell>
        </row>
        <row r="5295">
          <cell r="B5295" t="str">
            <v/>
          </cell>
          <cell r="C5295" t="str">
            <v/>
          </cell>
          <cell r="D5295" t="str">
            <v/>
          </cell>
        </row>
        <row r="5296">
          <cell r="B5296" t="str">
            <v/>
          </cell>
          <cell r="C5296" t="str">
            <v/>
          </cell>
          <cell r="D5296" t="str">
            <v/>
          </cell>
        </row>
        <row r="5297">
          <cell r="B5297" t="str">
            <v/>
          </cell>
          <cell r="C5297" t="str">
            <v/>
          </cell>
          <cell r="D5297" t="str">
            <v/>
          </cell>
        </row>
        <row r="5298">
          <cell r="B5298" t="str">
            <v>INF205K01MA0</v>
          </cell>
          <cell r="C5298" t="str">
            <v>-</v>
          </cell>
          <cell r="D5298" t="str">
            <v>Invesco India Large &amp; Mid Cap Fund - Direct Plan - Growth</v>
          </cell>
          <cell r="E5298">
            <v>130.25</v>
          </cell>
        </row>
        <row r="5299">
          <cell r="B5299" t="str">
            <v>INF205K01LY2</v>
          </cell>
          <cell r="C5299" t="str">
            <v>INF205K01LZ9</v>
          </cell>
          <cell r="D5299" t="str">
            <v>Invesco India Large &amp; Mid Cap Fund - Direct Plan - IDCW (Payout / Reinvestment)</v>
          </cell>
          <cell r="E5299">
            <v>55.48</v>
          </cell>
        </row>
        <row r="5300">
          <cell r="B5300" t="str">
            <v>INF205K01247</v>
          </cell>
          <cell r="C5300" t="str">
            <v>-</v>
          </cell>
          <cell r="D5300" t="str">
            <v>Invesco India Large &amp; Mid Cap Fund - Regular Plan - Growth</v>
          </cell>
          <cell r="E5300">
            <v>108.78</v>
          </cell>
        </row>
        <row r="5301">
          <cell r="B5301" t="str">
            <v>INF205K01262</v>
          </cell>
          <cell r="C5301" t="str">
            <v>INF205K01254</v>
          </cell>
          <cell r="D5301" t="str">
            <v>Invesco India Large &amp; Mid Cap Fund - Regular Plan - IDCW (Payout / Reinvestment)</v>
          </cell>
          <cell r="E5301">
            <v>44.01</v>
          </cell>
        </row>
        <row r="5302">
          <cell r="B5302" t="str">
            <v/>
          </cell>
          <cell r="C5302" t="str">
            <v/>
          </cell>
          <cell r="D5302" t="str">
            <v/>
          </cell>
        </row>
        <row r="5303">
          <cell r="B5303" t="str">
            <v/>
          </cell>
          <cell r="C5303" t="str">
            <v/>
          </cell>
          <cell r="D5303" t="str">
            <v/>
          </cell>
        </row>
        <row r="5304">
          <cell r="B5304" t="str">
            <v/>
          </cell>
          <cell r="C5304" t="str">
            <v/>
          </cell>
          <cell r="D5304" t="str">
            <v/>
          </cell>
        </row>
        <row r="5305">
          <cell r="B5305" t="str">
            <v>INF00XX01DA4</v>
          </cell>
          <cell r="C5305" t="str">
            <v>-</v>
          </cell>
          <cell r="D5305" t="str">
            <v>ITI Large &amp; Midcap Fund - Direct Plan - Growth</v>
          </cell>
          <cell r="E5305">
            <v>10.0817</v>
          </cell>
        </row>
        <row r="5306">
          <cell r="B5306" t="str">
            <v>INF00XX01DB2</v>
          </cell>
          <cell r="C5306" t="str">
            <v>INF00XX01DC0</v>
          </cell>
          <cell r="D5306" t="str">
            <v>ITI Large &amp; Midcap Fund - Direct Plan - IDCW Option</v>
          </cell>
          <cell r="E5306">
            <v>10.0817</v>
          </cell>
        </row>
        <row r="5307">
          <cell r="B5307" t="str">
            <v>INF00XX01CX8</v>
          </cell>
          <cell r="C5307" t="str">
            <v>-</v>
          </cell>
          <cell r="D5307" t="str">
            <v>ITI Large &amp; Midcap Fund - Regular Plan - Growth</v>
          </cell>
          <cell r="E5307">
            <v>9.7705000000000002</v>
          </cell>
        </row>
        <row r="5308">
          <cell r="B5308" t="str">
            <v>INF00XX01CY6</v>
          </cell>
          <cell r="C5308" t="str">
            <v>INF00XX01CZ3</v>
          </cell>
          <cell r="D5308" t="str">
            <v>ITI Large &amp; Midcap Fund - Regular Plan - IDCW Option</v>
          </cell>
          <cell r="E5308">
            <v>9.7705000000000002</v>
          </cell>
        </row>
        <row r="5309">
          <cell r="B5309" t="str">
            <v/>
          </cell>
          <cell r="C5309" t="str">
            <v/>
          </cell>
          <cell r="D5309" t="str">
            <v/>
          </cell>
        </row>
        <row r="5310">
          <cell r="B5310" t="str">
            <v/>
          </cell>
          <cell r="C5310" t="str">
            <v/>
          </cell>
          <cell r="D5310" t="str">
            <v/>
          </cell>
        </row>
        <row r="5311">
          <cell r="B5311" t="str">
            <v/>
          </cell>
          <cell r="C5311" t="str">
            <v/>
          </cell>
          <cell r="D5311" t="str">
            <v/>
          </cell>
        </row>
        <row r="5312">
          <cell r="B5312" t="str">
            <v>INF192K01NK7</v>
          </cell>
          <cell r="C5312" t="str">
            <v>-</v>
          </cell>
          <cell r="D5312" t="str">
            <v>JM Large &amp; Mid Cap Fund (Direct) - Growth Option</v>
          </cell>
          <cell r="E5312">
            <v>10.6287</v>
          </cell>
        </row>
        <row r="5313">
          <cell r="B5313" t="str">
            <v>INF192K01NP6</v>
          </cell>
          <cell r="C5313" t="str">
            <v>INF192K01NL5</v>
          </cell>
          <cell r="D5313" t="str">
            <v>JM Large &amp; Mid Cap Fund (Direct) - IDCW</v>
          </cell>
          <cell r="E5313">
            <v>10.6287</v>
          </cell>
        </row>
        <row r="5314">
          <cell r="B5314" t="str">
            <v>INF192K01NM3</v>
          </cell>
          <cell r="C5314" t="str">
            <v>-</v>
          </cell>
          <cell r="D5314" t="str">
            <v>JM Large &amp; Mid Cap Fund (Regular) - Growth Option</v>
          </cell>
          <cell r="E5314">
            <v>10.449199999999999</v>
          </cell>
        </row>
        <row r="5315">
          <cell r="B5315" t="str">
            <v>INF192K01NO9</v>
          </cell>
          <cell r="C5315" t="str">
            <v>INF192K01NN1</v>
          </cell>
          <cell r="D5315" t="str">
            <v>JM Large &amp; Mid Cap Fund (Regular) - IDCW</v>
          </cell>
          <cell r="E5315">
            <v>10.449199999999999</v>
          </cell>
        </row>
        <row r="5316">
          <cell r="B5316" t="str">
            <v/>
          </cell>
          <cell r="C5316" t="str">
            <v/>
          </cell>
          <cell r="D5316" t="str">
            <v/>
          </cell>
        </row>
        <row r="5317">
          <cell r="B5317" t="str">
            <v/>
          </cell>
          <cell r="C5317" t="str">
            <v/>
          </cell>
          <cell r="D5317" t="str">
            <v/>
          </cell>
        </row>
        <row r="5318">
          <cell r="B5318" t="str">
            <v/>
          </cell>
          <cell r="C5318" t="str">
            <v/>
          </cell>
          <cell r="D5318" t="str">
            <v/>
          </cell>
        </row>
        <row r="5319">
          <cell r="B5319" t="str">
            <v>INF174K01LF9</v>
          </cell>
          <cell r="C5319" t="str">
            <v>-</v>
          </cell>
          <cell r="D5319" t="str">
            <v>Kotak Large &amp; Midcap Fund - Direct- Growth</v>
          </cell>
          <cell r="E5319">
            <v>409.45400000000001</v>
          </cell>
        </row>
        <row r="5320">
          <cell r="B5320" t="str">
            <v>INF174K01187</v>
          </cell>
          <cell r="C5320" t="str">
            <v>-</v>
          </cell>
          <cell r="D5320" t="str">
            <v>Kotak Large &amp; Midcap Fund - Growth-Regular</v>
          </cell>
          <cell r="E5320">
            <v>353.00200000000001</v>
          </cell>
        </row>
        <row r="5321">
          <cell r="B5321" t="str">
            <v>INF174K01LG7</v>
          </cell>
          <cell r="C5321" t="str">
            <v>INF174K01LH5</v>
          </cell>
          <cell r="D5321" t="str">
            <v>Kotak Large &amp; Midcap Fund - IDCW-Direct</v>
          </cell>
          <cell r="E5321">
            <v>72.251999999999995</v>
          </cell>
        </row>
        <row r="5322">
          <cell r="B5322" t="str">
            <v>INF174K01203</v>
          </cell>
          <cell r="C5322" t="str">
            <v>INF174K01195</v>
          </cell>
          <cell r="D5322" t="str">
            <v>Kotak Large &amp; Midcap Fund - IDCW-Regular</v>
          </cell>
          <cell r="E5322">
            <v>61.585999999999999</v>
          </cell>
        </row>
        <row r="5323">
          <cell r="B5323" t="str">
            <v/>
          </cell>
          <cell r="C5323" t="str">
            <v/>
          </cell>
          <cell r="D5323" t="str">
            <v/>
          </cell>
        </row>
        <row r="5324">
          <cell r="B5324" t="str">
            <v/>
          </cell>
          <cell r="C5324" t="str">
            <v/>
          </cell>
          <cell r="D5324" t="str">
            <v/>
          </cell>
        </row>
        <row r="5325">
          <cell r="B5325" t="str">
            <v/>
          </cell>
          <cell r="C5325" t="str">
            <v/>
          </cell>
          <cell r="D5325" t="str">
            <v/>
          </cell>
        </row>
        <row r="5326">
          <cell r="B5326" t="str">
            <v>INF767K01NE9</v>
          </cell>
          <cell r="C5326" t="str">
            <v>-</v>
          </cell>
          <cell r="D5326" t="str">
            <v>LIC MF Large &amp; Mid Cap Fund-Direct Plan-Growth</v>
          </cell>
          <cell r="E5326">
            <v>45.2761</v>
          </cell>
        </row>
        <row r="5327">
          <cell r="B5327" t="str">
            <v>INF767K01ND1</v>
          </cell>
          <cell r="C5327" t="str">
            <v>INF767K01NF6</v>
          </cell>
          <cell r="D5327" t="str">
            <v>LIC MF Large &amp; Mid Cap Fund-Direct Plan-IDCW</v>
          </cell>
          <cell r="E5327">
            <v>35.9208</v>
          </cell>
        </row>
        <row r="5328">
          <cell r="B5328" t="str">
            <v>INF767K01NB5</v>
          </cell>
          <cell r="C5328" t="str">
            <v>-</v>
          </cell>
          <cell r="D5328" t="str">
            <v>LIC MF Large &amp; Mid Cap Fund-Regular Plan-Growth</v>
          </cell>
          <cell r="E5328">
            <v>38.843299999999999</v>
          </cell>
        </row>
        <row r="5329">
          <cell r="B5329" t="str">
            <v>INF767K01NA7</v>
          </cell>
          <cell r="C5329" t="str">
            <v>INF767K01NC3</v>
          </cell>
          <cell r="D5329" t="str">
            <v>LIC MF Large &amp; Mid Cap Fund-Regular Plan-IDCW</v>
          </cell>
          <cell r="E5329">
            <v>31.4495</v>
          </cell>
        </row>
        <row r="5330">
          <cell r="B5330" t="str">
            <v/>
          </cell>
          <cell r="C5330" t="str">
            <v/>
          </cell>
          <cell r="D5330" t="str">
            <v/>
          </cell>
        </row>
        <row r="5331">
          <cell r="B5331" t="str">
            <v/>
          </cell>
          <cell r="C5331" t="str">
            <v/>
          </cell>
          <cell r="D5331" t="str">
            <v/>
          </cell>
        </row>
        <row r="5332">
          <cell r="B5332" t="str">
            <v/>
          </cell>
          <cell r="C5332" t="str">
            <v/>
          </cell>
          <cell r="D5332" t="str">
            <v/>
          </cell>
        </row>
        <row r="5333">
          <cell r="B5333" t="str">
            <v>INF174V01960</v>
          </cell>
          <cell r="C5333" t="str">
            <v>INF174V01952</v>
          </cell>
          <cell r="D5333" t="str">
            <v>Mahindra Manulife Large &amp; Mid Cap Fund - Direct Plan - IDCW</v>
          </cell>
          <cell r="E5333">
            <v>22.224799999999998</v>
          </cell>
        </row>
        <row r="5334">
          <cell r="B5334" t="str">
            <v>INF174V01945</v>
          </cell>
          <cell r="C5334" t="str">
            <v>-</v>
          </cell>
          <cell r="D5334" t="str">
            <v>Mahindra Manulife Large &amp; Mid Cap Fund - Direct Plan -Growth</v>
          </cell>
          <cell r="E5334">
            <v>30.6828</v>
          </cell>
        </row>
        <row r="5335">
          <cell r="B5335" t="str">
            <v>INF174V01911</v>
          </cell>
          <cell r="C5335" t="str">
            <v>-</v>
          </cell>
          <cell r="D5335" t="str">
            <v>Mahindra Manulife Large &amp; Mid Cap Fund - Regular Plan - Growth</v>
          </cell>
          <cell r="E5335">
            <v>27.442399999999999</v>
          </cell>
        </row>
        <row r="5336">
          <cell r="B5336" t="str">
            <v>INF174V01937</v>
          </cell>
          <cell r="C5336" t="str">
            <v>INF174V01929</v>
          </cell>
          <cell r="D5336" t="str">
            <v>Mahindra Manulife Large &amp; Mid Cap Fund - Regular Plan - IDCW</v>
          </cell>
          <cell r="E5336">
            <v>19.319400000000002</v>
          </cell>
        </row>
        <row r="5337">
          <cell r="B5337" t="str">
            <v/>
          </cell>
          <cell r="C5337" t="str">
            <v/>
          </cell>
          <cell r="D5337" t="str">
            <v/>
          </cell>
        </row>
        <row r="5338">
          <cell r="B5338" t="str">
            <v/>
          </cell>
          <cell r="C5338" t="str">
            <v/>
          </cell>
          <cell r="D5338" t="str">
            <v/>
          </cell>
        </row>
        <row r="5339">
          <cell r="B5339" t="str">
            <v/>
          </cell>
          <cell r="C5339" t="str">
            <v/>
          </cell>
          <cell r="D5339" t="str">
            <v/>
          </cell>
        </row>
        <row r="5340">
          <cell r="B5340" t="str">
            <v>INF769K01BI1</v>
          </cell>
          <cell r="C5340" t="str">
            <v>-</v>
          </cell>
          <cell r="D5340" t="str">
            <v>Mirae Asset Large &amp; Midcap Fund - Direct Plan - Growth</v>
          </cell>
          <cell r="E5340">
            <v>176.357</v>
          </cell>
        </row>
        <row r="5341">
          <cell r="B5341" t="str">
            <v>INF769K01BJ9</v>
          </cell>
          <cell r="C5341" t="str">
            <v>INF769K01BK7</v>
          </cell>
          <cell r="D5341" t="str">
            <v>Mirae Asset Large &amp; Midcap Fund - Direct Plan - IDCW</v>
          </cell>
          <cell r="E5341">
            <v>82.695999999999998</v>
          </cell>
        </row>
        <row r="5342">
          <cell r="B5342" t="str">
            <v>INF769K01101</v>
          </cell>
          <cell r="C5342" t="str">
            <v>-</v>
          </cell>
          <cell r="D5342" t="str">
            <v>Mirae Asset Large &amp; Midcap Fund - Regular Plan - Growth</v>
          </cell>
          <cell r="E5342">
            <v>155.251</v>
          </cell>
        </row>
        <row r="5343">
          <cell r="B5343" t="str">
            <v>INF769K01127</v>
          </cell>
          <cell r="C5343" t="str">
            <v>INF769K01119</v>
          </cell>
          <cell r="D5343" t="str">
            <v>Mirae Asset Large &amp; Midcap Fund - Regular Plan - IDCW</v>
          </cell>
          <cell r="E5343">
            <v>47.752000000000002</v>
          </cell>
        </row>
        <row r="5344">
          <cell r="B5344" t="str">
            <v/>
          </cell>
          <cell r="C5344" t="str">
            <v/>
          </cell>
          <cell r="D5344" t="str">
            <v/>
          </cell>
        </row>
        <row r="5345">
          <cell r="B5345" t="str">
            <v/>
          </cell>
          <cell r="C5345" t="str">
            <v/>
          </cell>
          <cell r="D5345" t="str">
            <v/>
          </cell>
        </row>
        <row r="5346">
          <cell r="B5346" t="str">
            <v/>
          </cell>
          <cell r="C5346" t="str">
            <v/>
          </cell>
          <cell r="D5346" t="str">
            <v/>
          </cell>
        </row>
        <row r="5347">
          <cell r="B5347" t="str">
            <v>INF247L01999</v>
          </cell>
          <cell r="C5347" t="str">
            <v>-</v>
          </cell>
          <cell r="D5347" t="str">
            <v>Motilal Oswal Large and Midcap Fund - Direct Plan Growth</v>
          </cell>
          <cell r="E5347">
            <v>39.338099999999997</v>
          </cell>
        </row>
        <row r="5348">
          <cell r="B5348" t="str">
            <v>INF247L01965</v>
          </cell>
          <cell r="C5348" t="str">
            <v>-</v>
          </cell>
          <cell r="D5348" t="str">
            <v>Motilal Oswal Large and Midcap Fund - Regular Plan Growth</v>
          </cell>
          <cell r="E5348">
            <v>35.704099999999997</v>
          </cell>
        </row>
        <row r="5349">
          <cell r="B5349" t="str">
            <v>INF247L01AB3</v>
          </cell>
          <cell r="C5349" t="str">
            <v>INF247L01AA5</v>
          </cell>
          <cell r="D5349" t="str">
            <v>Motilal Oswal Large and Midcap Fund Direct - IDCW Payout/Reinvestment</v>
          </cell>
          <cell r="E5349">
            <v>27.803699999999999</v>
          </cell>
        </row>
        <row r="5350">
          <cell r="B5350" t="str">
            <v>INF247L01981</v>
          </cell>
          <cell r="C5350" t="str">
            <v>INF247L01973</v>
          </cell>
          <cell r="D5350" t="str">
            <v>Motilal Oswal Large and Midcap Fund Regular - IDCW Payout/Reinvestment</v>
          </cell>
          <cell r="E5350">
            <v>25.348700000000001</v>
          </cell>
        </row>
        <row r="5351">
          <cell r="B5351" t="str">
            <v/>
          </cell>
          <cell r="C5351" t="str">
            <v/>
          </cell>
          <cell r="D5351" t="str">
            <v/>
          </cell>
        </row>
        <row r="5352">
          <cell r="B5352" t="str">
            <v/>
          </cell>
          <cell r="C5352" t="str">
            <v/>
          </cell>
          <cell r="D5352" t="str">
            <v/>
          </cell>
        </row>
        <row r="5353">
          <cell r="B5353" t="str">
            <v/>
          </cell>
          <cell r="C5353" t="str">
            <v/>
          </cell>
          <cell r="D5353" t="str">
            <v/>
          </cell>
        </row>
        <row r="5354">
          <cell r="B5354" t="str">
            <v>INF959L01CR5</v>
          </cell>
          <cell r="C5354" t="str">
            <v>INF959L01CS3</v>
          </cell>
          <cell r="D5354" t="str">
            <v>Navi Large &amp; Midcap Fund - Direct Annual IDCW Payout</v>
          </cell>
          <cell r="E5354">
            <v>43.221899999999998</v>
          </cell>
        </row>
        <row r="5355">
          <cell r="B5355" t="str">
            <v>INF959L01CP9</v>
          </cell>
          <cell r="C5355" t="str">
            <v>INF959L01CQ7</v>
          </cell>
          <cell r="D5355" t="str">
            <v>Navi Large &amp; Midcap Fund - Direct Half Yearly IDCW Payout</v>
          </cell>
          <cell r="E5355">
            <v>43.260100000000001</v>
          </cell>
        </row>
        <row r="5356">
          <cell r="B5356" t="str">
            <v>INF959L01CI4</v>
          </cell>
          <cell r="C5356" t="str">
            <v>INF959L01CJ2</v>
          </cell>
          <cell r="D5356" t="str">
            <v>Navi Large &amp; Midcap Fund - Direct Normal IDCW Payout</v>
          </cell>
          <cell r="E5356">
            <v>43.370600000000003</v>
          </cell>
        </row>
        <row r="5357">
          <cell r="B5357" t="str">
            <v>INF959L01CV7</v>
          </cell>
          <cell r="C5357" t="str">
            <v>INF959L01CW5</v>
          </cell>
          <cell r="D5357" t="str">
            <v>Navi Large &amp; Midcap Fund - Regular Annual IDCW payout</v>
          </cell>
          <cell r="E5357">
            <v>37.078899999999997</v>
          </cell>
        </row>
        <row r="5358">
          <cell r="B5358" t="str">
            <v>INF959L01CT1</v>
          </cell>
          <cell r="C5358" t="str">
            <v>INF959L01CU9</v>
          </cell>
          <cell r="D5358" t="str">
            <v>NAVI Large &amp; Midcap Fund - Regular Half Yearly IDCW Payout</v>
          </cell>
          <cell r="E5358">
            <v>36.060499999999998</v>
          </cell>
        </row>
        <row r="5359">
          <cell r="B5359" t="str">
            <v>INF959L01CL8</v>
          </cell>
          <cell r="C5359" t="str">
            <v>INF959L01CM6</v>
          </cell>
          <cell r="D5359" t="str">
            <v>Navi Large &amp; Midcap Fund - Regular Normal IDCW Payout</v>
          </cell>
          <cell r="E5359">
            <v>36.0473</v>
          </cell>
        </row>
        <row r="5360">
          <cell r="B5360" t="str">
            <v>INF959L01CH6</v>
          </cell>
          <cell r="C5360" t="str">
            <v>-</v>
          </cell>
          <cell r="D5360" t="str">
            <v>Navi Large &amp; Midcap Fund- Direct Plan- Growth Option</v>
          </cell>
          <cell r="E5360">
            <v>43.9</v>
          </cell>
        </row>
        <row r="5361">
          <cell r="B5361" t="str">
            <v>INF959L01CK0</v>
          </cell>
          <cell r="C5361" t="str">
            <v>-</v>
          </cell>
          <cell r="D5361" t="str">
            <v>Navi Large &amp; Midcap Fund- Regular Plan- Growth Option</v>
          </cell>
          <cell r="E5361">
            <v>36.051499999999997</v>
          </cell>
        </row>
        <row r="5362">
          <cell r="B5362" t="str">
            <v/>
          </cell>
          <cell r="C5362" t="str">
            <v/>
          </cell>
          <cell r="D5362" t="str">
            <v/>
          </cell>
        </row>
        <row r="5363">
          <cell r="B5363" t="str">
            <v/>
          </cell>
          <cell r="C5363" t="str">
            <v/>
          </cell>
          <cell r="D5363" t="str">
            <v/>
          </cell>
        </row>
        <row r="5364">
          <cell r="B5364" t="str">
            <v/>
          </cell>
          <cell r="C5364" t="str">
            <v/>
          </cell>
          <cell r="D5364" t="str">
            <v/>
          </cell>
        </row>
        <row r="5365">
          <cell r="B5365" t="str">
            <v>INF204K01F04</v>
          </cell>
          <cell r="C5365" t="str">
            <v>INF204K01F12</v>
          </cell>
          <cell r="D5365" t="str">
            <v>NIPPON INDIA VISION LARGE &amp; MID CAP  FUND - DIRECT Plan - IDCW Option</v>
          </cell>
          <cell r="E5365">
            <v>70.319000000000003</v>
          </cell>
        </row>
        <row r="5366">
          <cell r="B5366" t="str">
            <v>INF204K01E96</v>
          </cell>
          <cell r="C5366" t="str">
            <v>-</v>
          </cell>
          <cell r="D5366" t="str">
            <v>Nippon India Vision Large &amp; Mid Cap Fund - Direct Plan Growth Plan - Bonus Option</v>
          </cell>
          <cell r="E5366">
            <v>272.1123</v>
          </cell>
        </row>
        <row r="5367">
          <cell r="B5367" t="str">
            <v>INF204K01F20</v>
          </cell>
          <cell r="C5367" t="str">
            <v>-</v>
          </cell>
          <cell r="D5367" t="str">
            <v>Nippon India Vision Large &amp; Mid Cap Fund - Direct Plan Growth Plan - Growth Option</v>
          </cell>
          <cell r="E5367">
            <v>1604.9864</v>
          </cell>
        </row>
        <row r="5368">
          <cell r="B5368" t="str">
            <v>INF204K01331</v>
          </cell>
          <cell r="C5368" t="str">
            <v>INF204K01349</v>
          </cell>
          <cell r="D5368" t="str">
            <v>Nippon India Vision Large &amp; Mid Cap Fund Institutional Dividend Plan</v>
          </cell>
          <cell r="E5368">
            <v>258.73079999999999</v>
          </cell>
        </row>
        <row r="5369">
          <cell r="B5369" t="str">
            <v>INF204K01372</v>
          </cell>
          <cell r="C5369" t="str">
            <v>INF204K01380</v>
          </cell>
          <cell r="D5369" t="str">
            <v>Nippon India Vision Large &amp; Midcap Fund - IDCW Option</v>
          </cell>
          <cell r="E5369">
            <v>61.625700000000002</v>
          </cell>
        </row>
        <row r="5370">
          <cell r="B5370" t="str">
            <v>INF204K01398</v>
          </cell>
          <cell r="C5370" t="str">
            <v>-</v>
          </cell>
          <cell r="D5370" t="str">
            <v>Nippon India Vision Large &amp; Midcap Fund-GROWTH PLAN-Bonus Option</v>
          </cell>
          <cell r="E5370">
            <v>249.73589999999999</v>
          </cell>
        </row>
        <row r="5371">
          <cell r="B5371" t="str">
            <v>INF204K01406</v>
          </cell>
          <cell r="C5371" t="str">
            <v>-</v>
          </cell>
          <cell r="D5371" t="str">
            <v>Nippon India Vision Large &amp; Midcap Fund-GROWTH PLAN-Growth Option</v>
          </cell>
          <cell r="E5371">
            <v>1482.7470000000001</v>
          </cell>
        </row>
        <row r="5372">
          <cell r="B5372" t="str">
            <v/>
          </cell>
          <cell r="C5372" t="str">
            <v/>
          </cell>
          <cell r="D5372" t="str">
            <v/>
          </cell>
        </row>
        <row r="5373">
          <cell r="B5373" t="str">
            <v/>
          </cell>
          <cell r="C5373" t="str">
            <v/>
          </cell>
          <cell r="D5373" t="str">
            <v/>
          </cell>
        </row>
        <row r="5374">
          <cell r="B5374" t="str">
            <v/>
          </cell>
          <cell r="C5374" t="str">
            <v/>
          </cell>
          <cell r="D5374" t="str">
            <v/>
          </cell>
        </row>
        <row r="5375">
          <cell r="B5375" t="str">
            <v>INF663L01Y12</v>
          </cell>
          <cell r="C5375" t="str">
            <v>-</v>
          </cell>
          <cell r="D5375" t="str">
            <v>PGIM India Large and Midcap Fund - Direct Plan - Growth Option</v>
          </cell>
          <cell r="E5375">
            <v>13.04</v>
          </cell>
        </row>
        <row r="5376">
          <cell r="B5376" t="str">
            <v>INF663L01Y20</v>
          </cell>
          <cell r="C5376" t="str">
            <v>INF663L01Y38</v>
          </cell>
          <cell r="D5376" t="str">
            <v>PGIM India Large and Midcap Fund - Direct Plan - IDCW option</v>
          </cell>
          <cell r="E5376">
            <v>11.83</v>
          </cell>
        </row>
        <row r="5377">
          <cell r="B5377" t="str">
            <v>INF663L01X88</v>
          </cell>
          <cell r="C5377" t="str">
            <v>-</v>
          </cell>
          <cell r="D5377" t="str">
            <v>PGIM India Large and Midcap Fund - Regular Plan - Growth Option</v>
          </cell>
          <cell r="E5377">
            <v>12.5</v>
          </cell>
        </row>
        <row r="5378">
          <cell r="B5378" t="str">
            <v>INF663L01X96</v>
          </cell>
          <cell r="C5378" t="str">
            <v>INF663L01Y04</v>
          </cell>
          <cell r="D5378" t="str">
            <v>PGIM India Large and Midcap Fund - Regular Plan - IDCW Option</v>
          </cell>
          <cell r="E5378">
            <v>11.6</v>
          </cell>
        </row>
        <row r="5379">
          <cell r="B5379" t="str">
            <v/>
          </cell>
          <cell r="C5379" t="str">
            <v/>
          </cell>
          <cell r="D5379" t="str">
            <v/>
          </cell>
        </row>
        <row r="5380">
          <cell r="B5380" t="str">
            <v/>
          </cell>
          <cell r="C5380" t="str">
            <v/>
          </cell>
          <cell r="D5380" t="str">
            <v/>
          </cell>
        </row>
        <row r="5381">
          <cell r="B5381" t="str">
            <v/>
          </cell>
          <cell r="C5381" t="str">
            <v/>
          </cell>
          <cell r="D5381" t="str">
            <v/>
          </cell>
        </row>
        <row r="5382">
          <cell r="B5382" t="str">
            <v>INF966L01341</v>
          </cell>
          <cell r="C5382" t="str">
            <v>-</v>
          </cell>
          <cell r="D5382" t="str">
            <v>quant Large &amp; Mid Cap Fund - Growth Option</v>
          </cell>
          <cell r="E5382">
            <v>123.8378</v>
          </cell>
        </row>
        <row r="5383">
          <cell r="B5383" t="str">
            <v>INF966L01648</v>
          </cell>
          <cell r="C5383" t="str">
            <v>-</v>
          </cell>
          <cell r="D5383" t="str">
            <v>quant Large &amp; Mid Cap Fund - Growth Option-Direct Plan</v>
          </cell>
          <cell r="E5383">
            <v>137.25470000000001</v>
          </cell>
        </row>
        <row r="5384">
          <cell r="B5384" t="str">
            <v>INF966L01622</v>
          </cell>
          <cell r="C5384" t="str">
            <v>INF966L01630</v>
          </cell>
          <cell r="D5384" t="str">
            <v>quant Large &amp; Mid Cap Fund - IDCW Option - Direct Plan</v>
          </cell>
          <cell r="E5384">
            <v>63.908799999999999</v>
          </cell>
        </row>
        <row r="5385">
          <cell r="B5385" t="str">
            <v>INF966L01325</v>
          </cell>
          <cell r="C5385" t="str">
            <v>INF966L01333</v>
          </cell>
          <cell r="D5385" t="str">
            <v>quant Large &amp; Mid Cap Fund - IDCW Option - Regular Plan</v>
          </cell>
          <cell r="E5385">
            <v>75.590500000000006</v>
          </cell>
        </row>
        <row r="5386">
          <cell r="B5386" t="str">
            <v/>
          </cell>
          <cell r="C5386" t="str">
            <v/>
          </cell>
          <cell r="D5386" t="str">
            <v/>
          </cell>
        </row>
        <row r="5387">
          <cell r="B5387" t="str">
            <v/>
          </cell>
          <cell r="C5387" t="str">
            <v/>
          </cell>
          <cell r="D5387" t="str">
            <v/>
          </cell>
        </row>
        <row r="5388">
          <cell r="B5388" t="str">
            <v/>
          </cell>
          <cell r="C5388" t="str">
            <v/>
          </cell>
          <cell r="D5388" t="str">
            <v/>
          </cell>
        </row>
        <row r="5389">
          <cell r="B5389" t="str">
            <v>INF0K1H01271</v>
          </cell>
          <cell r="C5389" t="str">
            <v>-</v>
          </cell>
          <cell r="D5389" t="str">
            <v>Samco Large &amp; Mid Cap Fund - Direct Plan - Growth Option</v>
          </cell>
          <cell r="E5389">
            <v>8.9700000000000006</v>
          </cell>
        </row>
        <row r="5390">
          <cell r="B5390" t="str">
            <v>INF0K1H01289</v>
          </cell>
          <cell r="C5390" t="str">
            <v>-</v>
          </cell>
          <cell r="D5390" t="str">
            <v>Samco Large &amp; Mid Cap Fund - Regular Plan - Growth Option</v>
          </cell>
          <cell r="E5390">
            <v>8.82</v>
          </cell>
        </row>
        <row r="5391">
          <cell r="B5391" t="str">
            <v/>
          </cell>
          <cell r="C5391" t="str">
            <v/>
          </cell>
          <cell r="D5391" t="str">
            <v/>
          </cell>
        </row>
        <row r="5392">
          <cell r="B5392" t="str">
            <v/>
          </cell>
          <cell r="C5392" t="str">
            <v/>
          </cell>
          <cell r="D5392" t="str">
            <v/>
          </cell>
        </row>
        <row r="5393">
          <cell r="B5393" t="str">
            <v/>
          </cell>
          <cell r="C5393" t="str">
            <v/>
          </cell>
          <cell r="D5393" t="str">
            <v/>
          </cell>
        </row>
        <row r="5394">
          <cell r="B5394" t="str">
            <v>INF200K01UH9</v>
          </cell>
          <cell r="C5394" t="str">
            <v>INF200K01UI7</v>
          </cell>
          <cell r="D5394" t="str">
            <v>SBI Large &amp; Midcap Fund - Direct Plan - Income Distribution cum Capital Withdrawal Option (IDCW)</v>
          </cell>
          <cell r="E5394">
            <v>368.90969999999999</v>
          </cell>
        </row>
        <row r="5395">
          <cell r="B5395" t="str">
            <v>INF200K01289</v>
          </cell>
          <cell r="C5395" t="str">
            <v>INF200K01297</v>
          </cell>
          <cell r="D5395" t="str">
            <v>SBI Large &amp; Midcap Fund - Regular Plan - Income Distribution cum Capital Withdrawal Option (IDCW)</v>
          </cell>
          <cell r="E5395">
            <v>292.34789999999998</v>
          </cell>
        </row>
        <row r="5396">
          <cell r="B5396" t="str">
            <v>INF200K01UJ5</v>
          </cell>
          <cell r="C5396" t="str">
            <v>-</v>
          </cell>
          <cell r="D5396" t="str">
            <v>SBI LARGE &amp; MIDCAP FUND -DIRECT PLAN -Growth</v>
          </cell>
          <cell r="E5396">
            <v>707.78139999999996</v>
          </cell>
        </row>
        <row r="5397">
          <cell r="B5397" t="str">
            <v>INF200K01305</v>
          </cell>
          <cell r="C5397" t="str">
            <v>-</v>
          </cell>
          <cell r="D5397" t="str">
            <v>SBI LARGE &amp; MIDCAP FUND- REGULAR PLAN -Growth</v>
          </cell>
          <cell r="E5397">
            <v>647.09349999999995</v>
          </cell>
        </row>
        <row r="5398">
          <cell r="B5398" t="str">
            <v/>
          </cell>
          <cell r="C5398" t="str">
            <v/>
          </cell>
          <cell r="D5398" t="str">
            <v/>
          </cell>
        </row>
        <row r="5399">
          <cell r="B5399" t="str">
            <v/>
          </cell>
          <cell r="C5399" t="str">
            <v/>
          </cell>
          <cell r="D5399" t="str">
            <v/>
          </cell>
        </row>
        <row r="5400">
          <cell r="B5400" t="str">
            <v/>
          </cell>
          <cell r="C5400" t="str">
            <v/>
          </cell>
          <cell r="D5400" t="str">
            <v/>
          </cell>
        </row>
        <row r="5401">
          <cell r="B5401" t="str">
            <v>INF903J01PP3</v>
          </cell>
          <cell r="C5401" t="str">
            <v>INF903J01PQ1</v>
          </cell>
          <cell r="D5401" t="str">
            <v>Sundaram Large and Midcap Direct Plan - Income Distribution cum Capital Withdrawal (IDCW)</v>
          </cell>
          <cell r="E5401">
            <v>35.191899999999997</v>
          </cell>
        </row>
        <row r="5402">
          <cell r="B5402" t="str">
            <v>INF903J01PR9</v>
          </cell>
          <cell r="C5402" t="str">
            <v>-</v>
          </cell>
          <cell r="D5402" t="str">
            <v>Sundaram Large and Midcap Fund Direct Plan - Growth</v>
          </cell>
          <cell r="E5402">
            <v>102.01519999999999</v>
          </cell>
        </row>
        <row r="5403">
          <cell r="B5403" t="str">
            <v>INF903J01DT1</v>
          </cell>
          <cell r="C5403" t="str">
            <v>-</v>
          </cell>
          <cell r="D5403" t="str">
            <v>Sundaram Large and Midcap Fund Regular Plan - Growth</v>
          </cell>
          <cell r="E5403">
            <v>89.734099999999998</v>
          </cell>
        </row>
        <row r="5404">
          <cell r="B5404" t="str">
            <v>INF903J01DU9</v>
          </cell>
          <cell r="C5404" t="str">
            <v>INF903J01DV7</v>
          </cell>
          <cell r="D5404" t="str">
            <v>Sundaram Large and Midcap Regular Plan - Income Distribution cum Capital Withdrawal (IDCW)</v>
          </cell>
          <cell r="E5404">
            <v>30.2849</v>
          </cell>
        </row>
        <row r="5405">
          <cell r="B5405" t="str">
            <v/>
          </cell>
          <cell r="C5405" t="str">
            <v/>
          </cell>
          <cell r="D5405" t="str">
            <v/>
          </cell>
        </row>
        <row r="5406">
          <cell r="B5406" t="str">
            <v/>
          </cell>
          <cell r="C5406" t="str">
            <v/>
          </cell>
          <cell r="D5406" t="str">
            <v/>
          </cell>
        </row>
        <row r="5407">
          <cell r="B5407" t="str">
            <v/>
          </cell>
          <cell r="C5407" t="str">
            <v/>
          </cell>
          <cell r="D5407" t="str">
            <v/>
          </cell>
        </row>
        <row r="5408">
          <cell r="B5408" t="str">
            <v>INF277K01MK8</v>
          </cell>
          <cell r="C5408" t="str">
            <v>-</v>
          </cell>
          <cell r="D5408" t="str">
            <v>Tata Large &amp; MId Cap Fund -Direct Plan- Growth Option</v>
          </cell>
          <cell r="E5408">
            <v>577.46759999999995</v>
          </cell>
        </row>
        <row r="5409">
          <cell r="B5409" t="str">
            <v>INF277K01MI2</v>
          </cell>
          <cell r="C5409" t="str">
            <v>INF277K01MJ0</v>
          </cell>
          <cell r="D5409" t="str">
            <v>Tata Large &amp; Mid Cap Fund Direct Plan - Payout of IDCW Option</v>
          </cell>
          <cell r="E5409">
            <v>106.6982</v>
          </cell>
        </row>
        <row r="5410">
          <cell r="B5410" t="str">
            <v>INF277K01DH3</v>
          </cell>
          <cell r="C5410" t="str">
            <v>INF277K01410</v>
          </cell>
          <cell r="D5410" t="str">
            <v>Tata Large &amp; Mid Cap Fund Regular Plan - Payout of IDCW Option</v>
          </cell>
          <cell r="E5410">
            <v>74.311300000000003</v>
          </cell>
        </row>
        <row r="5411">
          <cell r="B5411" t="str">
            <v>INF277K01428</v>
          </cell>
          <cell r="C5411" t="str">
            <v>-</v>
          </cell>
          <cell r="D5411" t="str">
            <v>Tata Large &amp; Mid Cap Fund- Regular Plan - Growth Option</v>
          </cell>
          <cell r="E5411">
            <v>500.88249999999999</v>
          </cell>
        </row>
        <row r="5412">
          <cell r="B5412" t="str">
            <v/>
          </cell>
          <cell r="C5412" t="str">
            <v/>
          </cell>
          <cell r="D5412" t="str">
            <v/>
          </cell>
        </row>
        <row r="5413">
          <cell r="B5413" t="str">
            <v/>
          </cell>
          <cell r="C5413" t="str">
            <v/>
          </cell>
          <cell r="D5413" t="str">
            <v/>
          </cell>
        </row>
        <row r="5414">
          <cell r="B5414" t="str">
            <v/>
          </cell>
          <cell r="C5414" t="str">
            <v/>
          </cell>
          <cell r="D5414" t="str">
            <v/>
          </cell>
        </row>
        <row r="5415">
          <cell r="B5415" t="str">
            <v>INF2F0001594</v>
          </cell>
          <cell r="C5415" t="str">
            <v>-</v>
          </cell>
          <cell r="D5415" t="str">
            <v>The Wealth Company Large &amp; Mid Cap Fund Direct Growth</v>
          </cell>
          <cell r="E5415">
            <v>10.1953</v>
          </cell>
        </row>
        <row r="5416">
          <cell r="B5416" t="str">
            <v>INF2F0001602</v>
          </cell>
          <cell r="C5416" t="str">
            <v>INF2F0001610</v>
          </cell>
          <cell r="D5416" t="str">
            <v>The Wealth Company Large &amp; Mid Cap Fund Direct IDCW</v>
          </cell>
          <cell r="E5416">
            <v>10.195</v>
          </cell>
        </row>
        <row r="5417">
          <cell r="B5417" t="str">
            <v>INF2F0001560</v>
          </cell>
          <cell r="C5417" t="str">
            <v>-</v>
          </cell>
          <cell r="D5417" t="str">
            <v>The Wealth Company Large &amp; Mid Cap Fund Regular Growth</v>
          </cell>
          <cell r="E5417">
            <v>10.171200000000001</v>
          </cell>
        </row>
        <row r="5418">
          <cell r="B5418" t="str">
            <v>INF2F0001578</v>
          </cell>
          <cell r="C5418" t="str">
            <v>INF2F0001586</v>
          </cell>
          <cell r="D5418" t="str">
            <v>The Wealth Company Large &amp; Mid Cap Fund Regular IDCW</v>
          </cell>
          <cell r="E5418">
            <v>10.171200000000001</v>
          </cell>
        </row>
        <row r="5419">
          <cell r="B5419" t="str">
            <v/>
          </cell>
          <cell r="C5419" t="str">
            <v/>
          </cell>
          <cell r="D5419" t="str">
            <v/>
          </cell>
        </row>
        <row r="5420">
          <cell r="B5420" t="str">
            <v/>
          </cell>
          <cell r="C5420" t="str">
            <v/>
          </cell>
          <cell r="D5420" t="str">
            <v/>
          </cell>
        </row>
        <row r="5421">
          <cell r="B5421" t="str">
            <v/>
          </cell>
          <cell r="C5421" t="str">
            <v/>
          </cell>
          <cell r="D5421" t="str">
            <v/>
          </cell>
        </row>
        <row r="5422">
          <cell r="B5422" t="str">
            <v>INF582M01GA0</v>
          </cell>
          <cell r="C5422" t="str">
            <v>-</v>
          </cell>
          <cell r="D5422" t="str">
            <v>Union Large &amp; Midcap Fund - Direct Plan - Growth Option</v>
          </cell>
          <cell r="E5422">
            <v>28.8</v>
          </cell>
        </row>
        <row r="5423">
          <cell r="B5423" t="str">
            <v>INF582M01GC6</v>
          </cell>
          <cell r="C5423" t="str">
            <v>INF582M01GB8</v>
          </cell>
          <cell r="D5423" t="str">
            <v>Union Large &amp; Midcap Fund - Direct Plan - IDCW Option</v>
          </cell>
          <cell r="E5423">
            <v>28.8</v>
          </cell>
        </row>
        <row r="5424">
          <cell r="B5424" t="str">
            <v>INF582M01GD4</v>
          </cell>
          <cell r="C5424" t="str">
            <v>-</v>
          </cell>
          <cell r="D5424" t="str">
            <v>Union Large &amp; Midcap Fund - Regular Plan - Growth Option</v>
          </cell>
          <cell r="E5424">
            <v>26.54</v>
          </cell>
        </row>
        <row r="5425">
          <cell r="B5425" t="str">
            <v>INF582M01GG7</v>
          </cell>
          <cell r="C5425" t="str">
            <v>INF582M01GF9</v>
          </cell>
          <cell r="D5425" t="str">
            <v>Union Large &amp; Midcap Fund - Regular Plan - IDCW Option</v>
          </cell>
          <cell r="E5425">
            <v>26.54</v>
          </cell>
        </row>
        <row r="5426">
          <cell r="B5426" t="str">
            <v/>
          </cell>
          <cell r="C5426" t="str">
            <v/>
          </cell>
          <cell r="D5426" t="str">
            <v/>
          </cell>
        </row>
        <row r="5427">
          <cell r="B5427" t="str">
            <v/>
          </cell>
          <cell r="C5427" t="str">
            <v/>
          </cell>
          <cell r="D5427" t="str">
            <v/>
          </cell>
        </row>
        <row r="5428">
          <cell r="B5428" t="str">
            <v/>
          </cell>
          <cell r="C5428" t="str">
            <v/>
          </cell>
          <cell r="D5428" t="str">
            <v/>
          </cell>
        </row>
        <row r="5429">
          <cell r="B5429" t="str">
            <v>INF789F01UG3</v>
          </cell>
          <cell r="C5429" t="str">
            <v>-</v>
          </cell>
          <cell r="D5429" t="str">
            <v>UTI Large &amp; Mid Cap Fund - Direct Plan - Growth Option</v>
          </cell>
          <cell r="E5429">
            <v>198.61519999999999</v>
          </cell>
        </row>
        <row r="5430">
          <cell r="B5430" t="str">
            <v>INF789F01UE8</v>
          </cell>
          <cell r="C5430" t="str">
            <v>INF789F01UF5</v>
          </cell>
          <cell r="D5430" t="str">
            <v>UTI Large &amp; Mid Cap Fund - Direct Plan - IDCW</v>
          </cell>
          <cell r="E5430">
            <v>97.601299999999995</v>
          </cell>
        </row>
        <row r="5431">
          <cell r="B5431" t="str">
            <v>INF789F01869</v>
          </cell>
          <cell r="C5431" t="str">
            <v>-</v>
          </cell>
          <cell r="D5431" t="str">
            <v>UTI Large &amp; Mid Cap Fund - Regular Plan - Growth Option</v>
          </cell>
          <cell r="E5431">
            <v>183.70609999999999</v>
          </cell>
        </row>
        <row r="5432">
          <cell r="B5432" t="str">
            <v>INF189A01046</v>
          </cell>
          <cell r="C5432" t="str">
            <v>INF789F01851</v>
          </cell>
          <cell r="D5432" t="str">
            <v>UTI Large &amp; Mid Cap Fund - Regular Plan - IDCW</v>
          </cell>
          <cell r="E5432">
            <v>89.493600000000001</v>
          </cell>
        </row>
        <row r="5433">
          <cell r="B5433" t="str">
            <v/>
          </cell>
          <cell r="C5433" t="str">
            <v/>
          </cell>
          <cell r="D5433" t="str">
            <v/>
          </cell>
        </row>
        <row r="5434">
          <cell r="B5434" t="str">
            <v/>
          </cell>
          <cell r="C5434" t="str">
            <v/>
          </cell>
          <cell r="D5434" t="str">
            <v/>
          </cell>
        </row>
        <row r="5435">
          <cell r="B5435" t="str">
            <v/>
          </cell>
          <cell r="C5435" t="str">
            <v/>
          </cell>
          <cell r="D5435" t="str">
            <v/>
          </cell>
        </row>
        <row r="5436">
          <cell r="B5436" t="str">
            <v>INF03VN01845</v>
          </cell>
          <cell r="C5436" t="str">
            <v>-</v>
          </cell>
          <cell r="D5436" t="str">
            <v>Whiteoak Capital Large &amp; Mid Cap Fund Direct Plan Growth</v>
          </cell>
          <cell r="E5436">
            <v>14.34</v>
          </cell>
        </row>
        <row r="5437">
          <cell r="B5437" t="str">
            <v>INF03VN01837</v>
          </cell>
          <cell r="C5437" t="str">
            <v>-</v>
          </cell>
          <cell r="D5437" t="str">
            <v>Whiteoak Capital Large &amp; Mid Cap Fund Regular Plan Growth</v>
          </cell>
          <cell r="E5437">
            <v>13.766</v>
          </cell>
        </row>
        <row r="5438">
          <cell r="B5438" t="str">
            <v/>
          </cell>
          <cell r="C5438" t="str">
            <v/>
          </cell>
          <cell r="D5438" t="str">
            <v/>
          </cell>
        </row>
        <row r="5439">
          <cell r="B5439" t="str">
            <v/>
          </cell>
          <cell r="C5439" t="str">
            <v/>
          </cell>
          <cell r="D5439" t="str">
            <v/>
          </cell>
        </row>
        <row r="5440">
          <cell r="B5440" t="str">
            <v/>
          </cell>
          <cell r="C5440" t="str">
            <v/>
          </cell>
          <cell r="D5440" t="str">
            <v/>
          </cell>
        </row>
        <row r="5441">
          <cell r="B5441" t="str">
            <v/>
          </cell>
          <cell r="C5441" t="str">
            <v/>
          </cell>
          <cell r="D5441" t="str">
            <v/>
          </cell>
        </row>
        <row r="5442">
          <cell r="B5442" t="str">
            <v/>
          </cell>
          <cell r="C5442" t="str">
            <v/>
          </cell>
          <cell r="D5442" t="str">
            <v/>
          </cell>
        </row>
        <row r="5443">
          <cell r="B5443" t="str">
            <v>INF209K01YY7</v>
          </cell>
          <cell r="C5443" t="str">
            <v>-</v>
          </cell>
          <cell r="D5443" t="str">
            <v>Aditya Birla Sun Life Large Cap Fund - Growth - Direct Plan</v>
          </cell>
          <cell r="E5443">
            <v>572.58000000000004</v>
          </cell>
        </row>
        <row r="5444">
          <cell r="B5444" t="str">
            <v>INF209K01YX9</v>
          </cell>
          <cell r="C5444" t="str">
            <v>INF209K01YW1</v>
          </cell>
          <cell r="D5444" t="str">
            <v>Aditya Birla Sun Life Large Cap Fund-DIRECT - IDCW</v>
          </cell>
          <cell r="E5444">
            <v>92.09</v>
          </cell>
        </row>
        <row r="5445">
          <cell r="B5445" t="str">
            <v>INF209K01BR9</v>
          </cell>
          <cell r="C5445" t="str">
            <v>-</v>
          </cell>
          <cell r="D5445" t="str">
            <v>Aditya Birla Sun Life Large Cap Fund-Growth</v>
          </cell>
          <cell r="E5445">
            <v>514.71</v>
          </cell>
        </row>
        <row r="5446">
          <cell r="B5446" t="str">
            <v>INF209K01BO6</v>
          </cell>
          <cell r="C5446" t="str">
            <v>INF209K01EC5</v>
          </cell>
          <cell r="D5446" t="str">
            <v>Aditya Birla Sun Life Large Cap Fund-Regular - IDCW</v>
          </cell>
          <cell r="E5446">
            <v>38.31</v>
          </cell>
        </row>
        <row r="5447">
          <cell r="B5447" t="str">
            <v/>
          </cell>
          <cell r="C5447" t="str">
            <v/>
          </cell>
          <cell r="D5447" t="str">
            <v/>
          </cell>
        </row>
        <row r="5448">
          <cell r="B5448" t="str">
            <v/>
          </cell>
          <cell r="C5448" t="str">
            <v/>
          </cell>
          <cell r="D5448" t="str">
            <v/>
          </cell>
        </row>
        <row r="5449">
          <cell r="B5449" t="str">
            <v/>
          </cell>
          <cell r="C5449" t="str">
            <v/>
          </cell>
          <cell r="D5449" t="str">
            <v/>
          </cell>
        </row>
        <row r="5450">
          <cell r="B5450" t="str">
            <v>INF846K01DP8</v>
          </cell>
          <cell r="C5450" t="str">
            <v>-</v>
          </cell>
          <cell r="D5450" t="str">
            <v>Axis Large Cap Fund - Direct Plan - Growth</v>
          </cell>
          <cell r="E5450">
            <v>68.989999999999995</v>
          </cell>
        </row>
        <row r="5451">
          <cell r="B5451" t="str">
            <v>INF846K01DN3</v>
          </cell>
          <cell r="C5451" t="str">
            <v>INF846K01DO1</v>
          </cell>
          <cell r="D5451" t="str">
            <v>Axis Large Cap Fund - Direct Plan - IDCW</v>
          </cell>
          <cell r="E5451">
            <v>25</v>
          </cell>
        </row>
        <row r="5452">
          <cell r="B5452" t="str">
            <v>INF846K01164</v>
          </cell>
          <cell r="C5452" t="str">
            <v>-</v>
          </cell>
          <cell r="D5452" t="str">
            <v>Axis Large Cap Fund - Regular Plan - Growth</v>
          </cell>
          <cell r="E5452">
            <v>59.46</v>
          </cell>
        </row>
        <row r="5453">
          <cell r="B5453" t="str">
            <v>INF846K01172</v>
          </cell>
          <cell r="C5453" t="str">
            <v>INF846K01180</v>
          </cell>
          <cell r="D5453" t="str">
            <v>Axis Large Cap Fund - Regular Plan - IDCW</v>
          </cell>
          <cell r="E5453">
            <v>17.41</v>
          </cell>
        </row>
        <row r="5454">
          <cell r="B5454" t="str">
            <v/>
          </cell>
          <cell r="C5454" t="str">
            <v/>
          </cell>
          <cell r="D5454" t="str">
            <v/>
          </cell>
        </row>
        <row r="5455">
          <cell r="B5455" t="str">
            <v/>
          </cell>
          <cell r="C5455" t="str">
            <v/>
          </cell>
          <cell r="D5455" t="str">
            <v/>
          </cell>
        </row>
        <row r="5456">
          <cell r="B5456" t="str">
            <v/>
          </cell>
          <cell r="C5456" t="str">
            <v/>
          </cell>
          <cell r="D5456" t="str">
            <v/>
          </cell>
        </row>
        <row r="5457">
          <cell r="B5457" t="str">
            <v>INF0QA701896</v>
          </cell>
          <cell r="C5457" t="str">
            <v>-</v>
          </cell>
          <cell r="D5457" t="str">
            <v>BAJAJ FINSERV LARGE CAP FUND - DIRECT PLAN - GROWTH</v>
          </cell>
          <cell r="E5457">
            <v>10.34</v>
          </cell>
        </row>
        <row r="5458">
          <cell r="B5458" t="str">
            <v>INF0QA701904</v>
          </cell>
          <cell r="C5458" t="str">
            <v>INF0QA701912</v>
          </cell>
          <cell r="D5458" t="str">
            <v>BAJAJ FINSERV LARGE CAP FUND - DIRECT PLAN - IDCW</v>
          </cell>
          <cell r="E5458">
            <v>10.34</v>
          </cell>
        </row>
        <row r="5459">
          <cell r="B5459" t="str">
            <v>INF0QA701862</v>
          </cell>
          <cell r="C5459" t="str">
            <v>-</v>
          </cell>
          <cell r="D5459" t="str">
            <v>BAJAJ FINSERV LARGE CAP FUND - REGULAR PLAN - GROWTH</v>
          </cell>
          <cell r="E5459">
            <v>10.047000000000001</v>
          </cell>
        </row>
        <row r="5460">
          <cell r="B5460" t="str">
            <v>INF0QA701870</v>
          </cell>
          <cell r="C5460" t="str">
            <v>INF0QA701888</v>
          </cell>
          <cell r="D5460" t="str">
            <v>BAJAJ FINSERV LARGE CAP FUND - REGULAR PLAN - IDCW</v>
          </cell>
          <cell r="E5460">
            <v>10.047000000000001</v>
          </cell>
        </row>
        <row r="5461">
          <cell r="B5461" t="str">
            <v/>
          </cell>
          <cell r="C5461" t="str">
            <v/>
          </cell>
          <cell r="D5461" t="str">
            <v/>
          </cell>
        </row>
        <row r="5462">
          <cell r="B5462" t="str">
            <v/>
          </cell>
          <cell r="C5462" t="str">
            <v/>
          </cell>
          <cell r="D5462" t="str">
            <v/>
          </cell>
        </row>
        <row r="5463">
          <cell r="B5463" t="str">
            <v/>
          </cell>
          <cell r="C5463" t="str">
            <v/>
          </cell>
          <cell r="D5463" t="str">
            <v/>
          </cell>
        </row>
        <row r="5464">
          <cell r="B5464" t="str">
            <v>INF194K01516</v>
          </cell>
          <cell r="C5464" t="str">
            <v>-</v>
          </cell>
          <cell r="D5464" t="str">
            <v>BANDHAN Large Cap Fund - Regular Plan - Growth</v>
          </cell>
          <cell r="E5464">
            <v>77.352000000000004</v>
          </cell>
        </row>
        <row r="5465">
          <cell r="B5465" t="str">
            <v>INF194K01490</v>
          </cell>
          <cell r="C5465" t="str">
            <v>INF194K01508</v>
          </cell>
          <cell r="D5465" t="str">
            <v>BANDHAN Large Cap Fund - Regular Plan - IDCW</v>
          </cell>
          <cell r="E5465">
            <v>21.321999999999999</v>
          </cell>
        </row>
        <row r="5466">
          <cell r="B5466" t="str">
            <v>INF194K01Z44</v>
          </cell>
          <cell r="C5466" t="str">
            <v>-</v>
          </cell>
          <cell r="D5466" t="str">
            <v>BANDHAN Large Cap Fund-Direct Plan-Growth</v>
          </cell>
          <cell r="E5466">
            <v>89.884</v>
          </cell>
        </row>
        <row r="5467">
          <cell r="B5467" t="str">
            <v>INF194K01Z51</v>
          </cell>
          <cell r="C5467" t="str">
            <v>INF194K01Z69</v>
          </cell>
          <cell r="D5467" t="str">
            <v>BANDHAN Large Cap Fund-Direct Plan-IDCW</v>
          </cell>
          <cell r="E5467">
            <v>28.292000000000002</v>
          </cell>
        </row>
        <row r="5468">
          <cell r="B5468" t="str">
            <v/>
          </cell>
          <cell r="C5468" t="str">
            <v/>
          </cell>
          <cell r="D5468" t="str">
            <v/>
          </cell>
        </row>
        <row r="5469">
          <cell r="B5469" t="str">
            <v/>
          </cell>
          <cell r="C5469" t="str">
            <v/>
          </cell>
          <cell r="D5469" t="str">
            <v/>
          </cell>
        </row>
        <row r="5470">
          <cell r="B5470" t="str">
            <v/>
          </cell>
          <cell r="C5470" t="str">
            <v/>
          </cell>
          <cell r="D5470" t="str">
            <v/>
          </cell>
        </row>
        <row r="5471">
          <cell r="B5471" t="str">
            <v>INF761K01FL3</v>
          </cell>
          <cell r="C5471" t="str">
            <v>-</v>
          </cell>
          <cell r="D5471" t="str">
            <v>BANK OF INDIA Large Cap Fund Direct Plan Growth</v>
          </cell>
          <cell r="E5471">
            <v>17.75</v>
          </cell>
        </row>
        <row r="5472">
          <cell r="B5472" t="str">
            <v>INF761K01FK5</v>
          </cell>
          <cell r="C5472" t="str">
            <v>INF761K01FM1</v>
          </cell>
          <cell r="D5472" t="str">
            <v>BANK OF INDIA Large Cap Fund Direct Plan IDCW</v>
          </cell>
          <cell r="E5472">
            <v>17.71</v>
          </cell>
        </row>
        <row r="5473">
          <cell r="B5473" t="str">
            <v>INF761K01FO7</v>
          </cell>
          <cell r="C5473" t="str">
            <v>-</v>
          </cell>
          <cell r="D5473" t="str">
            <v>BANK OF INDIA Large Cap Fund Regular Plan Growth</v>
          </cell>
          <cell r="E5473">
            <v>16.62</v>
          </cell>
        </row>
        <row r="5474">
          <cell r="B5474" t="str">
            <v>INF761K01FN9</v>
          </cell>
          <cell r="C5474" t="str">
            <v>INF761K01FP4</v>
          </cell>
          <cell r="D5474" t="str">
            <v>BANK OF INDIA Large Cap Fund Regular Plan IDCW</v>
          </cell>
          <cell r="E5474">
            <v>16.62</v>
          </cell>
        </row>
        <row r="5475">
          <cell r="B5475" t="str">
            <v/>
          </cell>
          <cell r="C5475" t="str">
            <v/>
          </cell>
          <cell r="D5475" t="str">
            <v/>
          </cell>
        </row>
        <row r="5476">
          <cell r="B5476" t="str">
            <v/>
          </cell>
          <cell r="C5476" t="str">
            <v/>
          </cell>
          <cell r="D5476" t="str">
            <v/>
          </cell>
        </row>
        <row r="5477">
          <cell r="B5477" t="str">
            <v/>
          </cell>
          <cell r="C5477" t="str">
            <v/>
          </cell>
          <cell r="D5477" t="str">
            <v/>
          </cell>
        </row>
        <row r="5478">
          <cell r="B5478" t="str">
            <v>INF251K01HN7</v>
          </cell>
          <cell r="C5478" t="str">
            <v>-</v>
          </cell>
          <cell r="D5478" t="str">
            <v>BARODA BNP PARIBAS LARGE CAP Fund - Direct Plan - Growth Option</v>
          </cell>
          <cell r="E5478">
            <v>254.83170000000001</v>
          </cell>
        </row>
        <row r="5479">
          <cell r="B5479" t="str">
            <v>INF251K01HL1</v>
          </cell>
          <cell r="C5479" t="str">
            <v>INF251K01HM9</v>
          </cell>
          <cell r="D5479" t="str">
            <v>BARODA BNP PARIBAS LARGE CAP Fund - Direct Plan - IDCW Option</v>
          </cell>
          <cell r="E5479">
            <v>25.894500000000001</v>
          </cell>
        </row>
        <row r="5480">
          <cell r="B5480" t="str">
            <v>INF251K01910</v>
          </cell>
          <cell r="C5480" t="str">
            <v>INF251K01902</v>
          </cell>
          <cell r="D5480" t="str">
            <v>BARODA BNP PARIBAS LARGE CAP Fund - Regular Plan - IDCW Option</v>
          </cell>
          <cell r="E5480">
            <v>21.293800000000001</v>
          </cell>
        </row>
        <row r="5481">
          <cell r="B5481" t="str">
            <v>INF251K01894</v>
          </cell>
          <cell r="C5481" t="str">
            <v>-</v>
          </cell>
          <cell r="D5481" t="str">
            <v>BARODA BNP PARIBAS LARGE CAP Fund- Regular Plan - Growth Option</v>
          </cell>
          <cell r="E5481">
            <v>218.27590000000001</v>
          </cell>
        </row>
        <row r="5482">
          <cell r="B5482" t="str">
            <v/>
          </cell>
          <cell r="C5482" t="str">
            <v/>
          </cell>
          <cell r="D5482" t="str">
            <v/>
          </cell>
        </row>
        <row r="5483">
          <cell r="B5483" t="str">
            <v/>
          </cell>
          <cell r="C5483" t="str">
            <v/>
          </cell>
          <cell r="D5483" t="str">
            <v/>
          </cell>
        </row>
        <row r="5484">
          <cell r="B5484" t="str">
            <v/>
          </cell>
          <cell r="C5484" t="str">
            <v/>
          </cell>
          <cell r="D5484" t="str">
            <v/>
          </cell>
        </row>
        <row r="5485">
          <cell r="B5485" t="str">
            <v>INF760K01FR2</v>
          </cell>
          <cell r="C5485" t="str">
            <v>-</v>
          </cell>
          <cell r="D5485" t="str">
            <v>CANARA ROBECO LARGE CAP FUND - DIRECT PLAN - GROWTH OPTION</v>
          </cell>
          <cell r="E5485">
            <v>71.44</v>
          </cell>
        </row>
        <row r="5486">
          <cell r="B5486" t="str">
            <v>INF760K01FP6</v>
          </cell>
          <cell r="C5486" t="str">
            <v>INF760K01FQ4</v>
          </cell>
          <cell r="D5486" t="str">
            <v>CANARA ROBECO LARGE CAP FUND - DIRECT PLAN - IDCW (Payout/Reinvestment)</v>
          </cell>
          <cell r="E5486">
            <v>52.07</v>
          </cell>
        </row>
        <row r="5487">
          <cell r="B5487" t="str">
            <v>INF760K01AR3</v>
          </cell>
          <cell r="C5487" t="str">
            <v>-</v>
          </cell>
          <cell r="D5487" t="str">
            <v>CANARA ROBECO LARGE CAP FUND - REGULAR PLAN - GROWTH OPTION</v>
          </cell>
          <cell r="E5487">
            <v>61.12</v>
          </cell>
        </row>
        <row r="5488">
          <cell r="B5488" t="str">
            <v>INF760K01AS1</v>
          </cell>
          <cell r="C5488" t="str">
            <v>INF760K01AT9</v>
          </cell>
          <cell r="D5488" t="str">
            <v>CANARA ROBECO LARGE CAP FUND - REGULAR PLAN - IDCW (Payout/Reinvestment)</v>
          </cell>
          <cell r="E5488">
            <v>28.23</v>
          </cell>
        </row>
        <row r="5489">
          <cell r="B5489" t="str">
            <v/>
          </cell>
          <cell r="C5489" t="str">
            <v/>
          </cell>
          <cell r="D5489" t="str">
            <v/>
          </cell>
        </row>
        <row r="5490">
          <cell r="B5490" t="str">
            <v/>
          </cell>
          <cell r="C5490" t="str">
            <v/>
          </cell>
          <cell r="D5490" t="str">
            <v/>
          </cell>
        </row>
        <row r="5491">
          <cell r="B5491" t="str">
            <v/>
          </cell>
          <cell r="C5491" t="str">
            <v/>
          </cell>
          <cell r="D5491" t="str">
            <v/>
          </cell>
        </row>
        <row r="5492">
          <cell r="B5492" t="str">
            <v>INF740K01PR3</v>
          </cell>
          <cell r="C5492" t="str">
            <v>-</v>
          </cell>
          <cell r="D5492" t="str">
            <v>DSP Large Cap Fund - Direct Plan - Growth</v>
          </cell>
          <cell r="E5492">
            <v>501.31</v>
          </cell>
        </row>
        <row r="5493">
          <cell r="B5493" t="str">
            <v>INF740K01PS1</v>
          </cell>
          <cell r="C5493" t="str">
            <v>INF740K01PT9</v>
          </cell>
          <cell r="D5493" t="str">
            <v>DSP Large Cap Fund - Direct Plan - IDCW</v>
          </cell>
          <cell r="E5493">
            <v>26.789000000000001</v>
          </cell>
        </row>
        <row r="5494">
          <cell r="B5494" t="str">
            <v>INF740K01243</v>
          </cell>
          <cell r="C5494" t="str">
            <v>-</v>
          </cell>
          <cell r="D5494" t="str">
            <v>DSP Large Cap Fund - Regular Plan - Growth</v>
          </cell>
          <cell r="E5494">
            <v>454.291</v>
          </cell>
        </row>
        <row r="5495">
          <cell r="B5495" t="str">
            <v>INF740K01227</v>
          </cell>
          <cell r="C5495" t="str">
            <v>INF740K01235</v>
          </cell>
          <cell r="D5495" t="str">
            <v>DSP Large Cap Fund - Regular Plan - IDCW</v>
          </cell>
          <cell r="E5495">
            <v>23.163</v>
          </cell>
        </row>
        <row r="5496">
          <cell r="B5496" t="str">
            <v/>
          </cell>
          <cell r="C5496" t="str">
            <v/>
          </cell>
          <cell r="D5496" t="str">
            <v/>
          </cell>
        </row>
        <row r="5497">
          <cell r="B5497" t="str">
            <v/>
          </cell>
          <cell r="C5497" t="str">
            <v/>
          </cell>
          <cell r="D5497" t="str">
            <v/>
          </cell>
        </row>
        <row r="5498">
          <cell r="B5498" t="str">
            <v/>
          </cell>
          <cell r="C5498" t="str">
            <v/>
          </cell>
          <cell r="D5498" t="str">
            <v/>
          </cell>
        </row>
        <row r="5499">
          <cell r="B5499" t="str">
            <v>INF754K01BT0</v>
          </cell>
          <cell r="C5499" t="str">
            <v>INF754K01BU8</v>
          </cell>
          <cell r="D5499" t="str">
            <v>Edelweiss Large Cap Fund - Direct Plan - IDCW Option</v>
          </cell>
          <cell r="E5499">
            <v>38.04</v>
          </cell>
        </row>
        <row r="5500">
          <cell r="B5500" t="str">
            <v>INF754K01BW4</v>
          </cell>
          <cell r="C5500" t="str">
            <v>-</v>
          </cell>
          <cell r="D5500" t="str">
            <v>Edelweiss Large Cap Fund - Direct Plan-Growth option</v>
          </cell>
          <cell r="E5500">
            <v>96.38</v>
          </cell>
        </row>
        <row r="5501">
          <cell r="B5501" t="str">
            <v>INF754K01053</v>
          </cell>
          <cell r="C5501" t="str">
            <v>INF754K01061</v>
          </cell>
          <cell r="D5501" t="str">
            <v>Edelweiss Large Cap Fund - Plan B - IDCW Option</v>
          </cell>
          <cell r="E5501">
            <v>81.180000000000007</v>
          </cell>
        </row>
        <row r="5502">
          <cell r="B5502" t="str">
            <v>INF754K01095</v>
          </cell>
          <cell r="C5502" t="str">
            <v>INF754K01103</v>
          </cell>
          <cell r="D5502" t="str">
            <v>Edelweiss Large Cap Fund - Plan C - IDCW Option</v>
          </cell>
          <cell r="E5502">
            <v>67.12</v>
          </cell>
        </row>
        <row r="5503">
          <cell r="B5503" t="str">
            <v>INF754K01046</v>
          </cell>
          <cell r="C5503" t="str">
            <v>-</v>
          </cell>
          <cell r="D5503" t="str">
            <v>Edelweiss Large Cap Fund - Regular Plan - Growth Option</v>
          </cell>
          <cell r="E5503">
            <v>82.7</v>
          </cell>
        </row>
        <row r="5504">
          <cell r="B5504" t="str">
            <v>INF754K01012</v>
          </cell>
          <cell r="C5504" t="str">
            <v>INF754K01020</v>
          </cell>
          <cell r="D5504" t="str">
            <v>Edelweiss Large Cap Fund - Regular Plan - IDCW Option</v>
          </cell>
          <cell r="E5504">
            <v>26.06</v>
          </cell>
        </row>
        <row r="5505">
          <cell r="B5505" t="str">
            <v>INF754K01087</v>
          </cell>
          <cell r="C5505" t="str">
            <v>-</v>
          </cell>
          <cell r="D5505" t="str">
            <v>Edelweiss Large Cap Fund -Plan B - Growth option</v>
          </cell>
          <cell r="E5505">
            <v>83.21</v>
          </cell>
        </row>
        <row r="5506">
          <cell r="B5506" t="str">
            <v>INF754K01129</v>
          </cell>
          <cell r="C5506" t="str">
            <v>-</v>
          </cell>
          <cell r="D5506" t="str">
            <v>Edelweiss Large Cap Fund -Plan C - Growth option</v>
          </cell>
          <cell r="E5506">
            <v>82.12</v>
          </cell>
        </row>
        <row r="5507">
          <cell r="B5507" t="str">
            <v/>
          </cell>
          <cell r="C5507" t="str">
            <v/>
          </cell>
          <cell r="D5507" t="str">
            <v/>
          </cell>
        </row>
        <row r="5508">
          <cell r="B5508" t="str">
            <v/>
          </cell>
          <cell r="C5508" t="str">
            <v/>
          </cell>
          <cell r="D5508" t="str">
            <v/>
          </cell>
        </row>
        <row r="5509">
          <cell r="B5509" t="str">
            <v/>
          </cell>
          <cell r="C5509" t="str">
            <v/>
          </cell>
          <cell r="D5509" t="str">
            <v/>
          </cell>
        </row>
        <row r="5510">
          <cell r="B5510" t="str">
            <v>INF090I01FO5</v>
          </cell>
          <cell r="C5510" t="str">
            <v>INF090I01FP2</v>
          </cell>
          <cell r="D5510" t="str">
            <v>Franklin India Large Cap Fund - Direct - IDCW</v>
          </cell>
          <cell r="E5510">
            <v>49.180700000000002</v>
          </cell>
        </row>
        <row r="5511">
          <cell r="B5511" t="str">
            <v>INF090I01155</v>
          </cell>
          <cell r="C5511" t="str">
            <v>INF090I01163</v>
          </cell>
          <cell r="D5511" t="str">
            <v>Franklin India Large Cap Fund - IDCW</v>
          </cell>
          <cell r="E5511">
            <v>42.1158</v>
          </cell>
        </row>
        <row r="5512">
          <cell r="B5512" t="str">
            <v>INF090I01FN7</v>
          </cell>
          <cell r="C5512" t="str">
            <v>-</v>
          </cell>
          <cell r="D5512" t="str">
            <v>Franklin India Large Cap Fund- Direct - Growth</v>
          </cell>
          <cell r="E5512">
            <v>1118.5133000000001</v>
          </cell>
        </row>
        <row r="5513">
          <cell r="B5513" t="str">
            <v>INF090I01171</v>
          </cell>
          <cell r="C5513" t="str">
            <v>-</v>
          </cell>
          <cell r="D5513" t="str">
            <v>Franklin India Large Cap Fund-Growth</v>
          </cell>
          <cell r="E5513">
            <v>1002.9679</v>
          </cell>
        </row>
        <row r="5514">
          <cell r="B5514" t="str">
            <v/>
          </cell>
          <cell r="C5514" t="str">
            <v/>
          </cell>
          <cell r="D5514" t="str">
            <v/>
          </cell>
        </row>
        <row r="5515">
          <cell r="B5515" t="str">
            <v/>
          </cell>
          <cell r="C5515" t="str">
            <v/>
          </cell>
          <cell r="D5515" t="str">
            <v/>
          </cell>
        </row>
        <row r="5516">
          <cell r="B5516" t="str">
            <v/>
          </cell>
          <cell r="C5516" t="str">
            <v/>
          </cell>
          <cell r="D5516" t="str">
            <v/>
          </cell>
        </row>
        <row r="5517">
          <cell r="B5517" t="str">
            <v>INF179K01YV8</v>
          </cell>
          <cell r="C5517" t="str">
            <v>-</v>
          </cell>
          <cell r="D5517" t="str">
            <v>HDFC Large Cap Fund - Growth Option - Direct Plan</v>
          </cell>
          <cell r="E5517">
            <v>1226.7429999999999</v>
          </cell>
        </row>
        <row r="5518">
          <cell r="B5518" t="str">
            <v>INF179K01BE2</v>
          </cell>
          <cell r="C5518" t="str">
            <v>-</v>
          </cell>
          <cell r="D5518" t="str">
            <v>HDFC Large Cap Fund - Growth Option - Regular Plan</v>
          </cell>
          <cell r="E5518">
            <v>1127.5550000000001</v>
          </cell>
        </row>
        <row r="5519">
          <cell r="B5519" t="str">
            <v>INF179K01YT2</v>
          </cell>
          <cell r="C5519" t="str">
            <v>INF179K01YU0</v>
          </cell>
          <cell r="D5519" t="str">
            <v>HDFC Large Cap Fund - IDCW Option - Direct Plan</v>
          </cell>
          <cell r="E5519">
            <v>62.128999999999998</v>
          </cell>
        </row>
        <row r="5520">
          <cell r="B5520" t="str">
            <v>INF179K01BC6</v>
          </cell>
          <cell r="C5520" t="str">
            <v>INF179K01BD4</v>
          </cell>
          <cell r="D5520" t="str">
            <v>HDFC Large Cap Fund - IDCW Option - Regular Plan</v>
          </cell>
          <cell r="E5520">
            <v>51.637999999999998</v>
          </cell>
        </row>
        <row r="5521">
          <cell r="B5521" t="str">
            <v/>
          </cell>
          <cell r="C5521" t="str">
            <v/>
          </cell>
          <cell r="D5521" t="str">
            <v/>
          </cell>
        </row>
        <row r="5522">
          <cell r="B5522" t="str">
            <v/>
          </cell>
          <cell r="C5522" t="str">
            <v/>
          </cell>
          <cell r="D5522" t="str">
            <v/>
          </cell>
        </row>
        <row r="5523">
          <cell r="B5523" t="str">
            <v/>
          </cell>
          <cell r="C5523" t="str">
            <v/>
          </cell>
          <cell r="D5523" t="str">
            <v/>
          </cell>
        </row>
        <row r="5524">
          <cell r="B5524" t="str">
            <v>INF336L01CM7</v>
          </cell>
          <cell r="C5524" t="str">
            <v>-</v>
          </cell>
          <cell r="D5524" t="str">
            <v>HSBC Large Cap Fund - Direct Growth</v>
          </cell>
          <cell r="E5524">
            <v>526.44309999999996</v>
          </cell>
        </row>
        <row r="5525">
          <cell r="B5525" t="str">
            <v>INF336L01CK1</v>
          </cell>
          <cell r="C5525" t="str">
            <v>INF336L01CL9</v>
          </cell>
          <cell r="D5525" t="str">
            <v>HSBC Large Cap Fund - Direct IDCW</v>
          </cell>
          <cell r="E5525">
            <v>39.389400000000002</v>
          </cell>
        </row>
        <row r="5526">
          <cell r="B5526" t="str">
            <v>INF336L01016</v>
          </cell>
          <cell r="C5526" t="str">
            <v>-</v>
          </cell>
          <cell r="D5526" t="str">
            <v>HSBC Large Cap Fund - Regular Growth</v>
          </cell>
          <cell r="E5526">
            <v>469.91460000000001</v>
          </cell>
        </row>
        <row r="5527">
          <cell r="B5527" t="str">
            <v>INF336L01024</v>
          </cell>
          <cell r="C5527" t="str">
            <v>INF336L01032</v>
          </cell>
          <cell r="D5527" t="str">
            <v>HSBC Large Cap Fund - Regular IDCW</v>
          </cell>
          <cell r="E5527">
            <v>41.627000000000002</v>
          </cell>
        </row>
        <row r="5528">
          <cell r="B5528" t="str">
            <v/>
          </cell>
          <cell r="C5528" t="str">
            <v/>
          </cell>
          <cell r="D5528" t="str">
            <v/>
          </cell>
        </row>
        <row r="5529">
          <cell r="B5529" t="str">
            <v/>
          </cell>
          <cell r="C5529" t="str">
            <v/>
          </cell>
          <cell r="D5529" t="str">
            <v/>
          </cell>
        </row>
        <row r="5530">
          <cell r="B5530" t="str">
            <v/>
          </cell>
          <cell r="C5530" t="str">
            <v/>
          </cell>
          <cell r="D5530" t="str">
            <v/>
          </cell>
        </row>
        <row r="5531">
          <cell r="B5531" t="str">
            <v>INF109K01BN0</v>
          </cell>
          <cell r="C5531" t="str">
            <v>-</v>
          </cell>
          <cell r="D5531" t="str">
            <v>ICICI Prudential Bluechip Fund - Institutional Option - I - Growth</v>
          </cell>
          <cell r="E5531">
            <v>37.590000000000003</v>
          </cell>
        </row>
        <row r="5532">
          <cell r="B5532" t="str">
            <v>INF109K014L5</v>
          </cell>
          <cell r="C5532" t="str">
            <v>INF109K015L2</v>
          </cell>
          <cell r="D5532" t="str">
            <v>ICICI Prudential Large Cap Fund (erstwhile Bluechip Fund)  - Direct Plan - IDCW</v>
          </cell>
          <cell r="E5532">
            <v>60.23</v>
          </cell>
        </row>
        <row r="5533">
          <cell r="B5533" t="str">
            <v>INF109K01BL4</v>
          </cell>
          <cell r="C5533" t="str">
            <v>-</v>
          </cell>
          <cell r="D5533" t="str">
            <v>ICICI Prudential Large Cap Fund (erstwhile Bluechip Fund)  - Growth</v>
          </cell>
          <cell r="E5533">
            <v>107.81</v>
          </cell>
        </row>
        <row r="5534">
          <cell r="B5534" t="str">
            <v>INF109K01EP9</v>
          </cell>
          <cell r="C5534" t="str">
            <v>INF109K01BM2</v>
          </cell>
          <cell r="D5534" t="str">
            <v>ICICI Prudential Large Cap Fund (erstwhile Bluechip Fund)  - IDCW</v>
          </cell>
          <cell r="E5534">
            <v>29.07</v>
          </cell>
        </row>
        <row r="5535">
          <cell r="B5535" t="str">
            <v>INF109K016L0</v>
          </cell>
          <cell r="C5535" t="str">
            <v>-</v>
          </cell>
          <cell r="D5535" t="str">
            <v>ICICI Prudential Large Cap Fund (erstwhile Bluechip Fund) - Direct Plan - Growth</v>
          </cell>
          <cell r="E5535">
            <v>119.04</v>
          </cell>
        </row>
        <row r="5536">
          <cell r="B5536" t="str">
            <v/>
          </cell>
          <cell r="C5536" t="str">
            <v/>
          </cell>
          <cell r="D5536" t="str">
            <v/>
          </cell>
        </row>
        <row r="5537">
          <cell r="B5537" t="str">
            <v/>
          </cell>
          <cell r="C5537" t="str">
            <v/>
          </cell>
          <cell r="D5537" t="str">
            <v/>
          </cell>
        </row>
        <row r="5538">
          <cell r="B5538" t="str">
            <v/>
          </cell>
          <cell r="C5538" t="str">
            <v/>
          </cell>
          <cell r="D5538" t="str">
            <v/>
          </cell>
        </row>
        <row r="5539">
          <cell r="B5539" t="str">
            <v>INF205K01LB0</v>
          </cell>
          <cell r="C5539" t="str">
            <v>-</v>
          </cell>
          <cell r="D5539" t="str">
            <v>Invesco India Largecap Fund - Direct Plan - Growth</v>
          </cell>
          <cell r="E5539">
            <v>86.4</v>
          </cell>
        </row>
        <row r="5540">
          <cell r="B5540" t="str">
            <v>INF205K01KZ1</v>
          </cell>
          <cell r="C5540" t="str">
            <v>INF205K01LA2</v>
          </cell>
          <cell r="D5540" t="str">
            <v>Invesco India Largecap Fund - Direct Plan - IDCW (Payout / Reinvestment)</v>
          </cell>
          <cell r="E5540">
            <v>35.06</v>
          </cell>
        </row>
        <row r="5541">
          <cell r="B5541" t="str">
            <v>INF205K01304</v>
          </cell>
          <cell r="C5541" t="str">
            <v>-</v>
          </cell>
          <cell r="D5541" t="str">
            <v>Invesco India Largecap Fund - Regular Plan - Growth</v>
          </cell>
          <cell r="E5541">
            <v>71.069999999999993</v>
          </cell>
        </row>
        <row r="5542">
          <cell r="B5542" t="str">
            <v>INF205K01320</v>
          </cell>
          <cell r="C5542" t="str">
            <v>INF205K01312</v>
          </cell>
          <cell r="D5542" t="str">
            <v>Invesco India Largecap Fund - Regular Plan - IDCW (Payout / Reinvestment)</v>
          </cell>
          <cell r="E5542">
            <v>26.33</v>
          </cell>
        </row>
        <row r="5543">
          <cell r="B5543" t="str">
            <v/>
          </cell>
          <cell r="C5543" t="str">
            <v/>
          </cell>
          <cell r="D5543" t="str">
            <v/>
          </cell>
        </row>
        <row r="5544">
          <cell r="B5544" t="str">
            <v/>
          </cell>
          <cell r="C5544" t="str">
            <v/>
          </cell>
          <cell r="D5544" t="str">
            <v/>
          </cell>
        </row>
        <row r="5545">
          <cell r="B5545" t="str">
            <v/>
          </cell>
          <cell r="C5545" t="str">
            <v/>
          </cell>
          <cell r="D5545" t="str">
            <v/>
          </cell>
        </row>
        <row r="5546">
          <cell r="B5546" t="str">
            <v>INF00XX01804</v>
          </cell>
          <cell r="C5546" t="str">
            <v>-</v>
          </cell>
          <cell r="D5546" t="str">
            <v>ITI Large Cap Fund - Direct Plan - Growth Option</v>
          </cell>
          <cell r="E5546">
            <v>19.1797</v>
          </cell>
        </row>
        <row r="5547">
          <cell r="B5547" t="str">
            <v>INF00XX01812</v>
          </cell>
          <cell r="C5547" t="str">
            <v>INF00XX01820</v>
          </cell>
          <cell r="D5547" t="str">
            <v>ITI Large Cap Fund - Direct Plan - IDCW Option</v>
          </cell>
          <cell r="E5547">
            <v>18.202999999999999</v>
          </cell>
        </row>
        <row r="5548">
          <cell r="B5548" t="str">
            <v>INF00XX01770</v>
          </cell>
          <cell r="C5548" t="str">
            <v>-</v>
          </cell>
          <cell r="D5548" t="str">
            <v>ITI Large Cap Fund - Regular Plan - Growth Option</v>
          </cell>
          <cell r="E5548">
            <v>17.1526</v>
          </cell>
        </row>
        <row r="5549">
          <cell r="B5549" t="str">
            <v>INF00XX01788</v>
          </cell>
          <cell r="C5549" t="str">
            <v>INF00XX01796</v>
          </cell>
          <cell r="D5549" t="str">
            <v>ITI Large Cap Fund - Regular Plan - IDCW Option</v>
          </cell>
          <cell r="E5549">
            <v>16.183499999999999</v>
          </cell>
        </row>
        <row r="5550">
          <cell r="B5550" t="str">
            <v/>
          </cell>
          <cell r="C5550" t="str">
            <v/>
          </cell>
          <cell r="D5550" t="str">
            <v/>
          </cell>
        </row>
        <row r="5551">
          <cell r="B5551" t="str">
            <v/>
          </cell>
          <cell r="C5551" t="str">
            <v/>
          </cell>
          <cell r="D5551" t="str">
            <v/>
          </cell>
        </row>
        <row r="5552">
          <cell r="B5552" t="str">
            <v/>
          </cell>
          <cell r="C5552" t="str">
            <v/>
          </cell>
          <cell r="D5552" t="str">
            <v/>
          </cell>
        </row>
        <row r="5553">
          <cell r="B5553" t="str">
            <v>INF22M001176</v>
          </cell>
          <cell r="C5553" t="str">
            <v>-</v>
          </cell>
          <cell r="D5553" t="str">
            <v>JioBlackRock Large Cap Fund - Direct Plan - Growth Option</v>
          </cell>
          <cell r="E5553">
            <v>9.9528999999999996</v>
          </cell>
        </row>
        <row r="5554">
          <cell r="B5554" t="str">
            <v/>
          </cell>
          <cell r="C5554" t="str">
            <v/>
          </cell>
          <cell r="D5554" t="str">
            <v/>
          </cell>
        </row>
        <row r="5555">
          <cell r="B5555" t="str">
            <v/>
          </cell>
          <cell r="C5555" t="str">
            <v/>
          </cell>
          <cell r="D5555" t="str">
            <v/>
          </cell>
        </row>
        <row r="5556">
          <cell r="B5556" t="str">
            <v/>
          </cell>
          <cell r="C5556" t="str">
            <v/>
          </cell>
          <cell r="D5556" t="str">
            <v/>
          </cell>
        </row>
        <row r="5557">
          <cell r="B5557" t="str">
            <v>INF192K01JU4</v>
          </cell>
          <cell r="C5557" t="str">
            <v>INF192K01JV2</v>
          </cell>
          <cell r="D5557" t="str">
            <v>JM Large Cap Fund (Direct) - Annual IDCW</v>
          </cell>
          <cell r="E5557">
            <v>72.689300000000003</v>
          </cell>
        </row>
        <row r="5558">
          <cell r="B5558" t="str">
            <v>INF192K01BZ0</v>
          </cell>
          <cell r="C5558" t="str">
            <v>-</v>
          </cell>
          <cell r="D5558" t="str">
            <v>JM Large Cap Fund (Direct) - Growth Option</v>
          </cell>
          <cell r="E5558">
            <v>176.46530000000001</v>
          </cell>
        </row>
        <row r="5559">
          <cell r="B5559" t="str">
            <v>INF192K01JR0</v>
          </cell>
          <cell r="C5559" t="str">
            <v>INF192K01JZ3</v>
          </cell>
          <cell r="D5559" t="str">
            <v xml:space="preserve">JM Large Cap Fund (Direct) - Half Yearly IDCW </v>
          </cell>
          <cell r="E5559">
            <v>72.181200000000004</v>
          </cell>
        </row>
        <row r="5560">
          <cell r="B5560" t="str">
            <v>INF192K01BX5</v>
          </cell>
          <cell r="C5560" t="str">
            <v>INF192K01BY3</v>
          </cell>
          <cell r="D5560" t="str">
            <v>JM Large Cap Fund (Direct) - IDCW</v>
          </cell>
          <cell r="E5560">
            <v>70.848799999999997</v>
          </cell>
        </row>
        <row r="5561">
          <cell r="B5561" t="str">
            <v>INF192K01JJ7</v>
          </cell>
          <cell r="C5561" t="str">
            <v>INF192K01JK5</v>
          </cell>
          <cell r="D5561" t="str">
            <v xml:space="preserve">JM Large Cap Fund (Direct) - Monthly IDCW </v>
          </cell>
          <cell r="E5561">
            <v>72.030600000000007</v>
          </cell>
        </row>
        <row r="5562">
          <cell r="B5562" t="str">
            <v>INF192K01JN9</v>
          </cell>
          <cell r="C5562" t="str">
            <v>INF192K01JO7</v>
          </cell>
          <cell r="D5562" t="str">
            <v>JM Large Cap Fund (Direct) - Quarterly IDCW</v>
          </cell>
          <cell r="E5562">
            <v>72.702200000000005</v>
          </cell>
        </row>
        <row r="5563">
          <cell r="B5563" t="str">
            <v>INF192K01JS8</v>
          </cell>
          <cell r="C5563" t="str">
            <v>INF192K01JT6</v>
          </cell>
          <cell r="D5563" t="str">
            <v>JM Large Cap Fund (Regular) - Annual IDCW</v>
          </cell>
          <cell r="E5563">
            <v>30.3139</v>
          </cell>
        </row>
        <row r="5564">
          <cell r="B5564" t="str">
            <v>INF192K01601</v>
          </cell>
          <cell r="C5564" t="str">
            <v>-</v>
          </cell>
          <cell r="D5564" t="str">
            <v>JM Large Cap Fund (Regular) - Growth Option</v>
          </cell>
          <cell r="E5564">
            <v>151.8562</v>
          </cell>
        </row>
        <row r="5565">
          <cell r="B5565" t="str">
            <v>INF192K01JP4</v>
          </cell>
          <cell r="C5565" t="str">
            <v>INF192K01JQ2</v>
          </cell>
          <cell r="D5565" t="str">
            <v>JM Large Cap Fund (Regular) - Half Yearly IDCW</v>
          </cell>
          <cell r="E5565">
            <v>24.893999999999998</v>
          </cell>
        </row>
        <row r="5566">
          <cell r="B5566" t="str">
            <v>INF192K01585</v>
          </cell>
          <cell r="C5566" t="str">
            <v>INF192K01593</v>
          </cell>
          <cell r="D5566" t="str">
            <v xml:space="preserve">JM Large Cap Fund (Regular) - IDCW </v>
          </cell>
          <cell r="E5566">
            <v>29.478899999999999</v>
          </cell>
        </row>
        <row r="5567">
          <cell r="B5567" t="str">
            <v>INF192K01JH1</v>
          </cell>
          <cell r="C5567" t="str">
            <v>INF192K01JI9</v>
          </cell>
          <cell r="D5567" t="str">
            <v>JM Large Cap Fund (Regular) - Monthly IDCW</v>
          </cell>
          <cell r="E5567">
            <v>23.595600000000001</v>
          </cell>
        </row>
        <row r="5568">
          <cell r="B5568" t="str">
            <v>INF192K01JL3</v>
          </cell>
          <cell r="C5568" t="str">
            <v>INF192K01JM1</v>
          </cell>
          <cell r="D5568" t="str">
            <v>JM Large Cap Fund (Regular) - Quarterly IDCW</v>
          </cell>
          <cell r="E5568">
            <v>34.269799999999996</v>
          </cell>
        </row>
        <row r="5569">
          <cell r="B5569" t="str">
            <v/>
          </cell>
          <cell r="C5569" t="str">
            <v/>
          </cell>
          <cell r="D5569" t="str">
            <v/>
          </cell>
        </row>
        <row r="5570">
          <cell r="B5570" t="str">
            <v/>
          </cell>
          <cell r="C5570" t="str">
            <v/>
          </cell>
          <cell r="D5570" t="str">
            <v/>
          </cell>
        </row>
        <row r="5571">
          <cell r="B5571" t="str">
            <v/>
          </cell>
          <cell r="C5571" t="str">
            <v/>
          </cell>
          <cell r="D5571" t="str">
            <v/>
          </cell>
        </row>
        <row r="5572">
          <cell r="B5572" t="str">
            <v>INF174K01KW6</v>
          </cell>
          <cell r="C5572" t="str">
            <v>-</v>
          </cell>
          <cell r="D5572" t="str">
            <v>Kotak Large Cap  Fund - Growth - Direct</v>
          </cell>
          <cell r="E5572">
            <v>655.83100000000002</v>
          </cell>
        </row>
        <row r="5573">
          <cell r="B5573" t="str">
            <v>INF174K01153</v>
          </cell>
          <cell r="C5573" t="str">
            <v>-</v>
          </cell>
          <cell r="D5573" t="str">
            <v>Kotak Large Cap Fund - Growth</v>
          </cell>
          <cell r="E5573">
            <v>563.82299999999998</v>
          </cell>
        </row>
        <row r="5574">
          <cell r="B5574" t="str">
            <v>INF174K01KY2</v>
          </cell>
          <cell r="C5574" t="str">
            <v>INF174K01KX4</v>
          </cell>
          <cell r="D5574" t="str">
            <v>Kotak Large Cap Fund - Payout of Income Distribution cum capital withdrawal option - Direct</v>
          </cell>
          <cell r="E5574">
            <v>86.736000000000004</v>
          </cell>
        </row>
        <row r="5575">
          <cell r="B5575" t="str">
            <v>INF174K01179</v>
          </cell>
          <cell r="C5575" t="str">
            <v>INF174K01161</v>
          </cell>
          <cell r="D5575" t="str">
            <v>Kotak Large Cap Fund - Payout of Income Distribution cumcapital withdrawal option</v>
          </cell>
          <cell r="E5575">
            <v>72.78</v>
          </cell>
        </row>
        <row r="5576">
          <cell r="B5576" t="str">
            <v/>
          </cell>
          <cell r="C5576" t="str">
            <v/>
          </cell>
          <cell r="D5576" t="str">
            <v/>
          </cell>
        </row>
        <row r="5577">
          <cell r="B5577" t="str">
            <v/>
          </cell>
          <cell r="C5577" t="str">
            <v/>
          </cell>
          <cell r="D5577" t="str">
            <v/>
          </cell>
        </row>
        <row r="5578">
          <cell r="B5578" t="str">
            <v/>
          </cell>
          <cell r="C5578" t="str">
            <v/>
          </cell>
          <cell r="D5578" t="str">
            <v/>
          </cell>
        </row>
        <row r="5579">
          <cell r="B5579" t="str">
            <v>INF767K01EJ7</v>
          </cell>
          <cell r="C5579" t="str">
            <v>-</v>
          </cell>
          <cell r="D5579" t="str">
            <v>LIC MF Large Cap Fund-Direct Plan-Growth</v>
          </cell>
          <cell r="E5579">
            <v>60.801600000000001</v>
          </cell>
        </row>
        <row r="5580">
          <cell r="B5580" t="str">
            <v>INF767K01EI9</v>
          </cell>
          <cell r="C5580" t="str">
            <v>INF767K01EK5</v>
          </cell>
          <cell r="D5580" t="str">
            <v>LIC MF Large Cap Fund-Direct Plan-IDCW</v>
          </cell>
          <cell r="E5580">
            <v>38.286700000000003</v>
          </cell>
        </row>
        <row r="5581">
          <cell r="B5581" t="str">
            <v>INF767K01105</v>
          </cell>
          <cell r="C5581" t="str">
            <v>-</v>
          </cell>
          <cell r="D5581" t="str">
            <v>LIC MF Large Cap Fund-Regular Plan-Growth</v>
          </cell>
          <cell r="E5581">
            <v>52.898899999999998</v>
          </cell>
        </row>
        <row r="5582">
          <cell r="B5582" t="str">
            <v>INF767K01097</v>
          </cell>
          <cell r="C5582" t="str">
            <v>INF767K01089</v>
          </cell>
          <cell r="D5582" t="str">
            <v>LIC MF Large Cap Fund-Regular Plan-IDCW</v>
          </cell>
          <cell r="E5582">
            <v>31.947600000000001</v>
          </cell>
        </row>
        <row r="5583">
          <cell r="B5583" t="str">
            <v/>
          </cell>
          <cell r="C5583" t="str">
            <v/>
          </cell>
          <cell r="D5583" t="str">
            <v/>
          </cell>
        </row>
        <row r="5584">
          <cell r="B5584" t="str">
            <v/>
          </cell>
          <cell r="C5584" t="str">
            <v/>
          </cell>
          <cell r="D5584" t="str">
            <v/>
          </cell>
        </row>
        <row r="5585">
          <cell r="B5585" t="str">
            <v/>
          </cell>
          <cell r="C5585" t="str">
            <v/>
          </cell>
          <cell r="D5585" t="str">
            <v/>
          </cell>
        </row>
        <row r="5586">
          <cell r="B5586" t="str">
            <v>INF769K01AX2</v>
          </cell>
          <cell r="C5586" t="str">
            <v>-</v>
          </cell>
          <cell r="D5586" t="str">
            <v>Mirae Asset Large Cap Fund - Direct Plan - Growth</v>
          </cell>
          <cell r="E5586">
            <v>126.59099999999999</v>
          </cell>
        </row>
        <row r="5587">
          <cell r="B5587" t="str">
            <v>INF769K01010</v>
          </cell>
          <cell r="C5587" t="str">
            <v>-</v>
          </cell>
          <cell r="D5587" t="str">
            <v>Mirae Asset Large Cap Fund - Growth Plan</v>
          </cell>
          <cell r="E5587">
            <v>111.215</v>
          </cell>
        </row>
        <row r="5588">
          <cell r="B5588" t="str">
            <v>INF769K01AY0</v>
          </cell>
          <cell r="C5588" t="str">
            <v>INF769K01AZ7</v>
          </cell>
          <cell r="D5588" t="str">
            <v>Mirae Asset Large Cap Fund Direct IDCW</v>
          </cell>
          <cell r="E5588">
            <v>66.08</v>
          </cell>
        </row>
        <row r="5589">
          <cell r="B5589" t="str">
            <v>INF769K01036</v>
          </cell>
          <cell r="C5589" t="str">
            <v>INF769K01028</v>
          </cell>
          <cell r="D5589" t="str">
            <v>Mirae Asset Large Cap Fund Regular IDCW</v>
          </cell>
          <cell r="E5589">
            <v>28.486000000000001</v>
          </cell>
        </row>
        <row r="5590">
          <cell r="B5590" t="str">
            <v/>
          </cell>
          <cell r="C5590" t="str">
            <v/>
          </cell>
          <cell r="D5590" t="str">
            <v/>
          </cell>
        </row>
        <row r="5591">
          <cell r="B5591" t="str">
            <v/>
          </cell>
          <cell r="C5591" t="str">
            <v/>
          </cell>
          <cell r="D5591" t="str">
            <v/>
          </cell>
        </row>
        <row r="5592">
          <cell r="B5592" t="str">
            <v/>
          </cell>
          <cell r="C5592" t="str">
            <v/>
          </cell>
          <cell r="D5592" t="str">
            <v/>
          </cell>
        </row>
        <row r="5593">
          <cell r="B5593" t="str">
            <v>INF247L01CE3</v>
          </cell>
          <cell r="C5593" t="str">
            <v>-</v>
          </cell>
          <cell r="D5593" t="str">
            <v>Motilal Oswal Large Cap Direct Plan Growth</v>
          </cell>
          <cell r="E5593">
            <v>13.9657</v>
          </cell>
        </row>
        <row r="5594">
          <cell r="B5594" t="str">
            <v>INF247L01CF0</v>
          </cell>
          <cell r="C5594" t="str">
            <v>INF247L01CG8</v>
          </cell>
          <cell r="D5594" t="str">
            <v>Motilal Oswal Large Cap Direct Plan IDCW</v>
          </cell>
          <cell r="E5594">
            <v>12.588200000000001</v>
          </cell>
        </row>
        <row r="5595">
          <cell r="B5595" t="str">
            <v>INF247L01CB9</v>
          </cell>
          <cell r="C5595" t="str">
            <v>-</v>
          </cell>
          <cell r="D5595" t="str">
            <v>Motilal Oswal Large Cap Regular Plan Growth</v>
          </cell>
          <cell r="E5595">
            <v>13.5374</v>
          </cell>
        </row>
        <row r="5596">
          <cell r="B5596" t="str">
            <v>INF247L01CC7</v>
          </cell>
          <cell r="C5596" t="str">
            <v>INF247L01CD5</v>
          </cell>
          <cell r="D5596" t="str">
            <v>Motilal Oswal Large Cap Regular Plan IDCW</v>
          </cell>
          <cell r="E5596">
            <v>12.058</v>
          </cell>
        </row>
        <row r="5597">
          <cell r="B5597" t="str">
            <v/>
          </cell>
          <cell r="C5597" t="str">
            <v/>
          </cell>
          <cell r="D5597" t="str">
            <v/>
          </cell>
        </row>
        <row r="5598">
          <cell r="B5598" t="str">
            <v/>
          </cell>
          <cell r="C5598" t="str">
            <v/>
          </cell>
          <cell r="D5598" t="str">
            <v/>
          </cell>
        </row>
        <row r="5599">
          <cell r="B5599" t="str">
            <v/>
          </cell>
          <cell r="C5599" t="str">
            <v/>
          </cell>
          <cell r="D5599" t="str">
            <v/>
          </cell>
        </row>
        <row r="5600">
          <cell r="B5600" t="str">
            <v>INF204K01562</v>
          </cell>
          <cell r="C5600" t="str">
            <v>-</v>
          </cell>
          <cell r="D5600" t="str">
            <v>Nippon India Large Cap  Fund- Growth Plan -Growth Option</v>
          </cell>
          <cell r="E5600">
            <v>89.006699999999995</v>
          </cell>
        </row>
        <row r="5601">
          <cell r="B5601" t="str">
            <v>INF204K01XG7</v>
          </cell>
          <cell r="C5601" t="str">
            <v>INF204K01XH5</v>
          </cell>
          <cell r="D5601" t="str">
            <v>NIPPON INDIA LARGE CAP FUND - DIRECT Plan - IDCW Option</v>
          </cell>
          <cell r="E5601">
            <v>39.813600000000001</v>
          </cell>
        </row>
        <row r="5602">
          <cell r="B5602" t="str">
            <v>INF204K01D30</v>
          </cell>
          <cell r="C5602" t="str">
            <v>-</v>
          </cell>
          <cell r="D5602" t="str">
            <v>Nippon India Large Cap Fund - Direct Plan Growth Plan - Bonus Option</v>
          </cell>
          <cell r="E5602">
            <v>100.0997</v>
          </cell>
        </row>
        <row r="5603">
          <cell r="B5603" t="str">
            <v>INF204K01XI3</v>
          </cell>
          <cell r="C5603" t="str">
            <v>-</v>
          </cell>
          <cell r="D5603" t="str">
            <v>Nippon India Large Cap Fund - Direct Plan Growth Plan - Growth Option</v>
          </cell>
          <cell r="E5603">
            <v>100.0997</v>
          </cell>
        </row>
        <row r="5604">
          <cell r="B5604" t="str">
            <v>INF204K01539</v>
          </cell>
          <cell r="C5604" t="str">
            <v>INF204K01547</v>
          </cell>
          <cell r="D5604" t="str">
            <v>NIPPON INDIA LARGE CAP FUND - IDCW Option</v>
          </cell>
          <cell r="E5604">
            <v>26.0227</v>
          </cell>
        </row>
        <row r="5605">
          <cell r="B5605" t="str">
            <v>INF204K01554</v>
          </cell>
          <cell r="C5605" t="str">
            <v>-</v>
          </cell>
          <cell r="D5605" t="str">
            <v>Nippon India Large Cap Fund- Growth Plan Bonus Option</v>
          </cell>
          <cell r="E5605">
            <v>89.006699999999995</v>
          </cell>
        </row>
        <row r="5606">
          <cell r="B5606" t="str">
            <v>INF204K01513</v>
          </cell>
          <cell r="C5606" t="str">
            <v>-</v>
          </cell>
          <cell r="D5606" t="str">
            <v>Nippon India Large Cap Fund-Institutional Plan Growth Plan Bonus Option</v>
          </cell>
          <cell r="E5606">
            <v>34.136600000000001</v>
          </cell>
        </row>
        <row r="5607">
          <cell r="B5607" t="str">
            <v/>
          </cell>
          <cell r="C5607" t="str">
            <v/>
          </cell>
          <cell r="D5607" t="str">
            <v/>
          </cell>
        </row>
        <row r="5608">
          <cell r="B5608" t="str">
            <v/>
          </cell>
          <cell r="C5608" t="str">
            <v/>
          </cell>
          <cell r="D5608" t="str">
            <v/>
          </cell>
        </row>
        <row r="5609">
          <cell r="B5609" t="str">
            <v/>
          </cell>
          <cell r="C5609" t="str">
            <v/>
          </cell>
          <cell r="D5609" t="str">
            <v/>
          </cell>
        </row>
        <row r="5610">
          <cell r="B5610" t="str">
            <v>INF223J01895</v>
          </cell>
          <cell r="C5610" t="str">
            <v>-</v>
          </cell>
          <cell r="D5610" t="str">
            <v>PGIM India Large Cap Fund - BONUS OPTION</v>
          </cell>
          <cell r="E5610">
            <v>22.38</v>
          </cell>
        </row>
        <row r="5611">
          <cell r="B5611" t="str">
            <v>INF223J01MM0</v>
          </cell>
          <cell r="C5611" t="str">
            <v>-</v>
          </cell>
          <cell r="D5611" t="str">
            <v>PGIM India Large Cap Fund - Direct Plan - Bonus</v>
          </cell>
          <cell r="E5611">
            <v>24.02</v>
          </cell>
        </row>
        <row r="5612">
          <cell r="B5612" t="str">
            <v>INF663L01GS2</v>
          </cell>
          <cell r="C5612" t="str">
            <v>INF663L01GT0</v>
          </cell>
          <cell r="D5612" t="str">
            <v>PGIM India Large Cap Fund - Direct Plan - Dividend</v>
          </cell>
          <cell r="E5612">
            <v>26.27</v>
          </cell>
        </row>
        <row r="5613">
          <cell r="B5613" t="str">
            <v>INF663L01GR4</v>
          </cell>
          <cell r="C5613" t="str">
            <v>-</v>
          </cell>
          <cell r="D5613" t="str">
            <v>PGIM India Large Cap Fund - Direct Plan - Growth</v>
          </cell>
          <cell r="E5613">
            <v>397.81</v>
          </cell>
        </row>
        <row r="5614">
          <cell r="B5614" t="str">
            <v>INF663L01GU8</v>
          </cell>
          <cell r="C5614" t="str">
            <v>INF663L01GV6</v>
          </cell>
          <cell r="D5614" t="str">
            <v>PGIM India Large Cap Fund - Dividend</v>
          </cell>
          <cell r="E5614">
            <v>18.11</v>
          </cell>
        </row>
        <row r="5615">
          <cell r="B5615" t="str">
            <v>INF663L01GW4</v>
          </cell>
          <cell r="C5615" t="str">
            <v>-</v>
          </cell>
          <cell r="D5615" t="str">
            <v>PGIM India Large Cap Fund - Growth</v>
          </cell>
          <cell r="E5615">
            <v>330.12</v>
          </cell>
        </row>
        <row r="5616">
          <cell r="B5616" t="str">
            <v>INF223J01267</v>
          </cell>
          <cell r="C5616" t="str">
            <v>-</v>
          </cell>
          <cell r="D5616" t="str">
            <v>PGIM India Large Cap Fund Wealth Plan - Growth Option</v>
          </cell>
          <cell r="E5616">
            <v>34.74</v>
          </cell>
        </row>
        <row r="5617">
          <cell r="B5617" t="str">
            <v>INF223J01242</v>
          </cell>
          <cell r="C5617" t="str">
            <v>-</v>
          </cell>
          <cell r="D5617" t="str">
            <v>PGIM India Large Cap Fund Wealth Plan -Dividend Option</v>
          </cell>
          <cell r="E5617">
            <v>11.63</v>
          </cell>
        </row>
        <row r="5618">
          <cell r="B5618" t="str">
            <v/>
          </cell>
          <cell r="C5618" t="str">
            <v/>
          </cell>
          <cell r="D5618" t="str">
            <v/>
          </cell>
        </row>
        <row r="5619">
          <cell r="B5619" t="str">
            <v/>
          </cell>
          <cell r="C5619" t="str">
            <v/>
          </cell>
          <cell r="D5619" t="str">
            <v/>
          </cell>
        </row>
        <row r="5620">
          <cell r="B5620" t="str">
            <v/>
          </cell>
          <cell r="C5620" t="str">
            <v/>
          </cell>
          <cell r="D5620" t="str">
            <v/>
          </cell>
        </row>
        <row r="5621">
          <cell r="B5621" t="str">
            <v>INF879O01332</v>
          </cell>
          <cell r="C5621" t="str">
            <v>-</v>
          </cell>
          <cell r="D5621" t="str">
            <v>Parag Parikh Large Cap Fund - Direct Plan - Growth</v>
          </cell>
          <cell r="E5621">
            <v>9.5892999999999997</v>
          </cell>
        </row>
        <row r="5622">
          <cell r="B5622" t="str">
            <v>-</v>
          </cell>
          <cell r="C5622" t="str">
            <v>INF879O01357</v>
          </cell>
          <cell r="D5622" t="str">
            <v>Parag Parikh Large Cap Fund - Direct Plan - IDCW</v>
          </cell>
          <cell r="E5622">
            <v>9.5966000000000005</v>
          </cell>
        </row>
        <row r="5623">
          <cell r="B5623" t="str">
            <v>INF879O01365</v>
          </cell>
          <cell r="C5623" t="str">
            <v>-</v>
          </cell>
          <cell r="D5623" t="str">
            <v>Parag Parikh Large Cap Fund - Regular Plan - Growth</v>
          </cell>
          <cell r="E5623">
            <v>9.5721000000000007</v>
          </cell>
        </row>
        <row r="5624">
          <cell r="B5624" t="str">
            <v>-</v>
          </cell>
          <cell r="C5624" t="str">
            <v>INF879O01381</v>
          </cell>
          <cell r="D5624" t="str">
            <v>Parag Parikh Large Cap Fund - Regular Plan - IDCW</v>
          </cell>
          <cell r="E5624">
            <v>9.5719999999999992</v>
          </cell>
        </row>
        <row r="5625">
          <cell r="B5625" t="str">
            <v/>
          </cell>
          <cell r="C5625" t="str">
            <v/>
          </cell>
          <cell r="D5625" t="str">
            <v/>
          </cell>
        </row>
        <row r="5626">
          <cell r="B5626" t="str">
            <v/>
          </cell>
          <cell r="C5626" t="str">
            <v/>
          </cell>
          <cell r="D5626" t="str">
            <v/>
          </cell>
        </row>
        <row r="5627">
          <cell r="B5627" t="str">
            <v/>
          </cell>
          <cell r="C5627" t="str">
            <v/>
          </cell>
          <cell r="D5627" t="str">
            <v/>
          </cell>
        </row>
        <row r="5628">
          <cell r="B5628" t="str">
            <v>INF966L01AT0</v>
          </cell>
          <cell r="C5628" t="str">
            <v>-</v>
          </cell>
          <cell r="D5628" t="str">
            <v>quant Large Cap Fund - Growth Option - Direct Plan</v>
          </cell>
          <cell r="E5628">
            <v>16.9209</v>
          </cell>
        </row>
        <row r="5629">
          <cell r="B5629" t="str">
            <v>INF966L01AW4</v>
          </cell>
          <cell r="C5629" t="str">
            <v>-</v>
          </cell>
          <cell r="D5629" t="str">
            <v>quant Large Cap Fund - Growth Option - Regular Plan</v>
          </cell>
          <cell r="E5629">
            <v>15.904999999999999</v>
          </cell>
        </row>
        <row r="5630">
          <cell r="B5630" t="str">
            <v>INF966L01AU8</v>
          </cell>
          <cell r="C5630" t="str">
            <v>INF966L01AV6</v>
          </cell>
          <cell r="D5630" t="str">
            <v>quant Large Cap Fund - IDCW Option - Direct Plan</v>
          </cell>
          <cell r="E5630">
            <v>16.9909</v>
          </cell>
        </row>
        <row r="5631">
          <cell r="B5631" t="str">
            <v>INF966L01AX2</v>
          </cell>
          <cell r="C5631" t="str">
            <v>INF966L01AY0</v>
          </cell>
          <cell r="D5631" t="str">
            <v>quant Large Cap Fund - IDCW Option - Regular Plan</v>
          </cell>
          <cell r="E5631">
            <v>15.817</v>
          </cell>
        </row>
        <row r="5632">
          <cell r="B5632" t="str">
            <v/>
          </cell>
          <cell r="C5632" t="str">
            <v/>
          </cell>
          <cell r="D5632" t="str">
            <v/>
          </cell>
        </row>
        <row r="5633">
          <cell r="B5633" t="str">
            <v/>
          </cell>
          <cell r="C5633" t="str">
            <v/>
          </cell>
          <cell r="D5633" t="str">
            <v/>
          </cell>
        </row>
        <row r="5634">
          <cell r="B5634" t="str">
            <v/>
          </cell>
          <cell r="C5634" t="str">
            <v/>
          </cell>
          <cell r="D5634" t="str">
            <v/>
          </cell>
        </row>
        <row r="5635">
          <cell r="B5635" t="str">
            <v>INF0K1H01255</v>
          </cell>
          <cell r="C5635" t="str">
            <v>-</v>
          </cell>
          <cell r="D5635" t="str">
            <v>Samco Large Cap Fund - Direct Plan - Growth Option</v>
          </cell>
          <cell r="E5635">
            <v>9.23</v>
          </cell>
        </row>
        <row r="5636">
          <cell r="B5636" t="str">
            <v>INF0K1H01263</v>
          </cell>
          <cell r="C5636" t="str">
            <v>-</v>
          </cell>
          <cell r="D5636" t="str">
            <v>Samco Large Cap Fund - Regular Plan - Growth Option</v>
          </cell>
          <cell r="E5636">
            <v>9.0299999999999994</v>
          </cell>
        </row>
        <row r="5637">
          <cell r="B5637" t="str">
            <v/>
          </cell>
          <cell r="C5637" t="str">
            <v/>
          </cell>
          <cell r="D5637" t="str">
            <v/>
          </cell>
        </row>
        <row r="5638">
          <cell r="B5638" t="str">
            <v/>
          </cell>
          <cell r="C5638" t="str">
            <v/>
          </cell>
          <cell r="D5638" t="str">
            <v/>
          </cell>
        </row>
        <row r="5639">
          <cell r="B5639" t="str">
            <v/>
          </cell>
          <cell r="C5639" t="str">
            <v/>
          </cell>
          <cell r="D5639" t="str">
            <v/>
          </cell>
        </row>
        <row r="5640">
          <cell r="B5640" t="str">
            <v>INF200K01QV8</v>
          </cell>
          <cell r="C5640" t="str">
            <v>INF200K01QW6</v>
          </cell>
          <cell r="D5640" t="str">
            <v>SBI Large Cap Fund - Direct Plan - Income Distribution cum Capital Withdrawal Option (IDCW)</v>
          </cell>
          <cell r="E5640">
            <v>67.274299999999997</v>
          </cell>
        </row>
        <row r="5641">
          <cell r="B5641" t="str">
            <v>INF200K01164</v>
          </cell>
          <cell r="C5641" t="str">
            <v>INF200K01172</v>
          </cell>
          <cell r="D5641" t="str">
            <v>SBI Large Cap Fund - Regular Plan - Income Distribution cum Capital Withdrawal Option (IDCW)</v>
          </cell>
          <cell r="E5641">
            <v>52.877499999999998</v>
          </cell>
        </row>
        <row r="5642">
          <cell r="B5642" t="str">
            <v>INF200K01QX4</v>
          </cell>
          <cell r="C5642" t="str">
            <v>-</v>
          </cell>
          <cell r="D5642" t="str">
            <v>SBI Large Cap FUND-DIRECT PLAN -GROWTH</v>
          </cell>
          <cell r="E5642">
            <v>103.6592</v>
          </cell>
        </row>
        <row r="5643">
          <cell r="B5643" t="str">
            <v>INF200K01180</v>
          </cell>
          <cell r="C5643" t="str">
            <v>-</v>
          </cell>
          <cell r="D5643" t="str">
            <v>SBI Large Cap FUND-REGULAR PLAN GROWTH</v>
          </cell>
          <cell r="E5643">
            <v>92.949600000000004</v>
          </cell>
        </row>
        <row r="5644">
          <cell r="B5644" t="str">
            <v/>
          </cell>
          <cell r="C5644" t="str">
            <v/>
          </cell>
          <cell r="D5644" t="str">
            <v/>
          </cell>
        </row>
        <row r="5645">
          <cell r="B5645" t="str">
            <v/>
          </cell>
          <cell r="C5645" t="str">
            <v/>
          </cell>
          <cell r="D5645" t="str">
            <v/>
          </cell>
        </row>
        <row r="5646">
          <cell r="B5646" t="str">
            <v/>
          </cell>
          <cell r="C5646" t="str">
            <v/>
          </cell>
          <cell r="D5646" t="str">
            <v/>
          </cell>
        </row>
        <row r="5647">
          <cell r="B5647" t="str">
            <v>-</v>
          </cell>
          <cell r="C5647" t="str">
            <v>INF903JA1JE6</v>
          </cell>
          <cell r="D5647" t="str">
            <v>Sundaram Large Cap Fund (Formerly Known as Sundaram Blue Chip  Fund)  Direct Plan - Reinvestment of Income Distribution cum Capital Withdrawal (IDCW)</v>
          </cell>
          <cell r="E5647">
            <v>16.266500000000001</v>
          </cell>
        </row>
        <row r="5648">
          <cell r="B5648" t="str">
            <v>INF903JA1JA4</v>
          </cell>
          <cell r="C5648" t="str">
            <v>-</v>
          </cell>
          <cell r="D5648" t="str">
            <v>Sundaram Large Cap Fund (Formerly Known as Sundaram Blue Chip Fund)  Regular Plan - Payout of Income Distribution cum Capital Withdrawal (IDCW)</v>
          </cell>
          <cell r="E5648">
            <v>14.9373</v>
          </cell>
        </row>
        <row r="5649">
          <cell r="B5649" t="str">
            <v>INF903JA1JD8</v>
          </cell>
          <cell r="C5649" t="str">
            <v>-</v>
          </cell>
          <cell r="D5649" t="str">
            <v>Sundaram Large Cap Fund (Formerly Known as Sundaram Blue Chip Fund) Direct Plan - Payout of Income Distribution cum Capital Withdrawal (IDCW)</v>
          </cell>
          <cell r="E5649">
            <v>16.266500000000001</v>
          </cell>
        </row>
        <row r="5650">
          <cell r="B5650" t="str">
            <v>-</v>
          </cell>
          <cell r="C5650" t="str">
            <v>INF903JA1JB2</v>
          </cell>
          <cell r="D5650" t="str">
            <v>Sundaram Large Cap Fund (Formerly Known as Sundaram Blue Chip Fund) Regular Plan - Reinvestment of Income Distribution cum Capital Withdrawal (IDCW)</v>
          </cell>
          <cell r="E5650">
            <v>14.9373</v>
          </cell>
        </row>
        <row r="5651">
          <cell r="B5651" t="str">
            <v>INF903JA1JC0</v>
          </cell>
          <cell r="C5651" t="str">
            <v>-</v>
          </cell>
          <cell r="D5651" t="str">
            <v>Sundaram Large Cap Fund (Formerly Known as Sundaram Blue Chip Fund)Direct Plan - Growth</v>
          </cell>
          <cell r="E5651">
            <v>22.4038</v>
          </cell>
        </row>
        <row r="5652">
          <cell r="B5652" t="str">
            <v>INF903JA1IZ3</v>
          </cell>
          <cell r="C5652" t="str">
            <v>-</v>
          </cell>
          <cell r="D5652" t="str">
            <v>Sundaram Large Cap Fund(Formerly Known as Sundaram Blue Chip Fund) Regular Plan - Growth</v>
          </cell>
          <cell r="E5652">
            <v>20.605799999999999</v>
          </cell>
        </row>
        <row r="5653">
          <cell r="B5653" t="str">
            <v/>
          </cell>
          <cell r="C5653" t="str">
            <v/>
          </cell>
          <cell r="D5653" t="str">
            <v/>
          </cell>
        </row>
        <row r="5654">
          <cell r="B5654" t="str">
            <v/>
          </cell>
          <cell r="C5654" t="str">
            <v/>
          </cell>
          <cell r="D5654" t="str">
            <v/>
          </cell>
        </row>
        <row r="5655">
          <cell r="B5655" t="str">
            <v/>
          </cell>
          <cell r="C5655" t="str">
            <v/>
          </cell>
          <cell r="D5655" t="str">
            <v/>
          </cell>
        </row>
        <row r="5656">
          <cell r="B5656" t="str">
            <v>INF277K01QZ7</v>
          </cell>
          <cell r="C5656" t="str">
            <v>-</v>
          </cell>
          <cell r="D5656" t="str">
            <v>Tata Large Cap Fund -Direct Plan Growth Option</v>
          </cell>
          <cell r="E5656">
            <v>590.99120000000005</v>
          </cell>
        </row>
        <row r="5657">
          <cell r="B5657" t="str">
            <v>INF277K01931</v>
          </cell>
          <cell r="C5657" t="str">
            <v>-</v>
          </cell>
          <cell r="D5657" t="str">
            <v>Tata Large Cap Fund -Regular Plan - Growth Option</v>
          </cell>
          <cell r="E5657">
            <v>509.59350000000001</v>
          </cell>
        </row>
        <row r="5658">
          <cell r="B5658" t="str">
            <v>INF277K01QX2</v>
          </cell>
          <cell r="C5658" t="str">
            <v>INF277K01QY0</v>
          </cell>
          <cell r="D5658" t="str">
            <v>Tata Large Cap Fund- Direct Plan - Payout of IDCW Option</v>
          </cell>
          <cell r="E5658">
            <v>125.36109999999999</v>
          </cell>
        </row>
        <row r="5659">
          <cell r="B5659" t="str">
            <v>INF277K01EG3</v>
          </cell>
          <cell r="C5659" t="str">
            <v>INF277K01923</v>
          </cell>
          <cell r="D5659" t="str">
            <v>Tata Large Cap Fund- Regular Plan - Payout of IDCW Option</v>
          </cell>
          <cell r="E5659">
            <v>102.1579</v>
          </cell>
        </row>
        <row r="5660">
          <cell r="B5660" t="str">
            <v/>
          </cell>
          <cell r="C5660" t="str">
            <v/>
          </cell>
          <cell r="D5660" t="str">
            <v/>
          </cell>
        </row>
        <row r="5661">
          <cell r="B5661" t="str">
            <v/>
          </cell>
          <cell r="C5661" t="str">
            <v/>
          </cell>
          <cell r="D5661" t="str">
            <v/>
          </cell>
        </row>
        <row r="5662">
          <cell r="B5662" t="str">
            <v/>
          </cell>
          <cell r="C5662" t="str">
            <v/>
          </cell>
          <cell r="D5662" t="str">
            <v/>
          </cell>
        </row>
        <row r="5663">
          <cell r="B5663" t="str">
            <v>INF044D01BX3</v>
          </cell>
          <cell r="C5663" t="str">
            <v>-</v>
          </cell>
          <cell r="D5663" t="str">
            <v>Taurus Large Cap Fund - Direct Plan - Growth</v>
          </cell>
          <cell r="E5663">
            <v>172.34</v>
          </cell>
        </row>
        <row r="5664">
          <cell r="B5664" t="str">
            <v>INF044D01BY1</v>
          </cell>
          <cell r="C5664" t="str">
            <v>INF044D01BZ8</v>
          </cell>
          <cell r="D5664" t="str">
            <v>Taurus Large Cap Fund - Direct Plan - Payout of Income Distribution cum Capital Withdrawal option</v>
          </cell>
          <cell r="E5664">
            <v>75.91</v>
          </cell>
        </row>
        <row r="5665">
          <cell r="B5665" t="str">
            <v>INF044D01773</v>
          </cell>
          <cell r="C5665" t="str">
            <v>-</v>
          </cell>
          <cell r="D5665" t="str">
            <v>Taurus Large Cap Fund - Regular Plan - Growth</v>
          </cell>
          <cell r="E5665">
            <v>162.56</v>
          </cell>
        </row>
        <row r="5666">
          <cell r="B5666" t="str">
            <v>INF044D01740</v>
          </cell>
          <cell r="C5666" t="str">
            <v>INF044D01757</v>
          </cell>
          <cell r="D5666" t="str">
            <v>Taurus Large Cap Fund - Regular Plan - Payout of Income Distribution cum Capital Withdrawal option</v>
          </cell>
          <cell r="E5666">
            <v>71.209999999999994</v>
          </cell>
        </row>
        <row r="5667">
          <cell r="B5667" t="str">
            <v/>
          </cell>
          <cell r="C5667" t="str">
            <v/>
          </cell>
          <cell r="D5667" t="str">
            <v/>
          </cell>
        </row>
        <row r="5668">
          <cell r="B5668" t="str">
            <v/>
          </cell>
          <cell r="C5668" t="str">
            <v/>
          </cell>
          <cell r="D5668" t="str">
            <v/>
          </cell>
        </row>
        <row r="5669">
          <cell r="B5669" t="str">
            <v/>
          </cell>
          <cell r="C5669" t="str">
            <v/>
          </cell>
          <cell r="D5669" t="str">
            <v/>
          </cell>
        </row>
        <row r="5670">
          <cell r="B5670" t="str">
            <v>INF582M01CU7</v>
          </cell>
          <cell r="C5670" t="str">
            <v>-</v>
          </cell>
          <cell r="D5670" t="str">
            <v>Union Largecap Fund - Direct Plan - Growth Option</v>
          </cell>
          <cell r="E5670">
            <v>24.64</v>
          </cell>
        </row>
        <row r="5671">
          <cell r="B5671" t="str">
            <v>INF582M01CV5</v>
          </cell>
          <cell r="C5671" t="str">
            <v>INF582M01CW3</v>
          </cell>
          <cell r="D5671" t="str">
            <v>Union Largecap Fund - Direct Plan - IDCW Option</v>
          </cell>
          <cell r="E5671">
            <v>24.64</v>
          </cell>
        </row>
        <row r="5672">
          <cell r="B5672" t="str">
            <v>INF582M01CQ5</v>
          </cell>
          <cell r="C5672" t="str">
            <v>-</v>
          </cell>
          <cell r="D5672" t="str">
            <v>Union Largecap Fund - Regular Plan - Growth Option</v>
          </cell>
          <cell r="E5672">
            <v>23</v>
          </cell>
        </row>
        <row r="5673">
          <cell r="B5673" t="str">
            <v>INF582M01CR3</v>
          </cell>
          <cell r="C5673" t="str">
            <v>INF582M01CS1</v>
          </cell>
          <cell r="D5673" t="str">
            <v>Union Largecap Fund - Regular Plan - IDCW Option</v>
          </cell>
          <cell r="E5673">
            <v>23</v>
          </cell>
        </row>
        <row r="5674">
          <cell r="B5674" t="str">
            <v/>
          </cell>
          <cell r="C5674" t="str">
            <v/>
          </cell>
          <cell r="D5674" t="str">
            <v/>
          </cell>
        </row>
        <row r="5675">
          <cell r="B5675" t="str">
            <v/>
          </cell>
          <cell r="C5675" t="str">
            <v/>
          </cell>
          <cell r="D5675" t="str">
            <v/>
          </cell>
        </row>
        <row r="5676">
          <cell r="B5676" t="str">
            <v/>
          </cell>
          <cell r="C5676" t="str">
            <v/>
          </cell>
          <cell r="D5676" t="str">
            <v/>
          </cell>
        </row>
        <row r="5677">
          <cell r="B5677" t="str">
            <v>INF789F01US8</v>
          </cell>
          <cell r="C5677" t="str">
            <v>-</v>
          </cell>
          <cell r="D5677" t="str">
            <v>UTI Large Cap Fund - Direct Plan - Growth Option</v>
          </cell>
          <cell r="E5677">
            <v>289.96050000000002</v>
          </cell>
        </row>
        <row r="5678">
          <cell r="B5678" t="str">
            <v>INF789F01UQ2</v>
          </cell>
          <cell r="C5678" t="str">
            <v>INF789F01UR0</v>
          </cell>
          <cell r="D5678" t="str">
            <v>UTI Large Cap Fund - Direct Plan - IDCW</v>
          </cell>
          <cell r="E5678">
            <v>61.628900000000002</v>
          </cell>
        </row>
        <row r="5679">
          <cell r="B5679" t="str">
            <v>INF789F01976</v>
          </cell>
          <cell r="C5679" t="str">
            <v>-</v>
          </cell>
          <cell r="D5679" t="str">
            <v>UTI Large Cap Fund - Regular Plan - Growth Option</v>
          </cell>
          <cell r="E5679">
            <v>262.35930000000002</v>
          </cell>
        </row>
        <row r="5680">
          <cell r="B5680" t="str">
            <v>INF189A01038</v>
          </cell>
          <cell r="C5680" t="str">
            <v>INF789F01950</v>
          </cell>
          <cell r="D5680" t="str">
            <v>UTI Large Cap Fund - Regular Plan - IDCW</v>
          </cell>
          <cell r="E5680">
            <v>51.698900000000002</v>
          </cell>
        </row>
        <row r="5681">
          <cell r="B5681" t="str">
            <v/>
          </cell>
          <cell r="C5681" t="str">
            <v/>
          </cell>
          <cell r="D5681" t="str">
            <v/>
          </cell>
        </row>
        <row r="5682">
          <cell r="B5682" t="str">
            <v/>
          </cell>
          <cell r="C5682" t="str">
            <v/>
          </cell>
          <cell r="D5682" t="str">
            <v/>
          </cell>
        </row>
        <row r="5683">
          <cell r="B5683" t="str">
            <v/>
          </cell>
          <cell r="C5683" t="str">
            <v/>
          </cell>
          <cell r="D5683" t="str">
            <v/>
          </cell>
        </row>
        <row r="5684">
          <cell r="B5684" t="str">
            <v>INF03VN01696</v>
          </cell>
          <cell r="C5684" t="str">
            <v>-</v>
          </cell>
          <cell r="D5684" t="str">
            <v>WhiteOak Capital Large Cap Fund Direct Plan Growth</v>
          </cell>
          <cell r="E5684">
            <v>15.773999999999999</v>
          </cell>
        </row>
        <row r="5685">
          <cell r="B5685" t="str">
            <v>INF03VN01704</v>
          </cell>
          <cell r="C5685" t="str">
            <v>INF03VN01712</v>
          </cell>
          <cell r="D5685" t="str">
            <v>WhiteOak Capital Large Cap Fund Direct Plan IDCW</v>
          </cell>
          <cell r="E5685">
            <v>15.773999999999999</v>
          </cell>
        </row>
        <row r="5686">
          <cell r="B5686" t="str">
            <v>INF03VN01662</v>
          </cell>
          <cell r="C5686" t="str">
            <v>-</v>
          </cell>
          <cell r="D5686" t="str">
            <v>WhiteOak Capital Large Cap Fund Regular Plan Growth</v>
          </cell>
          <cell r="E5686">
            <v>14.851000000000001</v>
          </cell>
        </row>
        <row r="5687">
          <cell r="B5687" t="str">
            <v>INF03VN01670</v>
          </cell>
          <cell r="C5687" t="str">
            <v>INF03VN01688</v>
          </cell>
          <cell r="D5687" t="str">
            <v>WhiteOak Capital Large Cap Fund Regular Plan IDCW</v>
          </cell>
          <cell r="E5687">
            <v>14.851000000000001</v>
          </cell>
        </row>
        <row r="5688">
          <cell r="B5688" t="str">
            <v/>
          </cell>
          <cell r="C5688" t="str">
            <v/>
          </cell>
          <cell r="D5688" t="str">
            <v/>
          </cell>
        </row>
        <row r="5689">
          <cell r="B5689" t="str">
            <v/>
          </cell>
          <cell r="C5689" t="str">
            <v/>
          </cell>
          <cell r="D5689" t="str">
            <v/>
          </cell>
        </row>
        <row r="5690">
          <cell r="B5690" t="str">
            <v/>
          </cell>
          <cell r="C5690" t="str">
            <v/>
          </cell>
          <cell r="D5690" t="str">
            <v/>
          </cell>
        </row>
        <row r="5691">
          <cell r="B5691" t="str">
            <v/>
          </cell>
          <cell r="C5691" t="str">
            <v/>
          </cell>
          <cell r="D5691" t="str">
            <v/>
          </cell>
        </row>
        <row r="5692">
          <cell r="B5692" t="str">
            <v/>
          </cell>
          <cell r="C5692" t="str">
            <v/>
          </cell>
          <cell r="D5692" t="str">
            <v/>
          </cell>
        </row>
        <row r="5693">
          <cell r="B5693" t="str">
            <v>INF209K01Q30</v>
          </cell>
          <cell r="C5693" t="str">
            <v>-</v>
          </cell>
          <cell r="D5693" t="str">
            <v>Aditya Birla Sun Life Midcap Fund - Growth - Direct Plan</v>
          </cell>
          <cell r="E5693">
            <v>941.24</v>
          </cell>
        </row>
        <row r="5694">
          <cell r="B5694" t="str">
            <v>INF209K01Q22</v>
          </cell>
          <cell r="C5694" t="str">
            <v>-</v>
          </cell>
          <cell r="D5694" t="str">
            <v>Aditya Birla Sun Life Midcap Fund -DIRECT - IDCW</v>
          </cell>
          <cell r="E5694">
            <v>100.5</v>
          </cell>
        </row>
        <row r="5695">
          <cell r="B5695" t="str">
            <v>INF209K01355</v>
          </cell>
          <cell r="C5695" t="str">
            <v>INF209K01CN6</v>
          </cell>
          <cell r="D5695" t="str">
            <v>Aditya Birla Sun Life Midcap Fund -REGULAR - IDCW</v>
          </cell>
          <cell r="E5695">
            <v>58.43</v>
          </cell>
        </row>
        <row r="5696">
          <cell r="B5696" t="str">
            <v>INF209K01363</v>
          </cell>
          <cell r="C5696" t="str">
            <v>-</v>
          </cell>
          <cell r="D5696" t="str">
            <v>Aditya Birla Sun Life MIDCAP Fund-Growth</v>
          </cell>
          <cell r="E5696">
            <v>837.89</v>
          </cell>
        </row>
        <row r="5697">
          <cell r="B5697" t="str">
            <v/>
          </cell>
          <cell r="C5697" t="str">
            <v/>
          </cell>
          <cell r="D5697" t="str">
            <v/>
          </cell>
        </row>
        <row r="5698">
          <cell r="B5698" t="str">
            <v/>
          </cell>
          <cell r="C5698" t="str">
            <v/>
          </cell>
          <cell r="D5698" t="str">
            <v/>
          </cell>
        </row>
        <row r="5699">
          <cell r="B5699" t="str">
            <v/>
          </cell>
          <cell r="C5699" t="str">
            <v/>
          </cell>
          <cell r="D5699" t="str">
            <v/>
          </cell>
        </row>
        <row r="5700">
          <cell r="B5700" t="str">
            <v>INF846K01EH3</v>
          </cell>
          <cell r="C5700" t="str">
            <v>-</v>
          </cell>
          <cell r="D5700" t="str">
            <v>Axis Midcap Fund - Direct Plan - Growth</v>
          </cell>
          <cell r="E5700">
            <v>141.24</v>
          </cell>
        </row>
        <row r="5701">
          <cell r="B5701" t="str">
            <v>INF846K01EF7</v>
          </cell>
          <cell r="C5701" t="str">
            <v>INF846K01EG5</v>
          </cell>
          <cell r="D5701" t="str">
            <v>Axis Midcap Fund - Direct Plan - IDCW</v>
          </cell>
          <cell r="E5701">
            <v>54.74</v>
          </cell>
        </row>
        <row r="5702">
          <cell r="B5702" t="str">
            <v>INF846K01859</v>
          </cell>
          <cell r="C5702" t="str">
            <v>-</v>
          </cell>
          <cell r="D5702" t="str">
            <v>Axis Midcap Fund - Regular Plan - Growth</v>
          </cell>
          <cell r="E5702">
            <v>120.29</v>
          </cell>
        </row>
        <row r="5703">
          <cell r="B5703" t="str">
            <v>INF846K01867</v>
          </cell>
          <cell r="C5703" t="str">
            <v>INF846K01875</v>
          </cell>
          <cell r="D5703" t="str">
            <v>Axis Midcap Fund - Regular Plan - IDCW</v>
          </cell>
          <cell r="E5703">
            <v>41.01</v>
          </cell>
        </row>
        <row r="5704">
          <cell r="B5704" t="str">
            <v/>
          </cell>
          <cell r="C5704" t="str">
            <v/>
          </cell>
          <cell r="D5704" t="str">
            <v/>
          </cell>
        </row>
        <row r="5705">
          <cell r="B5705" t="str">
            <v/>
          </cell>
          <cell r="C5705" t="str">
            <v/>
          </cell>
          <cell r="D5705" t="str">
            <v/>
          </cell>
        </row>
        <row r="5706">
          <cell r="B5706" t="str">
            <v/>
          </cell>
          <cell r="C5706" t="str">
            <v/>
          </cell>
          <cell r="D5706" t="str">
            <v/>
          </cell>
        </row>
        <row r="5707">
          <cell r="B5707" t="str">
            <v>INF194KB1DJ2</v>
          </cell>
          <cell r="C5707" t="str">
            <v>-</v>
          </cell>
          <cell r="D5707" t="str">
            <v>BANDHAN MIDCAP FUND - GROWTH - DIRECT PLAN</v>
          </cell>
          <cell r="E5707">
            <v>19.731999999999999</v>
          </cell>
        </row>
        <row r="5708">
          <cell r="B5708" t="str">
            <v>INF194KB1DM6</v>
          </cell>
          <cell r="C5708" t="str">
            <v>-</v>
          </cell>
          <cell r="D5708" t="str">
            <v>BANDHAN MIDCAP FUND - GROWTH - REGULAR PLAN</v>
          </cell>
          <cell r="E5708">
            <v>18.567</v>
          </cell>
        </row>
        <row r="5709">
          <cell r="B5709" t="str">
            <v>INF194KB1DK0</v>
          </cell>
          <cell r="C5709" t="str">
            <v>INF194KB1DL8</v>
          </cell>
          <cell r="D5709" t="str">
            <v>BANDHAN MIDCAP FUND - IDCW - DIRECT PLAN</v>
          </cell>
          <cell r="E5709">
            <v>19.713999999999999</v>
          </cell>
        </row>
        <row r="5710">
          <cell r="B5710" t="str">
            <v>INF194KB1DN4</v>
          </cell>
          <cell r="C5710" t="str">
            <v>INF194KB1DO2</v>
          </cell>
          <cell r="D5710" t="str">
            <v>BANDHAN MIDCAP FUND - IDCW - REGULAR PLAN</v>
          </cell>
          <cell r="E5710">
            <v>17.416</v>
          </cell>
        </row>
        <row r="5711">
          <cell r="B5711" t="str">
            <v/>
          </cell>
          <cell r="C5711" t="str">
            <v/>
          </cell>
          <cell r="D5711" t="str">
            <v/>
          </cell>
        </row>
        <row r="5712">
          <cell r="B5712" t="str">
            <v/>
          </cell>
          <cell r="C5712" t="str">
            <v/>
          </cell>
          <cell r="D5712" t="str">
            <v/>
          </cell>
        </row>
        <row r="5713">
          <cell r="B5713" t="str">
            <v/>
          </cell>
          <cell r="C5713" t="str">
            <v/>
          </cell>
          <cell r="D5713" t="str">
            <v/>
          </cell>
        </row>
        <row r="5714">
          <cell r="B5714" t="str">
            <v>INF761K01GY4</v>
          </cell>
          <cell r="C5714" t="str">
            <v>-</v>
          </cell>
          <cell r="D5714" t="str">
            <v>Bank of India Mid Cap Fund - Direct Plan Growth</v>
          </cell>
          <cell r="E5714">
            <v>10.37</v>
          </cell>
        </row>
        <row r="5715">
          <cell r="B5715" t="str">
            <v>INF761K01GZ1</v>
          </cell>
          <cell r="C5715" t="str">
            <v>INF761K01HA2</v>
          </cell>
          <cell r="D5715" t="str">
            <v>Bank of India Mid Cap Fund - Direct Plan IDCW</v>
          </cell>
          <cell r="E5715">
            <v>10.37</v>
          </cell>
        </row>
        <row r="5716">
          <cell r="B5716" t="str">
            <v>INF761K01HB0</v>
          </cell>
          <cell r="C5716" t="str">
            <v>-</v>
          </cell>
          <cell r="D5716" t="str">
            <v>Bank of India Mid Cap Fund - Regular Plan Growth</v>
          </cell>
          <cell r="E5716">
            <v>10.26</v>
          </cell>
        </row>
        <row r="5717">
          <cell r="B5717" t="str">
            <v>INF761K01HC8</v>
          </cell>
          <cell r="C5717" t="str">
            <v>INF761K01HD6</v>
          </cell>
          <cell r="D5717" t="str">
            <v>Bank of India Mid Cap Fund - Regular Plan IDCW</v>
          </cell>
          <cell r="E5717">
            <v>10.26</v>
          </cell>
        </row>
        <row r="5718">
          <cell r="B5718" t="str">
            <v/>
          </cell>
          <cell r="C5718" t="str">
            <v/>
          </cell>
          <cell r="D5718" t="str">
            <v/>
          </cell>
        </row>
        <row r="5719">
          <cell r="B5719" t="str">
            <v/>
          </cell>
          <cell r="C5719" t="str">
            <v/>
          </cell>
          <cell r="D5719" t="str">
            <v/>
          </cell>
        </row>
        <row r="5720">
          <cell r="B5720" t="str">
            <v/>
          </cell>
          <cell r="C5720" t="str">
            <v/>
          </cell>
          <cell r="D5720" t="str">
            <v/>
          </cell>
        </row>
        <row r="5721">
          <cell r="B5721" t="str">
            <v>INF251K01HQ0</v>
          </cell>
          <cell r="C5721" t="str">
            <v>-</v>
          </cell>
          <cell r="D5721" t="str">
            <v>BARODA BNP PARIBAS Mid Cap Fund - Direct Plan - Growth Option</v>
          </cell>
          <cell r="E5721">
            <v>134.37860000000001</v>
          </cell>
        </row>
        <row r="5722">
          <cell r="B5722" t="str">
            <v>INF251K01HO5</v>
          </cell>
          <cell r="C5722" t="str">
            <v>INF251K01HP2</v>
          </cell>
          <cell r="D5722" t="str">
            <v>BARODA BNP PARIBAS Mid Cap Fund - Direct Plan - IDCW Option</v>
          </cell>
          <cell r="E5722">
            <v>74.2851</v>
          </cell>
        </row>
        <row r="5723">
          <cell r="B5723" t="str">
            <v>INF251K01AW3</v>
          </cell>
          <cell r="C5723" t="str">
            <v>-</v>
          </cell>
          <cell r="D5723" t="str">
            <v>BARODA BNP PARIBAS Mid Cap Fund - Regular Plan - Growth Option</v>
          </cell>
          <cell r="E5723">
            <v>111.27030000000001</v>
          </cell>
        </row>
        <row r="5724">
          <cell r="B5724" t="str">
            <v>INF251K01AX1</v>
          </cell>
          <cell r="C5724" t="str">
            <v>INF251K01AY9</v>
          </cell>
          <cell r="D5724" t="str">
            <v>BARODA BNP PARIBAS Mid Cap Fund - Regular Plan - IDCW Option</v>
          </cell>
          <cell r="E5724">
            <v>57.919199999999996</v>
          </cell>
        </row>
        <row r="5725">
          <cell r="B5725" t="str">
            <v/>
          </cell>
          <cell r="C5725" t="str">
            <v/>
          </cell>
          <cell r="D5725" t="str">
            <v/>
          </cell>
        </row>
        <row r="5726">
          <cell r="B5726" t="str">
            <v/>
          </cell>
          <cell r="C5726" t="str">
            <v/>
          </cell>
          <cell r="D5726" t="str">
            <v/>
          </cell>
        </row>
        <row r="5727">
          <cell r="B5727" t="str">
            <v/>
          </cell>
          <cell r="C5727" t="str">
            <v/>
          </cell>
          <cell r="D5727" t="str">
            <v/>
          </cell>
        </row>
        <row r="5728">
          <cell r="B5728" t="str">
            <v>INF760K01KI1</v>
          </cell>
          <cell r="C5728" t="str">
            <v>-</v>
          </cell>
          <cell r="D5728" t="str">
            <v>Canara Robeco Mid Cap Fund- Direct Plan- Growth Option</v>
          </cell>
          <cell r="E5728">
            <v>19.100000000000001</v>
          </cell>
        </row>
        <row r="5729">
          <cell r="B5729" t="str">
            <v>INF760K01KK7</v>
          </cell>
          <cell r="C5729" t="str">
            <v>INF760K01KJ9</v>
          </cell>
          <cell r="D5729" t="str">
            <v>Canara Robeco Mid Cap Fund- Direct Plan- IDCW</v>
          </cell>
          <cell r="E5729">
            <v>17.59</v>
          </cell>
        </row>
        <row r="5730">
          <cell r="B5730" t="str">
            <v>INF760K01KL5</v>
          </cell>
          <cell r="C5730" t="str">
            <v>-</v>
          </cell>
          <cell r="D5730" t="str">
            <v>Canara Robeco Mid Cap Fund- Regular Plan- Growth Option</v>
          </cell>
          <cell r="E5730">
            <v>18.16</v>
          </cell>
        </row>
        <row r="5731">
          <cell r="B5731" t="str">
            <v>INF760K01KN1</v>
          </cell>
          <cell r="C5731" t="str">
            <v>INF760K01KM3</v>
          </cell>
          <cell r="D5731" t="str">
            <v>Canara Robeco Mid Cap Fund- Regular Plan- IDCW</v>
          </cell>
          <cell r="E5731">
            <v>16.7</v>
          </cell>
        </row>
        <row r="5732">
          <cell r="B5732" t="str">
            <v/>
          </cell>
          <cell r="C5732" t="str">
            <v/>
          </cell>
          <cell r="D5732" t="str">
            <v/>
          </cell>
        </row>
        <row r="5733">
          <cell r="B5733" t="str">
            <v/>
          </cell>
          <cell r="C5733" t="str">
            <v/>
          </cell>
          <cell r="D5733" t="str">
            <v/>
          </cell>
        </row>
        <row r="5734">
          <cell r="B5734" t="str">
            <v/>
          </cell>
          <cell r="C5734" t="str">
            <v/>
          </cell>
          <cell r="D5734" t="str">
            <v/>
          </cell>
        </row>
        <row r="5735">
          <cell r="B5735" t="str">
            <v>INF740K01PX1</v>
          </cell>
          <cell r="C5735" t="str">
            <v>-</v>
          </cell>
          <cell r="D5735" t="str">
            <v>DSP Midcap Fund - Direct Plan - Growth</v>
          </cell>
          <cell r="E5735">
            <v>172.137</v>
          </cell>
        </row>
        <row r="5736">
          <cell r="B5736" t="str">
            <v>INF740K01PY9</v>
          </cell>
          <cell r="C5736" t="str">
            <v>INF740K01PZ6</v>
          </cell>
          <cell r="D5736" t="str">
            <v>DSP Midcap Fund - Direct Plan - IDCW</v>
          </cell>
          <cell r="E5736">
            <v>68.741</v>
          </cell>
        </row>
        <row r="5737">
          <cell r="B5737" t="str">
            <v>INF740K01128</v>
          </cell>
          <cell r="C5737" t="str">
            <v>-</v>
          </cell>
          <cell r="D5737" t="str">
            <v>DSP Midcap Fund - Regular Plan - Growth</v>
          </cell>
          <cell r="E5737">
            <v>153.35300000000001</v>
          </cell>
        </row>
        <row r="5738">
          <cell r="B5738" t="str">
            <v>INF740K01102</v>
          </cell>
          <cell r="C5738" t="str">
            <v>INF740K01110</v>
          </cell>
          <cell r="D5738" t="str">
            <v>DSP Midcap Fund - Regular Plan - IDCW</v>
          </cell>
          <cell r="E5738">
            <v>29.21</v>
          </cell>
        </row>
        <row r="5739">
          <cell r="B5739" t="str">
            <v/>
          </cell>
          <cell r="C5739" t="str">
            <v/>
          </cell>
          <cell r="D5739" t="str">
            <v/>
          </cell>
        </row>
        <row r="5740">
          <cell r="B5740" t="str">
            <v/>
          </cell>
          <cell r="C5740" t="str">
            <v/>
          </cell>
          <cell r="D5740" t="str">
            <v/>
          </cell>
        </row>
        <row r="5741">
          <cell r="B5741" t="str">
            <v/>
          </cell>
          <cell r="C5741" t="str">
            <v/>
          </cell>
          <cell r="D5741" t="str">
            <v/>
          </cell>
        </row>
        <row r="5742">
          <cell r="B5742" t="str">
            <v>INF843K01AO4</v>
          </cell>
          <cell r="C5742" t="str">
            <v>-</v>
          </cell>
          <cell r="D5742" t="str">
            <v>Edelweiss Mid Cap Fund - Direct Plan - Growth Option</v>
          </cell>
          <cell r="E5742">
            <v>127.387</v>
          </cell>
        </row>
        <row r="5743">
          <cell r="B5743" t="str">
            <v>INF843K01AP1</v>
          </cell>
          <cell r="C5743" t="str">
            <v>INF843K01AQ9</v>
          </cell>
          <cell r="D5743" t="str">
            <v>Edelweiss Mid Cap Fund - Direct Plan - IDCW Option</v>
          </cell>
          <cell r="E5743">
            <v>92.888000000000005</v>
          </cell>
        </row>
        <row r="5744">
          <cell r="B5744" t="str">
            <v>INF843K01013</v>
          </cell>
          <cell r="C5744" t="str">
            <v>-</v>
          </cell>
          <cell r="D5744" t="str">
            <v>Edelweiss Mid Cap Fund - Regular Plan - Growth Option</v>
          </cell>
          <cell r="E5744">
            <v>107.752</v>
          </cell>
        </row>
        <row r="5745">
          <cell r="B5745" t="str">
            <v>INF843K01021</v>
          </cell>
          <cell r="C5745" t="str">
            <v>INF843K01039</v>
          </cell>
          <cell r="D5745" t="str">
            <v>Edelweiss Mid Cap Fund - Regular Plan - IDCW Option</v>
          </cell>
          <cell r="E5745">
            <v>62.122</v>
          </cell>
        </row>
        <row r="5746">
          <cell r="B5746" t="str">
            <v/>
          </cell>
          <cell r="C5746" t="str">
            <v/>
          </cell>
          <cell r="D5746" t="str">
            <v/>
          </cell>
        </row>
        <row r="5747">
          <cell r="B5747" t="str">
            <v/>
          </cell>
          <cell r="C5747" t="str">
            <v/>
          </cell>
          <cell r="D5747" t="str">
            <v/>
          </cell>
        </row>
        <row r="5748">
          <cell r="B5748" t="str">
            <v/>
          </cell>
          <cell r="C5748" t="str">
            <v/>
          </cell>
          <cell r="D5748" t="str">
            <v/>
          </cell>
        </row>
        <row r="5749">
          <cell r="B5749" t="str">
            <v>INF090I01FH9</v>
          </cell>
          <cell r="C5749" t="str">
            <v>-</v>
          </cell>
          <cell r="D5749" t="str">
            <v>Franklin India Mid Cap Fund - Direct - Growth</v>
          </cell>
          <cell r="E5749">
            <v>3183.395</v>
          </cell>
        </row>
        <row r="5750">
          <cell r="B5750" t="str">
            <v>INF090I01FI7</v>
          </cell>
          <cell r="C5750" t="str">
            <v>INF090I01FJ5</v>
          </cell>
          <cell r="D5750" t="str">
            <v>Franklin India Mid Cap Fund - Direct - IDCW</v>
          </cell>
          <cell r="E5750">
            <v>104.691</v>
          </cell>
        </row>
        <row r="5751">
          <cell r="B5751" t="str">
            <v>INF090I01726</v>
          </cell>
          <cell r="C5751" t="str">
            <v>INF090I01734</v>
          </cell>
          <cell r="D5751" t="str">
            <v>Franklin India Mid Cap Fund - IDCW</v>
          </cell>
          <cell r="E5751">
            <v>86.418800000000005</v>
          </cell>
        </row>
        <row r="5752">
          <cell r="B5752" t="str">
            <v>INF090I01809</v>
          </cell>
          <cell r="C5752" t="str">
            <v>-</v>
          </cell>
          <cell r="D5752" t="str">
            <v>Franklin India Mid Cap Fund-Growth</v>
          </cell>
          <cell r="E5752">
            <v>2809.6635000000001</v>
          </cell>
        </row>
        <row r="5753">
          <cell r="B5753" t="str">
            <v/>
          </cell>
          <cell r="C5753" t="str">
            <v/>
          </cell>
          <cell r="D5753" t="str">
            <v/>
          </cell>
        </row>
        <row r="5754">
          <cell r="B5754" t="str">
            <v/>
          </cell>
          <cell r="C5754" t="str">
            <v/>
          </cell>
          <cell r="D5754" t="str">
            <v/>
          </cell>
        </row>
        <row r="5755">
          <cell r="B5755" t="str">
            <v/>
          </cell>
          <cell r="C5755" t="str">
            <v/>
          </cell>
          <cell r="D5755" t="str">
            <v/>
          </cell>
        </row>
        <row r="5756">
          <cell r="B5756" t="str">
            <v>INF179K01XQ0</v>
          </cell>
          <cell r="C5756" t="str">
            <v>-</v>
          </cell>
          <cell r="D5756" t="str">
            <v>HDFC Mid Cap Fund - Growth Option - Direct Plan</v>
          </cell>
          <cell r="E5756">
            <v>228.607</v>
          </cell>
        </row>
        <row r="5757">
          <cell r="B5757" t="str">
            <v>INF179K01CR2</v>
          </cell>
          <cell r="C5757" t="str">
            <v>-</v>
          </cell>
          <cell r="D5757" t="str">
            <v>HDFC Mid Cap Fund - Growth Plan</v>
          </cell>
          <cell r="E5757">
            <v>206.30699999999999</v>
          </cell>
        </row>
        <row r="5758">
          <cell r="B5758" t="str">
            <v>INF179K01XO5</v>
          </cell>
          <cell r="C5758" t="str">
            <v>INF179K01XP2</v>
          </cell>
          <cell r="D5758" t="str">
            <v>HDFC Mid Cap Fund - IDCW Option - Direct Plan</v>
          </cell>
          <cell r="E5758">
            <v>81.174000000000007</v>
          </cell>
        </row>
        <row r="5759">
          <cell r="B5759" t="str">
            <v>INF179K01CS0</v>
          </cell>
          <cell r="C5759" t="str">
            <v>INF179K01CT8</v>
          </cell>
          <cell r="D5759" t="str">
            <v>HDFC Mid Cap Fund - IDCW Plan</v>
          </cell>
          <cell r="E5759">
            <v>51.76</v>
          </cell>
        </row>
        <row r="5760">
          <cell r="B5760" t="str">
            <v/>
          </cell>
          <cell r="C5760" t="str">
            <v/>
          </cell>
          <cell r="D5760" t="str">
            <v/>
          </cell>
        </row>
        <row r="5761">
          <cell r="B5761" t="str">
            <v/>
          </cell>
          <cell r="C5761" t="str">
            <v/>
          </cell>
          <cell r="D5761" t="str">
            <v/>
          </cell>
        </row>
        <row r="5762">
          <cell r="B5762" t="str">
            <v/>
          </cell>
          <cell r="C5762" t="str">
            <v/>
          </cell>
          <cell r="D5762" t="str">
            <v/>
          </cell>
        </row>
        <row r="5763">
          <cell r="B5763" t="str">
            <v>INF0R8701327</v>
          </cell>
          <cell r="C5763" t="str">
            <v>-</v>
          </cell>
          <cell r="D5763" t="str">
            <v>Helios Mid Cap Fund - Direct Plan - Growth Option</v>
          </cell>
          <cell r="E5763">
            <v>13.81</v>
          </cell>
        </row>
        <row r="5764">
          <cell r="B5764" t="str">
            <v>INF0R8701335</v>
          </cell>
          <cell r="C5764" t="str">
            <v>INF0R8701343</v>
          </cell>
          <cell r="D5764" t="str">
            <v>Helios Mid Cap Fund - Direct Plan - IDCW Option</v>
          </cell>
          <cell r="E5764">
            <v>13.82</v>
          </cell>
        </row>
        <row r="5765">
          <cell r="B5765" t="str">
            <v>INF0R8701293</v>
          </cell>
          <cell r="C5765" t="str">
            <v>-</v>
          </cell>
          <cell r="D5765" t="str">
            <v>Helios Mid Cap Fund - Regular Plan - Growth Plan</v>
          </cell>
          <cell r="E5765">
            <v>13.53</v>
          </cell>
        </row>
        <row r="5766">
          <cell r="B5766" t="str">
            <v>INF0R8701301</v>
          </cell>
          <cell r="C5766" t="str">
            <v>INF0R8701319</v>
          </cell>
          <cell r="D5766" t="str">
            <v>Helios Mid Cap Fund - Regular Plan - IDCW Option</v>
          </cell>
          <cell r="E5766">
            <v>13.54</v>
          </cell>
        </row>
        <row r="5767">
          <cell r="B5767" t="str">
            <v/>
          </cell>
          <cell r="C5767" t="str">
            <v/>
          </cell>
          <cell r="D5767" t="str">
            <v/>
          </cell>
        </row>
        <row r="5768">
          <cell r="B5768" t="str">
            <v/>
          </cell>
          <cell r="C5768" t="str">
            <v/>
          </cell>
          <cell r="D5768" t="str">
            <v/>
          </cell>
        </row>
        <row r="5769">
          <cell r="B5769" t="str">
            <v/>
          </cell>
          <cell r="C5769" t="str">
            <v/>
          </cell>
          <cell r="D5769" t="str">
            <v/>
          </cell>
        </row>
        <row r="5770">
          <cell r="B5770" t="str">
            <v>INF917K01FZ1</v>
          </cell>
          <cell r="C5770" t="str">
            <v>-</v>
          </cell>
          <cell r="D5770" t="str">
            <v>HSBC Midcap Fund - Direct Growth</v>
          </cell>
          <cell r="E5770">
            <v>520.69050000000004</v>
          </cell>
        </row>
        <row r="5771">
          <cell r="B5771" t="str">
            <v>INF917K01E78</v>
          </cell>
          <cell r="C5771" t="str">
            <v>INF917K01FX6</v>
          </cell>
          <cell r="D5771" t="str">
            <v>HSBC Midcap Fund - Direct IDCW</v>
          </cell>
          <cell r="E5771">
            <v>99.379499999999993</v>
          </cell>
        </row>
        <row r="5772">
          <cell r="B5772" t="str">
            <v>INF917K01254</v>
          </cell>
          <cell r="C5772" t="str">
            <v>-</v>
          </cell>
          <cell r="D5772" t="str">
            <v>HSBC Midcap Fund - Regular Growth</v>
          </cell>
          <cell r="E5772">
            <v>455.81130000000002</v>
          </cell>
        </row>
        <row r="5773">
          <cell r="B5773" t="str">
            <v>INF917K01239</v>
          </cell>
          <cell r="C5773" t="str">
            <v>INF917K01247</v>
          </cell>
          <cell r="D5773" t="str">
            <v>HSBC Midcap Fund - Regular IDCW</v>
          </cell>
          <cell r="E5773">
            <v>85.566199999999995</v>
          </cell>
        </row>
        <row r="5774">
          <cell r="B5774" t="str">
            <v/>
          </cell>
          <cell r="C5774" t="str">
            <v/>
          </cell>
          <cell r="D5774" t="str">
            <v/>
          </cell>
        </row>
        <row r="5775">
          <cell r="B5775" t="str">
            <v/>
          </cell>
          <cell r="C5775" t="str">
            <v/>
          </cell>
          <cell r="D5775" t="str">
            <v/>
          </cell>
        </row>
        <row r="5776">
          <cell r="B5776" t="str">
            <v/>
          </cell>
          <cell r="C5776" t="str">
            <v/>
          </cell>
          <cell r="D5776" t="str">
            <v/>
          </cell>
        </row>
        <row r="5777">
          <cell r="B5777" t="str">
            <v>INF109K011N7</v>
          </cell>
          <cell r="C5777" t="str">
            <v>-</v>
          </cell>
          <cell r="D5777" t="str">
            <v>ICICI Prudential MidCap Fund - Direct Plan -  Growth</v>
          </cell>
          <cell r="E5777">
            <v>380.06</v>
          </cell>
        </row>
        <row r="5778">
          <cell r="B5778" t="str">
            <v>INF109K019M2</v>
          </cell>
          <cell r="C5778" t="str">
            <v>INF109K010N9</v>
          </cell>
          <cell r="D5778" t="str">
            <v>ICICI Prudential MidCap Fund - Direct Plan -  IDCW</v>
          </cell>
          <cell r="E5778">
            <v>70.400000000000006</v>
          </cell>
        </row>
        <row r="5779">
          <cell r="B5779" t="str">
            <v>INF109K01AN2</v>
          </cell>
          <cell r="C5779" t="str">
            <v>-</v>
          </cell>
          <cell r="D5779" t="str">
            <v>ICICI Prudential MidCap Fund - Growth</v>
          </cell>
          <cell r="E5779">
            <v>336.46</v>
          </cell>
        </row>
        <row r="5780">
          <cell r="B5780" t="str">
            <v>INF109K01EH6</v>
          </cell>
          <cell r="C5780" t="str">
            <v>INF109K01AL6</v>
          </cell>
          <cell r="D5780" t="str">
            <v>ICICI Prudential MidCap Fund - IDCW</v>
          </cell>
          <cell r="E5780">
            <v>43.6</v>
          </cell>
        </row>
        <row r="5781">
          <cell r="B5781" t="str">
            <v/>
          </cell>
          <cell r="C5781" t="str">
            <v/>
          </cell>
          <cell r="D5781" t="str">
            <v/>
          </cell>
        </row>
        <row r="5782">
          <cell r="B5782" t="str">
            <v/>
          </cell>
          <cell r="C5782" t="str">
            <v/>
          </cell>
          <cell r="D5782" t="str">
            <v/>
          </cell>
        </row>
        <row r="5783">
          <cell r="B5783" t="str">
            <v/>
          </cell>
          <cell r="C5783" t="str">
            <v/>
          </cell>
          <cell r="D5783" t="str">
            <v/>
          </cell>
        </row>
        <row r="5784">
          <cell r="B5784" t="str">
            <v>INF205K01MV6</v>
          </cell>
          <cell r="C5784" t="str">
            <v>-</v>
          </cell>
          <cell r="D5784" t="str">
            <v>Invesco India Midcap Fund - Direct Plan - Growth Option</v>
          </cell>
          <cell r="E5784">
            <v>239.85</v>
          </cell>
        </row>
        <row r="5785">
          <cell r="B5785" t="str">
            <v>INF205K01MT0</v>
          </cell>
          <cell r="C5785" t="str">
            <v>INF205K01MU8</v>
          </cell>
          <cell r="D5785" t="str">
            <v>Invesco India Midcap Fund - Direct Plan - IDCW (Payout / Reinvestment)</v>
          </cell>
          <cell r="E5785">
            <v>83.74</v>
          </cell>
        </row>
        <row r="5786">
          <cell r="B5786" t="str">
            <v>INF205K01BC9</v>
          </cell>
          <cell r="C5786" t="str">
            <v>-</v>
          </cell>
          <cell r="D5786" t="str">
            <v>Invesco India Midcap Fund - Regular Plan - Growth Option</v>
          </cell>
          <cell r="E5786">
            <v>197.23</v>
          </cell>
        </row>
        <row r="5787">
          <cell r="B5787" t="str">
            <v>INF205K01BD7</v>
          </cell>
          <cell r="C5787" t="str">
            <v>INF205K01BE5</v>
          </cell>
          <cell r="D5787" t="str">
            <v>Invesco India Midcap Fund - Regular Plan - IDCW (Payout / Reinvestment)</v>
          </cell>
          <cell r="E5787">
            <v>61.47</v>
          </cell>
        </row>
        <row r="5788">
          <cell r="B5788" t="str">
            <v/>
          </cell>
          <cell r="C5788" t="str">
            <v/>
          </cell>
          <cell r="D5788" t="str">
            <v/>
          </cell>
        </row>
        <row r="5789">
          <cell r="B5789" t="str">
            <v/>
          </cell>
          <cell r="C5789" t="str">
            <v/>
          </cell>
          <cell r="D5789" t="str">
            <v/>
          </cell>
        </row>
        <row r="5790">
          <cell r="B5790" t="str">
            <v/>
          </cell>
          <cell r="C5790" t="str">
            <v/>
          </cell>
          <cell r="D5790" t="str">
            <v/>
          </cell>
        </row>
        <row r="5791">
          <cell r="B5791" t="str">
            <v>INF00XX01929</v>
          </cell>
          <cell r="C5791" t="str">
            <v>-</v>
          </cell>
          <cell r="D5791" t="str">
            <v>ITI Mid Cap Fund - Direct Plan - Growth Option</v>
          </cell>
          <cell r="E5791">
            <v>25.5014</v>
          </cell>
        </row>
        <row r="5792">
          <cell r="B5792" t="str">
            <v>INF00XX01937</v>
          </cell>
          <cell r="C5792" t="str">
            <v>INF00XX01945</v>
          </cell>
          <cell r="D5792" t="str">
            <v>ITI Mid Cap Fund - Direct Plan - IDCW Option</v>
          </cell>
          <cell r="E5792">
            <v>23.381399999999999</v>
          </cell>
        </row>
        <row r="5793">
          <cell r="B5793" t="str">
            <v>INF00XX01895</v>
          </cell>
          <cell r="C5793" t="str">
            <v>-</v>
          </cell>
          <cell r="D5793" t="str">
            <v>ITI Mid Cap Fund - Regular Plan - Growth Option</v>
          </cell>
          <cell r="E5793">
            <v>22.974599999999999</v>
          </cell>
        </row>
        <row r="5794">
          <cell r="B5794" t="str">
            <v>INF00XX01903</v>
          </cell>
          <cell r="C5794" t="str">
            <v>INF00XX01911</v>
          </cell>
          <cell r="D5794" t="str">
            <v>ITI Mid Cap Fund - Regular Plan - IDCW Option</v>
          </cell>
          <cell r="E5794">
            <v>20.904</v>
          </cell>
        </row>
        <row r="5795">
          <cell r="B5795" t="str">
            <v/>
          </cell>
          <cell r="C5795" t="str">
            <v/>
          </cell>
          <cell r="D5795" t="str">
            <v/>
          </cell>
        </row>
        <row r="5796">
          <cell r="B5796" t="str">
            <v/>
          </cell>
          <cell r="C5796" t="str">
            <v/>
          </cell>
          <cell r="D5796" t="str">
            <v/>
          </cell>
        </row>
        <row r="5797">
          <cell r="B5797" t="str">
            <v/>
          </cell>
          <cell r="C5797" t="str">
            <v/>
          </cell>
          <cell r="D5797" t="str">
            <v/>
          </cell>
        </row>
        <row r="5798">
          <cell r="B5798" t="str">
            <v>INF192K01MV6</v>
          </cell>
          <cell r="C5798" t="str">
            <v>-</v>
          </cell>
          <cell r="D5798" t="str">
            <v>JM Midcap Fund (Direct) - Growth</v>
          </cell>
          <cell r="E5798">
            <v>22.088200000000001</v>
          </cell>
        </row>
        <row r="5799">
          <cell r="B5799" t="str">
            <v>INF192K01MW4</v>
          </cell>
          <cell r="C5799" t="str">
            <v>INF192K01MX2</v>
          </cell>
          <cell r="D5799" t="str">
            <v>JM Midcap Fund (Direct) - IDCW</v>
          </cell>
          <cell r="E5799">
            <v>22.088100000000001</v>
          </cell>
        </row>
        <row r="5800">
          <cell r="B5800" t="str">
            <v>INF192K01MS2</v>
          </cell>
          <cell r="C5800" t="str">
            <v>-</v>
          </cell>
          <cell r="D5800" t="str">
            <v>JM Midcap Fund (Regular) - Growth</v>
          </cell>
          <cell r="E5800">
            <v>20.7347</v>
          </cell>
        </row>
        <row r="5801">
          <cell r="B5801" t="str">
            <v>INF192K01MT0</v>
          </cell>
          <cell r="C5801" t="str">
            <v>INF192K01MU8</v>
          </cell>
          <cell r="D5801" t="str">
            <v>JM Midcap Fund (Regular) - IDCW</v>
          </cell>
          <cell r="E5801">
            <v>20.7346</v>
          </cell>
        </row>
        <row r="5802">
          <cell r="B5802" t="str">
            <v/>
          </cell>
          <cell r="C5802" t="str">
            <v/>
          </cell>
          <cell r="D5802" t="str">
            <v/>
          </cell>
        </row>
        <row r="5803">
          <cell r="B5803" t="str">
            <v/>
          </cell>
          <cell r="C5803" t="str">
            <v/>
          </cell>
          <cell r="D5803" t="str">
            <v/>
          </cell>
        </row>
        <row r="5804">
          <cell r="B5804" t="str">
            <v/>
          </cell>
          <cell r="C5804" t="str">
            <v/>
          </cell>
          <cell r="D5804" t="str">
            <v/>
          </cell>
        </row>
        <row r="5805">
          <cell r="B5805" t="str">
            <v>INF174K01LU8</v>
          </cell>
          <cell r="C5805" t="str">
            <v>INF174K01LV6</v>
          </cell>
          <cell r="D5805" t="str">
            <v>Kotak Midcap Fund  - Direct Plan - IDCW - Payout &amp; Re-investment of Income Distribution cum capital withdrawal option</v>
          </cell>
          <cell r="E5805">
            <v>101.393</v>
          </cell>
        </row>
        <row r="5806">
          <cell r="B5806" t="str">
            <v>INF174K01LT0</v>
          </cell>
          <cell r="C5806" t="str">
            <v>-</v>
          </cell>
          <cell r="D5806" t="str">
            <v>Kotak Midcap Fund - Direct Plan - Growth</v>
          </cell>
          <cell r="E5806">
            <v>170.18299999999999</v>
          </cell>
        </row>
        <row r="5807">
          <cell r="B5807" t="str">
            <v>INF174K01DS9</v>
          </cell>
          <cell r="C5807" t="str">
            <v>-</v>
          </cell>
          <cell r="D5807" t="str">
            <v>Kotak Midcap Fund - Regular Plan - Growth</v>
          </cell>
          <cell r="E5807">
            <v>145.53700000000001</v>
          </cell>
        </row>
        <row r="5808">
          <cell r="B5808" t="str">
            <v>INF174K01DU5</v>
          </cell>
          <cell r="C5808" t="str">
            <v>INF174K01DT7</v>
          </cell>
          <cell r="D5808" t="str">
            <v>Kotak Midcap Fund - Regular Plan - IDCW -Payout &amp; Re-investment of Income Distribution cum capital withdrawal option</v>
          </cell>
          <cell r="E5808">
            <v>79.933000000000007</v>
          </cell>
        </row>
        <row r="5809">
          <cell r="B5809" t="str">
            <v/>
          </cell>
          <cell r="C5809" t="str">
            <v/>
          </cell>
          <cell r="D5809" t="str">
            <v/>
          </cell>
        </row>
        <row r="5810">
          <cell r="B5810" t="str">
            <v/>
          </cell>
          <cell r="C5810" t="str">
            <v/>
          </cell>
          <cell r="D5810" t="str">
            <v/>
          </cell>
        </row>
        <row r="5811">
          <cell r="B5811" t="str">
            <v/>
          </cell>
          <cell r="C5811" t="str">
            <v/>
          </cell>
          <cell r="D5811" t="str">
            <v/>
          </cell>
        </row>
        <row r="5812">
          <cell r="B5812" t="str">
            <v>INF397L01JK8</v>
          </cell>
          <cell r="C5812" t="str">
            <v>-</v>
          </cell>
          <cell r="D5812" t="str">
            <v>LIC MF Mid Cap Fund-Direct Plan-Growth</v>
          </cell>
          <cell r="E5812">
            <v>34.222499999999997</v>
          </cell>
        </row>
        <row r="5813">
          <cell r="B5813" t="str">
            <v>INF397L01JH4</v>
          </cell>
          <cell r="C5813" t="str">
            <v>INF397L01JI2</v>
          </cell>
          <cell r="D5813" t="str">
            <v>LIC MF Mid Cap Fund-Direct Plan-IDCW</v>
          </cell>
          <cell r="E5813">
            <v>32.148200000000003</v>
          </cell>
        </row>
        <row r="5814">
          <cell r="B5814" t="str">
            <v>INF397L01JO0</v>
          </cell>
          <cell r="C5814" t="str">
            <v>-</v>
          </cell>
          <cell r="D5814" t="str">
            <v>LIC MF Mid Cap Fund-Regular Plan-Growth</v>
          </cell>
          <cell r="E5814">
            <v>30.276399999999999</v>
          </cell>
        </row>
        <row r="5815">
          <cell r="B5815" t="str">
            <v>INF397L01JL6</v>
          </cell>
          <cell r="C5815" t="str">
            <v>INF397L01JM4</v>
          </cell>
          <cell r="D5815" t="str">
            <v>LIC MF Mid Cap Fund-Regular Plan-IDCW</v>
          </cell>
          <cell r="E5815">
            <v>28.414999999999999</v>
          </cell>
        </row>
        <row r="5816">
          <cell r="B5816" t="str">
            <v/>
          </cell>
          <cell r="C5816" t="str">
            <v/>
          </cell>
          <cell r="D5816" t="str">
            <v/>
          </cell>
        </row>
        <row r="5817">
          <cell r="B5817" t="str">
            <v/>
          </cell>
          <cell r="C5817" t="str">
            <v/>
          </cell>
          <cell r="D5817" t="str">
            <v/>
          </cell>
        </row>
        <row r="5818">
          <cell r="B5818" t="str">
            <v/>
          </cell>
          <cell r="C5818" t="str">
            <v/>
          </cell>
          <cell r="D5818" t="str">
            <v/>
          </cell>
        </row>
        <row r="5819">
          <cell r="B5819" t="str">
            <v>INF174V01523</v>
          </cell>
          <cell r="C5819" t="str">
            <v>INF174V01515</v>
          </cell>
          <cell r="D5819" t="str">
            <v>Mahindra Manulife Mid Cap Fund - Direct Plan - IDCW</v>
          </cell>
          <cell r="E5819">
            <v>31.652699999999999</v>
          </cell>
        </row>
        <row r="5820">
          <cell r="B5820" t="str">
            <v>INF174V01507</v>
          </cell>
          <cell r="C5820" t="str">
            <v>-</v>
          </cell>
          <cell r="D5820" t="str">
            <v>Mahindra Manulife Mid Cap Fund - Direct Plan -Growth</v>
          </cell>
          <cell r="E5820">
            <v>41.718299999999999</v>
          </cell>
        </row>
        <row r="5821">
          <cell r="B5821" t="str">
            <v>INF174V01473</v>
          </cell>
          <cell r="C5821" t="str">
            <v>-</v>
          </cell>
          <cell r="D5821" t="str">
            <v>Mahindra Manulife Mid Cap Fund - Regular Plan - Growth</v>
          </cell>
          <cell r="E5821">
            <v>36.356699999999996</v>
          </cell>
        </row>
        <row r="5822">
          <cell r="B5822" t="str">
            <v>INF174V01499</v>
          </cell>
          <cell r="C5822" t="str">
            <v>INF174V01481</v>
          </cell>
          <cell r="D5822" t="str">
            <v>Mahindra Manulife Mid Cap Fund- Regular Plan - IDCW</v>
          </cell>
          <cell r="E5822">
            <v>26.691500000000001</v>
          </cell>
        </row>
        <row r="5823">
          <cell r="B5823" t="str">
            <v/>
          </cell>
          <cell r="C5823" t="str">
            <v/>
          </cell>
          <cell r="D5823" t="str">
            <v/>
          </cell>
        </row>
        <row r="5824">
          <cell r="B5824" t="str">
            <v/>
          </cell>
          <cell r="C5824" t="str">
            <v/>
          </cell>
          <cell r="D5824" t="str">
            <v/>
          </cell>
        </row>
        <row r="5825">
          <cell r="B5825" t="str">
            <v/>
          </cell>
          <cell r="C5825" t="str">
            <v/>
          </cell>
          <cell r="D5825" t="str">
            <v/>
          </cell>
        </row>
        <row r="5826">
          <cell r="B5826" t="str">
            <v>INF769K01EY2</v>
          </cell>
          <cell r="C5826" t="str">
            <v>-</v>
          </cell>
          <cell r="D5826" t="str">
            <v>Mirae Asset Midcap Fund - Regular Plan-Growth Option</v>
          </cell>
          <cell r="E5826">
            <v>39.677999999999997</v>
          </cell>
        </row>
        <row r="5827">
          <cell r="B5827" t="str">
            <v>INF769K01EZ9</v>
          </cell>
          <cell r="C5827" t="str">
            <v>INF769K01FC5</v>
          </cell>
          <cell r="D5827" t="str">
            <v>Mirae Asset Midcap Fund Direct IDCW</v>
          </cell>
          <cell r="E5827">
            <v>28.513000000000002</v>
          </cell>
        </row>
        <row r="5828">
          <cell r="B5828" t="str">
            <v>INF769K01EX4</v>
          </cell>
          <cell r="C5828" t="str">
            <v>INF769K01FB7</v>
          </cell>
          <cell r="D5828" t="str">
            <v>Mirae Asset Midcap Fund Regular IDCW</v>
          </cell>
          <cell r="E5828">
            <v>25.911999999999999</v>
          </cell>
        </row>
        <row r="5829">
          <cell r="B5829" t="str">
            <v>INF769K01FA9</v>
          </cell>
          <cell r="C5829" t="str">
            <v>-</v>
          </cell>
          <cell r="D5829" t="str">
            <v>Mirae Asset Midcap Fund- Direct Growth Option</v>
          </cell>
          <cell r="E5829">
            <v>43.387999999999998</v>
          </cell>
        </row>
        <row r="5830">
          <cell r="B5830" t="str">
            <v/>
          </cell>
          <cell r="C5830" t="str">
            <v/>
          </cell>
          <cell r="D5830" t="str">
            <v/>
          </cell>
        </row>
        <row r="5831">
          <cell r="B5831" t="str">
            <v/>
          </cell>
          <cell r="C5831" t="str">
            <v/>
          </cell>
          <cell r="D5831" t="str">
            <v/>
          </cell>
        </row>
        <row r="5832">
          <cell r="B5832" t="str">
            <v/>
          </cell>
          <cell r="C5832" t="str">
            <v/>
          </cell>
          <cell r="D5832" t="str">
            <v/>
          </cell>
        </row>
        <row r="5833">
          <cell r="B5833" t="str">
            <v>INF247L01460</v>
          </cell>
          <cell r="C5833" t="str">
            <v>INF247L01452</v>
          </cell>
          <cell r="D5833" t="str">
            <v>Motilal Oswal Midcap Fund-Direct - IDCW Payout/Reinvestment</v>
          </cell>
          <cell r="E5833">
            <v>46.359000000000002</v>
          </cell>
        </row>
        <row r="5834">
          <cell r="B5834" t="str">
            <v>INF247L01445</v>
          </cell>
          <cell r="C5834" t="str">
            <v>-</v>
          </cell>
          <cell r="D5834" t="str">
            <v>Motilal Oswal Midcap Fund-Direct Plan-Growth Option</v>
          </cell>
          <cell r="E5834">
            <v>113.6593</v>
          </cell>
        </row>
        <row r="5835">
          <cell r="B5835" t="str">
            <v>INF247L01437</v>
          </cell>
          <cell r="C5835" t="str">
            <v>INF247L01429</v>
          </cell>
          <cell r="D5835" t="str">
            <v>Motilal Oswal Midcap Fund-Regular - IDCW Payout/Reinvestment</v>
          </cell>
          <cell r="E5835">
            <v>44.479700000000001</v>
          </cell>
        </row>
        <row r="5836">
          <cell r="B5836" t="str">
            <v>INF247L01411</v>
          </cell>
          <cell r="C5836" t="str">
            <v>-</v>
          </cell>
          <cell r="D5836" t="str">
            <v>Motilal Oswal Midcap Fund-Regular Plan-Growth Option</v>
          </cell>
          <cell r="E5836">
            <v>98.428600000000003</v>
          </cell>
        </row>
        <row r="5837">
          <cell r="B5837" t="str">
            <v/>
          </cell>
          <cell r="C5837" t="str">
            <v/>
          </cell>
          <cell r="D5837" t="str">
            <v/>
          </cell>
        </row>
        <row r="5838">
          <cell r="B5838" t="str">
            <v/>
          </cell>
          <cell r="C5838" t="str">
            <v/>
          </cell>
          <cell r="D5838" t="str">
            <v/>
          </cell>
        </row>
        <row r="5839">
          <cell r="B5839" t="str">
            <v/>
          </cell>
          <cell r="C5839" t="str">
            <v/>
          </cell>
          <cell r="D5839" t="str">
            <v/>
          </cell>
        </row>
        <row r="5840">
          <cell r="B5840" t="str">
            <v>INF204K01E39</v>
          </cell>
          <cell r="C5840" t="str">
            <v>INF204K01E47</v>
          </cell>
          <cell r="D5840" t="str">
            <v>NIPPON INDIA GROWTH MID CAP FUND - DIRECT Plan - IDCW Option</v>
          </cell>
          <cell r="E5840">
            <v>191.13059999999999</v>
          </cell>
        </row>
        <row r="5841">
          <cell r="B5841" t="str">
            <v>INF204K01E21</v>
          </cell>
          <cell r="C5841" t="str">
            <v>-</v>
          </cell>
          <cell r="D5841" t="str">
            <v>Nippon India Growth Mid Cap Fund - Direct Plan Growth Plan - Bonus Option</v>
          </cell>
          <cell r="E5841">
            <v>818.64430000000004</v>
          </cell>
        </row>
        <row r="5842">
          <cell r="B5842" t="str">
            <v>INF204K01E54</v>
          </cell>
          <cell r="C5842" t="str">
            <v>-</v>
          </cell>
          <cell r="D5842" t="str">
            <v>Nippon India Growth Mid Cap Fund - Direct Plan Growth Plan - Growth Option</v>
          </cell>
          <cell r="E5842">
            <v>4927.5416999999998</v>
          </cell>
        </row>
        <row r="5843">
          <cell r="B5843" t="str">
            <v>INF204K01299</v>
          </cell>
          <cell r="C5843" t="str">
            <v>INF204K01307</v>
          </cell>
          <cell r="D5843" t="str">
            <v>NIPPON INDIA GROWTH MID CAP FUND - IDCW Option</v>
          </cell>
          <cell r="E5843">
            <v>120.01349999999999</v>
          </cell>
        </row>
        <row r="5844">
          <cell r="B5844" t="str">
            <v>INF204K01257</v>
          </cell>
          <cell r="C5844" t="str">
            <v>INF204K01265</v>
          </cell>
          <cell r="D5844" t="str">
            <v>NIPPON INDIA GROWTH MID CAP FUND - INSTITUTIONAL Plan - IDCW Option</v>
          </cell>
          <cell r="E5844">
            <v>1360.7978000000001</v>
          </cell>
        </row>
        <row r="5845">
          <cell r="B5845" t="str">
            <v>INF204K01315</v>
          </cell>
          <cell r="C5845" t="str">
            <v>-</v>
          </cell>
          <cell r="D5845" t="str">
            <v>Nippon India Growth Mid Cap Fund-Growth Plan-Bonus Option</v>
          </cell>
          <cell r="E5845">
            <v>742.89670000000001</v>
          </cell>
        </row>
        <row r="5846">
          <cell r="B5846" t="str">
            <v>INF204K01323</v>
          </cell>
          <cell r="C5846" t="str">
            <v>-</v>
          </cell>
          <cell r="D5846" t="str">
            <v>Nippon India Growth Mid Cap Fund-Growth Plan-Growth Option</v>
          </cell>
          <cell r="E5846">
            <v>4462.6180000000004</v>
          </cell>
        </row>
        <row r="5847">
          <cell r="B5847" t="str">
            <v/>
          </cell>
          <cell r="C5847" t="str">
            <v/>
          </cell>
          <cell r="D5847" t="str">
            <v/>
          </cell>
        </row>
        <row r="5848">
          <cell r="B5848" t="str">
            <v/>
          </cell>
          <cell r="C5848" t="str">
            <v/>
          </cell>
          <cell r="D5848" t="str">
            <v/>
          </cell>
        </row>
        <row r="5849">
          <cell r="B5849" t="str">
            <v/>
          </cell>
          <cell r="C5849" t="str">
            <v/>
          </cell>
          <cell r="D5849" t="str">
            <v/>
          </cell>
        </row>
        <row r="5850">
          <cell r="B5850" t="str">
            <v>INF663L01DW1</v>
          </cell>
          <cell r="C5850" t="str">
            <v>INF663L01DX9</v>
          </cell>
          <cell r="D5850" t="str">
            <v>PGIM India Midcap Fund - Direct Plan - Dividend Option - Payout</v>
          </cell>
          <cell r="E5850">
            <v>63.62</v>
          </cell>
        </row>
        <row r="5851">
          <cell r="B5851" t="str">
            <v>INF663L01DV3</v>
          </cell>
          <cell r="C5851" t="str">
            <v>-</v>
          </cell>
          <cell r="D5851" t="str">
            <v>PGIM India Midcap Fund - Direct Plan - Growth Option</v>
          </cell>
          <cell r="E5851">
            <v>76.760000000000005</v>
          </cell>
        </row>
        <row r="5852">
          <cell r="B5852" t="str">
            <v>INF663L01EA5</v>
          </cell>
          <cell r="C5852" t="str">
            <v>INF663L01EB3</v>
          </cell>
          <cell r="D5852" t="str">
            <v>PGIM India Midcap Fund - Regular Plan - Dividend Option - Payout</v>
          </cell>
          <cell r="E5852">
            <v>23.43</v>
          </cell>
        </row>
        <row r="5853">
          <cell r="B5853" t="str">
            <v>INF663L01DZ4</v>
          </cell>
          <cell r="C5853" t="str">
            <v>-</v>
          </cell>
          <cell r="D5853" t="str">
            <v>PGIM India Midcap Fund - Regular Plan - Growth Option</v>
          </cell>
          <cell r="E5853">
            <v>65.47</v>
          </cell>
        </row>
        <row r="5854">
          <cell r="B5854" t="str">
            <v/>
          </cell>
          <cell r="C5854" t="str">
            <v/>
          </cell>
          <cell r="D5854" t="str">
            <v/>
          </cell>
        </row>
        <row r="5855">
          <cell r="B5855" t="str">
            <v/>
          </cell>
          <cell r="C5855" t="str">
            <v/>
          </cell>
          <cell r="D5855" t="str">
            <v/>
          </cell>
        </row>
        <row r="5856">
          <cell r="B5856" t="str">
            <v/>
          </cell>
          <cell r="C5856" t="str">
            <v/>
          </cell>
          <cell r="D5856" t="str">
            <v/>
          </cell>
        </row>
        <row r="5857">
          <cell r="B5857" t="str">
            <v>INF966L01887</v>
          </cell>
          <cell r="C5857" t="str">
            <v>-</v>
          </cell>
          <cell r="D5857" t="str">
            <v>quant Mid Cap Fund - Growth Option - Direct Plan</v>
          </cell>
          <cell r="E5857">
            <v>250.03749999999999</v>
          </cell>
        </row>
        <row r="5858">
          <cell r="B5858" t="str">
            <v>INF966L01176</v>
          </cell>
          <cell r="C5858" t="str">
            <v>-</v>
          </cell>
          <cell r="D5858" t="str">
            <v>quant Mid Cap Fund - Growth Option - Regular Plan</v>
          </cell>
          <cell r="E5858">
            <v>220.5557</v>
          </cell>
        </row>
        <row r="5859">
          <cell r="B5859" t="str">
            <v>INF966L01861</v>
          </cell>
          <cell r="C5859" t="str">
            <v>INF966L01879</v>
          </cell>
          <cell r="D5859" t="str">
            <v>quant Mid Cap Fund - IDCW Option - Direct Plan</v>
          </cell>
          <cell r="E5859">
            <v>87.823300000000003</v>
          </cell>
        </row>
        <row r="5860">
          <cell r="B5860" t="str">
            <v>INF966L01150</v>
          </cell>
          <cell r="C5860" t="str">
            <v>INF966L01168</v>
          </cell>
          <cell r="D5860" t="str">
            <v>quant Mid Cap Fund - IDCW Option - Regular Plan</v>
          </cell>
          <cell r="E5860">
            <v>78.408299999999997</v>
          </cell>
        </row>
        <row r="5861">
          <cell r="B5861" t="str">
            <v/>
          </cell>
          <cell r="C5861" t="str">
            <v/>
          </cell>
          <cell r="D5861" t="str">
            <v/>
          </cell>
        </row>
        <row r="5862">
          <cell r="B5862" t="str">
            <v/>
          </cell>
          <cell r="C5862" t="str">
            <v/>
          </cell>
          <cell r="D5862" t="str">
            <v/>
          </cell>
        </row>
        <row r="5863">
          <cell r="B5863" t="str">
            <v/>
          </cell>
          <cell r="C5863" t="str">
            <v/>
          </cell>
          <cell r="D5863" t="str">
            <v/>
          </cell>
        </row>
        <row r="5864">
          <cell r="B5864" t="str">
            <v>INF0K1H01313</v>
          </cell>
          <cell r="C5864" t="str">
            <v>-</v>
          </cell>
          <cell r="D5864" t="str">
            <v>Samco Mid Cap Fund - Direct Plan</v>
          </cell>
          <cell r="E5864">
            <v>9.8800000000000008</v>
          </cell>
        </row>
        <row r="5865">
          <cell r="B5865" t="str">
            <v>INF0K1H01321</v>
          </cell>
          <cell r="C5865" t="str">
            <v>-</v>
          </cell>
          <cell r="D5865" t="str">
            <v>Samco Mid Cap Fund - Regular Plan</v>
          </cell>
          <cell r="E5865">
            <v>9.81</v>
          </cell>
        </row>
        <row r="5866">
          <cell r="B5866" t="str">
            <v/>
          </cell>
          <cell r="C5866" t="str">
            <v/>
          </cell>
          <cell r="D5866" t="str">
            <v/>
          </cell>
        </row>
        <row r="5867">
          <cell r="B5867" t="str">
            <v/>
          </cell>
          <cell r="C5867" t="str">
            <v/>
          </cell>
          <cell r="D5867" t="str">
            <v/>
          </cell>
        </row>
        <row r="5868">
          <cell r="B5868" t="str">
            <v/>
          </cell>
          <cell r="C5868" t="str">
            <v/>
          </cell>
          <cell r="D5868" t="str">
            <v/>
          </cell>
        </row>
        <row r="5869">
          <cell r="B5869" t="str">
            <v>INF200K01TP4</v>
          </cell>
          <cell r="C5869" t="str">
            <v>-</v>
          </cell>
          <cell r="D5869" t="str">
            <v>SBI MIDCAP FUND - DIRECT PLAN - GROWTH</v>
          </cell>
          <cell r="E5869">
            <v>275.92529999999999</v>
          </cell>
        </row>
        <row r="5870">
          <cell r="B5870" t="str">
            <v>INF200K01TN9</v>
          </cell>
          <cell r="C5870" t="str">
            <v>INF200K01TO7</v>
          </cell>
          <cell r="D5870" t="str">
            <v>SBI Midcap Fund - Direct Plan - Income Distribution cum Capital Withdrawal Option (IDCW)</v>
          </cell>
          <cell r="E5870">
            <v>156.43600000000001</v>
          </cell>
        </row>
        <row r="5871">
          <cell r="B5871" t="str">
            <v>INF200K01560</v>
          </cell>
          <cell r="C5871" t="str">
            <v>-</v>
          </cell>
          <cell r="D5871" t="str">
            <v>SBI MIDCAP FUND - REGULAR PLAN - GROWTH</v>
          </cell>
          <cell r="E5871">
            <v>244.17689999999999</v>
          </cell>
        </row>
        <row r="5872">
          <cell r="B5872" t="str">
            <v>INF200K01578</v>
          </cell>
          <cell r="C5872" t="str">
            <v>INF200K01586</v>
          </cell>
          <cell r="D5872" t="str">
            <v>SBI Midcap Fund - Regular Plan - Income Distribution cum Capital Withdrawal Option (IDCW)</v>
          </cell>
          <cell r="E5872">
            <v>99.774100000000004</v>
          </cell>
        </row>
        <row r="5873">
          <cell r="B5873" t="str">
            <v/>
          </cell>
          <cell r="C5873" t="str">
            <v/>
          </cell>
          <cell r="D5873" t="str">
            <v/>
          </cell>
        </row>
        <row r="5874">
          <cell r="B5874" t="str">
            <v/>
          </cell>
          <cell r="C5874" t="str">
            <v/>
          </cell>
          <cell r="D5874" t="str">
            <v/>
          </cell>
        </row>
        <row r="5875">
          <cell r="B5875" t="str">
            <v/>
          </cell>
          <cell r="C5875" t="str">
            <v/>
          </cell>
          <cell r="D5875" t="str">
            <v/>
          </cell>
        </row>
        <row r="5876">
          <cell r="B5876" t="str">
            <v>INF903J01MJ3</v>
          </cell>
          <cell r="C5876" t="str">
            <v>-</v>
          </cell>
          <cell r="D5876" t="str">
            <v>Sundaram Mid Cap Fund Direct Plan - Growth</v>
          </cell>
          <cell r="E5876">
            <v>1647.5990999999999</v>
          </cell>
        </row>
        <row r="5877">
          <cell r="B5877" t="str">
            <v>INF903J01MH7</v>
          </cell>
          <cell r="C5877" t="str">
            <v>INF903J01MI5</v>
          </cell>
          <cell r="D5877" t="str">
            <v>Sundaram Mid Cap Fund Direct Plan - Income Distribution cum Capital Withdrawal (IDCW)</v>
          </cell>
          <cell r="E5877">
            <v>77.366799999999998</v>
          </cell>
        </row>
        <row r="5878">
          <cell r="B5878" t="str">
            <v>INF903J01173</v>
          </cell>
          <cell r="C5878" t="str">
            <v>-</v>
          </cell>
          <cell r="D5878" t="str">
            <v>Sundaram Mid Cap Fund Regular Plan - Growth</v>
          </cell>
          <cell r="E5878">
            <v>1496.2859000000001</v>
          </cell>
        </row>
        <row r="5879">
          <cell r="B5879" t="str">
            <v>INF903J01181</v>
          </cell>
          <cell r="C5879" t="str">
            <v>INF903J01199</v>
          </cell>
          <cell r="D5879" t="str">
            <v>Sundaram Mid Cap Fund Regular Plan - Income Distribution cum Capital Withdrawal (IDCW)</v>
          </cell>
          <cell r="E5879">
            <v>69.258799999999994</v>
          </cell>
        </row>
        <row r="5880">
          <cell r="B5880" t="str">
            <v/>
          </cell>
          <cell r="C5880" t="str">
            <v/>
          </cell>
          <cell r="D5880" t="str">
            <v/>
          </cell>
        </row>
        <row r="5881">
          <cell r="B5881" t="str">
            <v/>
          </cell>
          <cell r="C5881" t="str">
            <v/>
          </cell>
          <cell r="D5881" t="str">
            <v/>
          </cell>
        </row>
        <row r="5882">
          <cell r="B5882" t="str">
            <v/>
          </cell>
          <cell r="C5882" t="str">
            <v/>
          </cell>
          <cell r="D5882" t="str">
            <v/>
          </cell>
        </row>
        <row r="5883">
          <cell r="B5883" t="str">
            <v>INF277K01PY2</v>
          </cell>
          <cell r="C5883" t="str">
            <v>-</v>
          </cell>
          <cell r="D5883" t="str">
            <v>Tata Mid Cap Fund - Direct Plan- Growth Option</v>
          </cell>
          <cell r="E5883">
            <v>532.60770000000002</v>
          </cell>
        </row>
        <row r="5884">
          <cell r="B5884" t="str">
            <v>INF277K01PW6</v>
          </cell>
          <cell r="C5884" t="str">
            <v>INF277K01PX4</v>
          </cell>
          <cell r="D5884" t="str">
            <v>Tata Mid Cap Fund - Direct Plan- IDCW Option</v>
          </cell>
          <cell r="E5884">
            <v>170.7244</v>
          </cell>
        </row>
        <row r="5885">
          <cell r="B5885" t="str">
            <v>INF277K01626</v>
          </cell>
          <cell r="C5885" t="str">
            <v>-</v>
          </cell>
          <cell r="D5885" t="str">
            <v>Tata Mid Cap Fund Regular Plan- Growth Option</v>
          </cell>
          <cell r="E5885">
            <v>462.76089999999999</v>
          </cell>
        </row>
        <row r="5886">
          <cell r="B5886" t="str">
            <v>INF277K01DS0</v>
          </cell>
          <cell r="C5886" t="str">
            <v>INF277K01642</v>
          </cell>
          <cell r="D5886" t="str">
            <v>Tata Mid Cap Fund-Regular Plan - IDCW Option</v>
          </cell>
          <cell r="E5886">
            <v>122.6587</v>
          </cell>
        </row>
        <row r="5887">
          <cell r="B5887" t="str">
            <v/>
          </cell>
          <cell r="C5887" t="str">
            <v/>
          </cell>
          <cell r="D5887" t="str">
            <v/>
          </cell>
        </row>
        <row r="5888">
          <cell r="B5888" t="str">
            <v/>
          </cell>
          <cell r="C5888" t="str">
            <v/>
          </cell>
          <cell r="D5888" t="str">
            <v/>
          </cell>
        </row>
        <row r="5889">
          <cell r="B5889" t="str">
            <v/>
          </cell>
          <cell r="C5889" t="str">
            <v/>
          </cell>
          <cell r="D5889" t="str">
            <v/>
          </cell>
        </row>
        <row r="5890">
          <cell r="B5890" t="str">
            <v>INF044D01CA9</v>
          </cell>
          <cell r="C5890" t="str">
            <v>-</v>
          </cell>
          <cell r="D5890" t="str">
            <v>Taurus Mid Cap Fund - Direct Plan - Growth</v>
          </cell>
          <cell r="E5890">
            <v>130.41999999999999</v>
          </cell>
        </row>
        <row r="5891">
          <cell r="B5891" t="str">
            <v>INF044D01CB7</v>
          </cell>
          <cell r="C5891" t="str">
            <v>INF044D01CC5</v>
          </cell>
          <cell r="D5891" t="str">
            <v>Taurus Mid Cap Fund - Direct Plan - Payout of Income Distribution cum Capital Withdrawal option</v>
          </cell>
          <cell r="E5891">
            <v>115.86</v>
          </cell>
        </row>
        <row r="5892">
          <cell r="B5892" t="str">
            <v>INF044D01815</v>
          </cell>
          <cell r="C5892" t="str">
            <v>-</v>
          </cell>
          <cell r="D5892" t="str">
            <v>Taurus Mid Cap Fund - Regular Plan - Growth</v>
          </cell>
          <cell r="E5892">
            <v>122.97</v>
          </cell>
        </row>
        <row r="5893">
          <cell r="B5893" t="str">
            <v>INF044D01781</v>
          </cell>
          <cell r="C5893" t="str">
            <v>INF044D01799</v>
          </cell>
          <cell r="D5893" t="str">
            <v>Taurus Mid Cap Fund - Regular Plan - Payout of Income Distribution cum Capital Withdrawal option</v>
          </cell>
          <cell r="E5893">
            <v>109.61</v>
          </cell>
        </row>
        <row r="5894">
          <cell r="B5894" t="str">
            <v/>
          </cell>
          <cell r="C5894" t="str">
            <v/>
          </cell>
          <cell r="D5894" t="str">
            <v/>
          </cell>
        </row>
        <row r="5895">
          <cell r="B5895" t="str">
            <v/>
          </cell>
          <cell r="C5895" t="str">
            <v/>
          </cell>
          <cell r="D5895" t="str">
            <v/>
          </cell>
        </row>
        <row r="5896">
          <cell r="B5896" t="str">
            <v/>
          </cell>
          <cell r="C5896" t="str">
            <v/>
          </cell>
          <cell r="D5896" t="str">
            <v/>
          </cell>
        </row>
        <row r="5897">
          <cell r="B5897" t="str">
            <v>INF0GCD01875</v>
          </cell>
          <cell r="C5897" t="str">
            <v>-</v>
          </cell>
          <cell r="D5897" t="str">
            <v>TRUSTMF MID CAP FUND -DIRECT -GROWTH</v>
          </cell>
          <cell r="E5897">
            <v>11.82</v>
          </cell>
        </row>
        <row r="5898">
          <cell r="B5898" t="str">
            <v>INF0GCD01883</v>
          </cell>
          <cell r="C5898" t="str">
            <v>-</v>
          </cell>
          <cell r="D5898" t="str">
            <v>TRUSTMF MID CAP FUND -REGULAR-GROWTH</v>
          </cell>
          <cell r="E5898">
            <v>11.75</v>
          </cell>
        </row>
        <row r="5899">
          <cell r="B5899" t="str">
            <v/>
          </cell>
          <cell r="C5899" t="str">
            <v/>
          </cell>
          <cell r="D5899" t="str">
            <v/>
          </cell>
        </row>
        <row r="5900">
          <cell r="B5900" t="str">
            <v/>
          </cell>
          <cell r="C5900" t="str">
            <v/>
          </cell>
          <cell r="D5900" t="str">
            <v/>
          </cell>
        </row>
        <row r="5901">
          <cell r="B5901" t="str">
            <v/>
          </cell>
          <cell r="C5901" t="str">
            <v/>
          </cell>
          <cell r="D5901" t="str">
            <v/>
          </cell>
        </row>
        <row r="5902">
          <cell r="B5902" t="str">
            <v>INF582M01GI3</v>
          </cell>
          <cell r="C5902" t="str">
            <v>-</v>
          </cell>
          <cell r="D5902" t="str">
            <v>Union Midcap Fund - Direct Plan - Growth Option</v>
          </cell>
          <cell r="E5902">
            <v>56.14</v>
          </cell>
        </row>
        <row r="5903">
          <cell r="B5903" t="str">
            <v>INF582M01GK9</v>
          </cell>
          <cell r="C5903" t="str">
            <v>INF582M01GJ1</v>
          </cell>
          <cell r="D5903" t="str">
            <v>Union Midcap Fund - Direct Plan - IDCW Option</v>
          </cell>
          <cell r="E5903">
            <v>56.14</v>
          </cell>
        </row>
        <row r="5904">
          <cell r="B5904" t="str">
            <v>INF582M01GM5</v>
          </cell>
          <cell r="C5904" t="str">
            <v>-</v>
          </cell>
          <cell r="D5904" t="str">
            <v>Union Midcap Fund - Regular Plan - Growth Option</v>
          </cell>
          <cell r="E5904">
            <v>51.47</v>
          </cell>
        </row>
        <row r="5905">
          <cell r="B5905" t="str">
            <v>INF582M01GO1</v>
          </cell>
          <cell r="C5905" t="str">
            <v>INF582M01GN3</v>
          </cell>
          <cell r="D5905" t="str">
            <v>Union Midcap Fund - Regular Plan - IDCW Option</v>
          </cell>
          <cell r="E5905">
            <v>51.47</v>
          </cell>
        </row>
        <row r="5906">
          <cell r="B5906" t="str">
            <v/>
          </cell>
          <cell r="C5906" t="str">
            <v/>
          </cell>
          <cell r="D5906" t="str">
            <v/>
          </cell>
        </row>
        <row r="5907">
          <cell r="B5907" t="str">
            <v/>
          </cell>
          <cell r="C5907" t="str">
            <v/>
          </cell>
          <cell r="D5907" t="str">
            <v/>
          </cell>
        </row>
        <row r="5908">
          <cell r="B5908" t="str">
            <v/>
          </cell>
          <cell r="C5908" t="str">
            <v/>
          </cell>
          <cell r="D5908" t="str">
            <v/>
          </cell>
        </row>
        <row r="5909">
          <cell r="B5909" t="str">
            <v>INF789F01TY8</v>
          </cell>
          <cell r="C5909" t="str">
            <v>INF789F01TZ5</v>
          </cell>
          <cell r="D5909" t="str">
            <v>UTI Mid Cap Fund - Direct Plan - IDCW</v>
          </cell>
          <cell r="E5909">
            <v>170.2216</v>
          </cell>
        </row>
        <row r="5910">
          <cell r="B5910" t="str">
            <v>INF789F01794</v>
          </cell>
          <cell r="C5910" t="str">
            <v>INF789F01802</v>
          </cell>
          <cell r="D5910" t="str">
            <v>UTI Mid Cap Fund - Regular Plan - IDCW</v>
          </cell>
          <cell r="E5910">
            <v>145.69499999999999</v>
          </cell>
        </row>
        <row r="5911">
          <cell r="B5911" t="str">
            <v>INF789F01810</v>
          </cell>
          <cell r="C5911" t="str">
            <v>-</v>
          </cell>
          <cell r="D5911" t="str">
            <v>UTI Mid Cap Fund-Growth Option</v>
          </cell>
          <cell r="E5911">
            <v>307.88720000000001</v>
          </cell>
        </row>
        <row r="5912">
          <cell r="B5912" t="str">
            <v>INF789F01UA6</v>
          </cell>
          <cell r="C5912" t="str">
            <v>-</v>
          </cell>
          <cell r="D5912" t="str">
            <v>UTI Mid Cap Fund-Growth Option- Direct</v>
          </cell>
          <cell r="E5912">
            <v>345.90640000000002</v>
          </cell>
        </row>
        <row r="5913">
          <cell r="B5913" t="str">
            <v/>
          </cell>
          <cell r="C5913" t="str">
            <v/>
          </cell>
          <cell r="D5913" t="str">
            <v/>
          </cell>
        </row>
        <row r="5914">
          <cell r="B5914" t="str">
            <v/>
          </cell>
          <cell r="C5914" t="str">
            <v/>
          </cell>
          <cell r="D5914" t="str">
            <v/>
          </cell>
        </row>
        <row r="5915">
          <cell r="B5915" t="str">
            <v/>
          </cell>
          <cell r="C5915" t="str">
            <v/>
          </cell>
          <cell r="D5915" t="str">
            <v/>
          </cell>
        </row>
        <row r="5916">
          <cell r="B5916" t="str">
            <v>INF03VN01597</v>
          </cell>
          <cell r="C5916" t="str">
            <v>-</v>
          </cell>
          <cell r="D5916" t="str">
            <v>WhiteOak Capital Mid Cap Fund Direct Plan Growth</v>
          </cell>
          <cell r="E5916">
            <v>22.959</v>
          </cell>
        </row>
        <row r="5917">
          <cell r="B5917" t="str">
            <v>INF03VN01605</v>
          </cell>
          <cell r="C5917" t="str">
            <v>INF03VN01613</v>
          </cell>
          <cell r="D5917" t="str">
            <v>WhiteOak Capital Mid Cap Fund Direct Plan IDCW</v>
          </cell>
          <cell r="E5917">
            <v>22.959</v>
          </cell>
        </row>
        <row r="5918">
          <cell r="B5918" t="str">
            <v>INF03VN01563</v>
          </cell>
          <cell r="C5918" t="str">
            <v>-</v>
          </cell>
          <cell r="D5918" t="str">
            <v>WhiteOak Capital Mid Cap Fund Regular Plan Growth</v>
          </cell>
          <cell r="E5918">
            <v>21.63</v>
          </cell>
        </row>
        <row r="5919">
          <cell r="B5919" t="str">
            <v>INF03VN01571</v>
          </cell>
          <cell r="C5919" t="str">
            <v>INF03VN01589</v>
          </cell>
          <cell r="D5919" t="str">
            <v>WhiteOak Capital Mid Cap Fund Regular Plan IDCW</v>
          </cell>
          <cell r="E5919">
            <v>21.63</v>
          </cell>
        </row>
        <row r="5920">
          <cell r="B5920" t="str">
            <v/>
          </cell>
          <cell r="C5920" t="str">
            <v/>
          </cell>
          <cell r="D5920" t="str">
            <v/>
          </cell>
        </row>
        <row r="5921">
          <cell r="B5921" t="str">
            <v/>
          </cell>
          <cell r="C5921" t="str">
            <v/>
          </cell>
          <cell r="D5921" t="str">
            <v/>
          </cell>
        </row>
        <row r="5922">
          <cell r="B5922" t="str">
            <v/>
          </cell>
          <cell r="C5922" t="str">
            <v/>
          </cell>
          <cell r="D5922" t="str">
            <v/>
          </cell>
        </row>
        <row r="5923">
          <cell r="B5923" t="str">
            <v/>
          </cell>
          <cell r="C5923" t="str">
            <v/>
          </cell>
          <cell r="D5923" t="str">
            <v/>
          </cell>
        </row>
        <row r="5924">
          <cell r="B5924" t="str">
            <v/>
          </cell>
          <cell r="C5924" t="str">
            <v/>
          </cell>
          <cell r="D5924" t="str">
            <v/>
          </cell>
        </row>
        <row r="5925">
          <cell r="B5925" t="str">
            <v>INF209KB1Y49</v>
          </cell>
          <cell r="C5925" t="str">
            <v>-</v>
          </cell>
          <cell r="D5925" t="str">
            <v>Aditya Birla Sun Life Multi-Cap Fund-Direct Growth</v>
          </cell>
          <cell r="E5925">
            <v>22.06</v>
          </cell>
        </row>
        <row r="5926">
          <cell r="B5926" t="str">
            <v>INF209KB1Y56</v>
          </cell>
          <cell r="C5926" t="str">
            <v>-</v>
          </cell>
          <cell r="D5926" t="str">
            <v>Aditya Birla Sun Life Multi-Cap Fund-Direct IDCW Payout</v>
          </cell>
          <cell r="E5926">
            <v>19.510000000000002</v>
          </cell>
        </row>
        <row r="5927">
          <cell r="B5927" t="str">
            <v>INF209KB1Y23</v>
          </cell>
          <cell r="C5927" t="str">
            <v>-</v>
          </cell>
          <cell r="D5927" t="str">
            <v>Aditya Birla Sun Life Multi-Cap Fund-Regular Growth</v>
          </cell>
          <cell r="E5927">
            <v>20.56</v>
          </cell>
        </row>
        <row r="5928">
          <cell r="B5928" t="str">
            <v>INF209KB1Y31</v>
          </cell>
          <cell r="C5928" t="str">
            <v>-</v>
          </cell>
          <cell r="D5928" t="str">
            <v>Aditya Birla Sun Life Multi-Cap Fund-Regular-IDCW Payout</v>
          </cell>
          <cell r="E5928">
            <v>18.2</v>
          </cell>
        </row>
        <row r="5929">
          <cell r="B5929" t="str">
            <v/>
          </cell>
          <cell r="C5929" t="str">
            <v/>
          </cell>
          <cell r="D5929" t="str">
            <v/>
          </cell>
        </row>
        <row r="5930">
          <cell r="B5930" t="str">
            <v/>
          </cell>
          <cell r="C5930" t="str">
            <v/>
          </cell>
          <cell r="D5930" t="str">
            <v/>
          </cell>
        </row>
        <row r="5931">
          <cell r="B5931" t="str">
            <v/>
          </cell>
          <cell r="C5931" t="str">
            <v/>
          </cell>
          <cell r="D5931" t="str">
            <v/>
          </cell>
        </row>
        <row r="5932">
          <cell r="B5932" t="str">
            <v>INF846K013E0</v>
          </cell>
          <cell r="C5932" t="str">
            <v>-</v>
          </cell>
          <cell r="D5932" t="str">
            <v>Axis Multicap Fund - Direct Growth</v>
          </cell>
          <cell r="E5932">
            <v>19.87</v>
          </cell>
        </row>
        <row r="5933">
          <cell r="B5933" t="str">
            <v>INF846K014E8</v>
          </cell>
          <cell r="C5933" t="str">
            <v>INF846K015E5</v>
          </cell>
          <cell r="D5933" t="str">
            <v>Axis Multicap Fund - Direct Plan - IDCW</v>
          </cell>
          <cell r="E5933">
            <v>18.89</v>
          </cell>
        </row>
        <row r="5934">
          <cell r="B5934" t="str">
            <v>INF846K016E3</v>
          </cell>
          <cell r="C5934" t="str">
            <v>-</v>
          </cell>
          <cell r="D5934" t="str">
            <v>Axis Multicap Fund - Regular Plan - Growth</v>
          </cell>
          <cell r="E5934">
            <v>18.739999999999998</v>
          </cell>
        </row>
        <row r="5935">
          <cell r="B5935" t="str">
            <v>INF846K017E1</v>
          </cell>
          <cell r="C5935" t="str">
            <v>INF846K018E9</v>
          </cell>
          <cell r="D5935" t="str">
            <v>Axis Multicap Fund - Regular Plan - IDCW</v>
          </cell>
          <cell r="E5935">
            <v>17.84</v>
          </cell>
        </row>
        <row r="5936">
          <cell r="B5936" t="str">
            <v/>
          </cell>
          <cell r="C5936" t="str">
            <v/>
          </cell>
          <cell r="D5936" t="str">
            <v/>
          </cell>
        </row>
        <row r="5937">
          <cell r="B5937" t="str">
            <v/>
          </cell>
          <cell r="C5937" t="str">
            <v/>
          </cell>
          <cell r="D5937" t="str">
            <v/>
          </cell>
        </row>
        <row r="5938">
          <cell r="B5938" t="str">
            <v/>
          </cell>
          <cell r="C5938" t="str">
            <v/>
          </cell>
          <cell r="D5938" t="str">
            <v/>
          </cell>
        </row>
        <row r="5939">
          <cell r="B5939" t="str">
            <v>INF0QA701AV7</v>
          </cell>
          <cell r="C5939" t="str">
            <v>-</v>
          </cell>
          <cell r="D5939" t="str">
            <v>BAJAJ FINSERV MULTI CAP FUND - DIRECT - GROWTH</v>
          </cell>
          <cell r="E5939">
            <v>12.191000000000001</v>
          </cell>
        </row>
        <row r="5940">
          <cell r="B5940" t="str">
            <v>INF0QA701AW5</v>
          </cell>
          <cell r="C5940" t="str">
            <v>INF0QA701AX3</v>
          </cell>
          <cell r="D5940" t="str">
            <v>BAJAJ FINSERV MULTI CAP FUND - DIRECT - IDCW</v>
          </cell>
          <cell r="E5940">
            <v>12.191000000000001</v>
          </cell>
        </row>
        <row r="5941">
          <cell r="B5941" t="str">
            <v>INF0QA701AS3</v>
          </cell>
          <cell r="C5941" t="str">
            <v>-</v>
          </cell>
          <cell r="D5941" t="str">
            <v>BAJAJ FINSERV MULTI CAP FUND - REGULAR - GROWTH</v>
          </cell>
          <cell r="E5941">
            <v>11.933</v>
          </cell>
        </row>
        <row r="5942">
          <cell r="B5942" t="str">
            <v>INF0QA701AT1</v>
          </cell>
          <cell r="C5942" t="str">
            <v>INF0QA701AU9</v>
          </cell>
          <cell r="D5942" t="str">
            <v>BAJAJ FINSERV MULTI CAP FUND - REGULAR - IDCW</v>
          </cell>
          <cell r="E5942">
            <v>11.933</v>
          </cell>
        </row>
        <row r="5943">
          <cell r="B5943" t="str">
            <v/>
          </cell>
          <cell r="C5943" t="str">
            <v/>
          </cell>
          <cell r="D5943" t="str">
            <v/>
          </cell>
        </row>
        <row r="5944">
          <cell r="B5944" t="str">
            <v/>
          </cell>
          <cell r="C5944" t="str">
            <v/>
          </cell>
          <cell r="D5944" t="str">
            <v/>
          </cell>
        </row>
        <row r="5945">
          <cell r="B5945" t="str">
            <v/>
          </cell>
          <cell r="C5945" t="str">
            <v/>
          </cell>
          <cell r="D5945" t="str">
            <v/>
          </cell>
        </row>
        <row r="5946">
          <cell r="B5946" t="str">
            <v>INF194KB1CL0</v>
          </cell>
          <cell r="C5946" t="str">
            <v>-</v>
          </cell>
          <cell r="D5946" t="str">
            <v>BANDHAN MULTI CAP FUND - GROWTH - DIRECT PLAN</v>
          </cell>
          <cell r="E5946">
            <v>18.68</v>
          </cell>
        </row>
        <row r="5947">
          <cell r="B5947" t="str">
            <v>INF194KB1CI6</v>
          </cell>
          <cell r="C5947" t="str">
            <v>-</v>
          </cell>
          <cell r="D5947" t="str">
            <v>BANDHAN MULTI CAP FUND - GROWTH - REGULAR PLAN</v>
          </cell>
          <cell r="E5947">
            <v>17.405999999999999</v>
          </cell>
        </row>
        <row r="5948">
          <cell r="B5948" t="str">
            <v>INF194KB1CM8</v>
          </cell>
          <cell r="C5948" t="str">
            <v>INF194KB1CN6</v>
          </cell>
          <cell r="D5948" t="str">
            <v>BANDHAN MULTI CAP FUND - IDCW - DIRECT PLAN</v>
          </cell>
          <cell r="E5948">
            <v>16.459</v>
          </cell>
        </row>
        <row r="5949">
          <cell r="B5949" t="str">
            <v>INF194KB1CJ4</v>
          </cell>
          <cell r="C5949" t="str">
            <v>INF194KB1CK2</v>
          </cell>
          <cell r="D5949" t="str">
            <v>BANDHAN MULTI CAP FUND - IDCW - REGULAR PLAN</v>
          </cell>
          <cell r="E5949">
            <v>15.176</v>
          </cell>
        </row>
        <row r="5950">
          <cell r="B5950" t="str">
            <v/>
          </cell>
          <cell r="C5950" t="str">
            <v/>
          </cell>
          <cell r="D5950" t="str">
            <v/>
          </cell>
        </row>
        <row r="5951">
          <cell r="B5951" t="str">
            <v/>
          </cell>
          <cell r="C5951" t="str">
            <v/>
          </cell>
          <cell r="D5951" t="str">
            <v/>
          </cell>
        </row>
        <row r="5952">
          <cell r="B5952" t="str">
            <v/>
          </cell>
          <cell r="C5952" t="str">
            <v/>
          </cell>
          <cell r="D5952" t="str">
            <v/>
          </cell>
        </row>
        <row r="5953">
          <cell r="B5953" t="str">
            <v>INF761K01FR0</v>
          </cell>
          <cell r="C5953" t="str">
            <v>-</v>
          </cell>
          <cell r="D5953" t="str">
            <v>Bank of India Multi Cap Fund Direct Plan - Growth</v>
          </cell>
          <cell r="E5953">
            <v>20.47</v>
          </cell>
        </row>
        <row r="5954">
          <cell r="B5954" t="str">
            <v>INF761K01FQ2</v>
          </cell>
          <cell r="C5954" t="str">
            <v>INF761K01FS8</v>
          </cell>
          <cell r="D5954" t="str">
            <v>Bank of India Multi Cap Fund Direct Plan - IDCW</v>
          </cell>
          <cell r="E5954">
            <v>20.440000000000001</v>
          </cell>
        </row>
        <row r="5955">
          <cell r="B5955" t="str">
            <v>INF761K01FU4</v>
          </cell>
          <cell r="C5955" t="str">
            <v>-</v>
          </cell>
          <cell r="D5955" t="str">
            <v>Bank of India Multi Cap Fund Regular Plan - Growth</v>
          </cell>
          <cell r="E5955">
            <v>19.7</v>
          </cell>
        </row>
        <row r="5956">
          <cell r="B5956" t="str">
            <v>INF761K01FT6</v>
          </cell>
          <cell r="C5956" t="str">
            <v>INF761K01FV2</v>
          </cell>
          <cell r="D5956" t="str">
            <v>Bank of India Multi Cap Fund Regular Plan - IDCW</v>
          </cell>
          <cell r="E5956">
            <v>19.7</v>
          </cell>
        </row>
        <row r="5957">
          <cell r="B5957" t="str">
            <v/>
          </cell>
          <cell r="C5957" t="str">
            <v/>
          </cell>
          <cell r="D5957" t="str">
            <v/>
          </cell>
        </row>
        <row r="5958">
          <cell r="B5958" t="str">
            <v/>
          </cell>
          <cell r="C5958" t="str">
            <v/>
          </cell>
          <cell r="D5958" t="str">
            <v/>
          </cell>
        </row>
        <row r="5959">
          <cell r="B5959" t="str">
            <v/>
          </cell>
          <cell r="C5959" t="str">
            <v/>
          </cell>
          <cell r="D5959" t="str">
            <v/>
          </cell>
        </row>
        <row r="5960">
          <cell r="B5960" t="str">
            <v>INF955L01AG0</v>
          </cell>
          <cell r="C5960" t="str">
            <v>-</v>
          </cell>
          <cell r="D5960" t="str">
            <v>Baroda BNP Paribas MULTI CAP FUND - Direct Plan - Growth Option</v>
          </cell>
          <cell r="E5960">
            <v>334.13249999999999</v>
          </cell>
        </row>
        <row r="5961">
          <cell r="B5961" t="str">
            <v>INF955L01AE5</v>
          </cell>
          <cell r="C5961" t="str">
            <v>-</v>
          </cell>
          <cell r="D5961" t="str">
            <v>Baroda BNP Paribas MULTI CAP FUND - Direct Plan - IDCW Option</v>
          </cell>
          <cell r="E5961">
            <v>55.675199999999997</v>
          </cell>
        </row>
        <row r="5962">
          <cell r="B5962" t="str">
            <v>INF955L01674</v>
          </cell>
          <cell r="C5962" t="str">
            <v>-</v>
          </cell>
          <cell r="D5962" t="str">
            <v>Baroda BNP Paribas MULTI CAP FUND - Regular Plan - Growth Option</v>
          </cell>
          <cell r="E5962">
            <v>294.54950000000002</v>
          </cell>
        </row>
        <row r="5963">
          <cell r="B5963" t="str">
            <v>INF955L01658</v>
          </cell>
          <cell r="C5963" t="str">
            <v>INF955L01666</v>
          </cell>
          <cell r="D5963" t="str">
            <v>Baroda BNP Paribas MULTI CAP FUND - Regular Plan - IDCW Option</v>
          </cell>
          <cell r="E5963">
            <v>51.8538</v>
          </cell>
        </row>
        <row r="5964">
          <cell r="B5964" t="str">
            <v/>
          </cell>
          <cell r="C5964" t="str">
            <v/>
          </cell>
          <cell r="D5964" t="str">
            <v/>
          </cell>
        </row>
        <row r="5965">
          <cell r="B5965" t="str">
            <v/>
          </cell>
          <cell r="C5965" t="str">
            <v/>
          </cell>
          <cell r="D5965" t="str">
            <v/>
          </cell>
        </row>
        <row r="5966">
          <cell r="B5966" t="str">
            <v/>
          </cell>
          <cell r="C5966" t="str">
            <v/>
          </cell>
          <cell r="D5966" t="str">
            <v/>
          </cell>
        </row>
        <row r="5967">
          <cell r="B5967" t="str">
            <v>INF760K01KO9</v>
          </cell>
          <cell r="C5967" t="str">
            <v>-</v>
          </cell>
          <cell r="D5967" t="str">
            <v>Canara Robeco Multi Cap Fund - Direct Plan - Growth Option</v>
          </cell>
          <cell r="E5967">
            <v>15.38</v>
          </cell>
        </row>
        <row r="5968">
          <cell r="B5968" t="str">
            <v>INF760K01KQ4</v>
          </cell>
          <cell r="C5968" t="str">
            <v>INF760K01KP6</v>
          </cell>
          <cell r="D5968" t="str">
            <v>Canara Robeco Multi Cap Fund - Direct Plan - IDCW Option</v>
          </cell>
          <cell r="E5968">
            <v>14.47</v>
          </cell>
        </row>
        <row r="5969">
          <cell r="B5969" t="str">
            <v>INF760K01KR2</v>
          </cell>
          <cell r="C5969" t="str">
            <v>-</v>
          </cell>
          <cell r="D5969" t="str">
            <v>Canara Robeco Multi Cap Fund - Regular Plan - Growth Option</v>
          </cell>
          <cell r="E5969">
            <v>14.74</v>
          </cell>
        </row>
        <row r="5970">
          <cell r="B5970" t="str">
            <v>INF760K01KT8</v>
          </cell>
          <cell r="C5970" t="str">
            <v>INF760K01KS0</v>
          </cell>
          <cell r="D5970" t="str">
            <v>Canara Robeco Multi Cap Fund - Regular Plan - IDCW Option</v>
          </cell>
          <cell r="E5970">
            <v>13.86</v>
          </cell>
        </row>
        <row r="5971">
          <cell r="B5971" t="str">
            <v/>
          </cell>
          <cell r="C5971" t="str">
            <v/>
          </cell>
          <cell r="D5971" t="str">
            <v/>
          </cell>
        </row>
        <row r="5972">
          <cell r="B5972" t="str">
            <v/>
          </cell>
          <cell r="C5972" t="str">
            <v/>
          </cell>
          <cell r="D5972" t="str">
            <v/>
          </cell>
        </row>
        <row r="5973">
          <cell r="B5973" t="str">
            <v/>
          </cell>
          <cell r="C5973" t="str">
            <v/>
          </cell>
          <cell r="D5973" t="str">
            <v/>
          </cell>
        </row>
        <row r="5974">
          <cell r="B5974" t="str">
            <v>INF740KA1UC1</v>
          </cell>
          <cell r="C5974" t="str">
            <v>-</v>
          </cell>
          <cell r="D5974" t="str">
            <v>DSP Multicap Fund - Direct - Growth</v>
          </cell>
          <cell r="E5974">
            <v>12.589</v>
          </cell>
        </row>
        <row r="5975">
          <cell r="B5975" t="str">
            <v>INF740KA1UD9</v>
          </cell>
          <cell r="C5975" t="str">
            <v>INF740KA1UE7</v>
          </cell>
          <cell r="D5975" t="str">
            <v>DSP Multicap Fund - Direct - IDCW</v>
          </cell>
          <cell r="E5975">
            <v>11.544</v>
          </cell>
        </row>
        <row r="5976">
          <cell r="B5976" t="str">
            <v>INF740KA1TZ4</v>
          </cell>
          <cell r="C5976" t="str">
            <v>-</v>
          </cell>
          <cell r="D5976" t="str">
            <v>DSP Multicap Fund - Regular - Growth</v>
          </cell>
          <cell r="E5976">
            <v>12.137</v>
          </cell>
        </row>
        <row r="5977">
          <cell r="B5977" t="str">
            <v>INF740KA1UA5</v>
          </cell>
          <cell r="C5977" t="str">
            <v>INF740KA1UB3</v>
          </cell>
          <cell r="D5977" t="str">
            <v>DSP Multicap Fund - Regular - IDCW</v>
          </cell>
          <cell r="E5977">
            <v>11.201000000000001</v>
          </cell>
        </row>
        <row r="5978">
          <cell r="B5978" t="str">
            <v/>
          </cell>
          <cell r="C5978" t="str">
            <v/>
          </cell>
          <cell r="D5978" t="str">
            <v/>
          </cell>
        </row>
        <row r="5979">
          <cell r="B5979" t="str">
            <v/>
          </cell>
          <cell r="C5979" t="str">
            <v/>
          </cell>
          <cell r="D5979" t="str">
            <v/>
          </cell>
        </row>
        <row r="5980">
          <cell r="B5980" t="str">
            <v/>
          </cell>
          <cell r="C5980" t="str">
            <v/>
          </cell>
          <cell r="D5980" t="str">
            <v/>
          </cell>
        </row>
        <row r="5981">
          <cell r="B5981" t="str">
            <v>INF754K01SD8</v>
          </cell>
          <cell r="C5981" t="str">
            <v>-</v>
          </cell>
          <cell r="D5981" t="str">
            <v>Edelweiss Multi Cap Fund - Direct Plan - Growth</v>
          </cell>
          <cell r="E5981">
            <v>16.292400000000001</v>
          </cell>
        </row>
        <row r="5982">
          <cell r="B5982" t="str">
            <v>INF754K01SA4</v>
          </cell>
          <cell r="C5982" t="str">
            <v>INF754K01SB2</v>
          </cell>
          <cell r="D5982" t="str">
            <v>Edelweiss Multi Cap Fund - Direct Plan - IDCW</v>
          </cell>
          <cell r="E5982">
            <v>15.788500000000001</v>
          </cell>
        </row>
        <row r="5983">
          <cell r="B5983" t="str">
            <v>INF754K01RW0</v>
          </cell>
          <cell r="C5983" t="str">
            <v>-</v>
          </cell>
          <cell r="D5983" t="str">
            <v>Edelweiss Multi Cap Fund - Regular Plan - Growth</v>
          </cell>
          <cell r="E5983">
            <v>15.6145</v>
          </cell>
        </row>
        <row r="5984">
          <cell r="B5984" t="str">
            <v>INF754K01RX8</v>
          </cell>
          <cell r="C5984" t="str">
            <v>INF754K01RY6</v>
          </cell>
          <cell r="D5984" t="str">
            <v>Edelweiss Multi Cap Fund - Regular Plan - IDCW</v>
          </cell>
          <cell r="E5984">
            <v>15.1112</v>
          </cell>
        </row>
        <row r="5985">
          <cell r="B5985" t="str">
            <v/>
          </cell>
          <cell r="C5985" t="str">
            <v/>
          </cell>
          <cell r="D5985" t="str">
            <v/>
          </cell>
        </row>
        <row r="5986">
          <cell r="B5986" t="str">
            <v/>
          </cell>
          <cell r="C5986" t="str">
            <v/>
          </cell>
          <cell r="D5986" t="str">
            <v/>
          </cell>
        </row>
        <row r="5987">
          <cell r="B5987" t="str">
            <v/>
          </cell>
          <cell r="C5987" t="str">
            <v/>
          </cell>
          <cell r="D5987" t="str">
            <v/>
          </cell>
        </row>
        <row r="5988">
          <cell r="B5988" t="str">
            <v>INF090I01XA7</v>
          </cell>
          <cell r="C5988" t="str">
            <v>-</v>
          </cell>
          <cell r="D5988" t="str">
            <v>Franklin India Multi Cap Fund - Direct - Growth</v>
          </cell>
          <cell r="E5988">
            <v>11.0383</v>
          </cell>
        </row>
        <row r="5989">
          <cell r="B5989" t="str">
            <v>INF090I01XB5</v>
          </cell>
          <cell r="C5989" t="str">
            <v>INF090I01XC3</v>
          </cell>
          <cell r="D5989" t="str">
            <v>Franklin India Multi Cap Fund - Direct - IDCW</v>
          </cell>
          <cell r="E5989">
            <v>11.0383</v>
          </cell>
        </row>
        <row r="5990">
          <cell r="B5990" t="str">
            <v>INF090I01WX1</v>
          </cell>
          <cell r="C5990" t="str">
            <v>-</v>
          </cell>
          <cell r="D5990" t="str">
            <v>Franklin India Multi Cap Fund - Growth</v>
          </cell>
          <cell r="E5990">
            <v>10.727399999999999</v>
          </cell>
        </row>
        <row r="5991">
          <cell r="B5991" t="str">
            <v>INF090I01WY9</v>
          </cell>
          <cell r="C5991" t="str">
            <v>INF090I01WZ6</v>
          </cell>
          <cell r="D5991" t="str">
            <v>Franklin India Multi Cap Fund - IDCW</v>
          </cell>
          <cell r="E5991">
            <v>10.727399999999999</v>
          </cell>
        </row>
        <row r="5992">
          <cell r="B5992" t="str">
            <v/>
          </cell>
          <cell r="C5992" t="str">
            <v/>
          </cell>
          <cell r="D5992" t="str">
            <v/>
          </cell>
        </row>
        <row r="5993">
          <cell r="B5993" t="str">
            <v/>
          </cell>
          <cell r="C5993" t="str">
            <v/>
          </cell>
          <cell r="D5993" t="str">
            <v/>
          </cell>
        </row>
        <row r="5994">
          <cell r="B5994" t="str">
            <v/>
          </cell>
          <cell r="C5994" t="str">
            <v/>
          </cell>
          <cell r="D5994" t="str">
            <v/>
          </cell>
        </row>
        <row r="5995">
          <cell r="B5995" t="str">
            <v>INF179KC1BV9</v>
          </cell>
          <cell r="C5995" t="str">
            <v>-</v>
          </cell>
          <cell r="D5995" t="str">
            <v>HDFC Multi Cap Fund - Growth Option</v>
          </cell>
          <cell r="E5995">
            <v>18.571000000000002</v>
          </cell>
        </row>
        <row r="5996">
          <cell r="B5996" t="str">
            <v>INF179KC1BS5</v>
          </cell>
          <cell r="C5996" t="str">
            <v>-</v>
          </cell>
          <cell r="D5996" t="str">
            <v>HDFC Multi Cap Fund - Growth Option - Direct Plan</v>
          </cell>
          <cell r="E5996">
            <v>19.591000000000001</v>
          </cell>
        </row>
        <row r="5997">
          <cell r="B5997" t="str">
            <v>INF179KC1BW7</v>
          </cell>
          <cell r="C5997" t="str">
            <v>INF179KC1BX5</v>
          </cell>
          <cell r="D5997" t="str">
            <v>HDFC Multi Cap Fund - IDCW Option</v>
          </cell>
          <cell r="E5997">
            <v>16.824000000000002</v>
          </cell>
        </row>
        <row r="5998">
          <cell r="B5998" t="str">
            <v>INF179KC1BT3</v>
          </cell>
          <cell r="C5998" t="str">
            <v>INF179KC1BU1</v>
          </cell>
          <cell r="D5998" t="str">
            <v>HDFC Multi Cap Fund - IDCW Option - Direct Plan</v>
          </cell>
          <cell r="E5998">
            <v>17.904</v>
          </cell>
        </row>
        <row r="5999">
          <cell r="B5999" t="str">
            <v/>
          </cell>
          <cell r="C5999" t="str">
            <v/>
          </cell>
          <cell r="D5999" t="str">
            <v/>
          </cell>
        </row>
        <row r="6000">
          <cell r="B6000" t="str">
            <v/>
          </cell>
          <cell r="C6000" t="str">
            <v/>
          </cell>
          <cell r="D6000" t="str">
            <v/>
          </cell>
        </row>
        <row r="6001">
          <cell r="B6001" t="str">
            <v/>
          </cell>
          <cell r="C6001" t="str">
            <v/>
          </cell>
          <cell r="D6001" t="str">
            <v/>
          </cell>
        </row>
        <row r="6002">
          <cell r="B6002" t="str">
            <v>INF336L01QN5</v>
          </cell>
          <cell r="C6002" t="str">
            <v>-</v>
          </cell>
          <cell r="D6002" t="str">
            <v>HSBC Multi Cap Fund - Direct - Growth</v>
          </cell>
          <cell r="E6002">
            <v>20.5977</v>
          </cell>
        </row>
        <row r="6003">
          <cell r="B6003" t="str">
            <v>INF336L01QO3</v>
          </cell>
          <cell r="C6003" t="str">
            <v>INF336L01QP0</v>
          </cell>
          <cell r="D6003" t="str">
            <v>HSBC Multi Cap Fund - Direct - IDCW</v>
          </cell>
          <cell r="E6003">
            <v>19.895399999999999</v>
          </cell>
        </row>
        <row r="6004">
          <cell r="B6004" t="str">
            <v>INF336L01QQ8</v>
          </cell>
          <cell r="C6004" t="str">
            <v>-</v>
          </cell>
          <cell r="D6004" t="str">
            <v>HSBC Multi Cap Fund - Regular - Growth</v>
          </cell>
          <cell r="E6004">
            <v>19.6859</v>
          </cell>
        </row>
        <row r="6005">
          <cell r="B6005" t="str">
            <v>INF336L01QR6</v>
          </cell>
          <cell r="C6005" t="str">
            <v>INF336L01QS4</v>
          </cell>
          <cell r="D6005" t="str">
            <v>HSBC Multi Cap Fund - Regular - IDCW</v>
          </cell>
          <cell r="E6005">
            <v>16.1829</v>
          </cell>
        </row>
        <row r="6006">
          <cell r="B6006" t="str">
            <v/>
          </cell>
          <cell r="C6006" t="str">
            <v/>
          </cell>
          <cell r="D6006" t="str">
            <v/>
          </cell>
        </row>
        <row r="6007">
          <cell r="B6007" t="str">
            <v/>
          </cell>
          <cell r="C6007" t="str">
            <v/>
          </cell>
          <cell r="D6007" t="str">
            <v/>
          </cell>
        </row>
        <row r="6008">
          <cell r="B6008" t="str">
            <v/>
          </cell>
          <cell r="C6008" t="str">
            <v/>
          </cell>
          <cell r="D6008" t="str">
            <v/>
          </cell>
        </row>
        <row r="6009">
          <cell r="B6009" t="str">
            <v>INF109K014O9</v>
          </cell>
          <cell r="C6009" t="str">
            <v>-</v>
          </cell>
          <cell r="D6009" t="str">
            <v>ICICI Prudential Multicap Fund - Direct Plan -  Growth</v>
          </cell>
          <cell r="E6009">
            <v>953.58</v>
          </cell>
        </row>
        <row r="6010">
          <cell r="B6010" t="str">
            <v>INF109K012O3</v>
          </cell>
          <cell r="C6010" t="str">
            <v>INF109K013O1</v>
          </cell>
          <cell r="D6010" t="str">
            <v>ICICI Prudential Multicap Fund - Direct Plan -  IDCW</v>
          </cell>
          <cell r="E6010">
            <v>63.75</v>
          </cell>
        </row>
        <row r="6011">
          <cell r="B6011" t="str">
            <v>INF109K01613</v>
          </cell>
          <cell r="C6011" t="str">
            <v>-</v>
          </cell>
          <cell r="D6011" t="str">
            <v>ICICI Prudential Multicap Fund - Growth</v>
          </cell>
          <cell r="E6011">
            <v>847.81</v>
          </cell>
        </row>
        <row r="6012">
          <cell r="B6012" t="str">
            <v>INF109K01FK7</v>
          </cell>
          <cell r="C6012" t="str">
            <v>INF109K01621</v>
          </cell>
          <cell r="D6012" t="str">
            <v>ICICI Prudential Multicap Fund - IDCW</v>
          </cell>
          <cell r="E6012">
            <v>34.14</v>
          </cell>
        </row>
        <row r="6013">
          <cell r="B6013" t="str">
            <v/>
          </cell>
          <cell r="C6013" t="str">
            <v/>
          </cell>
          <cell r="D6013" t="str">
            <v/>
          </cell>
        </row>
        <row r="6014">
          <cell r="B6014" t="str">
            <v/>
          </cell>
          <cell r="C6014" t="str">
            <v/>
          </cell>
          <cell r="D6014" t="str">
            <v/>
          </cell>
        </row>
        <row r="6015">
          <cell r="B6015" t="str">
            <v/>
          </cell>
          <cell r="C6015" t="str">
            <v/>
          </cell>
          <cell r="D6015" t="str">
            <v/>
          </cell>
        </row>
        <row r="6016">
          <cell r="B6016" t="str">
            <v>INF205K01MS2</v>
          </cell>
          <cell r="C6016" t="str">
            <v>-</v>
          </cell>
          <cell r="D6016" t="str">
            <v>Invesco India Multicap Fund - Direct Plan - Growth Option</v>
          </cell>
          <cell r="E6016">
            <v>154.57</v>
          </cell>
        </row>
        <row r="6017">
          <cell r="B6017" t="str">
            <v>INF205K01MQ6</v>
          </cell>
          <cell r="C6017" t="str">
            <v>INF205K01MR4</v>
          </cell>
          <cell r="D6017" t="str">
            <v>Invesco India Multicap Fund - Direct Plan - IDCW (Payout / Reinvestment)</v>
          </cell>
          <cell r="E6017">
            <v>139.87</v>
          </cell>
        </row>
        <row r="6018">
          <cell r="B6018" t="str">
            <v>INF205K01DN2</v>
          </cell>
          <cell r="C6018" t="str">
            <v>-</v>
          </cell>
          <cell r="D6018" t="str">
            <v>Invesco India Multicap Fund - Regular Plan - Growth Option</v>
          </cell>
          <cell r="E6018">
            <v>128.37</v>
          </cell>
        </row>
        <row r="6019">
          <cell r="B6019" t="str">
            <v>INF205K01DO0</v>
          </cell>
          <cell r="C6019" t="str">
            <v>INF205K01DP7</v>
          </cell>
          <cell r="D6019" t="str">
            <v>Invesco India Multicap Fund - Regular Plan - IDCW (Payout / Reinvestment)</v>
          </cell>
          <cell r="E6019">
            <v>116.39</v>
          </cell>
        </row>
        <row r="6020">
          <cell r="B6020" t="str">
            <v/>
          </cell>
          <cell r="C6020" t="str">
            <v/>
          </cell>
          <cell r="D6020" t="str">
            <v/>
          </cell>
        </row>
        <row r="6021">
          <cell r="B6021" t="str">
            <v/>
          </cell>
          <cell r="C6021" t="str">
            <v/>
          </cell>
          <cell r="D6021" t="str">
            <v/>
          </cell>
        </row>
        <row r="6022">
          <cell r="B6022" t="str">
            <v/>
          </cell>
          <cell r="C6022" t="str">
            <v/>
          </cell>
          <cell r="D6022" t="str">
            <v/>
          </cell>
        </row>
        <row r="6023">
          <cell r="B6023" t="str">
            <v>INF00XX01168</v>
          </cell>
          <cell r="C6023" t="str">
            <v>-</v>
          </cell>
          <cell r="D6023" t="str">
            <v>ITI Multi Cap Fund - Direct Plan - Growth Option</v>
          </cell>
          <cell r="E6023">
            <v>29.1462</v>
          </cell>
        </row>
        <row r="6024">
          <cell r="B6024" t="str">
            <v>INF00XX01176</v>
          </cell>
          <cell r="C6024" t="str">
            <v>INF00XX01184</v>
          </cell>
          <cell r="D6024" t="str">
            <v>ITI Multi Cap Fund - Direct Plan - IDCW Option</v>
          </cell>
          <cell r="E6024">
            <v>25.7851</v>
          </cell>
        </row>
        <row r="6025">
          <cell r="B6025" t="str">
            <v>INF00XX01135</v>
          </cell>
          <cell r="C6025" t="str">
            <v>-</v>
          </cell>
          <cell r="D6025" t="str">
            <v>ITI Multi Cap Fund - Regular Plan - Growth Option</v>
          </cell>
          <cell r="E6025">
            <v>25.4072</v>
          </cell>
        </row>
        <row r="6026">
          <cell r="B6026" t="str">
            <v>INF00XX01143</v>
          </cell>
          <cell r="C6026" t="str">
            <v>INF00XX01150</v>
          </cell>
          <cell r="D6026" t="str">
            <v>ITI Multi Cap Fund - Regular Plan - IDCW Option</v>
          </cell>
          <cell r="E6026">
            <v>22.224399999999999</v>
          </cell>
        </row>
        <row r="6027">
          <cell r="B6027" t="str">
            <v/>
          </cell>
          <cell r="C6027" t="str">
            <v/>
          </cell>
          <cell r="D6027" t="str">
            <v/>
          </cell>
        </row>
        <row r="6028">
          <cell r="B6028" t="str">
            <v/>
          </cell>
          <cell r="C6028" t="str">
            <v/>
          </cell>
          <cell r="D6028" t="str">
            <v/>
          </cell>
        </row>
        <row r="6029">
          <cell r="B6029" t="str">
            <v/>
          </cell>
          <cell r="C6029" t="str">
            <v/>
          </cell>
          <cell r="D6029" t="str">
            <v/>
          </cell>
        </row>
        <row r="6030">
          <cell r="B6030" t="str">
            <v>INF174KA1HT7</v>
          </cell>
          <cell r="C6030" t="str">
            <v>INF174KA1HU5</v>
          </cell>
          <cell r="D6030" t="str">
            <v>Kotak Multicap Fund- Regular Plan -IDCW Option</v>
          </cell>
          <cell r="E6030">
            <v>18.344999999999999</v>
          </cell>
        </row>
        <row r="6031">
          <cell r="B6031" t="str">
            <v>INF174KA1HV3</v>
          </cell>
          <cell r="C6031" t="str">
            <v>-</v>
          </cell>
          <cell r="D6031" t="str">
            <v>Kotak Multicap Fund-Direct Plan-Growth</v>
          </cell>
          <cell r="E6031">
            <v>21.366</v>
          </cell>
        </row>
        <row r="6032">
          <cell r="B6032" t="str">
            <v>INF174KA1HW1</v>
          </cell>
          <cell r="C6032" t="str">
            <v>INF174KA1HX9</v>
          </cell>
          <cell r="D6032" t="str">
            <v>Kotak Multicap Fund-Direct Plan-IDCW Option</v>
          </cell>
          <cell r="E6032">
            <v>19.635999999999999</v>
          </cell>
        </row>
        <row r="6033">
          <cell r="B6033" t="str">
            <v>INF174KA1HS9</v>
          </cell>
          <cell r="C6033" t="str">
            <v>-</v>
          </cell>
          <cell r="D6033" t="str">
            <v>Kotak Multicap Fund-Regular Plan-Growth</v>
          </cell>
          <cell r="E6033">
            <v>19.962</v>
          </cell>
        </row>
        <row r="6034">
          <cell r="B6034" t="str">
            <v/>
          </cell>
          <cell r="C6034" t="str">
            <v/>
          </cell>
          <cell r="D6034" t="str">
            <v/>
          </cell>
        </row>
        <row r="6035">
          <cell r="B6035" t="str">
            <v/>
          </cell>
          <cell r="C6035" t="str">
            <v/>
          </cell>
          <cell r="D6035" t="str">
            <v/>
          </cell>
        </row>
        <row r="6036">
          <cell r="B6036" t="str">
            <v/>
          </cell>
          <cell r="C6036" t="str">
            <v/>
          </cell>
          <cell r="D6036" t="str">
            <v/>
          </cell>
        </row>
        <row r="6037">
          <cell r="B6037" t="str">
            <v>INF767K01RK7</v>
          </cell>
          <cell r="C6037" t="str">
            <v>-</v>
          </cell>
          <cell r="D6037" t="str">
            <v>LIC MF Multi Cap Fund-Direct Plan-Growth</v>
          </cell>
          <cell r="E6037">
            <v>19.234100000000002</v>
          </cell>
        </row>
        <row r="6038">
          <cell r="B6038" t="str">
            <v>INF767K01RL5</v>
          </cell>
          <cell r="C6038" t="str">
            <v>INF767K01RM3</v>
          </cell>
          <cell r="D6038" t="str">
            <v>LIC MF Multi Cap Fund-Direct Plan-IDCW</v>
          </cell>
          <cell r="E6038">
            <v>19.234100000000002</v>
          </cell>
        </row>
        <row r="6039">
          <cell r="B6039" t="str">
            <v>INF767K01RH3</v>
          </cell>
          <cell r="C6039" t="str">
            <v>-</v>
          </cell>
          <cell r="D6039" t="str">
            <v>LIC MF Multi Cap Fund-Regular Plan-Growth</v>
          </cell>
          <cell r="E6039">
            <v>18.116399999999999</v>
          </cell>
        </row>
        <row r="6040">
          <cell r="B6040" t="str">
            <v>INF767K01RI1</v>
          </cell>
          <cell r="C6040" t="str">
            <v>INF767K01RJ9</v>
          </cell>
          <cell r="D6040" t="str">
            <v>LIC MF Multi Cap Fund-Regular Plan-IDCW</v>
          </cell>
          <cell r="E6040">
            <v>18.116399999999999</v>
          </cell>
        </row>
        <row r="6041">
          <cell r="B6041" t="str">
            <v/>
          </cell>
          <cell r="C6041" t="str">
            <v/>
          </cell>
          <cell r="D6041" t="str">
            <v/>
          </cell>
        </row>
        <row r="6042">
          <cell r="B6042" t="str">
            <v/>
          </cell>
          <cell r="C6042" t="str">
            <v/>
          </cell>
          <cell r="D6042" t="str">
            <v/>
          </cell>
        </row>
        <row r="6043">
          <cell r="B6043" t="str">
            <v/>
          </cell>
          <cell r="C6043" t="str">
            <v/>
          </cell>
          <cell r="D6043" t="str">
            <v/>
          </cell>
        </row>
        <row r="6044">
          <cell r="B6044" t="str">
            <v>INF769K01KK8</v>
          </cell>
          <cell r="C6044" t="str">
            <v>-</v>
          </cell>
          <cell r="D6044" t="str">
            <v>Mirae Asset Multicap Fund - Direct Plan - Growth</v>
          </cell>
          <cell r="E6044">
            <v>15.259</v>
          </cell>
        </row>
        <row r="6045">
          <cell r="B6045" t="str">
            <v>INF769K01KL6</v>
          </cell>
          <cell r="C6045" t="str">
            <v>INF769K01KM4</v>
          </cell>
          <cell r="D6045" t="str">
            <v>Mirae Asset Multicap Fund - Direct Plan - IDCW</v>
          </cell>
          <cell r="E6045">
            <v>15.257999999999999</v>
          </cell>
        </row>
        <row r="6046">
          <cell r="B6046" t="str">
            <v>INF769K01KH4</v>
          </cell>
          <cell r="C6046" t="str">
            <v>-</v>
          </cell>
          <cell r="D6046" t="str">
            <v>Mirae Asset Multicap Fund - Regular Plan - Growth</v>
          </cell>
          <cell r="E6046">
            <v>14.615</v>
          </cell>
        </row>
        <row r="6047">
          <cell r="B6047" t="str">
            <v>INF769K01KI2</v>
          </cell>
          <cell r="C6047" t="str">
            <v>INF769K01KJ0</v>
          </cell>
          <cell r="D6047" t="str">
            <v>Mirae Asset Multicap Fund - Regular Plan - IDCW</v>
          </cell>
          <cell r="E6047">
            <v>14.603999999999999</v>
          </cell>
        </row>
        <row r="6048">
          <cell r="B6048" t="str">
            <v/>
          </cell>
          <cell r="C6048" t="str">
            <v/>
          </cell>
          <cell r="D6048" t="str">
            <v/>
          </cell>
        </row>
        <row r="6049">
          <cell r="B6049" t="str">
            <v/>
          </cell>
          <cell r="C6049" t="str">
            <v/>
          </cell>
          <cell r="D6049" t="str">
            <v/>
          </cell>
        </row>
        <row r="6050">
          <cell r="B6050" t="str">
            <v/>
          </cell>
          <cell r="C6050" t="str">
            <v/>
          </cell>
          <cell r="D6050" t="str">
            <v/>
          </cell>
        </row>
        <row r="6051">
          <cell r="B6051" t="str">
            <v>INF247L01CO2</v>
          </cell>
          <cell r="C6051" t="str">
            <v>-</v>
          </cell>
          <cell r="D6051" t="str">
            <v>Motilal Oswal Multi Cap Fund Regular Plan Growth</v>
          </cell>
          <cell r="E6051">
            <v>13.794499999999999</v>
          </cell>
        </row>
        <row r="6052">
          <cell r="B6052" t="str">
            <v>INF247L01CJ2</v>
          </cell>
          <cell r="C6052" t="str">
            <v>INF247L01CK0</v>
          </cell>
          <cell r="D6052" t="str">
            <v>Motilal Oswal Multi Cap Fund Regular Plan IDCW</v>
          </cell>
          <cell r="E6052">
            <v>13.587300000000001</v>
          </cell>
        </row>
        <row r="6053">
          <cell r="B6053" t="str">
            <v>INF247L01CL8</v>
          </cell>
          <cell r="C6053" t="str">
            <v>-</v>
          </cell>
          <cell r="D6053" t="str">
            <v>Motilal Oswal Multi Cap Fund-Direct Plan Growth</v>
          </cell>
          <cell r="E6053">
            <v>14.172599999999999</v>
          </cell>
        </row>
        <row r="6054">
          <cell r="B6054" t="str">
            <v>INF247L01CM6</v>
          </cell>
          <cell r="C6054" t="str">
            <v>INF247L01CN4</v>
          </cell>
          <cell r="D6054" t="str">
            <v>Motilal Oswal Multi Cap Fund-Direct Plan IDCW</v>
          </cell>
          <cell r="E6054">
            <v>13.964600000000001</v>
          </cell>
        </row>
        <row r="6055">
          <cell r="B6055" t="str">
            <v/>
          </cell>
          <cell r="C6055" t="str">
            <v/>
          </cell>
          <cell r="D6055" t="str">
            <v/>
          </cell>
        </row>
        <row r="6056">
          <cell r="B6056" t="str">
            <v/>
          </cell>
          <cell r="C6056" t="str">
            <v/>
          </cell>
          <cell r="D6056" t="str">
            <v/>
          </cell>
        </row>
        <row r="6057">
          <cell r="B6057" t="str">
            <v/>
          </cell>
          <cell r="C6057" t="str">
            <v/>
          </cell>
          <cell r="D6057" t="str">
            <v/>
          </cell>
        </row>
        <row r="6058">
          <cell r="B6058" t="str">
            <v>INF204K01XD4</v>
          </cell>
          <cell r="C6058" t="str">
            <v>INF204K01XE2</v>
          </cell>
          <cell r="D6058" t="str">
            <v>NIPPON INDIA MULTI CAP FUND - DIRECT Plan - IDCW Option</v>
          </cell>
          <cell r="E6058">
            <v>85.426199999999994</v>
          </cell>
        </row>
        <row r="6059">
          <cell r="B6059" t="str">
            <v>INF204K01D55</v>
          </cell>
          <cell r="C6059" t="str">
            <v>-</v>
          </cell>
          <cell r="D6059" t="str">
            <v>Nippon India Multi Cap Fund - Direct Plan Growth Plan - Bonus Option</v>
          </cell>
          <cell r="E6059">
            <v>330.14909999999998</v>
          </cell>
        </row>
        <row r="6060">
          <cell r="B6060" t="str">
            <v>INF204K01XF9</v>
          </cell>
          <cell r="C6060" t="str">
            <v>-</v>
          </cell>
          <cell r="D6060" t="str">
            <v>Nippon India Multi Cap Fund - Direct Plan Growth Plan - Growth Option</v>
          </cell>
          <cell r="E6060">
            <v>330.14909999999998</v>
          </cell>
        </row>
        <row r="6061">
          <cell r="B6061" t="str">
            <v>INF204K01455</v>
          </cell>
          <cell r="C6061" t="str">
            <v>INF204K01463</v>
          </cell>
          <cell r="D6061" t="str">
            <v>NIPPON INDIA MULTI CAP FUND - IDCW Option</v>
          </cell>
          <cell r="E6061">
            <v>58.817900000000002</v>
          </cell>
        </row>
        <row r="6062">
          <cell r="B6062" t="str">
            <v>INF204K01414</v>
          </cell>
          <cell r="C6062" t="str">
            <v>INF204K01422</v>
          </cell>
          <cell r="D6062" t="str">
            <v>Nippon India Multi Cap Fund Institutional Dividend Plan</v>
          </cell>
          <cell r="E6062">
            <v>44.8994</v>
          </cell>
        </row>
        <row r="6063">
          <cell r="B6063" t="str">
            <v>INF204K01448</v>
          </cell>
          <cell r="C6063" t="str">
            <v>-</v>
          </cell>
          <cell r="D6063" t="str">
            <v>Nippon India Multi Cap Fund Institutional Plan Growth Plan Growth Option</v>
          </cell>
          <cell r="E6063">
            <v>21.9544</v>
          </cell>
        </row>
        <row r="6064">
          <cell r="B6064" t="str">
            <v>INF204K01471</v>
          </cell>
          <cell r="C6064" t="str">
            <v>-</v>
          </cell>
          <cell r="D6064" t="str">
            <v>Nippon India Multi Cap Fund-Growth Plan-Bonus Option</v>
          </cell>
          <cell r="E6064">
            <v>298.58139999999997</v>
          </cell>
        </row>
        <row r="6065">
          <cell r="B6065" t="str">
            <v>INF204K01489</v>
          </cell>
          <cell r="C6065" t="str">
            <v>-</v>
          </cell>
          <cell r="D6065" t="str">
            <v>Nippon India Multi Cap Fund-Growth Plan-Growth Option</v>
          </cell>
          <cell r="E6065">
            <v>298.58139999999997</v>
          </cell>
        </row>
        <row r="6066">
          <cell r="B6066" t="str">
            <v/>
          </cell>
          <cell r="C6066" t="str">
            <v/>
          </cell>
          <cell r="D6066" t="str">
            <v/>
          </cell>
        </row>
        <row r="6067">
          <cell r="B6067" t="str">
            <v/>
          </cell>
          <cell r="C6067" t="str">
            <v/>
          </cell>
          <cell r="D6067" t="str">
            <v/>
          </cell>
        </row>
        <row r="6068">
          <cell r="B6068" t="str">
            <v/>
          </cell>
          <cell r="C6068" t="str">
            <v/>
          </cell>
          <cell r="D6068" t="str">
            <v/>
          </cell>
        </row>
        <row r="6069">
          <cell r="B6069" t="str">
            <v>INF663L01Z03</v>
          </cell>
          <cell r="C6069" t="str">
            <v>-</v>
          </cell>
          <cell r="D6069" t="str">
            <v>PGIM India Multi Cap Fund - Direct Plan - Growth Option</v>
          </cell>
          <cell r="E6069">
            <v>10.68</v>
          </cell>
        </row>
        <row r="6070">
          <cell r="B6070" t="str">
            <v>INF663L01Z11</v>
          </cell>
          <cell r="C6070" t="str">
            <v>INF663L01Z29</v>
          </cell>
          <cell r="D6070" t="str">
            <v>PGIM India Multi Cap Fund - Direct Plan - IDCW Option</v>
          </cell>
          <cell r="E6070">
            <v>10.68</v>
          </cell>
        </row>
        <row r="6071">
          <cell r="B6071" t="str">
            <v>INF663L01Y87</v>
          </cell>
          <cell r="C6071" t="str">
            <v>-</v>
          </cell>
          <cell r="D6071" t="str">
            <v>PGIM India Multi Cap Fund - Regular Plan - Growth Option</v>
          </cell>
          <cell r="E6071">
            <v>10.35</v>
          </cell>
        </row>
        <row r="6072">
          <cell r="B6072" t="str">
            <v>INF663L01Y95</v>
          </cell>
          <cell r="C6072" t="str">
            <v>INF663L01Z37</v>
          </cell>
          <cell r="D6072" t="str">
            <v>PGIM India Multi Cap Fund - Regular Plan - IDCW Option</v>
          </cell>
          <cell r="E6072">
            <v>10.35</v>
          </cell>
        </row>
        <row r="6073">
          <cell r="B6073" t="str">
            <v/>
          </cell>
          <cell r="C6073" t="str">
            <v/>
          </cell>
          <cell r="D6073" t="str">
            <v/>
          </cell>
        </row>
        <row r="6074">
          <cell r="B6074" t="str">
            <v/>
          </cell>
          <cell r="C6074" t="str">
            <v/>
          </cell>
          <cell r="D6074" t="str">
            <v/>
          </cell>
        </row>
        <row r="6075">
          <cell r="B6075" t="str">
            <v/>
          </cell>
          <cell r="C6075" t="str">
            <v/>
          </cell>
          <cell r="D6075" t="str">
            <v/>
          </cell>
        </row>
        <row r="6076">
          <cell r="B6076" t="str">
            <v>INF966L01234</v>
          </cell>
          <cell r="C6076" t="str">
            <v>-</v>
          </cell>
          <cell r="D6076" t="str">
            <v>quant Multi Cap Fund-GROWTH OPTION - Regular Plan</v>
          </cell>
          <cell r="E6076">
            <v>657.51250000000005</v>
          </cell>
        </row>
        <row r="6077">
          <cell r="B6077" t="str">
            <v>INF966L01614</v>
          </cell>
          <cell r="C6077" t="str">
            <v>-</v>
          </cell>
          <cell r="D6077" t="str">
            <v>quant Multi Cap Fund-GROWTH OPTION-Direct Plan</v>
          </cell>
          <cell r="E6077">
            <v>724.78060000000005</v>
          </cell>
        </row>
        <row r="6078">
          <cell r="B6078" t="str">
            <v>INF966L01598</v>
          </cell>
          <cell r="C6078" t="str">
            <v>INF966L01606</v>
          </cell>
          <cell r="D6078" t="str">
            <v>quant Multi Cap Fund-IDCW Option - Direct Plan</v>
          </cell>
          <cell r="E6078">
            <v>83.936199999999999</v>
          </cell>
        </row>
        <row r="6079">
          <cell r="B6079" t="str">
            <v>INF966L01218</v>
          </cell>
          <cell r="C6079" t="str">
            <v>INF966L01226</v>
          </cell>
          <cell r="D6079" t="str">
            <v>quant Multi Cap Fund-IDCW Option - Regular Plan</v>
          </cell>
          <cell r="E6079">
            <v>75.194900000000004</v>
          </cell>
        </row>
        <row r="6080">
          <cell r="B6080" t="str">
            <v/>
          </cell>
          <cell r="C6080" t="str">
            <v/>
          </cell>
          <cell r="D6080" t="str">
            <v/>
          </cell>
        </row>
        <row r="6081">
          <cell r="B6081" t="str">
            <v/>
          </cell>
          <cell r="C6081" t="str">
            <v/>
          </cell>
          <cell r="D6081" t="str">
            <v/>
          </cell>
        </row>
        <row r="6082">
          <cell r="B6082" t="str">
            <v/>
          </cell>
          <cell r="C6082" t="str">
            <v/>
          </cell>
          <cell r="D6082" t="str">
            <v/>
          </cell>
        </row>
        <row r="6083">
          <cell r="B6083" t="str">
            <v>INF0K1H01198</v>
          </cell>
          <cell r="C6083" t="str">
            <v>-</v>
          </cell>
          <cell r="D6083" t="str">
            <v>Samco Multi Cap Fund - Direct Plan - Growth</v>
          </cell>
          <cell r="E6083">
            <v>8.89</v>
          </cell>
        </row>
        <row r="6084">
          <cell r="B6084" t="str">
            <v>INF0K1H01206</v>
          </cell>
          <cell r="C6084" t="str">
            <v>-</v>
          </cell>
          <cell r="D6084" t="str">
            <v>Samco Multi Cap Fund - Regular Plan - Growth</v>
          </cell>
          <cell r="E6084">
            <v>8.65</v>
          </cell>
        </row>
        <row r="6085">
          <cell r="B6085" t="str">
            <v/>
          </cell>
          <cell r="C6085" t="str">
            <v/>
          </cell>
          <cell r="D6085" t="str">
            <v/>
          </cell>
        </row>
        <row r="6086">
          <cell r="B6086" t="str">
            <v/>
          </cell>
          <cell r="C6086" t="str">
            <v/>
          </cell>
          <cell r="D6086" t="str">
            <v/>
          </cell>
        </row>
        <row r="6087">
          <cell r="B6087" t="str">
            <v/>
          </cell>
          <cell r="C6087" t="str">
            <v/>
          </cell>
          <cell r="D6087" t="str">
            <v/>
          </cell>
        </row>
        <row r="6088">
          <cell r="B6088" t="str">
            <v>INF200KA19E0</v>
          </cell>
          <cell r="C6088" t="str">
            <v>INF200KA10F6</v>
          </cell>
          <cell r="D6088" t="str">
            <v>SBI Multicap Fund- Direct Plan - Income Distribution cum Capital Withdrawal Option (IDCW)</v>
          </cell>
          <cell r="E6088">
            <v>17.696899999999999</v>
          </cell>
        </row>
        <row r="6089">
          <cell r="B6089" t="str">
            <v>INF200KA18E2</v>
          </cell>
          <cell r="C6089" t="str">
            <v>-</v>
          </cell>
          <cell r="D6089" t="str">
            <v>SBI Multicap Fund- Direct Plan- Growth option</v>
          </cell>
          <cell r="E6089">
            <v>17.6967</v>
          </cell>
        </row>
        <row r="6090">
          <cell r="B6090" t="str">
            <v>INF200KA15E8</v>
          </cell>
          <cell r="C6090" t="str">
            <v>-</v>
          </cell>
          <cell r="D6090" t="str">
            <v>SBI Multicap Fund- Regular Plan- Growth Option</v>
          </cell>
          <cell r="E6090">
            <v>17.009899999999998</v>
          </cell>
        </row>
        <row r="6091">
          <cell r="B6091" t="str">
            <v>INF200KA16E6</v>
          </cell>
          <cell r="C6091" t="str">
            <v>INF200KA17E4</v>
          </cell>
          <cell r="D6091" t="str">
            <v>SBI Multicap Fund- Regular Plan- Income Distribution cum Capital Withdrawal Option (IDCW)</v>
          </cell>
          <cell r="E6091">
            <v>17.012599999999999</v>
          </cell>
        </row>
        <row r="6092">
          <cell r="B6092" t="str">
            <v/>
          </cell>
          <cell r="C6092" t="str">
            <v/>
          </cell>
          <cell r="D6092" t="str">
            <v/>
          </cell>
        </row>
        <row r="6093">
          <cell r="B6093" t="str">
            <v/>
          </cell>
          <cell r="C6093" t="str">
            <v/>
          </cell>
          <cell r="D6093" t="str">
            <v/>
          </cell>
        </row>
        <row r="6094">
          <cell r="B6094" t="str">
            <v/>
          </cell>
          <cell r="C6094" t="str">
            <v/>
          </cell>
          <cell r="D6094" t="str">
            <v/>
          </cell>
        </row>
        <row r="6095">
          <cell r="B6095" t="str">
            <v>INF173K01FN7</v>
          </cell>
          <cell r="C6095" t="str">
            <v>INF173K01FO5</v>
          </cell>
          <cell r="D6095" t="str">
            <v>Sundaram Multi Cap Fund (Formerly Known as Principal Multi Cap Growth Fund) - Direct Plan - Income Distribution CUM Capital Withdrawal Option (IDCW)</v>
          </cell>
          <cell r="E6095">
            <v>85.5809</v>
          </cell>
        </row>
        <row r="6096">
          <cell r="B6096" t="str">
            <v>INF173K01957</v>
          </cell>
          <cell r="C6096" t="str">
            <v>INF173K01965</v>
          </cell>
          <cell r="D6096" t="str">
            <v>Sundaram Multi Cap Fund (Formerly Known as Principal Multi Cap Growth Fund)- Income Distribution CUM Capital Withdrawal Option (IDCW)</v>
          </cell>
          <cell r="E6096">
            <v>62.755400000000002</v>
          </cell>
        </row>
        <row r="6097">
          <cell r="B6097" t="str">
            <v>INF173K01FQ0</v>
          </cell>
          <cell r="C6097" t="str">
            <v>-</v>
          </cell>
          <cell r="D6097" t="str">
            <v>Sundaram Multi Cap Fund (Formerly Known as Principal Multi Cap Growth Fund)-Direct Plan - Growth Option</v>
          </cell>
          <cell r="E6097">
            <v>431.38189999999997</v>
          </cell>
        </row>
        <row r="6098">
          <cell r="B6098" t="str">
            <v>INF173K01940</v>
          </cell>
          <cell r="C6098" t="str">
            <v>-</v>
          </cell>
          <cell r="D6098" t="str">
            <v>Sundaram Multi Cap Fund (Formerly Known as Principal Multi Cap Growth Fund)-Growth Option</v>
          </cell>
          <cell r="E6098">
            <v>383.38549999999998</v>
          </cell>
        </row>
        <row r="6099">
          <cell r="B6099" t="str">
            <v/>
          </cell>
          <cell r="C6099" t="str">
            <v/>
          </cell>
          <cell r="D6099" t="str">
            <v/>
          </cell>
        </row>
        <row r="6100">
          <cell r="B6100" t="str">
            <v/>
          </cell>
          <cell r="C6100" t="str">
            <v/>
          </cell>
          <cell r="D6100" t="str">
            <v/>
          </cell>
        </row>
        <row r="6101">
          <cell r="B6101" t="str">
            <v/>
          </cell>
          <cell r="C6101" t="str">
            <v/>
          </cell>
          <cell r="D6101" t="str">
            <v/>
          </cell>
        </row>
        <row r="6102">
          <cell r="B6102" t="str">
            <v>INF277KA1679</v>
          </cell>
          <cell r="C6102" t="str">
            <v>-</v>
          </cell>
          <cell r="D6102" t="str">
            <v>Tata Multicap Fund - Direct Plan - Growth</v>
          </cell>
          <cell r="E6102">
            <v>16.163699999999999</v>
          </cell>
        </row>
        <row r="6103">
          <cell r="B6103" t="str">
            <v>INF277KA1695</v>
          </cell>
          <cell r="C6103" t="str">
            <v>-</v>
          </cell>
          <cell r="D6103" t="str">
            <v>Tata Multicap Fund - Direct Plan - IDCW Payout</v>
          </cell>
          <cell r="E6103">
            <v>16.163699999999999</v>
          </cell>
        </row>
        <row r="6104">
          <cell r="B6104" t="str">
            <v>-</v>
          </cell>
          <cell r="C6104" t="str">
            <v>INF277KA1687</v>
          </cell>
          <cell r="D6104" t="str">
            <v>Tata Multicap Fund - Direct Plan - IDCW Reinvestment</v>
          </cell>
          <cell r="E6104">
            <v>16.163699999999999</v>
          </cell>
        </row>
        <row r="6105">
          <cell r="B6105" t="str">
            <v>INF277KA1703</v>
          </cell>
          <cell r="C6105" t="str">
            <v>-</v>
          </cell>
          <cell r="D6105" t="str">
            <v>Tata Multicap Fund - Regular Plan - Growth</v>
          </cell>
          <cell r="E6105">
            <v>15.3223</v>
          </cell>
        </row>
        <row r="6106">
          <cell r="B6106" t="str">
            <v>INF277KA1729</v>
          </cell>
          <cell r="C6106" t="str">
            <v>-</v>
          </cell>
          <cell r="D6106" t="str">
            <v>Tata Multicap Fund - Regular Plan - IDCW Payout</v>
          </cell>
          <cell r="E6106">
            <v>15.3223</v>
          </cell>
        </row>
        <row r="6107">
          <cell r="B6107" t="str">
            <v>-</v>
          </cell>
          <cell r="C6107" t="str">
            <v>INF277KA1711</v>
          </cell>
          <cell r="D6107" t="str">
            <v>Tata Multicap Fund - Regular Plan - IDCW Reinvestment</v>
          </cell>
          <cell r="E6107">
            <v>15.3223</v>
          </cell>
        </row>
        <row r="6108">
          <cell r="B6108" t="str">
            <v/>
          </cell>
          <cell r="C6108" t="str">
            <v/>
          </cell>
          <cell r="D6108" t="str">
            <v/>
          </cell>
        </row>
        <row r="6109">
          <cell r="B6109" t="str">
            <v/>
          </cell>
          <cell r="C6109" t="str">
            <v/>
          </cell>
          <cell r="D6109" t="str">
            <v/>
          </cell>
        </row>
        <row r="6110">
          <cell r="B6110" t="str">
            <v/>
          </cell>
          <cell r="C6110" t="str">
            <v/>
          </cell>
          <cell r="D6110" t="str">
            <v/>
          </cell>
        </row>
        <row r="6111">
          <cell r="B6111" t="str">
            <v>INF0GCD01834</v>
          </cell>
          <cell r="C6111" t="str">
            <v>-</v>
          </cell>
          <cell r="D6111" t="str">
            <v>TRUSTMF MULTI CAP FUND -DIRECT PLAN-GROWTH</v>
          </cell>
          <cell r="E6111">
            <v>11.52</v>
          </cell>
        </row>
        <row r="6112">
          <cell r="B6112" t="str">
            <v>INF0GCD01842</v>
          </cell>
          <cell r="C6112" t="str">
            <v>-</v>
          </cell>
          <cell r="D6112" t="str">
            <v>TRUSTMF MULTI CAP FUND -REGULAR PLAN-GROWTH</v>
          </cell>
          <cell r="E6112">
            <v>11.31</v>
          </cell>
        </row>
        <row r="6113">
          <cell r="B6113" t="str">
            <v/>
          </cell>
          <cell r="C6113" t="str">
            <v/>
          </cell>
          <cell r="D6113" t="str">
            <v/>
          </cell>
        </row>
        <row r="6114">
          <cell r="B6114" t="str">
            <v/>
          </cell>
          <cell r="C6114" t="str">
            <v/>
          </cell>
          <cell r="D6114" t="str">
            <v/>
          </cell>
        </row>
        <row r="6115">
          <cell r="B6115" t="str">
            <v/>
          </cell>
          <cell r="C6115" t="str">
            <v/>
          </cell>
          <cell r="D6115" t="str">
            <v/>
          </cell>
        </row>
        <row r="6116">
          <cell r="B6116" t="str">
            <v>INF582M01IO7</v>
          </cell>
          <cell r="C6116" t="str">
            <v>-</v>
          </cell>
          <cell r="D6116" t="str">
            <v>Union Multicap Fund - Direct Plan - Growth Option</v>
          </cell>
          <cell r="E6116">
            <v>17.86</v>
          </cell>
        </row>
        <row r="6117">
          <cell r="B6117" t="str">
            <v>INF582M01IP4</v>
          </cell>
          <cell r="C6117" t="str">
            <v>INF582M01IQ2</v>
          </cell>
          <cell r="D6117" t="str">
            <v>Union Multicap Fund - Direct Plan - IDCW Option</v>
          </cell>
          <cell r="E6117">
            <v>17.86</v>
          </cell>
        </row>
        <row r="6118">
          <cell r="B6118" t="str">
            <v>INF582M01IS8</v>
          </cell>
          <cell r="C6118" t="str">
            <v>-</v>
          </cell>
          <cell r="D6118" t="str">
            <v>Union Multicap Fund - Regular Plan - Growth Option</v>
          </cell>
          <cell r="E6118">
            <v>17.059999999999999</v>
          </cell>
        </row>
        <row r="6119">
          <cell r="B6119" t="str">
            <v>INF582M01IT6</v>
          </cell>
          <cell r="C6119" t="str">
            <v>INF582M01IU4</v>
          </cell>
          <cell r="D6119" t="str">
            <v>Union Multicap Fund - Regular Plan - IDCW Option</v>
          </cell>
          <cell r="E6119">
            <v>17.059999999999999</v>
          </cell>
        </row>
        <row r="6120">
          <cell r="B6120" t="str">
            <v/>
          </cell>
          <cell r="C6120" t="str">
            <v/>
          </cell>
          <cell r="D6120" t="str">
            <v/>
          </cell>
        </row>
        <row r="6121">
          <cell r="B6121" t="str">
            <v/>
          </cell>
          <cell r="C6121" t="str">
            <v/>
          </cell>
          <cell r="D6121" t="str">
            <v/>
          </cell>
        </row>
        <row r="6122">
          <cell r="B6122" t="str">
            <v/>
          </cell>
          <cell r="C6122" t="str">
            <v/>
          </cell>
          <cell r="D6122" t="str">
            <v/>
          </cell>
        </row>
        <row r="6123">
          <cell r="B6123" t="str">
            <v>INF789F1AB89</v>
          </cell>
          <cell r="C6123" t="str">
            <v>-</v>
          </cell>
          <cell r="D6123" t="str">
            <v>UTI Multi Cap Fund - Direct Plan - Growth Option</v>
          </cell>
          <cell r="E6123">
            <v>10.552899999999999</v>
          </cell>
        </row>
        <row r="6124">
          <cell r="B6124" t="str">
            <v>INF789F1AB71</v>
          </cell>
          <cell r="C6124" t="str">
            <v>-</v>
          </cell>
          <cell r="D6124" t="str">
            <v>UTI Multi Cap Fund - Regular Plan - Growth Option</v>
          </cell>
          <cell r="E6124">
            <v>10.3651</v>
          </cell>
        </row>
        <row r="6125">
          <cell r="B6125" t="str">
            <v/>
          </cell>
          <cell r="C6125" t="str">
            <v/>
          </cell>
          <cell r="D6125" t="str">
            <v/>
          </cell>
        </row>
        <row r="6126">
          <cell r="B6126" t="str">
            <v/>
          </cell>
          <cell r="C6126" t="str">
            <v/>
          </cell>
          <cell r="D6126" t="str">
            <v/>
          </cell>
        </row>
        <row r="6127">
          <cell r="B6127" t="str">
            <v/>
          </cell>
          <cell r="C6127" t="str">
            <v/>
          </cell>
          <cell r="D6127" t="str">
            <v/>
          </cell>
        </row>
        <row r="6128">
          <cell r="B6128" t="str">
            <v>INF03VN01803</v>
          </cell>
          <cell r="C6128" t="str">
            <v>-</v>
          </cell>
          <cell r="D6128" t="str">
            <v>WhiteOak Capital Multi Cap Fund Direct Plan Growth</v>
          </cell>
          <cell r="E6128">
            <v>16.690000000000001</v>
          </cell>
        </row>
        <row r="6129">
          <cell r="B6129" t="str">
            <v>INF03VN01795</v>
          </cell>
          <cell r="C6129" t="str">
            <v>-</v>
          </cell>
          <cell r="D6129" t="str">
            <v>WhiteOak Capital Multi Cap Fund Regular Plan Growth</v>
          </cell>
          <cell r="E6129">
            <v>15.971</v>
          </cell>
        </row>
        <row r="6130">
          <cell r="B6130" t="str">
            <v/>
          </cell>
          <cell r="C6130" t="str">
            <v/>
          </cell>
          <cell r="D6130" t="str">
            <v/>
          </cell>
        </row>
        <row r="6131">
          <cell r="B6131" t="str">
            <v/>
          </cell>
          <cell r="C6131" t="str">
            <v/>
          </cell>
          <cell r="D6131" t="str">
            <v/>
          </cell>
        </row>
        <row r="6132">
          <cell r="B6132" t="str">
            <v/>
          </cell>
          <cell r="C6132" t="str">
            <v/>
          </cell>
          <cell r="D6132" t="str">
            <v/>
          </cell>
        </row>
        <row r="6133">
          <cell r="B6133" t="str">
            <v/>
          </cell>
          <cell r="C6133" t="str">
            <v/>
          </cell>
          <cell r="D6133" t="str">
            <v/>
          </cell>
        </row>
        <row r="6134">
          <cell r="B6134" t="str">
            <v/>
          </cell>
          <cell r="C6134" t="str">
            <v/>
          </cell>
          <cell r="D6134" t="str">
            <v/>
          </cell>
        </row>
        <row r="6135">
          <cell r="B6135" t="str">
            <v>INF579M01AI2</v>
          </cell>
          <cell r="C6135" t="str">
            <v>-</v>
          </cell>
          <cell r="D6135" t="str">
            <v>360 ONE QUANT FUND DIRECT GROWTH</v>
          </cell>
          <cell r="E6135">
            <v>19.787600000000001</v>
          </cell>
        </row>
        <row r="6136">
          <cell r="B6136" t="str">
            <v>INF579M01AJ0</v>
          </cell>
          <cell r="C6136" t="str">
            <v>INF579M01AK8</v>
          </cell>
          <cell r="D6136" t="str">
            <v>360 ONE QUANT FUND DIRECT INCOME DISTRIBUTION CUM CAPITAL WITHDRAWAL</v>
          </cell>
          <cell r="E6136">
            <v>19.787600000000001</v>
          </cell>
        </row>
        <row r="6137">
          <cell r="B6137" t="str">
            <v>INF579M01AF8</v>
          </cell>
          <cell r="C6137" t="str">
            <v>-</v>
          </cell>
          <cell r="D6137" t="str">
            <v>360 ONE QUANT FUND REGULAR GROWTH</v>
          </cell>
          <cell r="E6137">
            <v>18.661000000000001</v>
          </cell>
        </row>
        <row r="6138">
          <cell r="B6138" t="str">
            <v>INF579M01AG6</v>
          </cell>
          <cell r="C6138" t="str">
            <v>INF579M01AH4</v>
          </cell>
          <cell r="D6138" t="str">
            <v>360 ONE QUANT FUND REGULAR INCOME DISTRIBUTION CUM CAPITAL WITHDRAWAL</v>
          </cell>
          <cell r="E6138">
            <v>18.661000000000001</v>
          </cell>
        </row>
        <row r="6139">
          <cell r="B6139" t="str">
            <v/>
          </cell>
          <cell r="C6139" t="str">
            <v/>
          </cell>
          <cell r="D6139" t="str">
            <v/>
          </cell>
        </row>
        <row r="6140">
          <cell r="B6140" t="str">
            <v/>
          </cell>
          <cell r="C6140" t="str">
            <v/>
          </cell>
          <cell r="D6140" t="str">
            <v/>
          </cell>
        </row>
        <row r="6141">
          <cell r="B6141" t="str">
            <v/>
          </cell>
          <cell r="C6141" t="str">
            <v/>
          </cell>
          <cell r="D6141" t="str">
            <v/>
          </cell>
        </row>
        <row r="6142">
          <cell r="B6142" t="str">
            <v>INF209K013W3</v>
          </cell>
          <cell r="C6142" t="str">
            <v>INF209K015W8</v>
          </cell>
          <cell r="D6142" t="str">
            <v>Aditya Birla Sun Life Banking and Financial Services Fund - DIRECT - IDCW</v>
          </cell>
          <cell r="E6142">
            <v>31.4</v>
          </cell>
        </row>
        <row r="6143">
          <cell r="B6143" t="str">
            <v>INF209K014W1</v>
          </cell>
          <cell r="C6143" t="str">
            <v>-</v>
          </cell>
          <cell r="D6143" t="str">
            <v>Aditya Birla Sun Life Banking and Financial Services Fund - Direct Plan - Growth</v>
          </cell>
          <cell r="E6143">
            <v>71.23</v>
          </cell>
        </row>
        <row r="6144">
          <cell r="B6144" t="str">
            <v>INF209K010W9</v>
          </cell>
          <cell r="C6144" t="str">
            <v>INF209K012W5</v>
          </cell>
          <cell r="D6144" t="str">
            <v>Aditya Birla Sun Life Banking and Financial Services Fund - REGULAR - IDCW</v>
          </cell>
          <cell r="E6144">
            <v>23.01</v>
          </cell>
        </row>
        <row r="6145">
          <cell r="B6145" t="str">
            <v>INF209K011W7</v>
          </cell>
          <cell r="C6145" t="str">
            <v>-</v>
          </cell>
          <cell r="D6145" t="str">
            <v>Aditya Birla Sun Life Banking and Financial Services Fund - Regular Plan - Growth</v>
          </cell>
          <cell r="E6145">
            <v>62.92</v>
          </cell>
        </row>
        <row r="6146">
          <cell r="B6146" t="str">
            <v>INF209KB14D2</v>
          </cell>
          <cell r="C6146" t="str">
            <v>-</v>
          </cell>
          <cell r="D6146" t="str">
            <v>Aditya Birla Sun Life Business Cycle Fund-Direct Growth</v>
          </cell>
          <cell r="E6146">
            <v>16.73</v>
          </cell>
        </row>
        <row r="6147">
          <cell r="B6147" t="str">
            <v>INF209KB15D9</v>
          </cell>
          <cell r="C6147" t="str">
            <v>-</v>
          </cell>
          <cell r="D6147" t="str">
            <v>Aditya Birla Sun Life Business Cycle Fund-Direct IDCW Payout</v>
          </cell>
          <cell r="E6147">
            <v>14.64</v>
          </cell>
        </row>
        <row r="6148">
          <cell r="B6148" t="str">
            <v>INF209KB13D4</v>
          </cell>
          <cell r="C6148" t="str">
            <v>-</v>
          </cell>
          <cell r="D6148" t="str">
            <v>Aditya Birla Sun Life Business Cycle Fund-Regular IDCW Payout</v>
          </cell>
          <cell r="E6148">
            <v>13.8</v>
          </cell>
        </row>
        <row r="6149">
          <cell r="B6149" t="str">
            <v>INF209KB12D6</v>
          </cell>
          <cell r="C6149" t="str">
            <v>-</v>
          </cell>
          <cell r="D6149" t="str">
            <v>Aditya Birla Sun Life Business Cycle Fund-Regular-Growth</v>
          </cell>
          <cell r="E6149">
            <v>15.78</v>
          </cell>
        </row>
        <row r="6150">
          <cell r="B6150" t="str">
            <v>INF209K01VL0</v>
          </cell>
          <cell r="C6150" t="str">
            <v>-</v>
          </cell>
          <cell r="D6150" t="str">
            <v>Aditya Birla Sun Life Commodity Equities Fund - Global Agri Plan - Growth - Direct Plan</v>
          </cell>
          <cell r="E6150">
            <v>37.350099999999998</v>
          </cell>
        </row>
        <row r="6151">
          <cell r="B6151" t="str">
            <v>INF209K01207</v>
          </cell>
          <cell r="C6151" t="str">
            <v>-</v>
          </cell>
          <cell r="D6151" t="str">
            <v>Aditya Birla Sun Life Commodity Equities Fund - Global Agri Plan - Growth - Regular Plan</v>
          </cell>
          <cell r="E6151">
            <v>35.792499999999997</v>
          </cell>
        </row>
        <row r="6152">
          <cell r="B6152" t="str">
            <v>INF209K01P64</v>
          </cell>
          <cell r="C6152" t="str">
            <v>INF209K01VM8</v>
          </cell>
          <cell r="D6152" t="str">
            <v>Aditya Birla Sun Life Commodity Equities Fund - Global Agri Plan -Direct - IDCW</v>
          </cell>
          <cell r="E6152">
            <v>21.561399999999999</v>
          </cell>
        </row>
        <row r="6153">
          <cell r="B6153" t="str">
            <v>INF209K01199</v>
          </cell>
          <cell r="C6153" t="str">
            <v>INF209K01CG0</v>
          </cell>
          <cell r="D6153" t="str">
            <v>Aditya Birla Sun Life Commodity Equities Fund - Global Agri Plan -Regular - IDCW</v>
          </cell>
          <cell r="E6153">
            <v>20.6236</v>
          </cell>
        </row>
        <row r="6154">
          <cell r="B6154" t="str">
            <v>INF209KC1373</v>
          </cell>
          <cell r="C6154" t="str">
            <v>-</v>
          </cell>
          <cell r="D6154" t="str">
            <v>Aditya Birla Sun Life Conglomerate Fund-Direct Growth</v>
          </cell>
          <cell r="E6154">
            <v>11.13</v>
          </cell>
        </row>
        <row r="6155">
          <cell r="B6155" t="str">
            <v>INF209KC1381</v>
          </cell>
          <cell r="C6155" t="str">
            <v>-</v>
          </cell>
          <cell r="D6155" t="str">
            <v>Aditya Birla Sun Life Conglomerate Fund-Direct IDCW Payout</v>
          </cell>
          <cell r="E6155">
            <v>11.13</v>
          </cell>
        </row>
        <row r="6156">
          <cell r="B6156" t="str">
            <v>INF209KC1399</v>
          </cell>
          <cell r="C6156" t="str">
            <v>-</v>
          </cell>
          <cell r="D6156" t="str">
            <v>Aditya Birla Sun Life Conglomerate Fund-Regular Growth</v>
          </cell>
          <cell r="E6156">
            <v>10.88</v>
          </cell>
        </row>
        <row r="6157">
          <cell r="B6157" t="str">
            <v>INF209KC1407</v>
          </cell>
          <cell r="C6157" t="str">
            <v>-</v>
          </cell>
          <cell r="D6157" t="str">
            <v>Aditya Birla Sun Life Conglomerate Fund-Regular IDCW Payout</v>
          </cell>
          <cell r="E6157">
            <v>10.89</v>
          </cell>
        </row>
        <row r="6158">
          <cell r="B6158" t="str">
            <v>INF209K01WC7</v>
          </cell>
          <cell r="C6158" t="str">
            <v>-</v>
          </cell>
          <cell r="D6158" t="str">
            <v>Aditya Birla Sun Life Consumption Fund - Growth - Direct Plan</v>
          </cell>
          <cell r="E6158">
            <v>237.88</v>
          </cell>
        </row>
        <row r="6159">
          <cell r="B6159" t="str">
            <v>INF209K01Q63</v>
          </cell>
          <cell r="C6159" t="str">
            <v>-</v>
          </cell>
          <cell r="D6159" t="str">
            <v>Aditya Birla Sun Life Consumption Fund -DIRECT - IDCW</v>
          </cell>
          <cell r="E6159">
            <v>45.77</v>
          </cell>
        </row>
        <row r="6160">
          <cell r="B6160" t="str">
            <v>INF209K01439</v>
          </cell>
          <cell r="C6160" t="str">
            <v>INF209K01CR7</v>
          </cell>
          <cell r="D6160" t="str">
            <v>Aditya Birla Sun Life Consumption Fund -Regular - IDCW</v>
          </cell>
          <cell r="E6160">
            <v>35.72</v>
          </cell>
        </row>
        <row r="6161">
          <cell r="B6161" t="str">
            <v>INF209K01447</v>
          </cell>
          <cell r="C6161" t="str">
            <v>-</v>
          </cell>
          <cell r="D6161" t="str">
            <v>Aditya Birla Sun Life Consumption Fund-Growth Option</v>
          </cell>
          <cell r="E6161">
            <v>205.85</v>
          </cell>
        </row>
        <row r="6162">
          <cell r="B6162" t="str">
            <v>INF209K01VF2</v>
          </cell>
          <cell r="C6162" t="str">
            <v>-</v>
          </cell>
          <cell r="D6162" t="str">
            <v>Aditya Birla Sun Life Digital India Fund - Growth - Direct Plan</v>
          </cell>
          <cell r="E6162">
            <v>168.76</v>
          </cell>
        </row>
        <row r="6163">
          <cell r="B6163" t="str">
            <v>INF209K01140</v>
          </cell>
          <cell r="C6163" t="str">
            <v>-</v>
          </cell>
          <cell r="D6163" t="str">
            <v>Aditya Birla Sun Life Digital India Fund - Growth - Regular Plan</v>
          </cell>
          <cell r="E6163">
            <v>148.41</v>
          </cell>
        </row>
        <row r="6164">
          <cell r="B6164" t="str">
            <v>INF209K01P49</v>
          </cell>
          <cell r="C6164" t="str">
            <v>INF209K01VE5</v>
          </cell>
          <cell r="D6164" t="str">
            <v>Aditya Birla Sun Life Digital India Fund -DIRECT - IDCW</v>
          </cell>
          <cell r="E6164">
            <v>50.6</v>
          </cell>
        </row>
        <row r="6165">
          <cell r="B6165" t="str">
            <v>INF209K01132</v>
          </cell>
          <cell r="C6165" t="str">
            <v>INF209K01CD7</v>
          </cell>
          <cell r="D6165" t="str">
            <v>Aditya Birla Sun Life Digital India Fund -Regular - IDCW</v>
          </cell>
          <cell r="E6165">
            <v>36.82</v>
          </cell>
        </row>
        <row r="6166">
          <cell r="B6166" t="str">
            <v>INF209KB1U84</v>
          </cell>
          <cell r="C6166" t="str">
            <v>INF209KB1U92</v>
          </cell>
          <cell r="D6166" t="str">
            <v>Aditya Birla Sun Life ESG Integration Strategy Fund-Direct - Payout of IDCW</v>
          </cell>
          <cell r="E6166">
            <v>15.61</v>
          </cell>
        </row>
        <row r="6167">
          <cell r="B6167" t="str">
            <v>INF209KB1U76</v>
          </cell>
          <cell r="C6167" t="str">
            <v>-</v>
          </cell>
          <cell r="D6167" t="str">
            <v>Aditya Birla Sun Life ESG Integration Strategy Fund-Direct Plan-Growth</v>
          </cell>
          <cell r="E6167">
            <v>19.23</v>
          </cell>
        </row>
        <row r="6168">
          <cell r="B6168" t="str">
            <v>INF209KB1U50</v>
          </cell>
          <cell r="C6168" t="str">
            <v>INF209KB1U68</v>
          </cell>
          <cell r="D6168" t="str">
            <v>Aditya Birla Sun Life ESG Integration Strategy Fund-Regular - Payout of IDCW</v>
          </cell>
          <cell r="E6168">
            <v>14.45</v>
          </cell>
        </row>
        <row r="6169">
          <cell r="B6169" t="str">
            <v>INF209KB1U43</v>
          </cell>
          <cell r="C6169" t="str">
            <v>-</v>
          </cell>
          <cell r="D6169" t="str">
            <v>Aditya Birla Sun Life ESG Integration Strategy Fund-Regular Plan-Growth</v>
          </cell>
          <cell r="E6169">
            <v>17.8</v>
          </cell>
        </row>
        <row r="6170">
          <cell r="B6170" t="str">
            <v>INF209K01WG8</v>
          </cell>
          <cell r="C6170" t="str">
            <v>-</v>
          </cell>
          <cell r="D6170" t="str">
            <v>Aditya Birla Sun Life Infrastructure Fund -  Direct - IDCW</v>
          </cell>
          <cell r="E6170">
            <v>49.52</v>
          </cell>
        </row>
        <row r="6171">
          <cell r="B6171" t="str">
            <v>INF209K01470</v>
          </cell>
          <cell r="C6171" t="str">
            <v>INF209K01CT3</v>
          </cell>
          <cell r="D6171" t="str">
            <v>Aditya Birla Sun Life Infrastructure Fund -  Regular - IDCW</v>
          </cell>
          <cell r="E6171">
            <v>29.16</v>
          </cell>
        </row>
        <row r="6172">
          <cell r="B6172" t="str">
            <v>INF209K01WH6</v>
          </cell>
          <cell r="C6172" t="str">
            <v>-</v>
          </cell>
          <cell r="D6172" t="str">
            <v>Aditya Birla Sun Life Infrastructure Fund - Growth - Direct Plan</v>
          </cell>
          <cell r="E6172">
            <v>118.16</v>
          </cell>
        </row>
        <row r="6173">
          <cell r="B6173" t="str">
            <v>INF209K01504</v>
          </cell>
          <cell r="C6173" t="str">
            <v>-</v>
          </cell>
          <cell r="D6173" t="str">
            <v>Aditya Birla Sun Life Infrastructure Fund-Growth</v>
          </cell>
          <cell r="E6173">
            <v>106.18</v>
          </cell>
        </row>
        <row r="6174">
          <cell r="B6174" t="str">
            <v>INF209K01Q89</v>
          </cell>
          <cell r="C6174" t="str">
            <v>INF209K01WT1</v>
          </cell>
          <cell r="D6174" t="str">
            <v>Aditya Birla Sun Life International Equity Fund - Direct - IDCW</v>
          </cell>
          <cell r="E6174">
            <v>53.414299999999997</v>
          </cell>
        </row>
        <row r="6175">
          <cell r="B6175" t="str">
            <v>INF209K01WS3</v>
          </cell>
          <cell r="C6175" t="str">
            <v>-</v>
          </cell>
          <cell r="D6175" t="str">
            <v>Aditya Birla Sun Life International Equity Fund - Growth - Direct Plan</v>
          </cell>
          <cell r="E6175">
            <v>57.339100000000002</v>
          </cell>
        </row>
        <row r="6176">
          <cell r="B6176" t="str">
            <v>INF209K01520</v>
          </cell>
          <cell r="C6176" t="str">
            <v>-</v>
          </cell>
          <cell r="D6176" t="str">
            <v>Aditya Birla Sun Life International Equity Fund - Growth - Regular Plan</v>
          </cell>
          <cell r="E6176">
            <v>52.9101</v>
          </cell>
        </row>
        <row r="6177">
          <cell r="B6177" t="str">
            <v>INF209K01512</v>
          </cell>
          <cell r="C6177" t="str">
            <v>INF209K01CV9</v>
          </cell>
          <cell r="D6177" t="str">
            <v>Aditya Birla Sun Life International Equity Fund - Regular - IDCW</v>
          </cell>
          <cell r="E6177">
            <v>22.547499999999999</v>
          </cell>
        </row>
        <row r="6178">
          <cell r="B6178" t="str">
            <v>INF209K01Q97</v>
          </cell>
          <cell r="C6178" t="str">
            <v>INF209K01WV7</v>
          </cell>
          <cell r="D6178" t="str">
            <v>Aditya Birla Sun Life International Equity Fund - Plan B - Direct - IDCW</v>
          </cell>
          <cell r="E6178">
            <v>23.1342</v>
          </cell>
        </row>
        <row r="6179">
          <cell r="B6179" t="str">
            <v>INF209K01WU9</v>
          </cell>
          <cell r="C6179" t="str">
            <v>-</v>
          </cell>
          <cell r="D6179" t="str">
            <v>Aditya Birla Sun Life International Equity Fund - Plan B - Growth - Direct Plan</v>
          </cell>
          <cell r="E6179">
            <v>30.2806</v>
          </cell>
        </row>
        <row r="6180">
          <cell r="B6180" t="str">
            <v>INF209K01546</v>
          </cell>
          <cell r="C6180" t="str">
            <v>-</v>
          </cell>
          <cell r="D6180" t="str">
            <v>Aditya Birla Sun Life International Equity Fund - Plan B - Growth - Regular Plan</v>
          </cell>
          <cell r="E6180">
            <v>28.803599999999999</v>
          </cell>
        </row>
        <row r="6181">
          <cell r="B6181" t="str">
            <v>INF209K01538</v>
          </cell>
          <cell r="C6181" t="str">
            <v>INF209K01CW7</v>
          </cell>
          <cell r="D6181" t="str">
            <v>Aditya Birla Sun Life International Equity Fund - Plan B - Regular - IDCW</v>
          </cell>
          <cell r="E6181">
            <v>19.8371</v>
          </cell>
        </row>
        <row r="6182">
          <cell r="B6182" t="str">
            <v>INF209KA1YL8</v>
          </cell>
          <cell r="C6182" t="str">
            <v>INF209KA1YM6</v>
          </cell>
          <cell r="D6182" t="str">
            <v>Aditya Birla Sun Life Manufacturing Equity Fund - Direct - IDCW</v>
          </cell>
          <cell r="E6182">
            <v>24.9</v>
          </cell>
        </row>
        <row r="6183">
          <cell r="B6183" t="str">
            <v>INF209KA1YK0</v>
          </cell>
          <cell r="C6183" t="str">
            <v>-</v>
          </cell>
          <cell r="D6183" t="str">
            <v>Aditya Birla Sun Life Manufacturing Equity Fund - Direct Plan - Growth</v>
          </cell>
          <cell r="E6183">
            <v>42.08</v>
          </cell>
        </row>
        <row r="6184">
          <cell r="B6184" t="str">
            <v>INF209KA1YI4</v>
          </cell>
          <cell r="C6184" t="str">
            <v>INF209KA1YJ2</v>
          </cell>
          <cell r="D6184" t="str">
            <v>Aditya Birla Sun Life Manufacturing Equity Fund - Regular - IDCW</v>
          </cell>
          <cell r="E6184">
            <v>22.56</v>
          </cell>
        </row>
        <row r="6185">
          <cell r="B6185" t="str">
            <v>INF209KA1YH6</v>
          </cell>
          <cell r="C6185" t="str">
            <v>-</v>
          </cell>
          <cell r="D6185" t="str">
            <v>Aditya Birla Sun Life Manufacturing Equity Fund - Regular Plan - Growth</v>
          </cell>
          <cell r="E6185">
            <v>37.9</v>
          </cell>
        </row>
        <row r="6186">
          <cell r="B6186" t="str">
            <v>INF209K01Q06</v>
          </cell>
          <cell r="C6186" t="str">
            <v>INF209K01VU1</v>
          </cell>
          <cell r="D6186" t="str">
            <v>Aditya Birla Sun Life MNC Fund - DIRECT - IDCW</v>
          </cell>
          <cell r="E6186">
            <v>435.05</v>
          </cell>
        </row>
        <row r="6187">
          <cell r="B6187" t="str">
            <v>INF209K01VT3</v>
          </cell>
          <cell r="C6187" t="str">
            <v>-</v>
          </cell>
          <cell r="D6187" t="str">
            <v>Aditya Birla Sun Life MNC Fund - Growth - Direct Plan</v>
          </cell>
          <cell r="E6187">
            <v>1461.1</v>
          </cell>
        </row>
        <row r="6188">
          <cell r="B6188" t="str">
            <v>INF209K01322</v>
          </cell>
          <cell r="C6188" t="str">
            <v>-</v>
          </cell>
          <cell r="D6188" t="str">
            <v>Aditya Birla Sun Life MNC Fund - Growth - Regular Plan</v>
          </cell>
          <cell r="E6188">
            <v>1303.8599999999999</v>
          </cell>
        </row>
        <row r="6189">
          <cell r="B6189" t="str">
            <v>INF209K01314</v>
          </cell>
          <cell r="C6189" t="str">
            <v>INF209K01CL0</v>
          </cell>
          <cell r="D6189" t="str">
            <v>Aditya Birla Sun Life MNC Fund - Regular - IDCW</v>
          </cell>
          <cell r="E6189">
            <v>209.68</v>
          </cell>
        </row>
        <row r="6190">
          <cell r="B6190" t="str">
            <v>INF209KB1O33</v>
          </cell>
          <cell r="C6190" t="str">
            <v>INF209KB1O41</v>
          </cell>
          <cell r="D6190" t="str">
            <v>Aditya Birla Sun Life Pharma and Healthcare Fund-Direct - Payout of IDCW</v>
          </cell>
          <cell r="E6190">
            <v>25.91</v>
          </cell>
        </row>
        <row r="6191">
          <cell r="B6191" t="str">
            <v>INF209KB1O25</v>
          </cell>
          <cell r="C6191" t="str">
            <v>-</v>
          </cell>
          <cell r="D6191" t="str">
            <v>Aditya Birla Sun Life Pharma and Healthcare Fund-Direct-Growth</v>
          </cell>
          <cell r="E6191">
            <v>39.85</v>
          </cell>
        </row>
        <row r="6192">
          <cell r="B6192" t="str">
            <v>INF209KB1O09</v>
          </cell>
          <cell r="C6192" t="str">
            <v>INF209KB1O17</v>
          </cell>
          <cell r="D6192" t="str">
            <v>Aditya Birla Sun Life Pharma and Healthcare Fund-Regular - Payout of IDCW</v>
          </cell>
          <cell r="E6192">
            <v>23.65</v>
          </cell>
        </row>
        <row r="6193">
          <cell r="B6193" t="str">
            <v>INF209KB1N91</v>
          </cell>
          <cell r="C6193" t="str">
            <v>-</v>
          </cell>
          <cell r="D6193" t="str">
            <v>Aditya Birla Sun Life Pharma and Healthcare Fund-Regular-Growth</v>
          </cell>
          <cell r="E6193">
            <v>35.82</v>
          </cell>
        </row>
        <row r="6194">
          <cell r="B6194" t="str">
            <v>INF209KB1O90</v>
          </cell>
          <cell r="C6194" t="str">
            <v>-</v>
          </cell>
          <cell r="D6194" t="str">
            <v>Aditya Birla Sun Life PSU Equity Fund-Direct - Payout of IDCW</v>
          </cell>
          <cell r="E6194">
            <v>30.24</v>
          </cell>
        </row>
        <row r="6195">
          <cell r="B6195" t="str">
            <v>INF209KB1O82</v>
          </cell>
          <cell r="C6195" t="str">
            <v>-</v>
          </cell>
          <cell r="D6195" t="str">
            <v>Aditya Birla Sun Life PSU Equity Fund-Direct Plan-Growth</v>
          </cell>
          <cell r="E6195">
            <v>39.81</v>
          </cell>
        </row>
        <row r="6196">
          <cell r="B6196" t="str">
            <v>INF209KB1O74</v>
          </cell>
          <cell r="C6196" t="str">
            <v>-</v>
          </cell>
          <cell r="D6196" t="str">
            <v>Aditya Birla Sun Life PSU Equity Fund-Regular - Payout of IDCW</v>
          </cell>
          <cell r="E6196">
            <v>25.81</v>
          </cell>
        </row>
        <row r="6197">
          <cell r="B6197" t="str">
            <v>INF209KB1O66</v>
          </cell>
          <cell r="C6197" t="str">
            <v>-</v>
          </cell>
          <cell r="D6197" t="str">
            <v>Aditya Birla Sun Life PSU Equity Fund-Regular Plan-Growth</v>
          </cell>
          <cell r="E6197">
            <v>35.99</v>
          </cell>
        </row>
        <row r="6198">
          <cell r="B6198" t="str">
            <v>INF209KC1118</v>
          </cell>
          <cell r="C6198" t="str">
            <v>-</v>
          </cell>
          <cell r="D6198" t="str">
            <v>Aditya Birla Sun Life Quant Fund - Direct Growth</v>
          </cell>
          <cell r="E6198">
            <v>10.43</v>
          </cell>
        </row>
        <row r="6199">
          <cell r="B6199" t="str">
            <v>INF209KC1126</v>
          </cell>
          <cell r="C6199" t="str">
            <v>-</v>
          </cell>
          <cell r="D6199" t="str">
            <v>Aditya Birla Sun Life Quant Fund - Direct IDCW Payout</v>
          </cell>
          <cell r="E6199">
            <v>10.42</v>
          </cell>
        </row>
        <row r="6200">
          <cell r="B6200" t="str">
            <v>INF209KC1092</v>
          </cell>
          <cell r="C6200" t="str">
            <v>-</v>
          </cell>
          <cell r="D6200" t="str">
            <v>Aditya Birla Sun Life Quant Fund - Regular Growth</v>
          </cell>
          <cell r="E6200">
            <v>10.130000000000001</v>
          </cell>
        </row>
        <row r="6201">
          <cell r="B6201" t="str">
            <v>INF209KC1100</v>
          </cell>
          <cell r="C6201" t="str">
            <v>-</v>
          </cell>
          <cell r="D6201" t="str">
            <v>Aditya Birla Sun Life Quant Fund - Regular IDCW Payout</v>
          </cell>
          <cell r="E6201">
            <v>10.11</v>
          </cell>
        </row>
        <row r="6202">
          <cell r="B6202" t="str">
            <v>INF209KB1T87</v>
          </cell>
          <cell r="C6202" t="str">
            <v>INF209KB1T95</v>
          </cell>
          <cell r="D6202" t="str">
            <v>Aditya Birla Sun Life Special Opportunities Fund-Direct - IDCW</v>
          </cell>
          <cell r="E6202">
            <v>23.47</v>
          </cell>
        </row>
        <row r="6203">
          <cell r="B6203" t="str">
            <v>INF209KB1T79</v>
          </cell>
          <cell r="C6203" t="str">
            <v>-</v>
          </cell>
          <cell r="D6203" t="str">
            <v>Aditya Birla Sun Life Special Opportunities Fund-Direct-Growth</v>
          </cell>
          <cell r="E6203">
            <v>30.21</v>
          </cell>
        </row>
        <row r="6204">
          <cell r="B6204" t="str">
            <v>INF209KB1T53</v>
          </cell>
          <cell r="C6204" t="str">
            <v>INF209KB1T61</v>
          </cell>
          <cell r="D6204" t="str">
            <v>Aditya Birla Sun Life Special Opportunities Fund-Regular - IDCW</v>
          </cell>
          <cell r="E6204">
            <v>21.68</v>
          </cell>
        </row>
        <row r="6205">
          <cell r="B6205" t="str">
            <v>INF209KB1T46</v>
          </cell>
          <cell r="C6205" t="str">
            <v>-</v>
          </cell>
          <cell r="D6205" t="str">
            <v>Aditya Birla Sun Life Special Opportunities Fund-Regular Plan-Growth</v>
          </cell>
          <cell r="E6205">
            <v>27.91</v>
          </cell>
        </row>
        <row r="6206">
          <cell r="B6206" t="str">
            <v>INF209KB15X7</v>
          </cell>
          <cell r="C6206" t="str">
            <v>-</v>
          </cell>
          <cell r="D6206" t="str">
            <v>Aditya Birla Sun Life Transportation and Logistics Fund-Direct Growth</v>
          </cell>
          <cell r="E6206">
            <v>16.73</v>
          </cell>
        </row>
        <row r="6207">
          <cell r="B6207" t="str">
            <v>INF209KB16X5</v>
          </cell>
          <cell r="C6207" t="str">
            <v>-</v>
          </cell>
          <cell r="D6207" t="str">
            <v>Aditya Birla Sun Life Transportation and Logistics Fund-Direct IDCW</v>
          </cell>
          <cell r="E6207">
            <v>16.73</v>
          </cell>
        </row>
        <row r="6208">
          <cell r="B6208" t="str">
            <v>INF209KB17X3</v>
          </cell>
          <cell r="C6208" t="str">
            <v>-</v>
          </cell>
          <cell r="D6208" t="str">
            <v>Aditya Birla Sun Life Transportation and Logistics Fund-Regular Growth</v>
          </cell>
          <cell r="E6208">
            <v>16.11</v>
          </cell>
        </row>
        <row r="6209">
          <cell r="B6209" t="str">
            <v>INF209KB18X1</v>
          </cell>
          <cell r="C6209" t="str">
            <v>-</v>
          </cell>
          <cell r="D6209" t="str">
            <v>Aditya Birla Sun Life Transportation and Logistics Fund-Regular IDCW</v>
          </cell>
          <cell r="E6209">
            <v>16.11</v>
          </cell>
        </row>
        <row r="6210">
          <cell r="B6210" t="str">
            <v/>
          </cell>
          <cell r="C6210" t="str">
            <v/>
          </cell>
          <cell r="D6210" t="str">
            <v/>
          </cell>
        </row>
        <row r="6211">
          <cell r="B6211" t="str">
            <v/>
          </cell>
          <cell r="C6211" t="str">
            <v/>
          </cell>
          <cell r="D6211" t="str">
            <v/>
          </cell>
        </row>
        <row r="6212">
          <cell r="B6212" t="str">
            <v/>
          </cell>
          <cell r="C6212" t="str">
            <v/>
          </cell>
          <cell r="D6212" t="str">
            <v/>
          </cell>
        </row>
        <row r="6213">
          <cell r="B6213" t="str">
            <v>INF846K016N4</v>
          </cell>
          <cell r="C6213" t="str">
            <v>-</v>
          </cell>
          <cell r="D6213" t="str">
            <v>Axis Business Cycles Fund - Direct Plan - Growth</v>
          </cell>
          <cell r="E6213">
            <v>17.510000000000002</v>
          </cell>
        </row>
        <row r="6214">
          <cell r="B6214" t="str">
            <v>INF846K017N2</v>
          </cell>
          <cell r="C6214" t="str">
            <v>INF846K018N0</v>
          </cell>
          <cell r="D6214" t="str">
            <v>Axis Business Cycles Fund - Direct Plan - IDCW</v>
          </cell>
          <cell r="E6214">
            <v>16.14</v>
          </cell>
        </row>
        <row r="6215">
          <cell r="B6215" t="str">
            <v>INF846K019N8</v>
          </cell>
          <cell r="C6215" t="str">
            <v>-</v>
          </cell>
          <cell r="D6215" t="str">
            <v>Axis Business Cycles Fund - Regular Plan - Growth</v>
          </cell>
          <cell r="E6215">
            <v>16.739999999999998</v>
          </cell>
        </row>
        <row r="6216">
          <cell r="B6216" t="str">
            <v>INF846K010O5</v>
          </cell>
          <cell r="C6216" t="str">
            <v>INF846K011O3</v>
          </cell>
          <cell r="D6216" t="str">
            <v>Axis Business Cycles Fund - Regular Plan - IDCW</v>
          </cell>
          <cell r="E6216">
            <v>15.44</v>
          </cell>
        </row>
        <row r="6217">
          <cell r="B6217" t="str">
            <v>INF846K013X0</v>
          </cell>
          <cell r="C6217" t="str">
            <v>-</v>
          </cell>
          <cell r="D6217" t="str">
            <v>Axis Consumption Fund Direct Plan - Growth</v>
          </cell>
          <cell r="E6217">
            <v>9.4600000000000009</v>
          </cell>
        </row>
        <row r="6218">
          <cell r="B6218" t="str">
            <v>INF846K014X8</v>
          </cell>
          <cell r="C6218" t="str">
            <v>INF846K015X5</v>
          </cell>
          <cell r="D6218" t="str">
            <v>Axis Consumption Fund Direct Plan - IDCW</v>
          </cell>
          <cell r="E6218">
            <v>9.4600000000000009</v>
          </cell>
        </row>
        <row r="6219">
          <cell r="B6219" t="str">
            <v>INF846K010X6</v>
          </cell>
          <cell r="C6219" t="str">
            <v>-</v>
          </cell>
          <cell r="D6219" t="str">
            <v>Axis Consumption Fund Regular Plan - Growth</v>
          </cell>
          <cell r="E6219">
            <v>9.2200000000000006</v>
          </cell>
        </row>
        <row r="6220">
          <cell r="B6220" t="str">
            <v>INF846K011X4</v>
          </cell>
          <cell r="C6220" t="str">
            <v>INF846K012X2</v>
          </cell>
          <cell r="D6220" t="str">
            <v>Axis Consumption Fund Regular Plan - IDCW</v>
          </cell>
          <cell r="E6220">
            <v>9.2200000000000006</v>
          </cell>
        </row>
        <row r="6221">
          <cell r="B6221" t="str">
            <v>INF846K01W23</v>
          </cell>
          <cell r="C6221" t="str">
            <v>-</v>
          </cell>
          <cell r="D6221" t="str">
            <v>Axis ESG Integration Strategy Fund - Direct Plan - Growth Option</v>
          </cell>
          <cell r="E6221">
            <v>22.6</v>
          </cell>
        </row>
        <row r="6222">
          <cell r="B6222" t="str">
            <v>INF846K01W31</v>
          </cell>
          <cell r="C6222" t="str">
            <v>INF846K01W49</v>
          </cell>
          <cell r="D6222" t="str">
            <v>Axis ESG Integration Strategy Fund - Direct Plan - IDCW</v>
          </cell>
          <cell r="E6222">
            <v>14.78</v>
          </cell>
        </row>
        <row r="6223">
          <cell r="B6223" t="str">
            <v>INF846K01W56</v>
          </cell>
          <cell r="C6223" t="str">
            <v>-</v>
          </cell>
          <cell r="D6223" t="str">
            <v>Axis ESG Integration Strategy Fund - Regular Plan - Growth Option</v>
          </cell>
          <cell r="E6223">
            <v>20.87</v>
          </cell>
        </row>
        <row r="6224">
          <cell r="B6224" t="str">
            <v>INF846K01W64</v>
          </cell>
          <cell r="C6224" t="str">
            <v>INF846K01W72</v>
          </cell>
          <cell r="D6224" t="str">
            <v>Axis ESG Integration Strategy Fund - Regular Plan - IDCW</v>
          </cell>
          <cell r="E6224">
            <v>13.63</v>
          </cell>
        </row>
        <row r="6225">
          <cell r="B6225" t="str">
            <v>INF846K016S3</v>
          </cell>
          <cell r="C6225" t="str">
            <v>-</v>
          </cell>
          <cell r="D6225" t="str">
            <v>Axis India Manufacturing Fund - Direct Plan - Growth</v>
          </cell>
          <cell r="E6225">
            <v>15.92</v>
          </cell>
        </row>
        <row r="6226">
          <cell r="B6226" t="str">
            <v>INF846K017S1</v>
          </cell>
          <cell r="C6226" t="str">
            <v>INF846K018S9</v>
          </cell>
          <cell r="D6226" t="str">
            <v>Axis India Manufacturing Fund - Direct Plan - IDCW</v>
          </cell>
          <cell r="E6226">
            <v>15.92</v>
          </cell>
        </row>
        <row r="6227">
          <cell r="B6227" t="str">
            <v>INF846K013S0</v>
          </cell>
          <cell r="C6227" t="str">
            <v>-</v>
          </cell>
          <cell r="D6227" t="str">
            <v>Axis India Manufacturing Fund - Regular Plan - Growth</v>
          </cell>
          <cell r="E6227">
            <v>15.37</v>
          </cell>
        </row>
        <row r="6228">
          <cell r="B6228" t="str">
            <v>INF846K014S8</v>
          </cell>
          <cell r="C6228" t="str">
            <v>INF846K015S5</v>
          </cell>
          <cell r="D6228" t="str">
            <v>Axis India Manufacturing Fund - Regular Plan - IDCW</v>
          </cell>
          <cell r="E6228">
            <v>15.37</v>
          </cell>
        </row>
        <row r="6229">
          <cell r="B6229" t="str">
            <v>INF846K01X71</v>
          </cell>
          <cell r="C6229" t="str">
            <v>-</v>
          </cell>
          <cell r="D6229" t="str">
            <v>Axis Innovation Fund - Direct Plan - Growth Option</v>
          </cell>
          <cell r="E6229">
            <v>21.56</v>
          </cell>
        </row>
        <row r="6230">
          <cell r="B6230" t="str">
            <v>INF846K01X89</v>
          </cell>
          <cell r="C6230" t="str">
            <v>INF846K01X97</v>
          </cell>
          <cell r="D6230" t="str">
            <v>Axis Innovation Fund - Direct Plan - IDCW</v>
          </cell>
          <cell r="E6230">
            <v>18.05</v>
          </cell>
        </row>
        <row r="6231">
          <cell r="B6231" t="str">
            <v>INF846K01Y05</v>
          </cell>
          <cell r="C6231" t="str">
            <v>-</v>
          </cell>
          <cell r="D6231" t="str">
            <v>Axis Innovation Fund - Regular Plan - Growth Option</v>
          </cell>
          <cell r="E6231">
            <v>20.11</v>
          </cell>
        </row>
        <row r="6232">
          <cell r="B6232" t="str">
            <v>INF846K01Y13</v>
          </cell>
          <cell r="C6232" t="str">
            <v>INF846K01Y21</v>
          </cell>
          <cell r="D6232" t="str">
            <v>Axis Innovation Fund - Regular Plan - IDCW</v>
          </cell>
          <cell r="E6232">
            <v>16.829999999999998</v>
          </cell>
        </row>
        <row r="6233">
          <cell r="B6233" t="str">
            <v>INF846K011Z9</v>
          </cell>
          <cell r="C6233" t="str">
            <v>-</v>
          </cell>
          <cell r="D6233" t="str">
            <v>Axis Momentum Fund - Direct Plan - Growth Option</v>
          </cell>
          <cell r="E6233">
            <v>9.0299999999999994</v>
          </cell>
        </row>
        <row r="6234">
          <cell r="B6234" t="str">
            <v>INF846K013Z5</v>
          </cell>
          <cell r="C6234" t="str">
            <v>INF846K015Z0</v>
          </cell>
          <cell r="D6234" t="str">
            <v>Axis Momentum Fund - Direct Plan - IDCW Option</v>
          </cell>
          <cell r="E6234">
            <v>9.0299999999999994</v>
          </cell>
        </row>
        <row r="6235">
          <cell r="B6235" t="str">
            <v>INF846K010Z1</v>
          </cell>
          <cell r="C6235" t="str">
            <v>-</v>
          </cell>
          <cell r="D6235" t="str">
            <v>Axis Momentum Fund - Regular Plan - Growth Option</v>
          </cell>
          <cell r="E6235">
            <v>8.81</v>
          </cell>
        </row>
        <row r="6236">
          <cell r="B6236" t="str">
            <v>INF846K012Z7</v>
          </cell>
          <cell r="C6236" t="str">
            <v>INF846K014Z3</v>
          </cell>
          <cell r="D6236" t="str">
            <v>Axis Momentum Fund - Regular Plan - IDCW Option</v>
          </cell>
          <cell r="E6236">
            <v>8.81</v>
          </cell>
        </row>
        <row r="6237">
          <cell r="B6237" t="str">
            <v>INF846K01Z87</v>
          </cell>
          <cell r="C6237" t="str">
            <v>-</v>
          </cell>
          <cell r="D6237" t="str">
            <v>Axis Quant Fund - Direct Plan - Growth</v>
          </cell>
          <cell r="E6237">
            <v>17.38</v>
          </cell>
        </row>
        <row r="6238">
          <cell r="B6238" t="str">
            <v>INF846K01Z95</v>
          </cell>
          <cell r="C6238" t="str">
            <v>INF846K010A4</v>
          </cell>
          <cell r="D6238" t="str">
            <v>Axis Quant Fund - Direct Plan - IDCW</v>
          </cell>
          <cell r="E6238">
            <v>16.02</v>
          </cell>
        </row>
        <row r="6239">
          <cell r="B6239" t="str">
            <v>INF846K011A2</v>
          </cell>
          <cell r="C6239" t="str">
            <v>-</v>
          </cell>
          <cell r="D6239" t="str">
            <v>Axis Quant Fund - Regular Plan - Growth</v>
          </cell>
          <cell r="E6239">
            <v>16.04</v>
          </cell>
        </row>
        <row r="6240">
          <cell r="B6240" t="str">
            <v>INF846K012A0</v>
          </cell>
          <cell r="C6240" t="str">
            <v>INF846K013A8</v>
          </cell>
          <cell r="D6240" t="str">
            <v>Axis Quant Fund - Regular Plan - IDCW</v>
          </cell>
          <cell r="E6240">
            <v>14.79</v>
          </cell>
        </row>
        <row r="6241">
          <cell r="B6241" t="str">
            <v>INF846KA1168</v>
          </cell>
          <cell r="C6241" t="str">
            <v>-</v>
          </cell>
          <cell r="D6241" t="str">
            <v>Axis Services Opportunities Fund - Direct Plan - Growth Option</v>
          </cell>
          <cell r="E6241">
            <v>9.91</v>
          </cell>
        </row>
        <row r="6242">
          <cell r="B6242" t="str">
            <v>INF846KA1176</v>
          </cell>
          <cell r="C6242" t="str">
            <v>INF846KA1184</v>
          </cell>
          <cell r="D6242" t="str">
            <v>Axis Services Opportunities Fund - Direct Plan - IDCW Option</v>
          </cell>
          <cell r="E6242">
            <v>9.91</v>
          </cell>
        </row>
        <row r="6243">
          <cell r="B6243" t="str">
            <v>INF846KA1135</v>
          </cell>
          <cell r="C6243" t="str">
            <v>-</v>
          </cell>
          <cell r="D6243" t="str">
            <v>Axis Services Opportunities Fund - Regular Plan - Growth Option</v>
          </cell>
          <cell r="E6243">
            <v>9.7799999999999994</v>
          </cell>
        </row>
        <row r="6244">
          <cell r="B6244" t="str">
            <v>INF846KA1143</v>
          </cell>
          <cell r="C6244" t="str">
            <v>INF846KA1150</v>
          </cell>
          <cell r="D6244" t="str">
            <v>Axis Services Opportunities Fund - Regular Plan - IDCW Option</v>
          </cell>
          <cell r="E6244">
            <v>9.7799999999999994</v>
          </cell>
        </row>
        <row r="6245">
          <cell r="B6245" t="str">
            <v/>
          </cell>
          <cell r="C6245" t="str">
            <v/>
          </cell>
          <cell r="D6245" t="str">
            <v/>
          </cell>
        </row>
        <row r="6246">
          <cell r="B6246" t="str">
            <v/>
          </cell>
          <cell r="C6246" t="str">
            <v/>
          </cell>
          <cell r="D6246" t="str">
            <v/>
          </cell>
        </row>
        <row r="6247">
          <cell r="B6247" t="str">
            <v/>
          </cell>
          <cell r="C6247" t="str">
            <v/>
          </cell>
          <cell r="D6247" t="str">
            <v/>
          </cell>
        </row>
        <row r="6248">
          <cell r="B6248" t="str">
            <v>INF0QA701BZ6</v>
          </cell>
          <cell r="C6248" t="str">
            <v>-</v>
          </cell>
          <cell r="D6248" t="str">
            <v>Bajaj Finserv Banking and Financial Services Fund - Direct - Growth</v>
          </cell>
          <cell r="E6248">
            <v>9.9770000000000003</v>
          </cell>
        </row>
        <row r="6249">
          <cell r="B6249" t="str">
            <v>INF0QA701CA7</v>
          </cell>
          <cell r="C6249" t="str">
            <v>INF0QA701CB5</v>
          </cell>
          <cell r="D6249" t="str">
            <v>Bajaj Finserv Banking and Financial Services Fund - Direct - IDCW</v>
          </cell>
          <cell r="E6249">
            <v>9.9770000000000003</v>
          </cell>
        </row>
        <row r="6250">
          <cell r="B6250" t="str">
            <v>INF0QA701BW3</v>
          </cell>
          <cell r="C6250" t="str">
            <v>-</v>
          </cell>
          <cell r="D6250" t="str">
            <v>Bajaj Finserv Banking and Financial Services Fund - Regular - Growth</v>
          </cell>
          <cell r="E6250">
            <v>9.8729999999999993</v>
          </cell>
        </row>
        <row r="6251">
          <cell r="B6251" t="str">
            <v>INF0QA701BX1</v>
          </cell>
          <cell r="C6251" t="str">
            <v>INF0QA701BY9</v>
          </cell>
          <cell r="D6251" t="str">
            <v>Bajaj Finserv Banking and Financial Services Fund - Regular - IDCW</v>
          </cell>
          <cell r="E6251">
            <v>9.8729999999999993</v>
          </cell>
        </row>
        <row r="6252">
          <cell r="B6252" t="str">
            <v>INF0QA701946</v>
          </cell>
          <cell r="C6252" t="str">
            <v>-</v>
          </cell>
          <cell r="D6252" t="str">
            <v>BAJAJ FINSERV CONSUMPTION FUND - DIRECT - GROWTH</v>
          </cell>
          <cell r="E6252">
            <v>9.4920000000000009</v>
          </cell>
        </row>
        <row r="6253">
          <cell r="B6253" t="str">
            <v>INF0QA701953</v>
          </cell>
          <cell r="C6253" t="str">
            <v>INF0QA701961</v>
          </cell>
          <cell r="D6253" t="str">
            <v>BAJAJ FINSERV CONSUMPTION FUND - DIRECT - IDCW</v>
          </cell>
          <cell r="E6253">
            <v>9.4920000000000009</v>
          </cell>
        </row>
        <row r="6254">
          <cell r="B6254" t="str">
            <v>INF0QA701979</v>
          </cell>
          <cell r="C6254" t="str">
            <v>-</v>
          </cell>
          <cell r="D6254" t="str">
            <v>BAJAJ FINSERV CONSUMPTION FUND - REGULAR - GROWTH</v>
          </cell>
          <cell r="E6254">
            <v>9.24</v>
          </cell>
        </row>
        <row r="6255">
          <cell r="B6255" t="str">
            <v>INF0QA701920</v>
          </cell>
          <cell r="C6255" t="str">
            <v>INF0QA701938</v>
          </cell>
          <cell r="D6255" t="str">
            <v>BAJAJ FINSERV CONSUMPTION FUND - REGULAR - IDCW</v>
          </cell>
          <cell r="E6255">
            <v>9.24</v>
          </cell>
        </row>
        <row r="6256">
          <cell r="B6256" t="str">
            <v>INF0QA701AB9</v>
          </cell>
          <cell r="C6256" t="str">
            <v>-</v>
          </cell>
          <cell r="D6256" t="str">
            <v>BAJAJ FINSERV HEALTHCARE FUND - DIRECT - GROWTH</v>
          </cell>
          <cell r="E6256">
            <v>11.417</v>
          </cell>
        </row>
        <row r="6257">
          <cell r="B6257" t="str">
            <v>INF0QA701AC7</v>
          </cell>
          <cell r="C6257" t="str">
            <v>INF0QA701AD5</v>
          </cell>
          <cell r="D6257" t="str">
            <v>BAJAJ FINSERV HEALTHCARE FUND - DIRECT - IDCW</v>
          </cell>
          <cell r="E6257">
            <v>11.417</v>
          </cell>
        </row>
        <row r="6258">
          <cell r="B6258" t="str">
            <v>INF0QA701987</v>
          </cell>
          <cell r="C6258" t="str">
            <v>-</v>
          </cell>
          <cell r="D6258" t="str">
            <v>BAJAJ FINSERV HEALTHCARE FUND - REGULAR - GROWTH</v>
          </cell>
          <cell r="E6258">
            <v>11.119</v>
          </cell>
        </row>
        <row r="6259">
          <cell r="B6259" t="str">
            <v>INF0QA701995</v>
          </cell>
          <cell r="C6259" t="str">
            <v>INF0QA701AA1</v>
          </cell>
          <cell r="D6259" t="str">
            <v>BAJAJ FINSERV HEALTHCARE FUND - REGULAR - IDCW</v>
          </cell>
          <cell r="E6259">
            <v>11.119</v>
          </cell>
        </row>
        <row r="6260">
          <cell r="B6260" t="str">
            <v/>
          </cell>
          <cell r="C6260" t="str">
            <v/>
          </cell>
          <cell r="D6260" t="str">
            <v/>
          </cell>
        </row>
        <row r="6261">
          <cell r="B6261" t="str">
            <v/>
          </cell>
          <cell r="C6261" t="str">
            <v/>
          </cell>
          <cell r="D6261" t="str">
            <v/>
          </cell>
        </row>
        <row r="6262">
          <cell r="B6262" t="str">
            <v/>
          </cell>
          <cell r="C6262" t="str">
            <v/>
          </cell>
          <cell r="D6262" t="str">
            <v/>
          </cell>
        </row>
        <row r="6263">
          <cell r="B6263" t="str">
            <v>INF194KB1IQ6</v>
          </cell>
          <cell r="C6263" t="str">
            <v>-</v>
          </cell>
          <cell r="D6263" t="str">
            <v>Bandhan Business Cycle Fund - Direct Plan - Growth</v>
          </cell>
          <cell r="E6263">
            <v>10.038</v>
          </cell>
        </row>
        <row r="6264">
          <cell r="B6264" t="str">
            <v>INF194KB1IL7</v>
          </cell>
          <cell r="C6264" t="str">
            <v>INF194KB1IM5</v>
          </cell>
          <cell r="D6264" t="str">
            <v>Bandhan Business Cycle Fund - Direct Plan - IDCW</v>
          </cell>
          <cell r="E6264">
            <v>10.038</v>
          </cell>
        </row>
        <row r="6265">
          <cell r="B6265" t="str">
            <v>INF194KB1IP8</v>
          </cell>
          <cell r="C6265" t="str">
            <v>-</v>
          </cell>
          <cell r="D6265" t="str">
            <v>Bandhan Business Cycle Fund - Regular Plan - Growth</v>
          </cell>
          <cell r="E6265">
            <v>9.7639999999999993</v>
          </cell>
        </row>
        <row r="6266">
          <cell r="B6266" t="str">
            <v>INF194KB1II3</v>
          </cell>
          <cell r="C6266" t="str">
            <v>INF194KB1IJ1</v>
          </cell>
          <cell r="D6266" t="str">
            <v>Bandhan Business Cycle Fund - Regular Plan - IDCW</v>
          </cell>
          <cell r="E6266">
            <v>9.7639999999999993</v>
          </cell>
        </row>
        <row r="6267">
          <cell r="B6267" t="str">
            <v>INF194KB1GB2</v>
          </cell>
          <cell r="C6267" t="str">
            <v>-</v>
          </cell>
          <cell r="D6267" t="str">
            <v>BANDHAN FINANCIAL SERVICES FUND - DIRECT PLAN - GROWTH</v>
          </cell>
          <cell r="E6267">
            <v>15.699</v>
          </cell>
        </row>
        <row r="6268">
          <cell r="B6268" t="str">
            <v>INF194KB1GC0</v>
          </cell>
          <cell r="C6268" t="str">
            <v>INF194KB1GD8</v>
          </cell>
          <cell r="D6268" t="str">
            <v>BANDHAN FINANCIAL SERVICES FUND - DIRECT PLAN - IDCW</v>
          </cell>
          <cell r="E6268">
            <v>13.694000000000001</v>
          </cell>
        </row>
        <row r="6269">
          <cell r="B6269" t="str">
            <v>INF194KB1GE6</v>
          </cell>
          <cell r="C6269" t="str">
            <v>-</v>
          </cell>
          <cell r="D6269" t="str">
            <v>BANDHAN FINANCIAL SERVICES FUND - REGULAR PLAN - GROWTH</v>
          </cell>
          <cell r="E6269">
            <v>14.961</v>
          </cell>
        </row>
        <row r="6270">
          <cell r="B6270" t="str">
            <v>INF194KB1GF3</v>
          </cell>
          <cell r="C6270" t="str">
            <v>INF194KB1GG1</v>
          </cell>
          <cell r="D6270" t="str">
            <v>BANDHAN FINANCIAL SERVICES FUND - REGULAR PLAN - IDCW</v>
          </cell>
          <cell r="E6270">
            <v>13.06</v>
          </cell>
        </row>
        <row r="6271">
          <cell r="B6271" t="str">
            <v>INF194KB1KF5</v>
          </cell>
          <cell r="C6271" t="str">
            <v>-</v>
          </cell>
          <cell r="D6271" t="str">
            <v>Bandhan Healthcare Fund - Direct Plan - Growth</v>
          </cell>
          <cell r="E6271">
            <v>10.993</v>
          </cell>
        </row>
        <row r="6272">
          <cell r="B6272" t="str">
            <v>INF194KB1KG3</v>
          </cell>
          <cell r="C6272" t="str">
            <v>INF194KB1KH1</v>
          </cell>
          <cell r="D6272" t="str">
            <v>Bandhan Healthcare Fund - Direct Plan - IDCW</v>
          </cell>
          <cell r="E6272">
            <v>10.993</v>
          </cell>
        </row>
        <row r="6273">
          <cell r="B6273" t="str">
            <v>INF194KB1KC2</v>
          </cell>
          <cell r="C6273" t="str">
            <v>-</v>
          </cell>
          <cell r="D6273" t="str">
            <v>Bandhan Healthcare Fund - Regular Plan - Growth</v>
          </cell>
          <cell r="E6273">
            <v>10.877000000000001</v>
          </cell>
        </row>
        <row r="6274">
          <cell r="B6274" t="str">
            <v>INF194KB1KD0</v>
          </cell>
          <cell r="C6274" t="str">
            <v>INF194KB1KE8</v>
          </cell>
          <cell r="D6274" t="str">
            <v>Bandhan Healthcare Fund - Regular Plan - IDCW</v>
          </cell>
          <cell r="E6274">
            <v>10.877000000000001</v>
          </cell>
        </row>
        <row r="6275">
          <cell r="B6275" t="str">
            <v>INF194K01BY9</v>
          </cell>
          <cell r="C6275" t="str">
            <v>-</v>
          </cell>
          <cell r="D6275" t="str">
            <v>BANDHAN Infrastructure Fund - Regular Plan - Growth</v>
          </cell>
          <cell r="E6275">
            <v>49.749000000000002</v>
          </cell>
        </row>
        <row r="6276">
          <cell r="B6276" t="str">
            <v>INF194K01BZ6</v>
          </cell>
          <cell r="C6276" t="str">
            <v>INF194K01CA7</v>
          </cell>
          <cell r="D6276" t="str">
            <v>BANDHAN Infrastructure Fund - Regular Plan - IDCW</v>
          </cell>
          <cell r="E6276">
            <v>37.076000000000001</v>
          </cell>
        </row>
        <row r="6277">
          <cell r="B6277" t="str">
            <v>INF194K01X46</v>
          </cell>
          <cell r="C6277" t="str">
            <v>-</v>
          </cell>
          <cell r="D6277" t="str">
            <v>BANDHAN Infrastructure Fund-Direct Plan-Growth</v>
          </cell>
          <cell r="E6277">
            <v>58.865000000000002</v>
          </cell>
        </row>
        <row r="6278">
          <cell r="B6278" t="str">
            <v>INF194K01X53</v>
          </cell>
          <cell r="C6278" t="str">
            <v>INF194K01X61</v>
          </cell>
          <cell r="D6278" t="str">
            <v>BANDHAN Infrastructure Fund-Direct Plan-IDCW</v>
          </cell>
          <cell r="E6278">
            <v>45.787999999999997</v>
          </cell>
        </row>
        <row r="6279">
          <cell r="B6279" t="str">
            <v>INF194KB1IE2</v>
          </cell>
          <cell r="C6279" t="str">
            <v>-</v>
          </cell>
          <cell r="D6279" t="str">
            <v>Bandhan Innovation Fund - Direct Plan - Growth</v>
          </cell>
          <cell r="E6279">
            <v>15.145</v>
          </cell>
        </row>
        <row r="6280">
          <cell r="B6280" t="str">
            <v>INF194KB1IF9</v>
          </cell>
          <cell r="C6280" t="str">
            <v>INF194KB1IG7</v>
          </cell>
          <cell r="D6280" t="str">
            <v>Bandhan Innovation Fund - Direct Plan - IDCW</v>
          </cell>
          <cell r="E6280">
            <v>14.212</v>
          </cell>
        </row>
        <row r="6281">
          <cell r="B6281" t="str">
            <v>INF194KB1IB8</v>
          </cell>
          <cell r="C6281" t="str">
            <v>-</v>
          </cell>
          <cell r="D6281" t="str">
            <v>Bandhan Innovation Fund - Regular Plan - Growth</v>
          </cell>
          <cell r="E6281">
            <v>14.641999999999999</v>
          </cell>
        </row>
        <row r="6282">
          <cell r="B6282" t="str">
            <v>INF194KB1IC6</v>
          </cell>
          <cell r="C6282" t="str">
            <v>INF194KB1ID4</v>
          </cell>
          <cell r="D6282" t="str">
            <v>Bandhan Innovation Fund - Regular Plan - IDCW</v>
          </cell>
          <cell r="E6282">
            <v>13.74</v>
          </cell>
        </row>
        <row r="6283">
          <cell r="B6283" t="str">
            <v>INF194KB1JX0</v>
          </cell>
          <cell r="C6283" t="str">
            <v>-</v>
          </cell>
          <cell r="D6283" t="str">
            <v>Bandhan Multi-Factor Fund - Direct Plan - Growth</v>
          </cell>
          <cell r="E6283">
            <v>10.074</v>
          </cell>
        </row>
        <row r="6284">
          <cell r="B6284" t="str">
            <v>INF194KB1JY8</v>
          </cell>
          <cell r="C6284" t="str">
            <v>INF194KB1JZ5</v>
          </cell>
          <cell r="D6284" t="str">
            <v>Bandhan Multi-Factor Fund - Direct Plan - IDCW</v>
          </cell>
          <cell r="E6284">
            <v>10.074</v>
          </cell>
        </row>
        <row r="6285">
          <cell r="B6285" t="str">
            <v>INF194KB1JU6</v>
          </cell>
          <cell r="C6285" t="str">
            <v>-</v>
          </cell>
          <cell r="D6285" t="str">
            <v>Bandhan Multi-Factor Fund - Regular Plan - Growth</v>
          </cell>
          <cell r="E6285">
            <v>9.92</v>
          </cell>
        </row>
        <row r="6286">
          <cell r="B6286" t="str">
            <v>INF194KB1JV4</v>
          </cell>
          <cell r="C6286" t="str">
            <v>INF194KB1JW2</v>
          </cell>
          <cell r="D6286" t="str">
            <v>Bandhan Multi-Factor Fund - Regular Plan - IDCW</v>
          </cell>
          <cell r="E6286">
            <v>9.92</v>
          </cell>
        </row>
        <row r="6287">
          <cell r="B6287" t="str">
            <v>INF194KB1EB7</v>
          </cell>
          <cell r="C6287" t="str">
            <v>-</v>
          </cell>
          <cell r="D6287" t="str">
            <v>BANDHAN TRANSPORTATION AND LOGISTICS FUND - GROWTH - DIRECT PLAN</v>
          </cell>
          <cell r="E6287">
            <v>20.905000000000001</v>
          </cell>
        </row>
        <row r="6288">
          <cell r="B6288" t="str">
            <v>INF194KB1EE1</v>
          </cell>
          <cell r="C6288" t="str">
            <v>-</v>
          </cell>
          <cell r="D6288" t="str">
            <v>BANDHAN TRANSPORTATION AND LOGISTICS FUND - GROWTH - REGULAR PLAN</v>
          </cell>
          <cell r="E6288">
            <v>19.71</v>
          </cell>
        </row>
        <row r="6289">
          <cell r="B6289" t="str">
            <v>INF194KB1EC5</v>
          </cell>
          <cell r="C6289" t="str">
            <v>INF194KB1ED3</v>
          </cell>
          <cell r="D6289" t="str">
            <v>BANDHAN TRANSPORTATION AND LOGISTICS FUND - IDCW - DIRECT PLAN</v>
          </cell>
          <cell r="E6289">
            <v>20.879000000000001</v>
          </cell>
        </row>
        <row r="6290">
          <cell r="B6290" t="str">
            <v>INF194KB1EF8</v>
          </cell>
          <cell r="C6290" t="str">
            <v>INF194KB1EG6</v>
          </cell>
          <cell r="D6290" t="str">
            <v>BANDHAN TRANSPORTATION AND LOGISTICS FUND - IDCW - REGULAR PLAN</v>
          </cell>
          <cell r="E6290">
            <v>18.45</v>
          </cell>
        </row>
        <row r="6291">
          <cell r="B6291" t="str">
            <v/>
          </cell>
          <cell r="C6291" t="str">
            <v/>
          </cell>
          <cell r="D6291" t="str">
            <v/>
          </cell>
        </row>
        <row r="6292">
          <cell r="B6292" t="str">
            <v/>
          </cell>
          <cell r="C6292" t="str">
            <v/>
          </cell>
          <cell r="D6292" t="str">
            <v/>
          </cell>
        </row>
        <row r="6293">
          <cell r="B6293" t="str">
            <v/>
          </cell>
          <cell r="C6293" t="str">
            <v/>
          </cell>
          <cell r="D6293" t="str">
            <v/>
          </cell>
        </row>
        <row r="6294">
          <cell r="B6294" t="str">
            <v>INF761K01HE4</v>
          </cell>
          <cell r="C6294" t="str">
            <v>-</v>
          </cell>
          <cell r="D6294" t="str">
            <v>Bank of India Banking &amp; Financial Services Fund - Direct Plan - Growth</v>
          </cell>
          <cell r="E6294">
            <v>9.7899999999999991</v>
          </cell>
        </row>
        <row r="6295">
          <cell r="B6295" t="str">
            <v>INF761K01HF1</v>
          </cell>
          <cell r="C6295" t="str">
            <v>INF761K01HG9</v>
          </cell>
          <cell r="D6295" t="str">
            <v>Bank of India Banking &amp; Financial Services Fund - Direct Plan - IDCW</v>
          </cell>
          <cell r="E6295">
            <v>9.7899999999999991</v>
          </cell>
        </row>
        <row r="6296">
          <cell r="B6296" t="str">
            <v>INF761K01HH7</v>
          </cell>
          <cell r="C6296" t="str">
            <v>-</v>
          </cell>
          <cell r="D6296" t="str">
            <v>Bank of India Banking &amp; Financial Services Fund - Regular Plan - Growth</v>
          </cell>
          <cell r="E6296">
            <v>9.74</v>
          </cell>
        </row>
        <row r="6297">
          <cell r="B6297" t="str">
            <v>INF761K01HI5</v>
          </cell>
          <cell r="C6297" t="str">
            <v>INF761K01HJ3</v>
          </cell>
          <cell r="D6297" t="str">
            <v>Bank of India Banking &amp; Financial Services Fund - Regular Plan - IDCW</v>
          </cell>
          <cell r="E6297">
            <v>9.74</v>
          </cell>
        </row>
        <row r="6298">
          <cell r="B6298" t="str">
            <v>INF761K01GG1</v>
          </cell>
          <cell r="C6298" t="str">
            <v>INF761K01GH9</v>
          </cell>
          <cell r="D6298" t="str">
            <v>Bank of India Business Cycle Fund - Direct Plan - Dividend</v>
          </cell>
          <cell r="E6298">
            <v>9.66</v>
          </cell>
        </row>
        <row r="6299">
          <cell r="B6299" t="str">
            <v>INF761K01GF3</v>
          </cell>
          <cell r="C6299" t="str">
            <v>-</v>
          </cell>
          <cell r="D6299" t="str">
            <v>Bank of India Business Cycle Fund - Direct Plan - Growth</v>
          </cell>
          <cell r="E6299">
            <v>9.67</v>
          </cell>
        </row>
        <row r="6300">
          <cell r="B6300" t="str">
            <v>INF761K01GD8</v>
          </cell>
          <cell r="C6300" t="str">
            <v>INF761K01GE6</v>
          </cell>
          <cell r="D6300" t="str">
            <v>Bank of India Business Cycle Fund - Regular Plan - Dividend</v>
          </cell>
          <cell r="E6300">
            <v>9.4499999999999993</v>
          </cell>
        </row>
        <row r="6301">
          <cell r="B6301" t="str">
            <v>INF761K01GC0</v>
          </cell>
          <cell r="C6301" t="str">
            <v>-</v>
          </cell>
          <cell r="D6301" t="str">
            <v>Bank of India Business Cycle Fund - Regular Plan - Growth</v>
          </cell>
          <cell r="E6301">
            <v>9.4499999999999993</v>
          </cell>
        </row>
        <row r="6302">
          <cell r="B6302" t="str">
            <v>INF761K01GI7</v>
          </cell>
          <cell r="C6302" t="str">
            <v>-</v>
          </cell>
          <cell r="D6302" t="str">
            <v>Bank of India Consumption Fund - Direct - Growth</v>
          </cell>
          <cell r="E6302">
            <v>11.27</v>
          </cell>
        </row>
        <row r="6303">
          <cell r="B6303" t="str">
            <v>INF761K01GJ5</v>
          </cell>
          <cell r="C6303" t="str">
            <v>INF761K01GK3</v>
          </cell>
          <cell r="D6303" t="str">
            <v>Bank of India Consumption Fund - Direct - IDCW</v>
          </cell>
          <cell r="E6303">
            <v>11.27</v>
          </cell>
        </row>
        <row r="6304">
          <cell r="B6304" t="str">
            <v>INF761K01GL1</v>
          </cell>
          <cell r="C6304" t="str">
            <v>-</v>
          </cell>
          <cell r="D6304" t="str">
            <v>Bank of India Consumption Fund - Regular - Growth</v>
          </cell>
          <cell r="E6304">
            <v>11.06</v>
          </cell>
        </row>
        <row r="6305">
          <cell r="B6305" t="str">
            <v>INF761K01GM9</v>
          </cell>
          <cell r="C6305" t="str">
            <v>INF761K01GN7</v>
          </cell>
          <cell r="D6305" t="str">
            <v>Bank of India Consumption Fund - Regular - IDCW</v>
          </cell>
          <cell r="E6305">
            <v>11.06</v>
          </cell>
        </row>
        <row r="6306">
          <cell r="B6306" t="str">
            <v>INF761K01702</v>
          </cell>
          <cell r="C6306" t="str">
            <v>-</v>
          </cell>
          <cell r="D6306" t="str">
            <v>BANK OF INDIA Manufacturing &amp; Infrastructure Fund-Direct Plan-Growth</v>
          </cell>
          <cell r="E6306">
            <v>79.319999999999993</v>
          </cell>
        </row>
        <row r="6307">
          <cell r="B6307" t="str">
            <v>INF761K01728</v>
          </cell>
          <cell r="C6307" t="str">
            <v>INF761K01710</v>
          </cell>
          <cell r="D6307" t="str">
            <v>BANK OF INDIA Manufacturing &amp; Infrastructure Fund-Direct Plan-Quarterly IDCW</v>
          </cell>
          <cell r="E6307">
            <v>77.97</v>
          </cell>
        </row>
        <row r="6308">
          <cell r="B6308" t="str">
            <v>INF761K01694</v>
          </cell>
          <cell r="C6308" t="str">
            <v>INF761K01686</v>
          </cell>
          <cell r="D6308" t="str">
            <v>BANK OF INDIA Manufacturing &amp; Infrastructure Fund-Direct Plan-Regular IDCW</v>
          </cell>
          <cell r="E6308">
            <v>74.84</v>
          </cell>
        </row>
        <row r="6309">
          <cell r="B6309" t="str">
            <v>INF761K01199</v>
          </cell>
          <cell r="C6309" t="str">
            <v>-</v>
          </cell>
          <cell r="D6309" t="str">
            <v>BANK OF INDIA Manufacturing &amp; Infrastructure Fund-Growth</v>
          </cell>
          <cell r="E6309">
            <v>66.7</v>
          </cell>
        </row>
        <row r="6310">
          <cell r="B6310" t="str">
            <v>INF761K01231</v>
          </cell>
          <cell r="C6310" t="str">
            <v>INF761K01223</v>
          </cell>
          <cell r="D6310" t="str">
            <v>BANK OF INDIA Manufacturing &amp; Infrastructure Fund-Quarterly IDCW</v>
          </cell>
          <cell r="E6310">
            <v>43.3</v>
          </cell>
        </row>
        <row r="6311">
          <cell r="B6311" t="str">
            <v>INF761K01215</v>
          </cell>
          <cell r="C6311" t="str">
            <v>INF761K01207</v>
          </cell>
          <cell r="D6311" t="str">
            <v>BANK OF INDIA Manufacturing &amp; Infrastructure Fund-Regular IDCW</v>
          </cell>
          <cell r="E6311">
            <v>42.51</v>
          </cell>
        </row>
        <row r="6312">
          <cell r="B6312" t="str">
            <v/>
          </cell>
          <cell r="C6312" t="str">
            <v/>
          </cell>
          <cell r="D6312" t="str">
            <v/>
          </cell>
        </row>
        <row r="6313">
          <cell r="B6313" t="str">
            <v/>
          </cell>
          <cell r="C6313" t="str">
            <v/>
          </cell>
          <cell r="D6313" t="str">
            <v/>
          </cell>
        </row>
        <row r="6314">
          <cell r="B6314" t="str">
            <v/>
          </cell>
          <cell r="C6314" t="str">
            <v/>
          </cell>
          <cell r="D6314" t="str">
            <v/>
          </cell>
        </row>
        <row r="6315">
          <cell r="B6315" t="str">
            <v>INF955L01971</v>
          </cell>
          <cell r="C6315" t="str">
            <v>-</v>
          </cell>
          <cell r="D6315" t="str">
            <v>Baroda BNP Paribas Banking and Financial Services Fund - Direct - Growth Option</v>
          </cell>
          <cell r="E6315">
            <v>55.923699999999997</v>
          </cell>
        </row>
        <row r="6316">
          <cell r="B6316" t="str">
            <v>INF955L01955</v>
          </cell>
          <cell r="C6316" t="str">
            <v>-</v>
          </cell>
          <cell r="D6316" t="str">
            <v>Baroda BNP Paribas Banking and Financial Services Fund - Direct - IDCW Option</v>
          </cell>
          <cell r="E6316">
            <v>23.439599999999999</v>
          </cell>
        </row>
        <row r="6317">
          <cell r="B6317" t="str">
            <v>INF955L01856</v>
          </cell>
          <cell r="C6317" t="str">
            <v>-</v>
          </cell>
          <cell r="D6317" t="str">
            <v>Baroda BNP Paribas Banking and Financial Services Fund - Regular - Growth Option</v>
          </cell>
          <cell r="E6317">
            <v>49.142699999999998</v>
          </cell>
        </row>
        <row r="6318">
          <cell r="B6318" t="str">
            <v>INF955L01831</v>
          </cell>
          <cell r="C6318" t="str">
            <v>-</v>
          </cell>
          <cell r="D6318" t="str">
            <v>Baroda BNP Paribas Banking and Financial Services Fund - Regular - IDCW Option</v>
          </cell>
          <cell r="E6318">
            <v>20.1526</v>
          </cell>
        </row>
        <row r="6319">
          <cell r="B6319" t="str">
            <v>INF251K01VJ6</v>
          </cell>
          <cell r="C6319" t="str">
            <v>-</v>
          </cell>
          <cell r="D6319" t="str">
            <v>Baroda BNP Paribas Business Conglomerates Fund Direct Growth Option</v>
          </cell>
          <cell r="E6319">
            <v>10.0968</v>
          </cell>
        </row>
        <row r="6320">
          <cell r="B6320" t="str">
            <v>INF251K01VK4</v>
          </cell>
          <cell r="C6320" t="str">
            <v>-</v>
          </cell>
          <cell r="D6320" t="str">
            <v>Baroda BNP Paribas Business Conglomerates Fund Direct IDCW Payout Option</v>
          </cell>
          <cell r="E6320">
            <v>10.0968</v>
          </cell>
        </row>
        <row r="6321">
          <cell r="B6321" t="str">
            <v>INF251K01VG2</v>
          </cell>
          <cell r="C6321" t="str">
            <v>-</v>
          </cell>
          <cell r="D6321" t="str">
            <v>Baroda BNP Paribas Business Conglomerates Fund Regular Growth Option</v>
          </cell>
          <cell r="E6321">
            <v>9.9578000000000007</v>
          </cell>
        </row>
        <row r="6322">
          <cell r="B6322" t="str">
            <v>INF251K01VH0</v>
          </cell>
          <cell r="C6322" t="str">
            <v>-</v>
          </cell>
          <cell r="D6322" t="str">
            <v>Baroda BNP Paribas Business Conglomerates Fund Regular IDCW Payout Option</v>
          </cell>
          <cell r="E6322">
            <v>9.9578000000000007</v>
          </cell>
        </row>
        <row r="6323">
          <cell r="B6323" t="str">
            <v>INF955L01KK1</v>
          </cell>
          <cell r="C6323" t="str">
            <v>-</v>
          </cell>
          <cell r="D6323" t="str">
            <v>Baroda BNP Paribas Business Cycle Fund - Direct Plan - Growth</v>
          </cell>
          <cell r="E6323">
            <v>17.034700000000001</v>
          </cell>
        </row>
        <row r="6324">
          <cell r="B6324" t="str">
            <v>INF955L01KL9</v>
          </cell>
          <cell r="C6324" t="str">
            <v>INF955L01KM7</v>
          </cell>
          <cell r="D6324" t="str">
            <v>Baroda BNP Paribas Business Cycle Fund - Direct Plan - IDCW Option</v>
          </cell>
          <cell r="E6324">
            <v>14.231299999999999</v>
          </cell>
        </row>
        <row r="6325">
          <cell r="B6325" t="str">
            <v>INF955L01KH7</v>
          </cell>
          <cell r="C6325" t="str">
            <v>-</v>
          </cell>
          <cell r="D6325" t="str">
            <v>Baroda BNP Paribas Business Cycle Fund - Regular Plan - Growth</v>
          </cell>
          <cell r="E6325">
            <v>15.8704</v>
          </cell>
        </row>
        <row r="6326">
          <cell r="B6326" t="str">
            <v>INF955L01KI5</v>
          </cell>
          <cell r="C6326" t="str">
            <v>INF955L01KJ3</v>
          </cell>
          <cell r="D6326" t="str">
            <v>Baroda BNP Paribas Business Cycle Fund - Regular Plan - IDCW Option</v>
          </cell>
          <cell r="E6326">
            <v>13.2577</v>
          </cell>
        </row>
        <row r="6327">
          <cell r="B6327" t="str">
            <v>INF251K01UJ8</v>
          </cell>
          <cell r="C6327" t="str">
            <v>-</v>
          </cell>
          <cell r="D6327" t="str">
            <v>Baroda BNP Paribas Energy Opportunities Fund - Direct Plan - Growth Option</v>
          </cell>
          <cell r="E6327">
            <v>12.0311</v>
          </cell>
        </row>
        <row r="6328">
          <cell r="B6328" t="str">
            <v>INF251K01UK6</v>
          </cell>
          <cell r="C6328" t="str">
            <v>INF251K01UL4</v>
          </cell>
          <cell r="D6328" t="str">
            <v>Baroda BNP Paribas Energy Opportunities Fund - Direct Plan - IDCW Option</v>
          </cell>
          <cell r="E6328">
            <v>12.0311</v>
          </cell>
        </row>
        <row r="6329">
          <cell r="B6329" t="str">
            <v>INF251K01UG4</v>
          </cell>
          <cell r="C6329" t="str">
            <v>-</v>
          </cell>
          <cell r="D6329" t="str">
            <v>Baroda BNP Paribas Energy Opportunities Fund - Regular Plan - Growth Option</v>
          </cell>
          <cell r="E6329">
            <v>11.7813</v>
          </cell>
        </row>
        <row r="6330">
          <cell r="B6330" t="str">
            <v>INF251K01UH2</v>
          </cell>
          <cell r="C6330" t="str">
            <v>INF251K01UI0</v>
          </cell>
          <cell r="D6330" t="str">
            <v>Baroda BNP Paribas Energy Opportunities Fund - Regular Plan - ICDW Option</v>
          </cell>
          <cell r="E6330">
            <v>11.7813</v>
          </cell>
        </row>
        <row r="6331">
          <cell r="B6331" t="str">
            <v>INF251K01VP3</v>
          </cell>
          <cell r="C6331" t="str">
            <v>-</v>
          </cell>
          <cell r="D6331" t="str">
            <v>Baroda BNP Paribas Best-in-Class Strategy Fund - Direct - Growth Option</v>
          </cell>
          <cell r="E6331">
            <v>10.4588</v>
          </cell>
        </row>
        <row r="6332">
          <cell r="B6332" t="str">
            <v>INF251K01VQ1</v>
          </cell>
          <cell r="C6332" t="str">
            <v>INF251K01VR9</v>
          </cell>
          <cell r="D6332" t="str">
            <v>Baroda BNP Paribas Best-in-Class Strategy Fund - Direct - IDCW Payout Option</v>
          </cell>
          <cell r="E6332">
            <v>10.4588</v>
          </cell>
        </row>
        <row r="6333">
          <cell r="B6333" t="str">
            <v>INF251K01VM0</v>
          </cell>
          <cell r="C6333" t="str">
            <v>-</v>
          </cell>
          <cell r="D6333" t="str">
            <v>Baroda BNP Paribas Best-in-Class Strategy Fund - Regular - Growth Option</v>
          </cell>
          <cell r="E6333">
            <v>10.3904</v>
          </cell>
        </row>
        <row r="6334">
          <cell r="B6334" t="str">
            <v>INF251K01VN8</v>
          </cell>
          <cell r="C6334" t="str">
            <v>INF251K01VO6</v>
          </cell>
          <cell r="D6334" t="str">
            <v>Baroda BNP Paribas Best-in-Class Strategy Fund - Regular - IDCW Payout Option</v>
          </cell>
          <cell r="E6334">
            <v>10.3904</v>
          </cell>
        </row>
        <row r="6335">
          <cell r="B6335" t="str">
            <v>INF251K01VA5</v>
          </cell>
          <cell r="C6335" t="str">
            <v>-</v>
          </cell>
          <cell r="D6335" t="str">
            <v>Baroda BNP Paribas Health and Wellness Fund Direct Growth</v>
          </cell>
          <cell r="E6335">
            <v>10.7475</v>
          </cell>
        </row>
        <row r="6336">
          <cell r="B6336" t="str">
            <v>INF251K01VB3</v>
          </cell>
          <cell r="C6336" t="str">
            <v>INF251K01VC1</v>
          </cell>
          <cell r="D6336" t="str">
            <v>Baroda BNP Paribas Health and Wellness Fund Direct IDCWPayout</v>
          </cell>
          <cell r="E6336">
            <v>10.7475</v>
          </cell>
        </row>
        <row r="6337">
          <cell r="B6337" t="str">
            <v>INF251K01UY7</v>
          </cell>
          <cell r="C6337" t="str">
            <v>-</v>
          </cell>
          <cell r="D6337" t="str">
            <v>Baroda BNP Paribas Health and Wellness Fund Regular Growth</v>
          </cell>
          <cell r="E6337">
            <v>10.5442</v>
          </cell>
        </row>
        <row r="6338">
          <cell r="B6338" t="str">
            <v>INF251K01VD9</v>
          </cell>
          <cell r="C6338" t="str">
            <v>INF251K01UZ4</v>
          </cell>
          <cell r="D6338" t="str">
            <v>Baroda BNP Paribas Health and Wellness Fund Regular IDCWPayout</v>
          </cell>
          <cell r="E6338">
            <v>10.5442</v>
          </cell>
        </row>
        <row r="6339">
          <cell r="B6339" t="str">
            <v>INF251K01PT7</v>
          </cell>
          <cell r="C6339" t="str">
            <v>-</v>
          </cell>
          <cell r="D6339" t="str">
            <v>BARODA BNP PARIBAS India Consumption Fund - Direct Plan - Growth Option</v>
          </cell>
          <cell r="E6339">
            <v>34.114100000000001</v>
          </cell>
        </row>
        <row r="6340">
          <cell r="B6340" t="str">
            <v>INF251K01PV3</v>
          </cell>
          <cell r="C6340" t="str">
            <v>INF251K01PU5</v>
          </cell>
          <cell r="D6340" t="str">
            <v>BARODA BNP PARIBAS India Consumption Fund - Direct Plan - IDCW Option</v>
          </cell>
          <cell r="E6340">
            <v>21.707899999999999</v>
          </cell>
        </row>
        <row r="6341">
          <cell r="B6341" t="str">
            <v>INF251K01PQ3</v>
          </cell>
          <cell r="C6341" t="str">
            <v>-</v>
          </cell>
          <cell r="D6341" t="str">
            <v>BARODA BNP PARIBAS India Consumption Fund - Regular Plan - Growth Option</v>
          </cell>
          <cell r="E6341">
            <v>30.354099999999999</v>
          </cell>
        </row>
        <row r="6342">
          <cell r="B6342" t="str">
            <v>INF251K01PS9</v>
          </cell>
          <cell r="C6342" t="str">
            <v>INF251K01PR1</v>
          </cell>
          <cell r="D6342" t="str">
            <v>BARODA BNP PARIBAS India Consumption Fund - Regular Plan - IDCW Option</v>
          </cell>
          <cell r="E6342">
            <v>18.723199999999999</v>
          </cell>
        </row>
        <row r="6343">
          <cell r="B6343" t="str">
            <v>INF251K01TE1</v>
          </cell>
          <cell r="C6343" t="str">
            <v>-</v>
          </cell>
          <cell r="D6343" t="str">
            <v>Baroda BNP Paribas Innovation Fund Direct plan - Growth Option</v>
          </cell>
          <cell r="E6343">
            <v>13.760899999999999</v>
          </cell>
        </row>
        <row r="6344">
          <cell r="B6344" t="str">
            <v>INF251K01TF8</v>
          </cell>
          <cell r="C6344" t="str">
            <v>INF251K01TG6</v>
          </cell>
          <cell r="D6344" t="str">
            <v>Baroda BNP Paribas Innovation Fund Direct plan - IDCW Option</v>
          </cell>
          <cell r="E6344">
            <v>13.760899999999999</v>
          </cell>
        </row>
        <row r="6345">
          <cell r="B6345" t="str">
            <v>INF251K01TB7</v>
          </cell>
          <cell r="C6345" t="str">
            <v>-</v>
          </cell>
          <cell r="D6345" t="str">
            <v>Baroda BNP Paribas Innovation Fund Regular plan - Growth Option</v>
          </cell>
          <cell r="E6345">
            <v>13.2927</v>
          </cell>
        </row>
        <row r="6346">
          <cell r="B6346" t="str">
            <v>INF251K01TC5</v>
          </cell>
          <cell r="C6346" t="str">
            <v>INF251K01TD3</v>
          </cell>
          <cell r="D6346" t="str">
            <v>Baroda BNP Paribas Innovation Fund Regular plan - IDCW Option</v>
          </cell>
          <cell r="E6346">
            <v>13.158899999999999</v>
          </cell>
        </row>
        <row r="6347">
          <cell r="B6347" t="str">
            <v>INF251K01TP7</v>
          </cell>
          <cell r="C6347" t="str">
            <v>-</v>
          </cell>
          <cell r="D6347" t="str">
            <v>Baroda BNP Paribas Manufacturing Fund - Direct Plan - Growth Option</v>
          </cell>
          <cell r="E6347">
            <v>11.180199999999999</v>
          </cell>
        </row>
        <row r="6348">
          <cell r="B6348" t="str">
            <v>INF251K01TQ5</v>
          </cell>
          <cell r="C6348" t="str">
            <v>INF251K01TR3</v>
          </cell>
          <cell r="D6348" t="str">
            <v>Baroda BNP Paribas Manufacturing Fund - Direct Plan - IDCW Option</v>
          </cell>
          <cell r="E6348">
            <v>11.180199999999999</v>
          </cell>
        </row>
        <row r="6349">
          <cell r="B6349" t="str">
            <v>INF251K01TM4</v>
          </cell>
          <cell r="C6349" t="str">
            <v>-</v>
          </cell>
          <cell r="D6349" t="str">
            <v>Baroda BNP Paribas Manufacturing Fund - Regular Plan - Growth Option</v>
          </cell>
          <cell r="E6349">
            <v>10.8653</v>
          </cell>
        </row>
        <row r="6350">
          <cell r="B6350" t="str">
            <v>INF251K01TN2</v>
          </cell>
          <cell r="C6350" t="str">
            <v>INF251K01TO0</v>
          </cell>
          <cell r="D6350" t="str">
            <v>Baroda BNP Paribas Manufacturing Fund - Regular Plan - IDCW Option</v>
          </cell>
          <cell r="E6350">
            <v>10.8653</v>
          </cell>
        </row>
        <row r="6351">
          <cell r="B6351" t="str">
            <v/>
          </cell>
          <cell r="C6351" t="str">
            <v/>
          </cell>
          <cell r="D6351" t="str">
            <v/>
          </cell>
        </row>
        <row r="6352">
          <cell r="B6352" t="str">
            <v/>
          </cell>
          <cell r="C6352" t="str">
            <v/>
          </cell>
          <cell r="D6352" t="str">
            <v/>
          </cell>
        </row>
        <row r="6353">
          <cell r="B6353" t="str">
            <v/>
          </cell>
          <cell r="C6353" t="str">
            <v/>
          </cell>
          <cell r="D6353" t="str">
            <v/>
          </cell>
        </row>
        <row r="6354">
          <cell r="B6354" t="str">
            <v>INF760K01LN9</v>
          </cell>
          <cell r="C6354" t="str">
            <v>-</v>
          </cell>
          <cell r="D6354" t="str">
            <v>Canara Robeco Banking and Financials Services Fund - Direct Plan - Growth</v>
          </cell>
          <cell r="E6354">
            <v>10.84</v>
          </cell>
        </row>
        <row r="6355">
          <cell r="B6355" t="str">
            <v>INF760K01LP4</v>
          </cell>
          <cell r="C6355" t="str">
            <v>INF760K01LR0</v>
          </cell>
          <cell r="D6355" t="str">
            <v>Canara Robeco Banking and Financials Services Fund - Direct Plan - IDCW</v>
          </cell>
          <cell r="E6355">
            <v>10.84</v>
          </cell>
        </row>
        <row r="6356">
          <cell r="B6356" t="str">
            <v>INF760K01LM1</v>
          </cell>
          <cell r="C6356" t="str">
            <v>-</v>
          </cell>
          <cell r="D6356" t="str">
            <v>Canara Robeco Banking and Financials Services Fund - Regular Plan - Growth</v>
          </cell>
          <cell r="E6356">
            <v>10.78</v>
          </cell>
        </row>
        <row r="6357">
          <cell r="B6357" t="str">
            <v>INF760K01LO7</v>
          </cell>
          <cell r="C6357" t="str">
            <v>INF760K01LQ2</v>
          </cell>
          <cell r="D6357" t="str">
            <v>Canara Robeco Banking and Financials Services Fund - Regular Plan - IDCW</v>
          </cell>
          <cell r="E6357">
            <v>10.78</v>
          </cell>
        </row>
        <row r="6358">
          <cell r="B6358" t="str">
            <v>INF760K01DU1</v>
          </cell>
          <cell r="C6358" t="str">
            <v>-</v>
          </cell>
          <cell r="D6358" t="str">
            <v>CANARA ROBECO CONSUMPTION FUND - DIRECT PLAN - GROWTH OPTION</v>
          </cell>
          <cell r="E6358">
            <v>123.56</v>
          </cell>
        </row>
        <row r="6359">
          <cell r="B6359" t="str">
            <v>INF760K01DS5</v>
          </cell>
          <cell r="C6359" t="str">
            <v>INF760K01DT3</v>
          </cell>
          <cell r="D6359" t="str">
            <v>CANARA ROBECO CONSUMPTION FUND - DIRECT PLAN - IDCW (Payout/Reinvestment)</v>
          </cell>
          <cell r="E6359">
            <v>84.31</v>
          </cell>
        </row>
        <row r="6360">
          <cell r="B6360" t="str">
            <v>INF760K01241</v>
          </cell>
          <cell r="C6360" t="str">
            <v>-</v>
          </cell>
          <cell r="D6360" t="str">
            <v>CANARA ROBECO CONSUMPTION FUND - REGULAR PLAN - GROWTH OPTION</v>
          </cell>
          <cell r="E6360">
            <v>106.12</v>
          </cell>
        </row>
        <row r="6361">
          <cell r="B6361" t="str">
            <v>INF760K01225</v>
          </cell>
          <cell r="C6361" t="str">
            <v>INF760K01233</v>
          </cell>
          <cell r="D6361" t="str">
            <v>CANARA ROBECO CONSUMPTION FUND - REGULAR PLAN - IDCW (Payout/Reinvestment)</v>
          </cell>
          <cell r="E6361">
            <v>45.59</v>
          </cell>
        </row>
        <row r="6362">
          <cell r="B6362" t="str">
            <v>INF760K01FO9</v>
          </cell>
          <cell r="C6362" t="str">
            <v>-</v>
          </cell>
          <cell r="D6362" t="str">
            <v>CANARA ROBECO INFRASTRUCTURE FUND - DIRECT PLAN - GROWTH OPTION</v>
          </cell>
          <cell r="E6362">
            <v>191.37</v>
          </cell>
        </row>
        <row r="6363">
          <cell r="B6363" t="str">
            <v>INF760K01FM3</v>
          </cell>
          <cell r="C6363" t="str">
            <v>INF760K01FN1</v>
          </cell>
          <cell r="D6363" t="str">
            <v>CANARA ROBECO INFRASTRUCTURE FUND - DIRECT PLAN - IDCW (Payout/Reinvestment)</v>
          </cell>
          <cell r="E6363">
            <v>91.38</v>
          </cell>
        </row>
        <row r="6364">
          <cell r="B6364" t="str">
            <v>INF760K01274</v>
          </cell>
          <cell r="C6364" t="str">
            <v>-</v>
          </cell>
          <cell r="D6364" t="str">
            <v>CANARA ROBECO INFRASTRUCTURE FUND - REGULAR PLAN - GROWTH OPTION</v>
          </cell>
          <cell r="E6364">
            <v>168.06</v>
          </cell>
        </row>
        <row r="6365">
          <cell r="B6365" t="str">
            <v>INF760K01258</v>
          </cell>
          <cell r="C6365" t="str">
            <v>INF760K01266</v>
          </cell>
          <cell r="D6365" t="str">
            <v>CANARA ROBECO INFRASTRUCTURE FUND - REGULAR PLAN - IDCW (Payout/Reinvestment)</v>
          </cell>
          <cell r="E6365">
            <v>64.510000000000005</v>
          </cell>
        </row>
        <row r="6366">
          <cell r="B6366" t="str">
            <v>INF760K01KZ5</v>
          </cell>
          <cell r="C6366" t="str">
            <v>-</v>
          </cell>
          <cell r="D6366" t="str">
            <v>Canara Robeco Manufacturing Fund - Direct Plan - Growth Option</v>
          </cell>
          <cell r="E6366">
            <v>14.11</v>
          </cell>
        </row>
        <row r="6367">
          <cell r="B6367" t="str">
            <v>INF760K01KY8</v>
          </cell>
          <cell r="C6367" t="str">
            <v>INF760K01KX0</v>
          </cell>
          <cell r="D6367" t="str">
            <v>Canara Robeco Manufacturing Fund - Direct Plan - IDWC Option</v>
          </cell>
          <cell r="E6367">
            <v>14.11</v>
          </cell>
        </row>
        <row r="6368">
          <cell r="B6368" t="str">
            <v>INF760K01KU6</v>
          </cell>
          <cell r="C6368" t="str">
            <v>-</v>
          </cell>
          <cell r="D6368" t="str">
            <v>Canara Robeco Manufacturing Fund - Regular Plan - Growth Option</v>
          </cell>
          <cell r="E6368">
            <v>13.66</v>
          </cell>
        </row>
        <row r="6369">
          <cell r="B6369" t="str">
            <v>INF760K01KW2</v>
          </cell>
          <cell r="C6369" t="str">
            <v>INF760K01KV4</v>
          </cell>
          <cell r="D6369" t="str">
            <v>Canara Robeco Manufacturing Fund -Regular Plan - IDWC Option</v>
          </cell>
          <cell r="E6369">
            <v>13.65</v>
          </cell>
        </row>
        <row r="6370">
          <cell r="B6370" t="str">
            <v/>
          </cell>
          <cell r="C6370" t="str">
            <v/>
          </cell>
          <cell r="D6370" t="str">
            <v/>
          </cell>
        </row>
        <row r="6371">
          <cell r="B6371" t="str">
            <v/>
          </cell>
          <cell r="C6371" t="str">
            <v/>
          </cell>
          <cell r="D6371" t="str">
            <v/>
          </cell>
        </row>
        <row r="6372">
          <cell r="B6372" t="str">
            <v/>
          </cell>
          <cell r="C6372" t="str">
            <v/>
          </cell>
          <cell r="D6372" t="str">
            <v/>
          </cell>
        </row>
        <row r="6373">
          <cell r="B6373" t="str">
            <v>INF740KA1TQ3</v>
          </cell>
          <cell r="C6373" t="str">
            <v>-</v>
          </cell>
          <cell r="D6373" t="str">
            <v>DSP Banking &amp; Financial Services Fund - Direct - Growth</v>
          </cell>
          <cell r="E6373">
            <v>15.295999999999999</v>
          </cell>
        </row>
        <row r="6374">
          <cell r="B6374" t="str">
            <v>INF740KA1TR1</v>
          </cell>
          <cell r="C6374" t="str">
            <v>INF740KA1TS9</v>
          </cell>
          <cell r="D6374" t="str">
            <v>DSP Banking &amp; Financial Services Fund - Direct - IDCW</v>
          </cell>
          <cell r="E6374">
            <v>12.885999999999999</v>
          </cell>
        </row>
        <row r="6375">
          <cell r="B6375" t="str">
            <v>INF740KA1TN0</v>
          </cell>
          <cell r="C6375" t="str">
            <v>-</v>
          </cell>
          <cell r="D6375" t="str">
            <v>DSP Banking &amp; Financial Services Fund - Regular - Growth</v>
          </cell>
          <cell r="E6375">
            <v>14.712</v>
          </cell>
        </row>
        <row r="6376">
          <cell r="B6376" t="str">
            <v>INF740KA1TO8</v>
          </cell>
          <cell r="C6376" t="str">
            <v>INF740KA1TP5</v>
          </cell>
          <cell r="D6376" t="str">
            <v>DSP Banking &amp; Financial Services Fund - Regular - IDCW</v>
          </cell>
          <cell r="E6376">
            <v>13.477</v>
          </cell>
        </row>
        <row r="6377">
          <cell r="B6377" t="str">
            <v>INF740KA1UX7</v>
          </cell>
          <cell r="C6377" t="str">
            <v>-</v>
          </cell>
          <cell r="D6377" t="str">
            <v>DSP Business Cycle Fund - Direct - Growth</v>
          </cell>
          <cell r="E6377">
            <v>10.593999999999999</v>
          </cell>
        </row>
        <row r="6378">
          <cell r="B6378" t="str">
            <v>INF740KA1UV1</v>
          </cell>
          <cell r="C6378" t="str">
            <v>INF740KA1UW9</v>
          </cell>
          <cell r="D6378" t="str">
            <v>DSP Business Cycle Fund - Direct - IDCW</v>
          </cell>
          <cell r="E6378">
            <v>10.593999999999999</v>
          </cell>
        </row>
        <row r="6379">
          <cell r="B6379" t="str">
            <v>INF740KA1US7</v>
          </cell>
          <cell r="C6379" t="str">
            <v>-</v>
          </cell>
          <cell r="D6379" t="str">
            <v>DSP Business Cycle Fund - Regular - Growth</v>
          </cell>
          <cell r="E6379">
            <v>10.342000000000001</v>
          </cell>
        </row>
        <row r="6380">
          <cell r="B6380" t="str">
            <v>INF740KA1UT5</v>
          </cell>
          <cell r="C6380" t="str">
            <v>INF740KA1UU3</v>
          </cell>
          <cell r="D6380" t="str">
            <v>DSP Business Cycle Fund - Regular - IDCW</v>
          </cell>
          <cell r="E6380">
            <v>10.342000000000001</v>
          </cell>
        </row>
        <row r="6381">
          <cell r="B6381" t="str">
            <v>INF740KA1LG1</v>
          </cell>
          <cell r="C6381" t="str">
            <v>-</v>
          </cell>
          <cell r="D6381" t="str">
            <v>DSP Healthcare Fund - Direct Plan - Growth</v>
          </cell>
          <cell r="E6381">
            <v>48.66</v>
          </cell>
        </row>
        <row r="6382">
          <cell r="B6382" t="str">
            <v>INF740KA1LH9</v>
          </cell>
          <cell r="C6382" t="str">
            <v>INF740KA1LI7</v>
          </cell>
          <cell r="D6382" t="str">
            <v>DSP Healthcare Fund - Direct Plan - IDCW</v>
          </cell>
          <cell r="E6382">
            <v>28.138999999999999</v>
          </cell>
        </row>
        <row r="6383">
          <cell r="B6383" t="str">
            <v>INF740KA1LD8</v>
          </cell>
          <cell r="C6383" t="str">
            <v>-</v>
          </cell>
          <cell r="D6383" t="str">
            <v>DSP Healthcare Fund - Regular Plan - Growth</v>
          </cell>
          <cell r="E6383">
            <v>43.503</v>
          </cell>
        </row>
        <row r="6384">
          <cell r="B6384" t="str">
            <v>INF740KA1LE6</v>
          </cell>
          <cell r="C6384" t="str">
            <v>INF740KA1LF3</v>
          </cell>
          <cell r="D6384" t="str">
            <v>DSP Healthcare Fund - Regular Plan - IDCW</v>
          </cell>
          <cell r="E6384">
            <v>25.201000000000001</v>
          </cell>
        </row>
        <row r="6385">
          <cell r="B6385" t="str">
            <v>INF740K01PU7</v>
          </cell>
          <cell r="C6385" t="str">
            <v>-</v>
          </cell>
          <cell r="D6385" t="str">
            <v>DSP India T.I.G.E.R. Fund - Direct Plan - Growth</v>
          </cell>
          <cell r="E6385">
            <v>396.18599999999998</v>
          </cell>
        </row>
        <row r="6386">
          <cell r="B6386" t="str">
            <v>INF740K01PV5</v>
          </cell>
          <cell r="C6386" t="str">
            <v>INF740K01PW3</v>
          </cell>
          <cell r="D6386" t="str">
            <v>DSP India T.I.G.E.R. Fund - Direct Plan - IDCW</v>
          </cell>
          <cell r="E6386">
            <v>58.292999999999999</v>
          </cell>
        </row>
        <row r="6387">
          <cell r="B6387" t="str">
            <v>INF740K01151</v>
          </cell>
          <cell r="C6387" t="str">
            <v>-</v>
          </cell>
          <cell r="D6387" t="str">
            <v>DSP India T.I.G.E.R. Fund - Regular Plan - Growth</v>
          </cell>
          <cell r="E6387">
            <v>360.49599999999998</v>
          </cell>
        </row>
        <row r="6388">
          <cell r="B6388" t="str">
            <v>INF740K01136</v>
          </cell>
          <cell r="C6388" t="str">
            <v>INF740K01144</v>
          </cell>
          <cell r="D6388" t="str">
            <v>DSP India T.I.G.E.R. Fund - Regular Plan - IDCW</v>
          </cell>
          <cell r="E6388">
            <v>31.244</v>
          </cell>
        </row>
        <row r="6389">
          <cell r="B6389" t="str">
            <v>INF740K01QA7</v>
          </cell>
          <cell r="C6389" t="str">
            <v>-</v>
          </cell>
          <cell r="D6389" t="str">
            <v>DSP Natural Resources and New Energy Fund - Direct Plan - Growth</v>
          </cell>
          <cell r="E6389">
            <v>119.99299999999999</v>
          </cell>
        </row>
        <row r="6390">
          <cell r="B6390" t="str">
            <v>INF740K01QB5</v>
          </cell>
          <cell r="C6390" t="str">
            <v>INF740K01QC3</v>
          </cell>
          <cell r="D6390" t="str">
            <v>DSP Natural Resources and New Energy Fund - Direct Plan - IDCW</v>
          </cell>
          <cell r="E6390">
            <v>37.950000000000003</v>
          </cell>
        </row>
        <row r="6391">
          <cell r="B6391" t="str">
            <v>INF740K01060</v>
          </cell>
          <cell r="C6391" t="str">
            <v>-</v>
          </cell>
          <cell r="D6391" t="str">
            <v>DSP Natural Resources And New Energy Fund - Regular - Growth</v>
          </cell>
          <cell r="E6391">
            <v>106.619</v>
          </cell>
        </row>
        <row r="6392">
          <cell r="B6392" t="str">
            <v>INF740K01045</v>
          </cell>
          <cell r="C6392" t="str">
            <v>INF740K01052</v>
          </cell>
          <cell r="D6392" t="str">
            <v>DSP Natural Resources And New Energy Fund - Regular Plan - IDCW</v>
          </cell>
          <cell r="E6392">
            <v>31.327000000000002</v>
          </cell>
        </row>
        <row r="6393">
          <cell r="B6393" t="str">
            <v>INF740KA1NQ6</v>
          </cell>
          <cell r="C6393" t="str">
            <v>-</v>
          </cell>
          <cell r="D6393" t="str">
            <v>DSP Quant Fund - Direct Plan - Growth</v>
          </cell>
          <cell r="E6393">
            <v>22.446999999999999</v>
          </cell>
        </row>
        <row r="6394">
          <cell r="B6394" t="str">
            <v>INF740KA1NR4</v>
          </cell>
          <cell r="C6394" t="str">
            <v>INF740KA1NS2</v>
          </cell>
          <cell r="D6394" t="str">
            <v>DSP Quant Fund - Direct Plan - IDCW</v>
          </cell>
          <cell r="E6394">
            <v>17.141999999999999</v>
          </cell>
        </row>
        <row r="6395">
          <cell r="B6395" t="str">
            <v>INF740KA1NN3</v>
          </cell>
          <cell r="C6395" t="str">
            <v>-</v>
          </cell>
          <cell r="D6395" t="str">
            <v>DSP Quant Fund - Regular Plan - Growth</v>
          </cell>
          <cell r="E6395">
            <v>21.303999999999998</v>
          </cell>
        </row>
        <row r="6396">
          <cell r="B6396" t="str">
            <v>INF740KA1NO1</v>
          </cell>
          <cell r="C6396" t="str">
            <v>INF740KA1NP8</v>
          </cell>
          <cell r="D6396" t="str">
            <v>DSP Quant Fund - Regular Plan - IDCW</v>
          </cell>
          <cell r="E6396">
            <v>16.178000000000001</v>
          </cell>
        </row>
        <row r="6397">
          <cell r="B6397" t="str">
            <v/>
          </cell>
          <cell r="C6397" t="str">
            <v/>
          </cell>
          <cell r="D6397" t="str">
            <v/>
          </cell>
        </row>
        <row r="6398">
          <cell r="B6398" t="str">
            <v/>
          </cell>
          <cell r="C6398" t="str">
            <v/>
          </cell>
          <cell r="D6398" t="str">
            <v/>
          </cell>
        </row>
        <row r="6399">
          <cell r="B6399" t="str">
            <v/>
          </cell>
          <cell r="C6399" t="str">
            <v/>
          </cell>
          <cell r="D6399" t="str">
            <v/>
          </cell>
        </row>
        <row r="6400">
          <cell r="B6400" t="str">
            <v>INF754K01TA2</v>
          </cell>
          <cell r="C6400" t="str">
            <v>-</v>
          </cell>
          <cell r="D6400" t="str">
            <v>Edelweiss Business Cycle Fund - Direct Plan - Growth</v>
          </cell>
          <cell r="E6400">
            <v>9.0561000000000007</v>
          </cell>
        </row>
        <row r="6401">
          <cell r="B6401" t="str">
            <v>INF754K01TB0</v>
          </cell>
          <cell r="C6401" t="str">
            <v>INF754K01TC8</v>
          </cell>
          <cell r="D6401" t="str">
            <v>Edelweiss Business Cycle Fund - Direct Plan - IDCW Option</v>
          </cell>
          <cell r="E6401">
            <v>9.0561000000000007</v>
          </cell>
        </row>
        <row r="6402">
          <cell r="B6402" t="str">
            <v>INF754K01SW8</v>
          </cell>
          <cell r="C6402" t="str">
            <v>-</v>
          </cell>
          <cell r="D6402" t="str">
            <v>Edelweiss Business Cycle Fund - Regular Plan - Growth</v>
          </cell>
          <cell r="E6402">
            <v>8.7733000000000008</v>
          </cell>
        </row>
        <row r="6403">
          <cell r="B6403" t="str">
            <v>INF754K01SX6</v>
          </cell>
          <cell r="C6403" t="str">
            <v>INF754K01SY4</v>
          </cell>
          <cell r="D6403" t="str">
            <v>Edelweiss Business Cycle Fund - Regular Plan - IDCW Option</v>
          </cell>
          <cell r="E6403">
            <v>8.7733000000000008</v>
          </cell>
        </row>
        <row r="6404">
          <cell r="B6404" t="str">
            <v>INF754K01TY2</v>
          </cell>
          <cell r="C6404" t="str">
            <v>-</v>
          </cell>
          <cell r="D6404" t="str">
            <v>Edelweiss Consumption Fund - Direct - Growth</v>
          </cell>
          <cell r="E6404">
            <v>11.302199999999999</v>
          </cell>
        </row>
        <row r="6405">
          <cell r="B6405" t="str">
            <v>INF754K01TZ9</v>
          </cell>
          <cell r="C6405" t="str">
            <v>INF754K01UA0</v>
          </cell>
          <cell r="D6405" t="str">
            <v>Edelweiss Consumption Fund - Direct - IDCW - Payout</v>
          </cell>
          <cell r="E6405">
            <v>11.302199999999999</v>
          </cell>
        </row>
        <row r="6406">
          <cell r="B6406" t="str">
            <v>INF754K01UC6</v>
          </cell>
          <cell r="C6406" t="str">
            <v>-</v>
          </cell>
          <cell r="D6406" t="str">
            <v>Edelweiss Consumption Fund - Regular - Growth</v>
          </cell>
          <cell r="E6406">
            <v>11.037000000000001</v>
          </cell>
        </row>
        <row r="6407">
          <cell r="B6407" t="str">
            <v>INF754K01UD4</v>
          </cell>
          <cell r="C6407" t="str">
            <v>INF754K01UE2</v>
          </cell>
          <cell r="D6407" t="str">
            <v>Edelweiss Consumption Fund - Regular - IDCW - Payout</v>
          </cell>
          <cell r="E6407">
            <v>11.037000000000001</v>
          </cell>
        </row>
        <row r="6408">
          <cell r="B6408" t="str">
            <v>INF754K01WH1</v>
          </cell>
          <cell r="C6408" t="str">
            <v>-</v>
          </cell>
          <cell r="D6408" t="str">
            <v>Edelweiss Financial Services Fund - Direct Plan - Growth Option</v>
          </cell>
          <cell r="E6408">
            <v>9.5610999999999997</v>
          </cell>
        </row>
        <row r="6409">
          <cell r="B6409" t="str">
            <v>INF754K01WI9</v>
          </cell>
          <cell r="C6409" t="str">
            <v>INF754K01WJ7</v>
          </cell>
          <cell r="D6409" t="str">
            <v>Edelweiss Financial Services Fund - Direct Plan - IDCW Option</v>
          </cell>
          <cell r="E6409">
            <v>9.5610999999999997</v>
          </cell>
        </row>
        <row r="6410">
          <cell r="B6410" t="str">
            <v>INF754K01WL3</v>
          </cell>
          <cell r="C6410" t="str">
            <v>-</v>
          </cell>
          <cell r="D6410" t="str">
            <v>Edelweiss Financial Services Fund - Regular Plan - Growth Option</v>
          </cell>
          <cell r="E6410">
            <v>9.4969999999999999</v>
          </cell>
        </row>
        <row r="6411">
          <cell r="B6411" t="str">
            <v>INF754K01WM1</v>
          </cell>
          <cell r="C6411" t="str">
            <v>INF754K01WN9</v>
          </cell>
          <cell r="D6411" t="str">
            <v>Edelweiss Financial Services Fund - Regular Plan - IDCW Option</v>
          </cell>
          <cell r="E6411">
            <v>9.4969999999999999</v>
          </cell>
        </row>
        <row r="6412">
          <cell r="B6412" t="str">
            <v>INF754K01MM2</v>
          </cell>
          <cell r="C6412" t="str">
            <v>INF754K01MN0</v>
          </cell>
          <cell r="D6412" t="str">
            <v>Edelweiss Recently Listed IPO Fund - DIRECT PLAN - IDCW Option</v>
          </cell>
          <cell r="E6412">
            <v>33.589199999999998</v>
          </cell>
        </row>
        <row r="6413">
          <cell r="B6413" t="str">
            <v>INF754K01ML4</v>
          </cell>
          <cell r="C6413" t="str">
            <v>-</v>
          </cell>
          <cell r="D6413" t="str">
            <v>Edelweiss Recently Listed IPO Fund Direct Plan Growth</v>
          </cell>
          <cell r="E6413">
            <v>33.589100000000002</v>
          </cell>
        </row>
        <row r="6414">
          <cell r="B6414" t="str">
            <v>INF754K01MI0</v>
          </cell>
          <cell r="C6414" t="str">
            <v>INF754K01MJ8</v>
          </cell>
          <cell r="D6414" t="str">
            <v>Edelweiss Recently Listed IPO Fund REGULAR PLAN - IDCW Option</v>
          </cell>
          <cell r="E6414">
            <v>30.971399999999999</v>
          </cell>
        </row>
        <row r="6415">
          <cell r="B6415" t="str">
            <v>INF754K01MH2</v>
          </cell>
          <cell r="C6415" t="str">
            <v>-</v>
          </cell>
          <cell r="D6415" t="str">
            <v>Edelweiss Recently Listed IPO Fund Regular Plan Growth</v>
          </cell>
          <cell r="E6415">
            <v>30.972999999999999</v>
          </cell>
        </row>
        <row r="6416">
          <cell r="B6416" t="str">
            <v>INF754K01SK3</v>
          </cell>
          <cell r="C6416" t="str">
            <v>-</v>
          </cell>
          <cell r="D6416" t="str">
            <v>Edelweiss Technology Fund - Direct Plan - Growth</v>
          </cell>
          <cell r="E6416">
            <v>12.637</v>
          </cell>
        </row>
        <row r="6417">
          <cell r="B6417" t="str">
            <v>INF754K01SL1</v>
          </cell>
          <cell r="C6417" t="str">
            <v>INF754K01SM9</v>
          </cell>
          <cell r="D6417" t="str">
            <v>Edelweiss Technology Fund - Direct Plan - IDCW</v>
          </cell>
          <cell r="E6417">
            <v>12.637</v>
          </cell>
        </row>
        <row r="6418">
          <cell r="B6418" t="str">
            <v>INF754K01SG1</v>
          </cell>
          <cell r="C6418" t="str">
            <v>-</v>
          </cell>
          <cell r="D6418" t="str">
            <v>Edelweiss Technology Fund - Regular Plan - Growth</v>
          </cell>
          <cell r="E6418">
            <v>12.1326</v>
          </cell>
        </row>
        <row r="6419">
          <cell r="B6419" t="str">
            <v>INF754K01SH9</v>
          </cell>
          <cell r="C6419" t="str">
            <v>INF754K01SI7</v>
          </cell>
          <cell r="D6419" t="str">
            <v>Edelweiss Technology Fund - Regular Plan - IDCW</v>
          </cell>
          <cell r="E6419">
            <v>12.1326</v>
          </cell>
        </row>
        <row r="6420">
          <cell r="B6420" t="str">
            <v/>
          </cell>
          <cell r="C6420" t="str">
            <v/>
          </cell>
          <cell r="D6420" t="str">
            <v/>
          </cell>
        </row>
        <row r="6421">
          <cell r="B6421" t="str">
            <v/>
          </cell>
          <cell r="C6421" t="str">
            <v/>
          </cell>
          <cell r="D6421" t="str">
            <v/>
          </cell>
        </row>
        <row r="6422">
          <cell r="B6422" t="str">
            <v/>
          </cell>
          <cell r="C6422" t="str">
            <v/>
          </cell>
          <cell r="D6422" t="str">
            <v/>
          </cell>
        </row>
        <row r="6423">
          <cell r="B6423" t="str">
            <v>INF090I01IZ5</v>
          </cell>
          <cell r="C6423" t="str">
            <v>-</v>
          </cell>
          <cell r="D6423" t="str">
            <v>Franklin Asian Equity Fund - Direct - Growth</v>
          </cell>
          <cell r="E6423">
            <v>48.446800000000003</v>
          </cell>
        </row>
        <row r="6424">
          <cell r="B6424" t="str">
            <v>INF090I01IX0</v>
          </cell>
          <cell r="C6424" t="str">
            <v>INF090I01IY8</v>
          </cell>
          <cell r="D6424" t="str">
            <v xml:space="preserve">Franklin Asian Equity Fund - Direct - IDCW </v>
          </cell>
          <cell r="E6424">
            <v>22.1831</v>
          </cell>
        </row>
        <row r="6425">
          <cell r="B6425" t="str">
            <v>INF090I01AB3</v>
          </cell>
          <cell r="C6425" t="str">
            <v>-</v>
          </cell>
          <cell r="D6425" t="str">
            <v>Franklin Asian Equity Fund - Growth Plan</v>
          </cell>
          <cell r="E6425">
            <v>43.922499999999999</v>
          </cell>
        </row>
        <row r="6426">
          <cell r="B6426" t="str">
            <v>INF090I01999</v>
          </cell>
          <cell r="C6426" t="str">
            <v>INF090I01AA5</v>
          </cell>
          <cell r="D6426" t="str">
            <v xml:space="preserve">Franklin Asian Equity Fund - IDCW </v>
          </cell>
          <cell r="E6426">
            <v>20.732199999999999</v>
          </cell>
        </row>
        <row r="6427">
          <cell r="B6427" t="str">
            <v>INF090I01JF5</v>
          </cell>
          <cell r="C6427" t="str">
            <v>-</v>
          </cell>
          <cell r="D6427" t="str">
            <v>Franklin Build India Fund - Direct - Growth</v>
          </cell>
          <cell r="E6427">
            <v>167.2278</v>
          </cell>
        </row>
        <row r="6428">
          <cell r="B6428" t="str">
            <v>INF090I01JD0</v>
          </cell>
          <cell r="C6428" t="str">
            <v>INF090I01JE8</v>
          </cell>
          <cell r="D6428" t="str">
            <v xml:space="preserve">Franklin Build India Fund - Direct - IDCW </v>
          </cell>
          <cell r="E6428">
            <v>49.989199999999997</v>
          </cell>
        </row>
        <row r="6429">
          <cell r="B6429" t="str">
            <v>INF090I01AC1</v>
          </cell>
          <cell r="C6429" t="str">
            <v>INF090I01AD9</v>
          </cell>
          <cell r="D6429" t="str">
            <v xml:space="preserve">Franklin Build India Fund - IDCW </v>
          </cell>
          <cell r="E6429">
            <v>40.983800000000002</v>
          </cell>
        </row>
        <row r="6430">
          <cell r="B6430" t="str">
            <v>INF090I01AE7</v>
          </cell>
          <cell r="C6430" t="str">
            <v>-</v>
          </cell>
          <cell r="D6430" t="str">
            <v>Franklin Build India Fund Growth Plan</v>
          </cell>
          <cell r="E6430">
            <v>143.9676</v>
          </cell>
        </row>
        <row r="6431">
          <cell r="B6431" t="str">
            <v>INF090I01YQ1</v>
          </cell>
          <cell r="C6431" t="str">
            <v>-</v>
          </cell>
          <cell r="D6431" t="str">
            <v>Franklin India Multi-Factor Fund- Direct- Growth</v>
          </cell>
          <cell r="E6431">
            <v>9.5744000000000007</v>
          </cell>
        </row>
        <row r="6432">
          <cell r="B6432" t="str">
            <v>INF090I01YS7</v>
          </cell>
          <cell r="C6432" t="str">
            <v>INF090I01YR9</v>
          </cell>
          <cell r="D6432" t="str">
            <v>Franklin India Multi-Factor Fund- Direct- IDCW</v>
          </cell>
          <cell r="E6432">
            <v>9.5744000000000007</v>
          </cell>
        </row>
        <row r="6433">
          <cell r="B6433" t="str">
            <v>INF090I01YN8</v>
          </cell>
          <cell r="C6433" t="str">
            <v>-</v>
          </cell>
          <cell r="D6433" t="str">
            <v>Franklin India Multi-Factor Fund- Growth</v>
          </cell>
          <cell r="E6433">
            <v>9.4746000000000006</v>
          </cell>
        </row>
        <row r="6434">
          <cell r="B6434" t="str">
            <v>INF090I01YP3</v>
          </cell>
          <cell r="C6434" t="str">
            <v>INF090I01YO6</v>
          </cell>
          <cell r="D6434" t="str">
            <v>Franklin India Multi-Factor Fund- IDCW</v>
          </cell>
          <cell r="E6434">
            <v>9.4746000000000006</v>
          </cell>
        </row>
        <row r="6435">
          <cell r="B6435" t="str">
            <v>INF090I01GC8</v>
          </cell>
          <cell r="C6435" t="str">
            <v>-</v>
          </cell>
          <cell r="D6435" t="str">
            <v>Franklin India Opportunities Fund - Direct - Growth</v>
          </cell>
          <cell r="E6435">
            <v>287.45749999999998</v>
          </cell>
        </row>
        <row r="6436">
          <cell r="B6436" t="str">
            <v>INF090I01GD6</v>
          </cell>
          <cell r="C6436" t="str">
            <v>INF090I01GE4</v>
          </cell>
          <cell r="D6436" t="str">
            <v xml:space="preserve">Franklin INDIA OPPORTUNITIES FUND - Direct - IDCW </v>
          </cell>
          <cell r="E6436">
            <v>41.920699999999997</v>
          </cell>
        </row>
        <row r="6437">
          <cell r="B6437" t="str">
            <v>INF090I01841</v>
          </cell>
          <cell r="C6437" t="str">
            <v>-</v>
          </cell>
          <cell r="D6437" t="str">
            <v>Franklin India Opportunities Fund - Growth</v>
          </cell>
          <cell r="E6437">
            <v>257.40129999999999</v>
          </cell>
        </row>
        <row r="6438">
          <cell r="B6438" t="str">
            <v>INF090I01858</v>
          </cell>
          <cell r="C6438" t="str">
            <v>INF090I01866</v>
          </cell>
          <cell r="D6438" t="str">
            <v xml:space="preserve">Franklin INDIA OPPORTUNITIES FUND - IDCW </v>
          </cell>
          <cell r="E6438">
            <v>36.921900000000001</v>
          </cell>
        </row>
        <row r="6439">
          <cell r="B6439" t="str">
            <v>INF090I01FE6</v>
          </cell>
          <cell r="C6439" t="str">
            <v>-</v>
          </cell>
          <cell r="D6439" t="str">
            <v>Franklin India Technology Fund - Direct - Growth</v>
          </cell>
          <cell r="E6439">
            <v>506.49689999999998</v>
          </cell>
        </row>
        <row r="6440">
          <cell r="B6440" t="str">
            <v>INF090I01FF3</v>
          </cell>
          <cell r="C6440" t="str">
            <v>INF090I01FG1</v>
          </cell>
          <cell r="D6440" t="str">
            <v xml:space="preserve">Franklin India Technology Fund - Direct - IDCW </v>
          </cell>
          <cell r="E6440">
            <v>44.137700000000002</v>
          </cell>
        </row>
        <row r="6441">
          <cell r="B6441" t="str">
            <v>INF090I01759</v>
          </cell>
          <cell r="C6441" t="str">
            <v>INF090I01767</v>
          </cell>
          <cell r="D6441" t="str">
            <v xml:space="preserve">Franklin India Technology Fund - IDCW </v>
          </cell>
          <cell r="E6441">
            <v>39.242899999999999</v>
          </cell>
        </row>
        <row r="6442">
          <cell r="B6442" t="str">
            <v>INF090I01742</v>
          </cell>
          <cell r="C6442" t="str">
            <v>-</v>
          </cell>
          <cell r="D6442" t="str">
            <v>Franklin India Technology Fund-Growth</v>
          </cell>
          <cell r="E6442">
            <v>455.34190000000001</v>
          </cell>
        </row>
        <row r="6443">
          <cell r="B6443" t="str">
            <v/>
          </cell>
          <cell r="C6443" t="str">
            <v/>
          </cell>
          <cell r="D6443" t="str">
            <v/>
          </cell>
        </row>
        <row r="6444">
          <cell r="B6444" t="str">
            <v/>
          </cell>
          <cell r="C6444" t="str">
            <v/>
          </cell>
          <cell r="D6444" t="str">
            <v/>
          </cell>
        </row>
        <row r="6445">
          <cell r="B6445" t="str">
            <v/>
          </cell>
          <cell r="C6445" t="str">
            <v/>
          </cell>
          <cell r="D6445" t="str">
            <v/>
          </cell>
        </row>
        <row r="6446">
          <cell r="B6446" t="str">
            <v>INF179KC1BJ4</v>
          </cell>
          <cell r="C6446" t="str">
            <v>-</v>
          </cell>
          <cell r="D6446" t="str">
            <v>HDFC Banking &amp; Financial Services Fund - Growth Option</v>
          </cell>
          <cell r="E6446">
            <v>17.96</v>
          </cell>
        </row>
        <row r="6447">
          <cell r="B6447" t="str">
            <v>INF179KC1BG0</v>
          </cell>
          <cell r="C6447" t="str">
            <v>-</v>
          </cell>
          <cell r="D6447" t="str">
            <v>HDFC Banking &amp; Financial Services Fund - Growth Option - Direct Plan</v>
          </cell>
          <cell r="E6447">
            <v>19.27</v>
          </cell>
        </row>
        <row r="6448">
          <cell r="B6448" t="str">
            <v>INF179KC1BK2</v>
          </cell>
          <cell r="C6448" t="str">
            <v>INF179KC1BL0</v>
          </cell>
          <cell r="D6448" t="str">
            <v>HDFC Banking &amp; Financial Services Fund - IDCW Option</v>
          </cell>
          <cell r="E6448">
            <v>15.765000000000001</v>
          </cell>
        </row>
        <row r="6449">
          <cell r="B6449" t="str">
            <v>INF179KC1BH8</v>
          </cell>
          <cell r="C6449" t="str">
            <v>INF179KC1BI6</v>
          </cell>
          <cell r="D6449" t="str">
            <v>HDFC Banking &amp; Financial Services Fund - IDCW Option - Direct Plan</v>
          </cell>
          <cell r="E6449">
            <v>17.030999999999999</v>
          </cell>
        </row>
        <row r="6450">
          <cell r="B6450" t="str">
            <v>INF179KC1EB5</v>
          </cell>
          <cell r="C6450" t="str">
            <v>-</v>
          </cell>
          <cell r="D6450" t="str">
            <v>HDFC Business Cycle Fund - Growth Option</v>
          </cell>
          <cell r="E6450">
            <v>15.074</v>
          </cell>
        </row>
        <row r="6451">
          <cell r="B6451" t="str">
            <v>INF179KC1DY9</v>
          </cell>
          <cell r="C6451" t="str">
            <v>-</v>
          </cell>
          <cell r="D6451" t="str">
            <v>HDFC Business Cycle Fund - Growth Option - Direct Plan</v>
          </cell>
          <cell r="E6451">
            <v>15.757999999999999</v>
          </cell>
        </row>
        <row r="6452">
          <cell r="B6452" t="str">
            <v>INF179KC1EC3</v>
          </cell>
          <cell r="C6452" t="str">
            <v>INF179KC1ED1</v>
          </cell>
          <cell r="D6452" t="str">
            <v>HDFC Business Cycle Fund - IDCW Option</v>
          </cell>
          <cell r="E6452">
            <v>15.074</v>
          </cell>
        </row>
        <row r="6453">
          <cell r="B6453" t="str">
            <v>INF179KC1DZ6</v>
          </cell>
          <cell r="C6453" t="str">
            <v>INF179KC1EA7</v>
          </cell>
          <cell r="D6453" t="str">
            <v>HDFC Business Cycle Fund - IDCW Option - Direct Plan</v>
          </cell>
          <cell r="E6453">
            <v>15.757999999999999</v>
          </cell>
        </row>
        <row r="6454">
          <cell r="B6454" t="str">
            <v>INF179KC1GR6</v>
          </cell>
          <cell r="C6454" t="str">
            <v>-</v>
          </cell>
          <cell r="D6454" t="str">
            <v>HDFC Consumption Fund - Growth Option</v>
          </cell>
          <cell r="E6454">
            <v>13.621</v>
          </cell>
        </row>
        <row r="6455">
          <cell r="B6455" t="str">
            <v>INF179KC1GO3</v>
          </cell>
          <cell r="C6455" t="str">
            <v>-</v>
          </cell>
          <cell r="D6455" t="str">
            <v>HDFC Consumption Fund - Growth Option - Direct Plan</v>
          </cell>
          <cell r="E6455">
            <v>14.128</v>
          </cell>
        </row>
        <row r="6456">
          <cell r="B6456" t="str">
            <v>INF179KC1GS4</v>
          </cell>
          <cell r="C6456" t="str">
            <v>INF179KC1GT2</v>
          </cell>
          <cell r="D6456" t="str">
            <v>HDFC Consumption Fund - IDCW Option</v>
          </cell>
          <cell r="E6456">
            <v>13.621</v>
          </cell>
        </row>
        <row r="6457">
          <cell r="B6457" t="str">
            <v>INF179KC1GP0</v>
          </cell>
          <cell r="C6457" t="str">
            <v>INF179KC1GQ8</v>
          </cell>
          <cell r="D6457" t="str">
            <v>HDFC Consumption Fund - IDCW Option - Direct Plan</v>
          </cell>
          <cell r="E6457">
            <v>14.128</v>
          </cell>
        </row>
        <row r="6458">
          <cell r="B6458" t="str">
            <v>INF179KC1GL9</v>
          </cell>
          <cell r="C6458" t="str">
            <v>-</v>
          </cell>
          <cell r="D6458" t="str">
            <v>HDFC Defence Fund - Growth Option</v>
          </cell>
          <cell r="E6458">
            <v>29.381</v>
          </cell>
        </row>
        <row r="6459">
          <cell r="B6459" t="str">
            <v>INF179KC1GI5</v>
          </cell>
          <cell r="C6459" t="str">
            <v>-</v>
          </cell>
          <cell r="D6459" t="str">
            <v>HDFC Defence Fund - Growth Option - Direct Plan</v>
          </cell>
          <cell r="E6459">
            <v>30.425999999999998</v>
          </cell>
        </row>
        <row r="6460">
          <cell r="B6460" t="str">
            <v>INF179KC1GM7</v>
          </cell>
          <cell r="C6460" t="str">
            <v>INF179KC1GN5</v>
          </cell>
          <cell r="D6460" t="str">
            <v>HDFC Defence Fund - IDCW Option</v>
          </cell>
          <cell r="E6460">
            <v>29.381</v>
          </cell>
        </row>
        <row r="6461">
          <cell r="B6461" t="str">
            <v>INF179KC1GJ3</v>
          </cell>
          <cell r="C6461" t="str">
            <v>INF179KC1GK1</v>
          </cell>
          <cell r="D6461" t="str">
            <v>HDFC Defence Fund - IDCW Option - Direct Plan</v>
          </cell>
          <cell r="E6461">
            <v>30.425999999999998</v>
          </cell>
        </row>
        <row r="6462">
          <cell r="B6462" t="str">
            <v>INF179KC1AX7</v>
          </cell>
          <cell r="C6462" t="str">
            <v>-</v>
          </cell>
          <cell r="D6462" t="str">
            <v>HDFC Housing Opportunities Fund  - Growth Option</v>
          </cell>
          <cell r="E6462">
            <v>21.462</v>
          </cell>
        </row>
        <row r="6463">
          <cell r="B6463" t="str">
            <v>INF179KC1AU3</v>
          </cell>
          <cell r="C6463" t="str">
            <v>-</v>
          </cell>
          <cell r="D6463" t="str">
            <v>HDFC Housing Opportunities Fund  - Growth Option - Direct Plan</v>
          </cell>
          <cell r="E6463">
            <v>23.420999999999999</v>
          </cell>
        </row>
        <row r="6464">
          <cell r="B6464" t="str">
            <v>INF179KC1AY5</v>
          </cell>
          <cell r="C6464" t="str">
            <v>INF179KC1AZ2</v>
          </cell>
          <cell r="D6464" t="str">
            <v>HDFC Housing Opportunities Fund  - IDCW Option</v>
          </cell>
          <cell r="E6464">
            <v>15.385</v>
          </cell>
        </row>
        <row r="6465">
          <cell r="B6465" t="str">
            <v>INF179KC1AV1</v>
          </cell>
          <cell r="C6465" t="str">
            <v>INF179KC1AW9</v>
          </cell>
          <cell r="D6465" t="str">
            <v>HDFC Housing Opportunities Fund  - IDCW Option - Direct Plan</v>
          </cell>
          <cell r="E6465">
            <v>17.172999999999998</v>
          </cell>
        </row>
        <row r="6466">
          <cell r="B6466" t="str">
            <v>INF179K01WQ2</v>
          </cell>
          <cell r="C6466" t="str">
            <v>-</v>
          </cell>
          <cell r="D6466" t="str">
            <v>HDFC Infrastructure Fund - Growth Option - Direct Plan</v>
          </cell>
          <cell r="E6466">
            <v>52.337000000000003</v>
          </cell>
        </row>
        <row r="6467">
          <cell r="B6467" t="str">
            <v>INF179K01GF8</v>
          </cell>
          <cell r="C6467" t="str">
            <v>-</v>
          </cell>
          <cell r="D6467" t="str">
            <v>HDFC Infrastructure Fund - Growth Plan</v>
          </cell>
          <cell r="E6467">
            <v>46.914999999999999</v>
          </cell>
        </row>
        <row r="6468">
          <cell r="B6468" t="str">
            <v>INF179K01WP4</v>
          </cell>
          <cell r="C6468" t="str">
            <v>INF179K01WR0</v>
          </cell>
          <cell r="D6468" t="str">
            <v>HDFC Infrastructure Fund - IDCW Option - Direct Plan</v>
          </cell>
          <cell r="E6468">
            <v>32.027999999999999</v>
          </cell>
        </row>
        <row r="6469">
          <cell r="B6469" t="str">
            <v>INF179K01GE1</v>
          </cell>
          <cell r="C6469" t="str">
            <v>INF179K01GG6</v>
          </cell>
          <cell r="D6469" t="str">
            <v>HDFC Infrastructure Fund - IDCW Plan</v>
          </cell>
          <cell r="E6469">
            <v>20.12</v>
          </cell>
        </row>
        <row r="6470">
          <cell r="B6470" t="str">
            <v>INF179KC1JO7</v>
          </cell>
          <cell r="C6470" t="str">
            <v>-</v>
          </cell>
          <cell r="D6470" t="str">
            <v>HDFC INNOVATION FUND - DIRECT PLAN - GROWTH OPTION</v>
          </cell>
          <cell r="E6470">
            <v>11.303000000000001</v>
          </cell>
        </row>
        <row r="6471">
          <cell r="B6471" t="str">
            <v>INF179KC1JP4</v>
          </cell>
          <cell r="C6471" t="str">
            <v>INF179KC1JQ2</v>
          </cell>
          <cell r="D6471" t="str">
            <v>HDFC INNOVATION FUND - IDCW - DIRECT PLAN</v>
          </cell>
          <cell r="E6471">
            <v>11.303000000000001</v>
          </cell>
        </row>
        <row r="6472">
          <cell r="B6472" t="str">
            <v>INF179KC1JM1</v>
          </cell>
          <cell r="C6472" t="str">
            <v>INF179KC1JN9</v>
          </cell>
          <cell r="D6472" t="str">
            <v>HDFC INNOVATION FUND - IDCW - REGULAR PLAN</v>
          </cell>
          <cell r="E6472">
            <v>11.164</v>
          </cell>
        </row>
        <row r="6473">
          <cell r="B6473" t="str">
            <v>INF179KC1JL3</v>
          </cell>
          <cell r="C6473" t="str">
            <v>-</v>
          </cell>
          <cell r="D6473" t="str">
            <v>HDFC INNOVATION FUND - REGULAR PLAN - GROWTH OPTION</v>
          </cell>
          <cell r="E6473">
            <v>11.164</v>
          </cell>
        </row>
        <row r="6474">
          <cell r="B6474" t="str">
            <v>INF179KC1II1</v>
          </cell>
          <cell r="C6474" t="str">
            <v>-</v>
          </cell>
          <cell r="D6474" t="str">
            <v>HDFC Manufacturing fund - Growth Option - Direct Plan</v>
          </cell>
          <cell r="E6474">
            <v>11.811999999999999</v>
          </cell>
        </row>
        <row r="6475">
          <cell r="B6475" t="str">
            <v>INF179KC1IF7</v>
          </cell>
          <cell r="C6475" t="str">
            <v>-</v>
          </cell>
          <cell r="D6475" t="str">
            <v>HDFC Manufacturing fund - Growth Option - Regular Plan</v>
          </cell>
          <cell r="E6475">
            <v>11.532</v>
          </cell>
        </row>
        <row r="6476">
          <cell r="B6476" t="str">
            <v>INF179KC1IJ9</v>
          </cell>
          <cell r="C6476" t="str">
            <v>INF179KC1IK7</v>
          </cell>
          <cell r="D6476" t="str">
            <v>HDFC Manufacturing fund - IDCW - Direct Plan</v>
          </cell>
          <cell r="E6476">
            <v>11.811999999999999</v>
          </cell>
        </row>
        <row r="6477">
          <cell r="B6477" t="str">
            <v>INF179KC1IG5</v>
          </cell>
          <cell r="C6477" t="str">
            <v>INF179KC1IH3</v>
          </cell>
          <cell r="D6477" t="str">
            <v>HDFC Manufacturing fund - IDCW - Regular Plan</v>
          </cell>
          <cell r="E6477">
            <v>11.532</v>
          </cell>
        </row>
        <row r="6478">
          <cell r="B6478" t="str">
            <v>INF179KC1FF3</v>
          </cell>
          <cell r="C6478" t="str">
            <v>-</v>
          </cell>
          <cell r="D6478" t="str">
            <v>HDFC MNC Fund - Growth Option</v>
          </cell>
          <cell r="E6478">
            <v>13.606</v>
          </cell>
        </row>
        <row r="6479">
          <cell r="B6479" t="str">
            <v>INF179KC1FC0</v>
          </cell>
          <cell r="C6479" t="str">
            <v>-</v>
          </cell>
          <cell r="D6479" t="str">
            <v>HDFC MNC Fund - Growth Option - Direct Plan</v>
          </cell>
          <cell r="E6479">
            <v>14.159000000000001</v>
          </cell>
        </row>
        <row r="6480">
          <cell r="B6480" t="str">
            <v>INF179KC1FG1</v>
          </cell>
          <cell r="C6480" t="str">
            <v>INF179KC1FH9</v>
          </cell>
          <cell r="D6480" t="str">
            <v>HDFC MNC Fund - IDCW Option</v>
          </cell>
          <cell r="E6480">
            <v>13.606</v>
          </cell>
        </row>
        <row r="6481">
          <cell r="B6481" t="str">
            <v>INF179KC1FD8</v>
          </cell>
          <cell r="C6481" t="str">
            <v>INF179KC1FE6</v>
          </cell>
          <cell r="D6481" t="str">
            <v>HDFC MNC Fund - IDCW Option - Direct Plan</v>
          </cell>
          <cell r="E6481">
            <v>14.159000000000001</v>
          </cell>
        </row>
        <row r="6482">
          <cell r="B6482" t="str">
            <v>INF179KC1HL7</v>
          </cell>
          <cell r="C6482" t="str">
            <v>-</v>
          </cell>
          <cell r="D6482" t="str">
            <v>HDFC Pharma and Healthcare Fund - Growth Option</v>
          </cell>
          <cell r="E6482">
            <v>20.742999999999999</v>
          </cell>
        </row>
        <row r="6483">
          <cell r="B6483" t="str">
            <v>INF179KC1HO1</v>
          </cell>
          <cell r="C6483" t="str">
            <v>-</v>
          </cell>
          <cell r="D6483" t="str">
            <v>HDFC Pharma and Healthcare Fund - Growth Option - Direct Plan</v>
          </cell>
          <cell r="E6483">
            <v>21.446000000000002</v>
          </cell>
        </row>
        <row r="6484">
          <cell r="B6484" t="str">
            <v>INF179KC1HM5</v>
          </cell>
          <cell r="C6484" t="str">
            <v>INF179KC1HN3</v>
          </cell>
          <cell r="D6484" t="str">
            <v>HDFC Pharma and Healthcare Fund - IDCW Option</v>
          </cell>
          <cell r="E6484">
            <v>20.742999999999999</v>
          </cell>
        </row>
        <row r="6485">
          <cell r="B6485" t="str">
            <v>INF179KC1HP8</v>
          </cell>
          <cell r="C6485" t="str">
            <v>INF179KC1HQ6</v>
          </cell>
          <cell r="D6485" t="str">
            <v>HDFC Pharma and Healthcare Fund - IDCW Option - Direct Plan</v>
          </cell>
          <cell r="E6485">
            <v>21.446000000000002</v>
          </cell>
        </row>
        <row r="6486">
          <cell r="B6486" t="str">
            <v>INF179KC1HF9</v>
          </cell>
          <cell r="C6486" t="str">
            <v>-</v>
          </cell>
          <cell r="D6486" t="str">
            <v>HDFC Technology Fund - Growth Option</v>
          </cell>
          <cell r="E6486">
            <v>11.4</v>
          </cell>
        </row>
        <row r="6487">
          <cell r="B6487" t="str">
            <v>INF179KC1HI3</v>
          </cell>
          <cell r="C6487" t="str">
            <v>-</v>
          </cell>
          <cell r="D6487" t="str">
            <v>HDFC Technology Fund - Growth Option - Direct Plan</v>
          </cell>
          <cell r="E6487">
            <v>11.797000000000001</v>
          </cell>
        </row>
        <row r="6488">
          <cell r="B6488" t="str">
            <v>INF179KC1HG7</v>
          </cell>
          <cell r="C6488" t="str">
            <v>INF179KC1HH5</v>
          </cell>
          <cell r="D6488" t="str">
            <v>HDFC Technology Fund - IDCW Option</v>
          </cell>
          <cell r="E6488">
            <v>11.4</v>
          </cell>
        </row>
        <row r="6489">
          <cell r="B6489" t="str">
            <v>INF179KC1HJ1</v>
          </cell>
          <cell r="C6489" t="str">
            <v>INF179KC1HK9</v>
          </cell>
          <cell r="D6489" t="str">
            <v>HDFC Technology Fund - IDCW Option - Direct Plan</v>
          </cell>
          <cell r="E6489">
            <v>11.797000000000001</v>
          </cell>
        </row>
        <row r="6490">
          <cell r="B6490" t="str">
            <v>INF179KC1GX4</v>
          </cell>
          <cell r="C6490" t="str">
            <v>-</v>
          </cell>
          <cell r="D6490" t="str">
            <v>HDFC Transportation and Logistics Fund - Growth Option</v>
          </cell>
          <cell r="E6490">
            <v>18.609000000000002</v>
          </cell>
        </row>
        <row r="6491">
          <cell r="B6491" t="str">
            <v>INF179KC1GU0</v>
          </cell>
          <cell r="C6491" t="str">
            <v>-</v>
          </cell>
          <cell r="D6491" t="str">
            <v>HDFC Transportation and Logistics Fund - Growth Option - Direct Plan</v>
          </cell>
          <cell r="E6491">
            <v>19.265000000000001</v>
          </cell>
        </row>
        <row r="6492">
          <cell r="B6492" t="str">
            <v>INF179KC1GY2</v>
          </cell>
          <cell r="C6492" t="str">
            <v>INF179KC1GZ9</v>
          </cell>
          <cell r="D6492" t="str">
            <v>HDFC Transportation and Logistics Fund - IDCW Option</v>
          </cell>
          <cell r="E6492">
            <v>18.609000000000002</v>
          </cell>
        </row>
        <row r="6493">
          <cell r="B6493" t="str">
            <v>INF179KC1GV8</v>
          </cell>
          <cell r="C6493" t="str">
            <v>INF179KC1GW6</v>
          </cell>
          <cell r="D6493" t="str">
            <v>HDFC Transportation and Logistics Fund - IDCW Option - Direct Plan</v>
          </cell>
          <cell r="E6493">
            <v>19.265000000000001</v>
          </cell>
        </row>
        <row r="6494">
          <cell r="B6494" t="str">
            <v/>
          </cell>
          <cell r="C6494" t="str">
            <v/>
          </cell>
          <cell r="D6494" t="str">
            <v/>
          </cell>
        </row>
        <row r="6495">
          <cell r="B6495" t="str">
            <v/>
          </cell>
          <cell r="C6495" t="str">
            <v/>
          </cell>
          <cell r="D6495" t="str">
            <v/>
          </cell>
        </row>
        <row r="6496">
          <cell r="B6496" t="str">
            <v/>
          </cell>
          <cell r="C6496" t="str">
            <v/>
          </cell>
          <cell r="D6496" t="str">
            <v/>
          </cell>
        </row>
        <row r="6497">
          <cell r="B6497" t="str">
            <v>INF0R8701202</v>
          </cell>
          <cell r="C6497" t="str">
            <v>-</v>
          </cell>
          <cell r="D6497" t="str">
            <v>Helios Financial Services Fund - Direct Plan - Growth Option</v>
          </cell>
          <cell r="E6497">
            <v>11.84</v>
          </cell>
        </row>
        <row r="6498">
          <cell r="B6498" t="str">
            <v>INF0R8701210</v>
          </cell>
          <cell r="C6498" t="str">
            <v>INF0R8701228</v>
          </cell>
          <cell r="D6498" t="str">
            <v>Helios Financial Services Fund - Direct Plan - IDCW Option</v>
          </cell>
          <cell r="E6498">
            <v>11.84</v>
          </cell>
        </row>
        <row r="6499">
          <cell r="B6499" t="str">
            <v>INF0R8701178</v>
          </cell>
          <cell r="C6499" t="str">
            <v>-</v>
          </cell>
          <cell r="D6499" t="str">
            <v>Helios Financial Services Fund - Regular Plan - Growth Option</v>
          </cell>
          <cell r="E6499">
            <v>11.46</v>
          </cell>
        </row>
        <row r="6500">
          <cell r="B6500" t="str">
            <v>INF0R8701186</v>
          </cell>
          <cell r="C6500" t="str">
            <v>INF0R8701194</v>
          </cell>
          <cell r="D6500" t="str">
            <v>Helios Financial Services Fund - Regular Plan - IDCW Option</v>
          </cell>
          <cell r="E6500">
            <v>11.46</v>
          </cell>
        </row>
        <row r="6501">
          <cell r="B6501" t="str">
            <v/>
          </cell>
          <cell r="C6501" t="str">
            <v/>
          </cell>
          <cell r="D6501" t="str">
            <v/>
          </cell>
        </row>
        <row r="6502">
          <cell r="B6502" t="str">
            <v/>
          </cell>
          <cell r="C6502" t="str">
            <v/>
          </cell>
          <cell r="D6502" t="str">
            <v/>
          </cell>
        </row>
        <row r="6503">
          <cell r="B6503" t="str">
            <v/>
          </cell>
          <cell r="C6503" t="str">
            <v/>
          </cell>
          <cell r="D6503" t="str">
            <v/>
          </cell>
        </row>
        <row r="6504">
          <cell r="B6504" t="str">
            <v>INF917K01RI2</v>
          </cell>
          <cell r="C6504" t="str">
            <v>-</v>
          </cell>
          <cell r="D6504" t="str">
            <v>HSBC Business Cycles Fund - Direct Growth</v>
          </cell>
          <cell r="E6504">
            <v>47.199100000000001</v>
          </cell>
        </row>
        <row r="6505">
          <cell r="B6505" t="str">
            <v>INF917K01RK8</v>
          </cell>
          <cell r="C6505" t="str">
            <v>INF917K01RJ0</v>
          </cell>
          <cell r="D6505" t="str">
            <v>HSBC Business Cycles Fund - Direct IDCW</v>
          </cell>
          <cell r="E6505">
            <v>27.204799999999999</v>
          </cell>
        </row>
        <row r="6506">
          <cell r="B6506" t="str">
            <v>INF917K01RF8</v>
          </cell>
          <cell r="C6506" t="str">
            <v>-</v>
          </cell>
          <cell r="D6506" t="str">
            <v>HSBC Business Cycles Fund - Regular Growth</v>
          </cell>
          <cell r="E6506">
            <v>42.376300000000001</v>
          </cell>
        </row>
        <row r="6507">
          <cell r="B6507" t="str">
            <v>INF917K01RH4</v>
          </cell>
          <cell r="C6507" t="str">
            <v>INF917K01RG6</v>
          </cell>
          <cell r="D6507" t="str">
            <v>HSBC Business Cycles Fund - Regular IDCW</v>
          </cell>
          <cell r="E6507">
            <v>24.5593</v>
          </cell>
        </row>
        <row r="6508">
          <cell r="B6508" t="str">
            <v>INF336L01QZ9</v>
          </cell>
          <cell r="C6508" t="str">
            <v>-</v>
          </cell>
          <cell r="D6508" t="str">
            <v>HSBC Consumption Fund - Direct Growth</v>
          </cell>
          <cell r="E6508">
            <v>15.3954</v>
          </cell>
        </row>
        <row r="6509">
          <cell r="B6509" t="str">
            <v>INF336L01RA0</v>
          </cell>
          <cell r="C6509" t="str">
            <v>INF336L01RB8</v>
          </cell>
          <cell r="D6509" t="str">
            <v>HSBC Consumption Fund - Direct IDCW</v>
          </cell>
          <cell r="E6509">
            <v>15.395300000000001</v>
          </cell>
        </row>
        <row r="6510">
          <cell r="B6510" t="str">
            <v>INF336L01RC6</v>
          </cell>
          <cell r="C6510" t="str">
            <v>-</v>
          </cell>
          <cell r="D6510" t="str">
            <v>HSBC Consumption Fund - Regular Growth</v>
          </cell>
          <cell r="E6510">
            <v>14.8096</v>
          </cell>
        </row>
        <row r="6511">
          <cell r="B6511" t="str">
            <v>INF336L01RD4</v>
          </cell>
          <cell r="C6511" t="str">
            <v>INF336L01RE2</v>
          </cell>
          <cell r="D6511" t="str">
            <v>HSBC Consumption Fund - Regular IDCW</v>
          </cell>
          <cell r="E6511">
            <v>14.8096</v>
          </cell>
        </row>
        <row r="6512">
          <cell r="B6512" t="str">
            <v>INF336L01RU8</v>
          </cell>
          <cell r="C6512" t="str">
            <v>-</v>
          </cell>
          <cell r="D6512" t="str">
            <v>HSBC Financial Services Fund - Direct Growth</v>
          </cell>
          <cell r="E6512">
            <v>12.7242</v>
          </cell>
        </row>
        <row r="6513">
          <cell r="B6513" t="str">
            <v>INF336L01RW4</v>
          </cell>
          <cell r="C6513" t="str">
            <v>INF336L01RV6</v>
          </cell>
          <cell r="D6513" t="str">
            <v>HSBC Financial Services Fund - Direct IDCW</v>
          </cell>
          <cell r="E6513">
            <v>12.7239</v>
          </cell>
        </row>
        <row r="6514">
          <cell r="B6514" t="str">
            <v>INF336L01RR4</v>
          </cell>
          <cell r="C6514" t="str">
            <v>-</v>
          </cell>
          <cell r="D6514" t="str">
            <v>HSBC Financial Services Fund - Regular Growth</v>
          </cell>
          <cell r="E6514">
            <v>12.4697</v>
          </cell>
        </row>
        <row r="6515">
          <cell r="B6515" t="str">
            <v>INF336L01RT0</v>
          </cell>
          <cell r="C6515" t="str">
            <v>INF336L01RS2</v>
          </cell>
          <cell r="D6515" t="str">
            <v>HSBC Financial Services Fund - Regular IDCW</v>
          </cell>
          <cell r="E6515">
            <v>12.4697</v>
          </cell>
        </row>
        <row r="6516">
          <cell r="B6516" t="str">
            <v>INF336L01RO1</v>
          </cell>
          <cell r="C6516" t="str">
            <v>-</v>
          </cell>
          <cell r="D6516" t="str">
            <v>HSBC India Export Opportunities Fund - Direct Growth</v>
          </cell>
          <cell r="E6516">
            <v>11.193199999999999</v>
          </cell>
        </row>
        <row r="6517">
          <cell r="B6517" t="str">
            <v>INF336L01RP8</v>
          </cell>
          <cell r="C6517" t="str">
            <v>INF336L01RQ6</v>
          </cell>
          <cell r="D6517" t="str">
            <v>HSBC India Export Opportunities Fund - Direct IDCW</v>
          </cell>
          <cell r="E6517">
            <v>11.193199999999999</v>
          </cell>
        </row>
        <row r="6518">
          <cell r="B6518" t="str">
            <v>INF336L01RL7</v>
          </cell>
          <cell r="C6518" t="str">
            <v>-</v>
          </cell>
          <cell r="D6518" t="str">
            <v>HSBC India Export Opportunities Fund - Regular Growth</v>
          </cell>
          <cell r="E6518">
            <v>10.9177</v>
          </cell>
        </row>
        <row r="6519">
          <cell r="B6519" t="str">
            <v>INF336L01RM5</v>
          </cell>
          <cell r="C6519" t="str">
            <v>INF336L01RN3</v>
          </cell>
          <cell r="D6519" t="str">
            <v>HSBC India Export Opportunities Fund - Regular IDCW</v>
          </cell>
          <cell r="E6519">
            <v>10.9177</v>
          </cell>
        </row>
        <row r="6520">
          <cell r="B6520" t="str">
            <v>INF917K01FW8</v>
          </cell>
          <cell r="C6520" t="str">
            <v>-</v>
          </cell>
          <cell r="D6520" t="str">
            <v>HSBC Infrastructure Fund - Direct Growth</v>
          </cell>
          <cell r="E6520">
            <v>55.421700000000001</v>
          </cell>
        </row>
        <row r="6521">
          <cell r="B6521" t="str">
            <v>INF917K01E52</v>
          </cell>
          <cell r="C6521" t="str">
            <v>INF917K01FU2</v>
          </cell>
          <cell r="D6521" t="str">
            <v>HSBC Infrastructure Fund - Direct IDCW</v>
          </cell>
          <cell r="E6521">
            <v>39.734400000000001</v>
          </cell>
        </row>
        <row r="6522">
          <cell r="B6522" t="str">
            <v>INF917K01536</v>
          </cell>
          <cell r="C6522" t="str">
            <v>-</v>
          </cell>
          <cell r="D6522" t="str">
            <v>HSBC Infrastructure Fund - Regular Growth</v>
          </cell>
          <cell r="E6522">
            <v>48.783499999999997</v>
          </cell>
        </row>
        <row r="6523">
          <cell r="B6523" t="str">
            <v>INF917K01544</v>
          </cell>
          <cell r="C6523" t="str">
            <v>INF917K01551</v>
          </cell>
          <cell r="D6523" t="str">
            <v>HSBC Infrastructure Fund - Regular IDCW</v>
          </cell>
          <cell r="E6523">
            <v>35.345599999999997</v>
          </cell>
        </row>
        <row r="6524">
          <cell r="B6524" t="str">
            <v/>
          </cell>
          <cell r="C6524" t="str">
            <v/>
          </cell>
          <cell r="D6524" t="str">
            <v/>
          </cell>
        </row>
        <row r="6525">
          <cell r="B6525" t="str">
            <v/>
          </cell>
          <cell r="C6525" t="str">
            <v/>
          </cell>
          <cell r="D6525" t="str">
            <v/>
          </cell>
        </row>
        <row r="6526">
          <cell r="B6526" t="str">
            <v/>
          </cell>
          <cell r="C6526" t="str">
            <v/>
          </cell>
          <cell r="D6526" t="str">
            <v/>
          </cell>
        </row>
        <row r="6527">
          <cell r="B6527" t="str">
            <v>INF109K1A385</v>
          </cell>
          <cell r="C6527" t="str">
            <v>-</v>
          </cell>
          <cell r="D6527" t="str">
            <v>ICICI Prudential Active Momentum Fund - Direct Plan - Growth</v>
          </cell>
          <cell r="E6527">
            <v>10.79</v>
          </cell>
        </row>
        <row r="6528">
          <cell r="B6528" t="str">
            <v>INF109K1A377</v>
          </cell>
          <cell r="C6528" t="str">
            <v>-</v>
          </cell>
          <cell r="D6528" t="str">
            <v>ICICI Prudential Active Momentum Fund - Growth</v>
          </cell>
          <cell r="E6528">
            <v>10.67</v>
          </cell>
        </row>
        <row r="6529">
          <cell r="B6529" t="str">
            <v>INF109K01BU5</v>
          </cell>
          <cell r="C6529" t="str">
            <v>-</v>
          </cell>
          <cell r="D6529" t="str">
            <v>ICICI Prudential Banking and Financial Services Fund -  Growth</v>
          </cell>
          <cell r="E6529">
            <v>130.63</v>
          </cell>
        </row>
        <row r="6530">
          <cell r="B6530" t="str">
            <v>INF109K01DY3</v>
          </cell>
          <cell r="C6530" t="str">
            <v>INF109K01BV3</v>
          </cell>
          <cell r="D6530" t="str">
            <v>ICICI Prudential Banking and Financial Services Fund -  IDCW</v>
          </cell>
          <cell r="E6530">
            <v>24.93</v>
          </cell>
        </row>
        <row r="6531">
          <cell r="B6531" t="str">
            <v>INF109K013J1</v>
          </cell>
          <cell r="C6531" t="str">
            <v>-</v>
          </cell>
          <cell r="D6531" t="str">
            <v>ICICI Prudential Banking and Financial Services Fund - Direct Plan -  Growth</v>
          </cell>
          <cell r="E6531">
            <v>148.22</v>
          </cell>
        </row>
        <row r="6532">
          <cell r="B6532" t="str">
            <v>INF109K011J5</v>
          </cell>
          <cell r="C6532" t="str">
            <v>INF109K012J3</v>
          </cell>
          <cell r="D6532" t="str">
            <v>ICICI Prudential Banking and Financial Services Fund - Direct Plan -  IDCW</v>
          </cell>
          <cell r="E6532">
            <v>68.099999999999994</v>
          </cell>
        </row>
        <row r="6533">
          <cell r="B6533" t="str">
            <v>INF109KC1YD4</v>
          </cell>
          <cell r="C6533" t="str">
            <v>-</v>
          </cell>
          <cell r="D6533" t="str">
            <v>ICICI Prudential Bharat Consumption Fund - Direct Plan - Growth Option</v>
          </cell>
          <cell r="E6533">
            <v>26.75</v>
          </cell>
        </row>
        <row r="6534">
          <cell r="B6534" t="str">
            <v>INF109KC1YF9</v>
          </cell>
          <cell r="C6534" t="str">
            <v>-</v>
          </cell>
          <cell r="D6534" t="str">
            <v>ICICI Prudential Bharat Consumption Fund - Direct Plan - IDCW Option</v>
          </cell>
          <cell r="E6534">
            <v>17.170000000000002</v>
          </cell>
        </row>
        <row r="6535">
          <cell r="B6535" t="str">
            <v>INF109KC1YA0</v>
          </cell>
          <cell r="C6535" t="str">
            <v>-</v>
          </cell>
          <cell r="D6535" t="str">
            <v>ICICI Prudential Bharat Consumption Fund - Growth Option</v>
          </cell>
          <cell r="E6535">
            <v>24.68</v>
          </cell>
        </row>
        <row r="6536">
          <cell r="B6536" t="str">
            <v>INF109KC1YC6</v>
          </cell>
          <cell r="C6536" t="str">
            <v>-</v>
          </cell>
          <cell r="D6536" t="str">
            <v>ICICI Prudential Bharat Consumption Fund - IDCW Option</v>
          </cell>
          <cell r="E6536">
            <v>15.34</v>
          </cell>
        </row>
        <row r="6537">
          <cell r="B6537" t="str">
            <v>INF109KC1P24</v>
          </cell>
          <cell r="C6537" t="str">
            <v>-</v>
          </cell>
          <cell r="D6537" t="str">
            <v>ICICI Prudential Business Cycle Fund Direct Plan Growth</v>
          </cell>
          <cell r="E6537">
            <v>26.2</v>
          </cell>
        </row>
        <row r="6538">
          <cell r="B6538" t="str">
            <v>INF109KC1P40</v>
          </cell>
          <cell r="C6538" t="str">
            <v>INF109KC1P32</v>
          </cell>
          <cell r="D6538" t="str">
            <v>ICICI Prudential Business Cycle Fund Direct Plan IDCW</v>
          </cell>
          <cell r="E6538">
            <v>19.07</v>
          </cell>
        </row>
        <row r="6539">
          <cell r="B6539" t="str">
            <v>INF109KC1O90</v>
          </cell>
          <cell r="C6539" t="str">
            <v>-</v>
          </cell>
          <cell r="D6539" t="str">
            <v>ICICI Prudential Business Cycle Fund Growth</v>
          </cell>
          <cell r="E6539">
            <v>24.57</v>
          </cell>
        </row>
        <row r="6540">
          <cell r="B6540" t="str">
            <v>INF109KC1P16</v>
          </cell>
          <cell r="C6540" t="str">
            <v>INF109KC1P08</v>
          </cell>
          <cell r="D6540" t="str">
            <v>ICICI Prudential Business Cycle Fund IDCW</v>
          </cell>
          <cell r="E6540">
            <v>17.57</v>
          </cell>
        </row>
        <row r="6541">
          <cell r="B6541" t="str">
            <v>INF109KC1F91</v>
          </cell>
          <cell r="C6541" t="str">
            <v>-</v>
          </cell>
          <cell r="D6541" t="str">
            <v>ICICI Prudential Commodities Fund - Direct Plan - Growth Option</v>
          </cell>
          <cell r="E6541">
            <v>50.81</v>
          </cell>
        </row>
        <row r="6542">
          <cell r="B6542" t="str">
            <v>INF109KC1G09</v>
          </cell>
          <cell r="C6542" t="str">
            <v>-</v>
          </cell>
          <cell r="D6542" t="str">
            <v>ICICI Prudential Commodities Fund - Direct Plan - IDCW Option</v>
          </cell>
          <cell r="E6542">
            <v>33.69</v>
          </cell>
        </row>
        <row r="6543">
          <cell r="B6543" t="str">
            <v>INF109KC1F67</v>
          </cell>
          <cell r="C6543" t="str">
            <v>-</v>
          </cell>
          <cell r="D6543" t="str">
            <v>ICICI Prudential Commodities Fund - Growth Option</v>
          </cell>
          <cell r="E6543">
            <v>46.6</v>
          </cell>
        </row>
        <row r="6544">
          <cell r="B6544" t="str">
            <v>INF109KC1F75</v>
          </cell>
          <cell r="C6544" t="str">
            <v>-</v>
          </cell>
          <cell r="D6544" t="str">
            <v>ICICI Prudential Commodities Fund - IDCW Option</v>
          </cell>
          <cell r="E6544">
            <v>29.96</v>
          </cell>
        </row>
        <row r="6545">
          <cell r="B6545" t="str">
            <v>INF109K1A427</v>
          </cell>
          <cell r="C6545" t="str">
            <v>-</v>
          </cell>
          <cell r="D6545" t="str">
            <v>ICICI Prudential Conglomerate Fund - Direct Plan - Growth</v>
          </cell>
          <cell r="E6545">
            <v>10.34</v>
          </cell>
        </row>
        <row r="6546">
          <cell r="B6546" t="str">
            <v>INF109K1A443</v>
          </cell>
          <cell r="C6546" t="str">
            <v>INF109K1A435</v>
          </cell>
          <cell r="D6546" t="str">
            <v>ICICI Prudential Conglomerate Fund - Direct Plan - IDCW</v>
          </cell>
          <cell r="E6546">
            <v>10.34</v>
          </cell>
        </row>
        <row r="6547">
          <cell r="B6547" t="str">
            <v>INF109K1A393</v>
          </cell>
          <cell r="C6547" t="str">
            <v>-</v>
          </cell>
          <cell r="D6547" t="str">
            <v>ICICI Prudential Conglomerate Fund - Growth</v>
          </cell>
          <cell r="E6547">
            <v>10.26</v>
          </cell>
        </row>
        <row r="6548">
          <cell r="B6548" t="str">
            <v>INF109K1A419</v>
          </cell>
          <cell r="C6548" t="str">
            <v>INF109K1A401</v>
          </cell>
          <cell r="D6548" t="str">
            <v>ICICI Prudential Conglomerate Fund - IDCW</v>
          </cell>
          <cell r="E6548">
            <v>10.26</v>
          </cell>
        </row>
        <row r="6549">
          <cell r="B6549" t="str">
            <v>INF109KC12W6</v>
          </cell>
          <cell r="C6549" t="str">
            <v>-</v>
          </cell>
          <cell r="D6549" t="str">
            <v>ICICI PRUDENTIAL ENERGY OPPORTUNITIES FUND - Direct Plan - Growth</v>
          </cell>
          <cell r="E6549">
            <v>11.72</v>
          </cell>
        </row>
        <row r="6550">
          <cell r="B6550" t="str">
            <v>INF109KC13W4</v>
          </cell>
          <cell r="C6550" t="str">
            <v>INF109KC14W2</v>
          </cell>
          <cell r="D6550" t="str">
            <v>ICICI PRUDENTIAL ENERGY OPPORTUNITIES FUND - Direct Plan - IDCW</v>
          </cell>
          <cell r="E6550">
            <v>11.72</v>
          </cell>
        </row>
        <row r="6551">
          <cell r="B6551" t="str">
            <v>INF109KC15W9</v>
          </cell>
          <cell r="C6551" t="str">
            <v>-</v>
          </cell>
          <cell r="D6551" t="str">
            <v>ICICI PRUDENTIAL ENERGY OPPORTUNITIES FUND - Growth</v>
          </cell>
          <cell r="E6551">
            <v>11.44</v>
          </cell>
        </row>
        <row r="6552">
          <cell r="B6552" t="str">
            <v>INF109KC16W7</v>
          </cell>
          <cell r="C6552" t="str">
            <v>INF109KC17W5</v>
          </cell>
          <cell r="D6552" t="str">
            <v>ICICI PRUDENTIAL ENERGY OPPORTUNITIES FUND - IDCW</v>
          </cell>
          <cell r="E6552">
            <v>11.44</v>
          </cell>
        </row>
        <row r="6553">
          <cell r="B6553" t="str">
            <v>INF109KC10Y6</v>
          </cell>
          <cell r="C6553" t="str">
            <v>-</v>
          </cell>
          <cell r="D6553" t="str">
            <v>ICICI Prudential Equity Minimum Variance Fund - Direct Plan - Growth</v>
          </cell>
          <cell r="E6553">
            <v>10.68</v>
          </cell>
        </row>
        <row r="6554">
          <cell r="B6554" t="str">
            <v>INF109KC12Y2</v>
          </cell>
          <cell r="C6554" t="str">
            <v>INF109KC11Y4</v>
          </cell>
          <cell r="D6554" t="str">
            <v>ICICI Prudential Equity Minimum Variance Fund - Direct Plan - IDCW</v>
          </cell>
          <cell r="E6554">
            <v>10.68</v>
          </cell>
        </row>
        <row r="6555">
          <cell r="B6555" t="str">
            <v>INF109KC17X3</v>
          </cell>
          <cell r="C6555" t="str">
            <v>-</v>
          </cell>
          <cell r="D6555" t="str">
            <v>ICICI Prudential Equity Minimum Variance Fund - Growth</v>
          </cell>
          <cell r="E6555">
            <v>10.47</v>
          </cell>
        </row>
        <row r="6556">
          <cell r="B6556" t="str">
            <v>INF109KC19X9</v>
          </cell>
          <cell r="C6556" t="str">
            <v>INF109KC18X1</v>
          </cell>
          <cell r="D6556" t="str">
            <v>ICICI Prudential Equity Minimum Variance Fund - IDCW</v>
          </cell>
          <cell r="E6556">
            <v>10.47</v>
          </cell>
        </row>
        <row r="6557">
          <cell r="B6557" t="str">
            <v>INF109KC1O09</v>
          </cell>
          <cell r="C6557" t="str">
            <v>-</v>
          </cell>
          <cell r="D6557" t="str">
            <v>ICICI Prudential ESG Exclusionary Strategy Fund - Direct Plan - Growth</v>
          </cell>
          <cell r="E6557">
            <v>22.87</v>
          </cell>
        </row>
        <row r="6558">
          <cell r="B6558" t="str">
            <v>INF109KC1O25</v>
          </cell>
          <cell r="C6558" t="str">
            <v>INF109KC1O17</v>
          </cell>
          <cell r="D6558" t="str">
            <v>ICICI Prudential ESG Exclusionary Strategy Fund - Direct Plan - IDCW</v>
          </cell>
          <cell r="E6558">
            <v>15.9</v>
          </cell>
        </row>
        <row r="6559">
          <cell r="B6559" t="str">
            <v>INF109KC1N75</v>
          </cell>
          <cell r="C6559" t="str">
            <v>-</v>
          </cell>
          <cell r="D6559" t="str">
            <v>ICICI Prudential ESG Exclusionary Strategy Fund - Growth</v>
          </cell>
          <cell r="E6559">
            <v>21.22</v>
          </cell>
        </row>
        <row r="6560">
          <cell r="B6560" t="str">
            <v>INF109KC1N91</v>
          </cell>
          <cell r="C6560" t="str">
            <v>INF109KC1N83</v>
          </cell>
          <cell r="D6560" t="str">
            <v>ICICI Prudential ESG Exclusionary Strategy Fund - IDCW</v>
          </cell>
          <cell r="E6560">
            <v>14.43</v>
          </cell>
        </row>
        <row r="6561">
          <cell r="B6561" t="str">
            <v>INF109K01W25</v>
          </cell>
          <cell r="C6561" t="str">
            <v>-</v>
          </cell>
          <cell r="D6561" t="str">
            <v>ICICI Prudential Exports &amp; Services Fund - Direct Plan - Growth</v>
          </cell>
          <cell r="E6561">
            <v>182.34</v>
          </cell>
        </row>
        <row r="6562">
          <cell r="B6562" t="str">
            <v>INF109K01W09</v>
          </cell>
          <cell r="C6562" t="str">
            <v>INF109K01W17</v>
          </cell>
          <cell r="D6562" t="str">
            <v>ICICI Prudential Exports &amp; Services Fund - Direct Plan - IDCW</v>
          </cell>
          <cell r="E6562">
            <v>77.56</v>
          </cell>
        </row>
        <row r="6563">
          <cell r="B6563" t="str">
            <v>INF109K01BB5</v>
          </cell>
          <cell r="C6563" t="str">
            <v>-</v>
          </cell>
          <cell r="D6563" t="str">
            <v>ICICI Prudential Exports &amp; Services Fund - Growth</v>
          </cell>
          <cell r="E6563">
            <v>166.45</v>
          </cell>
        </row>
        <row r="6564">
          <cell r="B6564" t="str">
            <v>INF109K01FL5</v>
          </cell>
          <cell r="C6564" t="str">
            <v>INF109K01BA7</v>
          </cell>
          <cell r="D6564" t="str">
            <v>ICICI Prudential Exports &amp; Services Fund - IDCW</v>
          </cell>
          <cell r="E6564">
            <v>37.520000000000003</v>
          </cell>
        </row>
        <row r="6565">
          <cell r="B6565" t="str">
            <v>INF109K01Z14</v>
          </cell>
          <cell r="C6565" t="str">
            <v>-</v>
          </cell>
          <cell r="D6565" t="str">
            <v>ICICI Prudential FMCG Fund - Direct Plan -  Growth</v>
          </cell>
          <cell r="E6565">
            <v>466.2</v>
          </cell>
        </row>
        <row r="6566">
          <cell r="B6566" t="str">
            <v>INF109K01Y98</v>
          </cell>
          <cell r="C6566" t="str">
            <v>INF109K01Z06</v>
          </cell>
          <cell r="D6566" t="str">
            <v>ICICI Prudential FMCG Fund - Direct Plan -  IDCW</v>
          </cell>
          <cell r="E6566">
            <v>153.06</v>
          </cell>
        </row>
        <row r="6567">
          <cell r="B6567" t="str">
            <v>INF109K01415</v>
          </cell>
          <cell r="C6567" t="str">
            <v>-</v>
          </cell>
          <cell r="D6567" t="str">
            <v>ICICI Prudential FMCG Fund - Growth</v>
          </cell>
          <cell r="E6567">
            <v>419.36</v>
          </cell>
        </row>
        <row r="6568">
          <cell r="B6568" t="str">
            <v>INF109K01EO2</v>
          </cell>
          <cell r="C6568" t="str">
            <v>INF109K01423</v>
          </cell>
          <cell r="D6568" t="str">
            <v>ICICI Prudential FMCG Fund - IDCW</v>
          </cell>
          <cell r="E6568">
            <v>77.510000000000005</v>
          </cell>
        </row>
        <row r="6569">
          <cell r="B6569" t="str">
            <v>INF109KC10C2</v>
          </cell>
          <cell r="C6569" t="str">
            <v>-</v>
          </cell>
          <cell r="D6569" t="str">
            <v>ICICI PRUDENTIAL HOUSING OPPORTUNITIES FUND - Direct Plan Growth</v>
          </cell>
          <cell r="E6569">
            <v>18.25</v>
          </cell>
        </row>
        <row r="6570">
          <cell r="B6570" t="str">
            <v>INF109KC11C0</v>
          </cell>
          <cell r="C6570" t="str">
            <v>INF109KC12C8</v>
          </cell>
          <cell r="D6570" t="str">
            <v>ICICI PRUDENTIAL HOUSING OPPORTUNITIES FUND - Direct Plan IDCW</v>
          </cell>
          <cell r="E6570">
            <v>15.47</v>
          </cell>
        </row>
        <row r="6571">
          <cell r="B6571" t="str">
            <v>INF109KC17B9</v>
          </cell>
          <cell r="C6571" t="str">
            <v>-</v>
          </cell>
          <cell r="D6571" t="str">
            <v>ICICI PRUDENTIAL HOUSING OPPORTUNITIES FUND - Growth</v>
          </cell>
          <cell r="E6571">
            <v>17.34</v>
          </cell>
        </row>
        <row r="6572">
          <cell r="B6572" t="str">
            <v>INF109KC18B7</v>
          </cell>
          <cell r="C6572" t="str">
            <v>INF109KC19B5</v>
          </cell>
          <cell r="D6572" t="str">
            <v>ICICI PRUDENTIAL HOUSING OPPORTUNITIES FUND - IDCW</v>
          </cell>
          <cell r="E6572">
            <v>14.58</v>
          </cell>
        </row>
        <row r="6573">
          <cell r="B6573" t="str">
            <v>INF109KC1RE6</v>
          </cell>
          <cell r="C6573" t="str">
            <v>-</v>
          </cell>
          <cell r="D6573" t="str">
            <v>ICICI Prudential India Opportunities Fund - Cumulative Option</v>
          </cell>
          <cell r="E6573">
            <v>35.880000000000003</v>
          </cell>
        </row>
        <row r="6574">
          <cell r="B6574" t="str">
            <v>INF109KC1RH9</v>
          </cell>
          <cell r="C6574" t="str">
            <v>-</v>
          </cell>
          <cell r="D6574" t="str">
            <v>ICICI Prudential India Opportunities Fund - Direct Plan - Cumulative Option</v>
          </cell>
          <cell r="E6574">
            <v>39.44</v>
          </cell>
        </row>
        <row r="6575">
          <cell r="B6575" t="str">
            <v>INF109KC1RJ5</v>
          </cell>
          <cell r="C6575" t="str">
            <v>INF109KC1RI7</v>
          </cell>
          <cell r="D6575" t="str">
            <v>ICICI Prudential India Opportunities Fund - Direct Plan - IDCW Option</v>
          </cell>
          <cell r="E6575">
            <v>24.07</v>
          </cell>
        </row>
        <row r="6576">
          <cell r="B6576" t="str">
            <v>INF109KC1RG1</v>
          </cell>
          <cell r="C6576" t="str">
            <v>INF109KC1RF3</v>
          </cell>
          <cell r="D6576" t="str">
            <v>ICICI Prudential India Opportunities Fund - IDCW Option</v>
          </cell>
          <cell r="E6576">
            <v>20.95</v>
          </cell>
        </row>
        <row r="6577">
          <cell r="B6577" t="str">
            <v>INF109K018M4</v>
          </cell>
          <cell r="C6577" t="str">
            <v>-</v>
          </cell>
          <cell r="D6577" t="str">
            <v>ICICI Prudential Infrastructure Fund - Direct Plan -  Growth</v>
          </cell>
          <cell r="E6577">
            <v>221.01</v>
          </cell>
        </row>
        <row r="6578">
          <cell r="B6578" t="str">
            <v>INF109K016M8</v>
          </cell>
          <cell r="C6578" t="str">
            <v>INF109K017M6</v>
          </cell>
          <cell r="D6578" t="str">
            <v>ICICI Prudential Infrastructure Fund - Direct Plan -  IDCW</v>
          </cell>
          <cell r="E6578">
            <v>48.29</v>
          </cell>
        </row>
        <row r="6579">
          <cell r="B6579" t="str">
            <v>INF109K01AV5</v>
          </cell>
          <cell r="C6579" t="str">
            <v>-</v>
          </cell>
          <cell r="D6579" t="str">
            <v>ICICI Prudential Infrastructure Fund - Growth</v>
          </cell>
          <cell r="E6579">
            <v>202.32</v>
          </cell>
        </row>
        <row r="6580">
          <cell r="B6580" t="str">
            <v>INF109K01FB6</v>
          </cell>
          <cell r="C6580" t="str">
            <v>INF109K01AT9</v>
          </cell>
          <cell r="D6580" t="str">
            <v>ICICI Prudential Infrastructure Fund - IDCW</v>
          </cell>
          <cell r="E6580">
            <v>28.49</v>
          </cell>
        </row>
        <row r="6581">
          <cell r="B6581" t="str">
            <v>INF109KC12T2</v>
          </cell>
          <cell r="C6581" t="str">
            <v>-</v>
          </cell>
          <cell r="D6581" t="str">
            <v>ICICI Prudential Innovation Fund - Direct Plan - Growth</v>
          </cell>
          <cell r="E6581">
            <v>19.75</v>
          </cell>
        </row>
        <row r="6582">
          <cell r="B6582" t="str">
            <v>INF109KC13T0</v>
          </cell>
          <cell r="C6582" t="str">
            <v>INF109KC14T8</v>
          </cell>
          <cell r="D6582" t="str">
            <v>ICICI Prudential Innovation Fund - Direct Plan - IDCW</v>
          </cell>
          <cell r="E6582">
            <v>16.72</v>
          </cell>
        </row>
        <row r="6583">
          <cell r="B6583" t="str">
            <v>INF109KC19S9</v>
          </cell>
          <cell r="C6583" t="str">
            <v>-</v>
          </cell>
          <cell r="D6583" t="str">
            <v>ICICI Prudential Innovation Fund - Growth</v>
          </cell>
          <cell r="E6583">
            <v>19.03</v>
          </cell>
        </row>
        <row r="6584">
          <cell r="B6584" t="str">
            <v>INF109KC10T6</v>
          </cell>
          <cell r="C6584" t="str">
            <v>INF109KC11T4</v>
          </cell>
          <cell r="D6584" t="str">
            <v>ICICI Prudential Innovation Fund - IDCW</v>
          </cell>
          <cell r="E6584">
            <v>16.04</v>
          </cell>
        </row>
        <row r="6585">
          <cell r="B6585" t="str">
            <v>INF109KC1LG4</v>
          </cell>
          <cell r="C6585" t="str">
            <v>-</v>
          </cell>
          <cell r="D6585" t="str">
            <v>ICICI Prudential Manufacturing Fund - Cumulative Option</v>
          </cell>
          <cell r="E6585">
            <v>38.61</v>
          </cell>
        </row>
        <row r="6586">
          <cell r="B6586" t="str">
            <v>INF109KC1LJ8</v>
          </cell>
          <cell r="C6586" t="str">
            <v>-</v>
          </cell>
          <cell r="D6586" t="str">
            <v>ICICI Prudential Manufacturing Fund - Direct Plan - Cumulative Option</v>
          </cell>
          <cell r="E6586">
            <v>42.01</v>
          </cell>
        </row>
        <row r="6587">
          <cell r="B6587" t="str">
            <v>INF109KC1LK6</v>
          </cell>
          <cell r="C6587" t="str">
            <v>-</v>
          </cell>
          <cell r="D6587" t="str">
            <v>ICICI Prudential Manufacturing Fund - Direct Plan - IDCW Option</v>
          </cell>
          <cell r="E6587">
            <v>25</v>
          </cell>
        </row>
        <row r="6588">
          <cell r="B6588" t="str">
            <v>INF109KC1LH2</v>
          </cell>
          <cell r="C6588" t="str">
            <v>-</v>
          </cell>
          <cell r="D6588" t="str">
            <v>ICICI Prudential Manufacturing Fund - IDCW Option</v>
          </cell>
          <cell r="E6588">
            <v>22.11</v>
          </cell>
        </row>
        <row r="6589">
          <cell r="B6589" t="str">
            <v>INF109KC1D93</v>
          </cell>
          <cell r="C6589" t="str">
            <v>-</v>
          </cell>
          <cell r="D6589" t="str">
            <v>ICICI Prudential MNC Fund - Direct Plan - Growth Option</v>
          </cell>
          <cell r="E6589">
            <v>33.18</v>
          </cell>
        </row>
        <row r="6590">
          <cell r="B6590" t="str">
            <v>INF109KC1E01</v>
          </cell>
          <cell r="C6590" t="str">
            <v>-</v>
          </cell>
          <cell r="D6590" t="str">
            <v>ICICI Prudential MNC Fund - Direct Plan - IDCW Option</v>
          </cell>
          <cell r="E6590">
            <v>19.899999999999999</v>
          </cell>
        </row>
        <row r="6591">
          <cell r="B6591" t="str">
            <v>INF109KC1D69</v>
          </cell>
          <cell r="C6591" t="str">
            <v>-</v>
          </cell>
          <cell r="D6591" t="str">
            <v>ICICI Prudential MNC Fund - Growth Option</v>
          </cell>
          <cell r="E6591">
            <v>30.34</v>
          </cell>
        </row>
        <row r="6592">
          <cell r="B6592" t="str">
            <v>INF109KC1D77</v>
          </cell>
          <cell r="C6592" t="str">
            <v>-</v>
          </cell>
          <cell r="D6592" t="str">
            <v>ICICI Prudential MNC Fund - IDCW Option</v>
          </cell>
          <cell r="E6592">
            <v>17.510000000000002</v>
          </cell>
        </row>
        <row r="6593">
          <cell r="B6593" t="str">
            <v>INF109KC1GE9</v>
          </cell>
          <cell r="C6593" t="str">
            <v>-</v>
          </cell>
          <cell r="D6593" t="str">
            <v>ICICI Prudential Pharma Healthcare and Diagnostics (P.H.D) Fund - Cumulative Option</v>
          </cell>
          <cell r="E6593">
            <v>43.24</v>
          </cell>
        </row>
        <row r="6594">
          <cell r="B6594" t="str">
            <v>INF109KC1GH2</v>
          </cell>
          <cell r="C6594" t="str">
            <v>-</v>
          </cell>
          <cell r="D6594" t="str">
            <v>ICICI Prudential Pharma Healthcare and Diagnostics (P.H.D) Fund - Direct Plan - Cumulative Option</v>
          </cell>
          <cell r="E6594">
            <v>46.97</v>
          </cell>
        </row>
        <row r="6595">
          <cell r="B6595" t="str">
            <v>INF109KC1GJ8</v>
          </cell>
          <cell r="C6595" t="str">
            <v>-</v>
          </cell>
          <cell r="D6595" t="str">
            <v>ICICI Prudential Pharma Healthcare and Diagnostics (P.H.D) Fund - Direct Plan - IDCW Option</v>
          </cell>
          <cell r="E6595">
            <v>28.37</v>
          </cell>
        </row>
        <row r="6596">
          <cell r="B6596" t="str">
            <v>INF109KC1GG4</v>
          </cell>
          <cell r="C6596" t="str">
            <v>-</v>
          </cell>
          <cell r="D6596" t="str">
            <v>ICICI Prudential Pharma Healthcare and Diagnostics (P.H.D) Fund - IDCW Option</v>
          </cell>
          <cell r="E6596">
            <v>25.23</v>
          </cell>
        </row>
        <row r="6597">
          <cell r="B6597" t="str">
            <v>INF109KC12I5</v>
          </cell>
          <cell r="C6597" t="str">
            <v>-</v>
          </cell>
          <cell r="D6597" t="str">
            <v>ICICI Prudential PSU Equity Fund - Direct Plan - Growth</v>
          </cell>
          <cell r="E6597">
            <v>23.13</v>
          </cell>
        </row>
        <row r="6598">
          <cell r="B6598" t="str">
            <v>INF109KC13I3</v>
          </cell>
          <cell r="C6598" t="str">
            <v>INF109KC14I1</v>
          </cell>
          <cell r="D6598" t="str">
            <v>ICICI Prudential PSU Equity Fund - Direct Plan - IDCW</v>
          </cell>
          <cell r="E6598">
            <v>19.62</v>
          </cell>
        </row>
        <row r="6599">
          <cell r="B6599" t="str">
            <v>INF109KC19H2</v>
          </cell>
          <cell r="C6599" t="str">
            <v>-</v>
          </cell>
          <cell r="D6599" t="str">
            <v>ICICI Prudential PSU Equity Fund - Growth</v>
          </cell>
          <cell r="E6599">
            <v>21.95</v>
          </cell>
        </row>
        <row r="6600">
          <cell r="B6600" t="str">
            <v>INF109KC10I9</v>
          </cell>
          <cell r="C6600" t="str">
            <v>INF109KC11I7</v>
          </cell>
          <cell r="D6600" t="str">
            <v>ICICI Prudential PSU Equity Fund - IDCW</v>
          </cell>
          <cell r="E6600">
            <v>18.48</v>
          </cell>
        </row>
        <row r="6601">
          <cell r="B6601" t="str">
            <v>INF109K1A187</v>
          </cell>
          <cell r="C6601" t="str">
            <v>-</v>
          </cell>
          <cell r="D6601" t="str">
            <v>ICICI Prudential Quality Fund - Direct Plan - Growth</v>
          </cell>
          <cell r="E6601">
            <v>10.62</v>
          </cell>
        </row>
        <row r="6602">
          <cell r="B6602" t="str">
            <v>INF109K1A203</v>
          </cell>
          <cell r="C6602" t="str">
            <v>INF109K1A195</v>
          </cell>
          <cell r="D6602" t="str">
            <v>ICICI Prudential Quality Fund - Direct Plan - IDCW</v>
          </cell>
          <cell r="E6602">
            <v>10.62</v>
          </cell>
        </row>
        <row r="6603">
          <cell r="B6603" t="str">
            <v>INF109K1A211</v>
          </cell>
          <cell r="C6603" t="str">
            <v>-</v>
          </cell>
          <cell r="D6603" t="str">
            <v>ICICI Prudential Quality Fund - Growth</v>
          </cell>
          <cell r="E6603">
            <v>10.47</v>
          </cell>
        </row>
        <row r="6604">
          <cell r="B6604" t="str">
            <v>INF109K1A179</v>
          </cell>
          <cell r="C6604" t="str">
            <v>INF109K1A161</v>
          </cell>
          <cell r="D6604" t="str">
            <v>ICICI Prudential Quality Fund - IDCW</v>
          </cell>
          <cell r="E6604">
            <v>10.47</v>
          </cell>
        </row>
        <row r="6605">
          <cell r="B6605" t="str">
            <v>INF109KC1O66</v>
          </cell>
          <cell r="C6605" t="str">
            <v>-</v>
          </cell>
          <cell r="D6605" t="str">
            <v>ICICI Prudential Quant Fund Direct Plan Growth</v>
          </cell>
          <cell r="E6605">
            <v>23.82</v>
          </cell>
        </row>
        <row r="6606">
          <cell r="B6606" t="str">
            <v>INF109KC1O82</v>
          </cell>
          <cell r="C6606" t="str">
            <v>INF109KC1O74</v>
          </cell>
          <cell r="D6606" t="str">
            <v>ICICI Prudential Quant Fund Direct Plan IDCW</v>
          </cell>
          <cell r="E6606">
            <v>15.4</v>
          </cell>
        </row>
        <row r="6607">
          <cell r="B6607" t="str">
            <v>INF109KC1O33</v>
          </cell>
          <cell r="C6607" t="str">
            <v>-</v>
          </cell>
          <cell r="D6607" t="str">
            <v>ICICI Prudential Quant Fund Growth</v>
          </cell>
          <cell r="E6607">
            <v>22.95</v>
          </cell>
        </row>
        <row r="6608">
          <cell r="B6608" t="str">
            <v>INF109KC1O58</v>
          </cell>
          <cell r="C6608" t="str">
            <v>INF109KC1O41</v>
          </cell>
          <cell r="D6608" t="str">
            <v>ICICI Prudential Quant Fund IDCW</v>
          </cell>
          <cell r="E6608">
            <v>14.68</v>
          </cell>
        </row>
        <row r="6609">
          <cell r="B6609" t="str">
            <v>INF109KC12Z9</v>
          </cell>
          <cell r="C6609" t="str">
            <v>-</v>
          </cell>
          <cell r="D6609" t="str">
            <v>ICICI Prudential Rural Opportunities Fund - Direct Plan - Growth</v>
          </cell>
          <cell r="E6609">
            <v>11.21</v>
          </cell>
        </row>
        <row r="6610">
          <cell r="B6610" t="str">
            <v>INF109KC14Z5</v>
          </cell>
          <cell r="C6610" t="str">
            <v>INF109KC13Z7</v>
          </cell>
          <cell r="D6610" t="str">
            <v>ICICI Prudential Rural Opportunities Fund - Direct Plan - IDCW</v>
          </cell>
          <cell r="E6610">
            <v>11.21</v>
          </cell>
        </row>
        <row r="6611">
          <cell r="B6611" t="str">
            <v>INF109KC19Y7</v>
          </cell>
          <cell r="C6611" t="str">
            <v>-</v>
          </cell>
          <cell r="D6611" t="str">
            <v>ICICI Prudential Rural Opportunities Fund - Growth</v>
          </cell>
          <cell r="E6611">
            <v>11.02</v>
          </cell>
        </row>
        <row r="6612">
          <cell r="B6612" t="str">
            <v>INF109KC11Z1</v>
          </cell>
          <cell r="C6612" t="str">
            <v>INF109KC10Z3</v>
          </cell>
          <cell r="D6612" t="str">
            <v>ICICI Prudential Rural Opportunities Fund - IDCW</v>
          </cell>
          <cell r="E6612">
            <v>11.01</v>
          </cell>
        </row>
        <row r="6613">
          <cell r="B6613" t="str">
            <v>INF109K01Z48</v>
          </cell>
          <cell r="C6613" t="str">
            <v>-</v>
          </cell>
          <cell r="D6613" t="str">
            <v>ICICI Prudential Technology Fund - Direct Plan -  Growth</v>
          </cell>
          <cell r="E6613">
            <v>193.02</v>
          </cell>
        </row>
        <row r="6614">
          <cell r="B6614" t="str">
            <v>INF109K01Z22</v>
          </cell>
          <cell r="C6614" t="str">
            <v>INF109K01Z30</v>
          </cell>
          <cell r="D6614" t="str">
            <v>ICICI Prudential Technology Fund - Direct Plan -  IDCW</v>
          </cell>
          <cell r="E6614">
            <v>117.84</v>
          </cell>
        </row>
        <row r="6615">
          <cell r="B6615" t="str">
            <v>INF109K01506</v>
          </cell>
          <cell r="C6615" t="str">
            <v>-</v>
          </cell>
          <cell r="D6615" t="str">
            <v>ICICI Prudential Technology Fund - Growth</v>
          </cell>
          <cell r="E6615">
            <v>172.33</v>
          </cell>
        </row>
        <row r="6616">
          <cell r="B6616" t="str">
            <v>INF109K01FO9</v>
          </cell>
          <cell r="C6616" t="str">
            <v>INF109K01514</v>
          </cell>
          <cell r="D6616" t="str">
            <v>ICICI Prudential Technology Fund - IDCW</v>
          </cell>
          <cell r="E6616">
            <v>53.82</v>
          </cell>
        </row>
        <row r="6617">
          <cell r="B6617" t="str">
            <v>INF109KC12K1</v>
          </cell>
          <cell r="C6617" t="str">
            <v>-</v>
          </cell>
          <cell r="D6617" t="str">
            <v>ICICI PRUDENTIAL TRANSPORTATION AND LOGISTICS FUND - Direct Plan - Growth</v>
          </cell>
          <cell r="E6617">
            <v>22.1</v>
          </cell>
        </row>
        <row r="6618">
          <cell r="B6618" t="str">
            <v>INF109KC13K9</v>
          </cell>
          <cell r="C6618" t="str">
            <v>INF109KC14K7</v>
          </cell>
          <cell r="D6618" t="str">
            <v>ICICI PRUDENTIAL TRANSPORTATION AND LOGISTICS FUND - Direct Plan - IDCW</v>
          </cell>
          <cell r="E6618">
            <v>18.850000000000001</v>
          </cell>
        </row>
        <row r="6619">
          <cell r="B6619" t="str">
            <v>INF109KC19J8</v>
          </cell>
          <cell r="C6619" t="str">
            <v>-</v>
          </cell>
          <cell r="D6619" t="str">
            <v>ICICI PRUDENTIAL TRANSPORTATION AND LOGISTICS FUND - Growth</v>
          </cell>
          <cell r="E6619">
            <v>21.1</v>
          </cell>
        </row>
        <row r="6620">
          <cell r="B6620" t="str">
            <v>INF109KC10K5</v>
          </cell>
          <cell r="C6620" t="str">
            <v>INF109KC11K3</v>
          </cell>
          <cell r="D6620" t="str">
            <v>ICICI PRUDENTIAL TRANSPORTATION AND LOGISTICS FUND - IDCW</v>
          </cell>
          <cell r="E6620">
            <v>17.899999999999999</v>
          </cell>
        </row>
        <row r="6621">
          <cell r="B6621" t="str">
            <v>INF109K01Z71</v>
          </cell>
          <cell r="C6621" t="str">
            <v>-</v>
          </cell>
          <cell r="D6621" t="str">
            <v>ICICI Prudential US Bluechip Equity Fund - Direct Plan -  Growth</v>
          </cell>
          <cell r="E6621">
            <v>85.14</v>
          </cell>
        </row>
        <row r="6622">
          <cell r="B6622" t="str">
            <v>INF109K01Z55</v>
          </cell>
          <cell r="C6622" t="str">
            <v>INF109K01Z63</v>
          </cell>
          <cell r="D6622" t="str">
            <v>ICICI Prudential US Bluechip Equity Fund - Direct Plan -  IDCW</v>
          </cell>
          <cell r="E6622">
            <v>85.14</v>
          </cell>
        </row>
        <row r="6623">
          <cell r="B6623" t="str">
            <v>INF109K01E35</v>
          </cell>
          <cell r="C6623" t="str">
            <v>-</v>
          </cell>
          <cell r="D6623" t="str">
            <v>ICICI Prudential US Bluechip Equity Fund - Growth</v>
          </cell>
          <cell r="E6623">
            <v>75.62</v>
          </cell>
        </row>
        <row r="6624">
          <cell r="B6624" t="str">
            <v>INF109K01E43</v>
          </cell>
          <cell r="C6624" t="str">
            <v>INF109K01E50</v>
          </cell>
          <cell r="D6624" t="str">
            <v>ICICI Prudential US Bluechip Equity Fund - IDCW</v>
          </cell>
          <cell r="E6624">
            <v>75.62</v>
          </cell>
        </row>
        <row r="6625">
          <cell r="B6625" t="str">
            <v/>
          </cell>
          <cell r="C6625" t="str">
            <v/>
          </cell>
          <cell r="D6625" t="str">
            <v/>
          </cell>
        </row>
        <row r="6626">
          <cell r="B6626" t="str">
            <v/>
          </cell>
          <cell r="C6626" t="str">
            <v/>
          </cell>
          <cell r="D6626" t="str">
            <v/>
          </cell>
        </row>
        <row r="6627">
          <cell r="B6627" t="str">
            <v/>
          </cell>
          <cell r="C6627" t="str">
            <v/>
          </cell>
          <cell r="D6627" t="str">
            <v/>
          </cell>
        </row>
        <row r="6628">
          <cell r="B6628" t="str">
            <v>INF205KA1AI8</v>
          </cell>
          <cell r="C6628" t="str">
            <v>-</v>
          </cell>
          <cell r="D6628" t="str">
            <v>Invesco India Business Cycle Fund - Direct Plan - Growth</v>
          </cell>
          <cell r="E6628">
            <v>14.34</v>
          </cell>
        </row>
        <row r="6629">
          <cell r="B6629" t="str">
            <v>INF205KA1AJ6</v>
          </cell>
          <cell r="C6629" t="str">
            <v>INF205KA1AK4</v>
          </cell>
          <cell r="D6629" t="str">
            <v>Invesco India Business Cycle Fund - Direct Plan - IDCW</v>
          </cell>
          <cell r="E6629">
            <v>14.36</v>
          </cell>
        </row>
        <row r="6630">
          <cell r="B6630" t="str">
            <v>INF205KA1AF4</v>
          </cell>
          <cell r="C6630" t="str">
            <v>-</v>
          </cell>
          <cell r="D6630" t="str">
            <v>Invesco India Business Cycle Fund - Regular Plan - Growth</v>
          </cell>
          <cell r="E6630">
            <v>14.03</v>
          </cell>
        </row>
        <row r="6631">
          <cell r="B6631" t="str">
            <v>INF205KA1AG2</v>
          </cell>
          <cell r="C6631" t="str">
            <v>INF205KA1AH0</v>
          </cell>
          <cell r="D6631" t="str">
            <v>Invesco India Business Cycle Fund - Regular Plan - IDCW</v>
          </cell>
          <cell r="E6631">
            <v>14.03</v>
          </cell>
        </row>
        <row r="6632">
          <cell r="B6632" t="str">
            <v>INF205KA1BI6</v>
          </cell>
          <cell r="C6632" t="str">
            <v>-</v>
          </cell>
          <cell r="D6632" t="str">
            <v>Invesco India Consumption Fund - Direct Plan - Growth</v>
          </cell>
          <cell r="E6632">
            <v>10.58</v>
          </cell>
        </row>
        <row r="6633">
          <cell r="B6633" t="str">
            <v>INF205KA1BJ4</v>
          </cell>
          <cell r="C6633" t="str">
            <v>INF205KA1BK2</v>
          </cell>
          <cell r="D6633" t="str">
            <v>Invesco India Consumption Fund - Direct Plan - IDCW</v>
          </cell>
          <cell r="E6633">
            <v>10.58</v>
          </cell>
        </row>
        <row r="6634">
          <cell r="B6634" t="str">
            <v>INF205KA1BF2</v>
          </cell>
          <cell r="C6634" t="str">
            <v>-</v>
          </cell>
          <cell r="D6634" t="str">
            <v>Invesco India Consumption Fund - Regular Plan - Growth Plan</v>
          </cell>
          <cell r="E6634">
            <v>10.46</v>
          </cell>
        </row>
        <row r="6635">
          <cell r="B6635" t="str">
            <v>INF205KA1BG0</v>
          </cell>
          <cell r="C6635" t="str">
            <v>INF205KA1BH8</v>
          </cell>
          <cell r="D6635" t="str">
            <v>Invesco India Consumption Fund - Regular Plan - IDCW Plan</v>
          </cell>
          <cell r="E6635">
            <v>10.46</v>
          </cell>
        </row>
        <row r="6636">
          <cell r="B6636" t="str">
            <v>INF205KA1338</v>
          </cell>
          <cell r="C6636" t="str">
            <v>-</v>
          </cell>
          <cell r="D6636" t="str">
            <v>Invesco India ESG Integration Strategy Fund - Direct Plan - Growth</v>
          </cell>
          <cell r="E6636">
            <v>18.25</v>
          </cell>
        </row>
        <row r="6637">
          <cell r="B6637" t="str">
            <v>INF205KA1320</v>
          </cell>
          <cell r="C6637" t="str">
            <v>INF205KA1346</v>
          </cell>
          <cell r="D6637" t="str">
            <v>Invesco India ESG Integration Strategy Fund - Direct Plan - IDCW (Payout / Reinvestment)</v>
          </cell>
          <cell r="E6637">
            <v>14.88</v>
          </cell>
        </row>
        <row r="6638">
          <cell r="B6638" t="str">
            <v>INF205KA1304</v>
          </cell>
          <cell r="C6638" t="str">
            <v>-</v>
          </cell>
          <cell r="D6638" t="str">
            <v>Invesco India ESG Integration Strategy Fund - Regular Plan - Growth</v>
          </cell>
          <cell r="E6638">
            <v>16.79</v>
          </cell>
        </row>
        <row r="6639">
          <cell r="B6639" t="str">
            <v>INF205KA1296</v>
          </cell>
          <cell r="C6639" t="str">
            <v>INF205KA1312</v>
          </cell>
          <cell r="D6639" t="str">
            <v>Invesco India ESG Integration Strategy Fund - Regular Plan - IDCW (Payout / Reinvestment)</v>
          </cell>
          <cell r="E6639">
            <v>13.55</v>
          </cell>
        </row>
        <row r="6640">
          <cell r="B6640" t="str">
            <v>INF205K01KY4</v>
          </cell>
          <cell r="C6640" t="str">
            <v>-</v>
          </cell>
          <cell r="D6640" t="str">
            <v>Invesco India Financial Services Fund - Direct Plan - Growth</v>
          </cell>
          <cell r="E6640">
            <v>177.91</v>
          </cell>
        </row>
        <row r="6641">
          <cell r="B6641" t="str">
            <v>INF205K01KW8</v>
          </cell>
          <cell r="C6641" t="str">
            <v>INF205K01KX6</v>
          </cell>
          <cell r="D6641" t="str">
            <v>Invesco India Financial Services Fund - Direct Plan - IDCW (Payout / Reinvestment)</v>
          </cell>
          <cell r="E6641">
            <v>91.57</v>
          </cell>
        </row>
        <row r="6642">
          <cell r="B6642" t="str">
            <v>INF205K01171</v>
          </cell>
          <cell r="C6642" t="str">
            <v>INF205K01163</v>
          </cell>
          <cell r="D6642" t="str">
            <v>Invesco India Financial Services Fund - Regular Plan -  IDCW (Payout / Reinvestment)</v>
          </cell>
          <cell r="E6642">
            <v>74.930000000000007</v>
          </cell>
        </row>
        <row r="6643">
          <cell r="B6643" t="str">
            <v>INF205K01155</v>
          </cell>
          <cell r="C6643" t="str">
            <v>-</v>
          </cell>
          <cell r="D6643" t="str">
            <v>Invesco India Financial Services Fund - Regular Plan - Growth</v>
          </cell>
          <cell r="E6643">
            <v>146.94</v>
          </cell>
        </row>
        <row r="6644">
          <cell r="B6644" t="str">
            <v>INF205K01MD4</v>
          </cell>
          <cell r="C6644" t="str">
            <v>-</v>
          </cell>
          <cell r="D6644" t="str">
            <v>Invesco India Infrastructure Fund - Direct Plan - Growth Option</v>
          </cell>
          <cell r="E6644">
            <v>82.03</v>
          </cell>
        </row>
        <row r="6645">
          <cell r="B6645" t="str">
            <v>INF205K01MB8</v>
          </cell>
          <cell r="C6645" t="str">
            <v>INF205K01MC6</v>
          </cell>
          <cell r="D6645" t="str">
            <v>Invesco India Infrastructure Fund - Direct Plan - IDCW (Payout / Reinvestment)</v>
          </cell>
          <cell r="E6645">
            <v>54.88</v>
          </cell>
        </row>
        <row r="6646">
          <cell r="B6646" t="str">
            <v>INF205K01CD5</v>
          </cell>
          <cell r="C6646" t="str">
            <v>-</v>
          </cell>
          <cell r="D6646" t="str">
            <v>Invesco India Infrastructure Fund - Regular Plan - Growth Option</v>
          </cell>
          <cell r="E6646">
            <v>67.400000000000006</v>
          </cell>
        </row>
        <row r="6647">
          <cell r="B6647" t="str">
            <v>INF205K01CE3</v>
          </cell>
          <cell r="C6647" t="str">
            <v>INF205K01CF0</v>
          </cell>
          <cell r="D6647" t="str">
            <v>Invesco India Infrastructure Fund - Regular Plan - IDCW (Payout / Reinvestment)</v>
          </cell>
          <cell r="E6647">
            <v>43.33</v>
          </cell>
        </row>
        <row r="6648">
          <cell r="B6648" t="str">
            <v>INF205KA1908</v>
          </cell>
          <cell r="C6648" t="str">
            <v>-</v>
          </cell>
          <cell r="D6648" t="str">
            <v>Invesco India Manufacturing Fund - Direct Plan - Growth</v>
          </cell>
          <cell r="E6648">
            <v>11.44</v>
          </cell>
        </row>
        <row r="6649">
          <cell r="B6649" t="str">
            <v>INF205KA1916</v>
          </cell>
          <cell r="C6649" t="str">
            <v>INF205KA1924</v>
          </cell>
          <cell r="D6649" t="str">
            <v>Invesco India Manufacturing Fund - Direct Plan - IDCW</v>
          </cell>
          <cell r="E6649">
            <v>11.44</v>
          </cell>
        </row>
        <row r="6650">
          <cell r="B6650" t="str">
            <v>INF205KA1874</v>
          </cell>
          <cell r="C6650" t="str">
            <v>-</v>
          </cell>
          <cell r="D6650" t="str">
            <v>Invesco India Manufacturing Fund - Regular Plan - Growth</v>
          </cell>
          <cell r="E6650">
            <v>11.11</v>
          </cell>
        </row>
        <row r="6651">
          <cell r="B6651" t="str">
            <v>INF205KA1882</v>
          </cell>
          <cell r="C6651" t="str">
            <v>INF205KA1890</v>
          </cell>
          <cell r="D6651" t="str">
            <v>Invesco India Manufacturing Fund - Regular Plan - IDCW</v>
          </cell>
          <cell r="E6651">
            <v>11.11</v>
          </cell>
        </row>
        <row r="6652">
          <cell r="B6652" t="str">
            <v>INF205K01NG5</v>
          </cell>
          <cell r="C6652" t="str">
            <v>-</v>
          </cell>
          <cell r="D6652" t="str">
            <v>Invesco India PSU Equity Fund - Direct Plan - Growth</v>
          </cell>
          <cell r="E6652">
            <v>77.2</v>
          </cell>
        </row>
        <row r="6653">
          <cell r="B6653" t="str">
            <v>INF205K01NE0</v>
          </cell>
          <cell r="C6653" t="str">
            <v>INF205K01NF7</v>
          </cell>
          <cell r="D6653" t="str">
            <v>Invesco India PSU Equity Fund - Direct Plan - IDCW (Payout / Reinvestment)</v>
          </cell>
          <cell r="E6653">
            <v>48.93</v>
          </cell>
        </row>
        <row r="6654">
          <cell r="B6654" t="str">
            <v>INF205K01338</v>
          </cell>
          <cell r="C6654" t="str">
            <v>-</v>
          </cell>
          <cell r="D6654" t="str">
            <v>Invesco India PSU Equity Fund - Regular Plan - Growth</v>
          </cell>
          <cell r="E6654">
            <v>64.28</v>
          </cell>
        </row>
        <row r="6655">
          <cell r="B6655" t="str">
            <v>INF205K01353</v>
          </cell>
          <cell r="C6655" t="str">
            <v>INF205K01346</v>
          </cell>
          <cell r="D6655" t="str">
            <v>Invesco India PSU Equity Fund - Regular Plan - IDCW (Payout / Reinvestment)</v>
          </cell>
          <cell r="E6655">
            <v>39.39</v>
          </cell>
        </row>
        <row r="6656">
          <cell r="B6656" t="str">
            <v>INF205KA1965</v>
          </cell>
          <cell r="C6656" t="str">
            <v>-</v>
          </cell>
          <cell r="D6656" t="str">
            <v>Invesco India Technology Fund - Direct Plan - Growth</v>
          </cell>
          <cell r="E6656">
            <v>9.57</v>
          </cell>
        </row>
        <row r="6657">
          <cell r="B6657" t="str">
            <v>INF205KA1973</v>
          </cell>
          <cell r="C6657" t="str">
            <v>INF205KA1981</v>
          </cell>
          <cell r="D6657" t="str">
            <v>Invesco India Technology Fund - Direct Plan - IDCW</v>
          </cell>
          <cell r="E6657">
            <v>9.57</v>
          </cell>
        </row>
        <row r="6658">
          <cell r="B6658" t="str">
            <v>INF205KA1932</v>
          </cell>
          <cell r="C6658" t="str">
            <v>-</v>
          </cell>
          <cell r="D6658" t="str">
            <v>Invesco India Technology Fund - Regular Plan - Growth</v>
          </cell>
          <cell r="E6658">
            <v>9.3000000000000007</v>
          </cell>
        </row>
        <row r="6659">
          <cell r="B6659" t="str">
            <v>INF205KA1940</v>
          </cell>
          <cell r="C6659" t="str">
            <v>INF205KA1957</v>
          </cell>
          <cell r="D6659" t="str">
            <v>Invesco India Technology Fund - Regular Plan - IDCW</v>
          </cell>
          <cell r="E6659">
            <v>9.3000000000000007</v>
          </cell>
        </row>
        <row r="6660">
          <cell r="B6660" t="str">
            <v/>
          </cell>
          <cell r="C6660" t="str">
            <v/>
          </cell>
          <cell r="D6660" t="str">
            <v/>
          </cell>
        </row>
        <row r="6661">
          <cell r="B6661" t="str">
            <v/>
          </cell>
          <cell r="C6661" t="str">
            <v/>
          </cell>
          <cell r="D6661" t="str">
            <v/>
          </cell>
        </row>
        <row r="6662">
          <cell r="B6662" t="str">
            <v/>
          </cell>
          <cell r="C6662" t="str">
            <v/>
          </cell>
          <cell r="D6662" t="str">
            <v/>
          </cell>
        </row>
        <row r="6663">
          <cell r="B6663" t="str">
            <v>INF00XX01BU6</v>
          </cell>
          <cell r="C6663" t="str">
            <v>-</v>
          </cell>
          <cell r="D6663" t="str">
            <v>ITI Banking and Financial Services Fund - Direct Plan - Growth Option</v>
          </cell>
          <cell r="E6663">
            <v>17.571999999999999</v>
          </cell>
        </row>
        <row r="6664">
          <cell r="B6664" t="str">
            <v>INF00XX01BV4</v>
          </cell>
          <cell r="C6664" t="str">
            <v>INF00XX01BW2</v>
          </cell>
          <cell r="D6664" t="str">
            <v>ITI Banking and Financial Services Fund - Direct Plan - IDCW Option</v>
          </cell>
          <cell r="E6664">
            <v>16.582100000000001</v>
          </cell>
        </row>
        <row r="6665">
          <cell r="B6665" t="str">
            <v>INF00XX01BS0</v>
          </cell>
          <cell r="C6665" t="str">
            <v>INF00XX01BT8</v>
          </cell>
          <cell r="D6665" t="str">
            <v>ITI Banking and Financial Services Fund - Regular Plan - IDCW Option</v>
          </cell>
          <cell r="E6665">
            <v>15.0581</v>
          </cell>
        </row>
        <row r="6666">
          <cell r="B6666" t="str">
            <v>INF00XX01BR2</v>
          </cell>
          <cell r="C6666" t="str">
            <v>-</v>
          </cell>
          <cell r="D6666" t="str">
            <v>ITI Banking and Financial Services Fund -Regular Plan - Growth Option</v>
          </cell>
          <cell r="E6666">
            <v>16.039200000000001</v>
          </cell>
        </row>
        <row r="6667">
          <cell r="B6667" t="str">
            <v>INF00XX01DG1</v>
          </cell>
          <cell r="C6667" t="str">
            <v>-</v>
          </cell>
          <cell r="D6667" t="str">
            <v>ITI Bharat Consumption Fund - Direct Plan - Growth</v>
          </cell>
          <cell r="E6667">
            <v>11.776</v>
          </cell>
        </row>
        <row r="6668">
          <cell r="B6668" t="str">
            <v>INF00XX01DH9</v>
          </cell>
          <cell r="C6668" t="str">
            <v>INF00XX01DI7</v>
          </cell>
          <cell r="D6668" t="str">
            <v>ITI Bharat Consumption Fund - Direct Plan - IDCW Option</v>
          </cell>
          <cell r="E6668">
            <v>11.150600000000001</v>
          </cell>
        </row>
        <row r="6669">
          <cell r="B6669" t="str">
            <v>INF00XX01DE6</v>
          </cell>
          <cell r="C6669" t="str">
            <v>INF00XX01DF3</v>
          </cell>
          <cell r="D6669" t="str">
            <v>ITI Bharat Consumption Fund - Regular Plan - IDCW Option</v>
          </cell>
          <cell r="E6669">
            <v>10.869899999999999</v>
          </cell>
        </row>
        <row r="6670">
          <cell r="B6670" t="str">
            <v>INF00XX01DD8</v>
          </cell>
          <cell r="C6670" t="str">
            <v>-</v>
          </cell>
          <cell r="D6670" t="str">
            <v>ITI Bharat Consumption Fund - Regular Plan Plan - Growth</v>
          </cell>
          <cell r="E6670">
            <v>11.490600000000001</v>
          </cell>
        </row>
        <row r="6671">
          <cell r="B6671" t="str">
            <v>INF00XX01DM9</v>
          </cell>
          <cell r="C6671" t="str">
            <v>-</v>
          </cell>
          <cell r="D6671" t="str">
            <v>ITI Business Cycle Fund- Direct Plan- Growth</v>
          </cell>
          <cell r="E6671">
            <v>10.398</v>
          </cell>
        </row>
        <row r="6672">
          <cell r="B6672" t="str">
            <v>INF00XX01DN7</v>
          </cell>
          <cell r="C6672" t="str">
            <v>INF00XX01DO5</v>
          </cell>
          <cell r="D6672" t="str">
            <v>ITI Business Cycle Fund- Direct Plan-IDCW</v>
          </cell>
          <cell r="E6672">
            <v>10.398</v>
          </cell>
        </row>
        <row r="6673">
          <cell r="B6673" t="str">
            <v>INF00XX01DJ5</v>
          </cell>
          <cell r="C6673" t="str">
            <v>-</v>
          </cell>
          <cell r="D6673" t="str">
            <v>ITI Business Cycle Fund- Regular Plan- Growth</v>
          </cell>
          <cell r="E6673">
            <v>10.3286</v>
          </cell>
        </row>
        <row r="6674">
          <cell r="B6674" t="str">
            <v>INF00XX01DK3</v>
          </cell>
          <cell r="C6674" t="str">
            <v>INF00XX01DL1</v>
          </cell>
          <cell r="D6674" t="str">
            <v>ITI Business Cycle Fund- Regular Plan- IDCW</v>
          </cell>
          <cell r="E6674">
            <v>10.3286</v>
          </cell>
        </row>
        <row r="6675">
          <cell r="B6675" t="str">
            <v>INF00XX01BO9</v>
          </cell>
          <cell r="C6675" t="str">
            <v>-</v>
          </cell>
          <cell r="D6675" t="str">
            <v>ITI Pharma and Healthcare Fund - Direct Plan - Growth Option</v>
          </cell>
          <cell r="E6675">
            <v>19.261199999999999</v>
          </cell>
        </row>
        <row r="6676">
          <cell r="B6676" t="str">
            <v>INF00XX01BP6</v>
          </cell>
          <cell r="C6676" t="str">
            <v>INF00XX01BQ4</v>
          </cell>
          <cell r="D6676" t="str">
            <v>ITI Pharma and Healthcare Fund - Direct Plan - IDCW Option</v>
          </cell>
          <cell r="E6676">
            <v>19.259</v>
          </cell>
        </row>
        <row r="6677">
          <cell r="B6677" t="str">
            <v>INF00XX01BL5</v>
          </cell>
          <cell r="C6677" t="str">
            <v>-</v>
          </cell>
          <cell r="D6677" t="str">
            <v>ITI Pharma and Healthcare Fund - Regular Plan - Growth Option</v>
          </cell>
          <cell r="E6677">
            <v>17.536799999999999</v>
          </cell>
        </row>
        <row r="6678">
          <cell r="B6678" t="str">
            <v>INF00XX01BM3</v>
          </cell>
          <cell r="C6678" t="str">
            <v>INF00XX01BN1</v>
          </cell>
          <cell r="D6678" t="str">
            <v>ITI Pharma and Healthcare Fund - Regular Plan - IDCW Option</v>
          </cell>
          <cell r="E6678">
            <v>17.536899999999999</v>
          </cell>
        </row>
        <row r="6679">
          <cell r="B6679" t="str">
            <v/>
          </cell>
          <cell r="C6679" t="str">
            <v/>
          </cell>
          <cell r="D6679" t="str">
            <v/>
          </cell>
        </row>
        <row r="6680">
          <cell r="B6680" t="str">
            <v/>
          </cell>
          <cell r="C6680" t="str">
            <v/>
          </cell>
          <cell r="D6680" t="str">
            <v/>
          </cell>
        </row>
        <row r="6681">
          <cell r="B6681" t="str">
            <v/>
          </cell>
          <cell r="C6681" t="str">
            <v/>
          </cell>
          <cell r="D6681" t="str">
            <v/>
          </cell>
        </row>
        <row r="6682">
          <cell r="B6682" t="str">
            <v>INF22M001168</v>
          </cell>
          <cell r="C6682" t="str">
            <v>-</v>
          </cell>
          <cell r="D6682" t="str">
            <v>JioBlackRock Sector Rotation Fund - Direct Plan - Growth Option</v>
          </cell>
          <cell r="E6682">
            <v>9.9359999999999999</v>
          </cell>
        </row>
        <row r="6683">
          <cell r="B6683" t="str">
            <v/>
          </cell>
          <cell r="C6683" t="str">
            <v/>
          </cell>
          <cell r="D6683" t="str">
            <v/>
          </cell>
        </row>
        <row r="6684">
          <cell r="B6684" t="str">
            <v/>
          </cell>
          <cell r="C6684" t="str">
            <v/>
          </cell>
          <cell r="D6684" t="str">
            <v/>
          </cell>
        </row>
        <row r="6685">
          <cell r="B6685" t="str">
            <v/>
          </cell>
          <cell r="C6685" t="str">
            <v/>
          </cell>
          <cell r="D6685" t="str">
            <v/>
          </cell>
        </row>
        <row r="6686">
          <cell r="B6686" t="str">
            <v>INF174KA1XA4</v>
          </cell>
          <cell r="C6686" t="str">
            <v>-</v>
          </cell>
          <cell r="D6686" t="str">
            <v>Kotak Active Momentum Fund - Direct Plan - Growth option</v>
          </cell>
          <cell r="E6686">
            <v>10.888999999999999</v>
          </cell>
        </row>
        <row r="6687">
          <cell r="B6687" t="str">
            <v>INF174KA1XB2</v>
          </cell>
          <cell r="C6687" t="str">
            <v>INF174KA1XC0</v>
          </cell>
          <cell r="D6687" t="str">
            <v>Kotak Active Momentum Fund - Direct Plan - IDCW - Payout and Reinvestment</v>
          </cell>
          <cell r="E6687">
            <v>10.888999999999999</v>
          </cell>
        </row>
        <row r="6688">
          <cell r="B6688" t="str">
            <v>INF174KA1XD8</v>
          </cell>
          <cell r="C6688" t="str">
            <v>-</v>
          </cell>
          <cell r="D6688" t="str">
            <v>Kotak Active Momentum Fund - Regular Plan - Growth</v>
          </cell>
          <cell r="E6688">
            <v>10.753</v>
          </cell>
        </row>
        <row r="6689">
          <cell r="B6689" t="str">
            <v>INF174KA1XE6</v>
          </cell>
          <cell r="C6689" t="str">
            <v>INF174KA1XF3</v>
          </cell>
          <cell r="D6689" t="str">
            <v>Kotak Active Momentum Fund - Regular Plan - IDCW - Payout &amp; Reinvestment</v>
          </cell>
          <cell r="E6689">
            <v>10.753</v>
          </cell>
        </row>
        <row r="6690">
          <cell r="B6690" t="str">
            <v>INF174KA1MD1</v>
          </cell>
          <cell r="C6690" t="str">
            <v>-</v>
          </cell>
          <cell r="D6690" t="str">
            <v>Kotak Banking &amp; Financial Services Fund - Direct Plan - Growth</v>
          </cell>
          <cell r="E6690">
            <v>17.271000000000001</v>
          </cell>
        </row>
        <row r="6691">
          <cell r="B6691" t="str">
            <v>INF174KA1ME9</v>
          </cell>
          <cell r="C6691" t="str">
            <v>INF174KA1MF6</v>
          </cell>
          <cell r="D6691" t="str">
            <v>Kotak Banking &amp; Financial Services Fund - Direct Plan - IDCW Payout</v>
          </cell>
          <cell r="E6691">
            <v>17.268000000000001</v>
          </cell>
        </row>
        <row r="6692">
          <cell r="B6692" t="str">
            <v>INF174KA1MA7</v>
          </cell>
          <cell r="C6692" t="str">
            <v>-</v>
          </cell>
          <cell r="D6692" t="str">
            <v>Kotak Banking &amp; Financial Services Fund - Regular Plan - Growth</v>
          </cell>
          <cell r="E6692">
            <v>16.385000000000002</v>
          </cell>
        </row>
        <row r="6693">
          <cell r="B6693" t="str">
            <v>INF174KA1MB5</v>
          </cell>
          <cell r="C6693" t="str">
            <v>INF174KA1MC3</v>
          </cell>
          <cell r="D6693" t="str">
            <v>Kotak Banking &amp; Financial Services Fund - Regular Plan - IDCW Payout</v>
          </cell>
          <cell r="E6693">
            <v>16.385000000000002</v>
          </cell>
        </row>
        <row r="6694">
          <cell r="B6694" t="str">
            <v>INF174KA1JN6</v>
          </cell>
          <cell r="C6694" t="str">
            <v>-</v>
          </cell>
          <cell r="D6694" t="str">
            <v>Kotak Business Cycle - Direct Plan - Growth</v>
          </cell>
          <cell r="E6694">
            <v>17.917999999999999</v>
          </cell>
        </row>
        <row r="6695">
          <cell r="B6695" t="str">
            <v>INF174KA1JO4</v>
          </cell>
          <cell r="C6695" t="str">
            <v>INF174KA1JP1</v>
          </cell>
          <cell r="D6695" t="str">
            <v>Kotak Business Cycle Fund-Direct Plan-IDCW option</v>
          </cell>
          <cell r="E6695">
            <v>16.654</v>
          </cell>
        </row>
        <row r="6696">
          <cell r="B6696" t="str">
            <v>INF174KA1JK2</v>
          </cell>
          <cell r="C6696" t="str">
            <v>-</v>
          </cell>
          <cell r="D6696" t="str">
            <v>Kotak Business Cycle Fund-Regular Plan--Growth</v>
          </cell>
          <cell r="E6696">
            <v>16.922000000000001</v>
          </cell>
        </row>
        <row r="6697">
          <cell r="B6697" t="str">
            <v>INF174KA1JL0</v>
          </cell>
          <cell r="C6697" t="str">
            <v>INF174KA1JM8</v>
          </cell>
          <cell r="D6697" t="str">
            <v>Kotak Business Cycle Fund-Regular Plan-IDCW option</v>
          </cell>
          <cell r="E6697">
            <v>15.728999999999999</v>
          </cell>
        </row>
        <row r="6698">
          <cell r="B6698" t="str">
            <v>INF174KA1PP8</v>
          </cell>
          <cell r="C6698" t="str">
            <v>-</v>
          </cell>
          <cell r="D6698" t="str">
            <v>Kotak Consumption Fund - Direct plan - Growth Option</v>
          </cell>
          <cell r="E6698">
            <v>14.586</v>
          </cell>
        </row>
        <row r="6699">
          <cell r="B6699" t="str">
            <v>INF174KA1PQ6</v>
          </cell>
          <cell r="C6699" t="str">
            <v>INF174KA1PR4</v>
          </cell>
          <cell r="D6699" t="str">
            <v>Kotak Consumption Fund - Direct plan - IDCW Option</v>
          </cell>
          <cell r="E6699">
            <v>14.584</v>
          </cell>
        </row>
        <row r="6700">
          <cell r="B6700" t="str">
            <v>INF174KA1PM5</v>
          </cell>
          <cell r="C6700" t="str">
            <v>-</v>
          </cell>
          <cell r="D6700" t="str">
            <v>Kotak Consumption Fund - Regular plan - Growth Option</v>
          </cell>
          <cell r="E6700">
            <v>13.978999999999999</v>
          </cell>
        </row>
        <row r="6701">
          <cell r="B6701" t="str">
            <v>INF174KA1PN3</v>
          </cell>
          <cell r="C6701" t="str">
            <v>INF174KA1PO1</v>
          </cell>
          <cell r="D6701" t="str">
            <v>Kotak Consumption Fund - Regular plan - IDCW Option</v>
          </cell>
          <cell r="E6701">
            <v>13.977</v>
          </cell>
        </row>
        <row r="6702">
          <cell r="B6702" t="str">
            <v>INF174KA1VX0</v>
          </cell>
          <cell r="C6702" t="str">
            <v>-</v>
          </cell>
          <cell r="D6702" t="str">
            <v>Kotak Energy Opportunities Fund-Direct-Growth</v>
          </cell>
          <cell r="E6702">
            <v>10.832000000000001</v>
          </cell>
        </row>
        <row r="6703">
          <cell r="B6703" t="str">
            <v>INF174KA1VY8</v>
          </cell>
          <cell r="C6703" t="str">
            <v>INF174KA1VZ5</v>
          </cell>
          <cell r="D6703" t="str">
            <v>Kotak Energy Opportunities Fund-Direct-IDCW-Payout &amp; Reinvestment</v>
          </cell>
          <cell r="E6703">
            <v>10.831</v>
          </cell>
        </row>
        <row r="6704">
          <cell r="B6704" t="str">
            <v>INF174KA1WA6</v>
          </cell>
          <cell r="C6704" t="str">
            <v>-</v>
          </cell>
          <cell r="D6704" t="str">
            <v>Kotak Energy Opportunities Fund-Regular-Growth</v>
          </cell>
          <cell r="E6704">
            <v>10.629</v>
          </cell>
        </row>
        <row r="6705">
          <cell r="B6705" t="str">
            <v>INF174KA1WB4</v>
          </cell>
          <cell r="C6705" t="str">
            <v>INF174KA1WC2</v>
          </cell>
          <cell r="D6705" t="str">
            <v>Kotak Energy Opportunities Fund-Regular-IDCW-Payout &amp; Reinvestment</v>
          </cell>
          <cell r="E6705">
            <v>10.629</v>
          </cell>
        </row>
        <row r="6706">
          <cell r="B6706" t="str">
            <v>INF174KA1FI4</v>
          </cell>
          <cell r="C6706" t="str">
            <v>-</v>
          </cell>
          <cell r="D6706" t="str">
            <v>Kotak ESG Exclusionary Strategy Fund - Direct Plan - Growth Option</v>
          </cell>
          <cell r="E6706">
            <v>18.317</v>
          </cell>
        </row>
        <row r="6707">
          <cell r="B6707" t="str">
            <v>INF174KA1FH6</v>
          </cell>
          <cell r="C6707" t="str">
            <v>INF174KA1FJ2</v>
          </cell>
          <cell r="D6707" t="str">
            <v>Kotak ESG Exclusionary Strategy Fund - Direct Plan - Payout of Income Distribution cum capital withdrawal option</v>
          </cell>
          <cell r="E6707">
            <v>18.318000000000001</v>
          </cell>
        </row>
        <row r="6708">
          <cell r="B6708" t="str">
            <v>INF174KA1FF0</v>
          </cell>
          <cell r="C6708" t="str">
            <v>-</v>
          </cell>
          <cell r="D6708" t="str">
            <v>Kotak ESG Exclusionary Strategy Fund - Regular Plan - Growth Option</v>
          </cell>
          <cell r="E6708">
            <v>16.756</v>
          </cell>
        </row>
        <row r="6709">
          <cell r="B6709" t="str">
            <v>INF174KA1FE3</v>
          </cell>
          <cell r="C6709" t="str">
            <v>INF174KA1FG8</v>
          </cell>
          <cell r="D6709" t="str">
            <v>Kotak ESG Exclusionary Strategy Fund - Regular Plan - Payout of Income Distribution cum capital withdrawal option</v>
          </cell>
          <cell r="E6709">
            <v>16.756</v>
          </cell>
        </row>
        <row r="6710">
          <cell r="B6710" t="str">
            <v>INF174KA1PZ7</v>
          </cell>
          <cell r="C6710" t="str">
            <v>-</v>
          </cell>
          <cell r="D6710" t="str">
            <v>Kotak Healthcare Fund - Direct Plan - Growth Option</v>
          </cell>
          <cell r="E6710">
            <v>16.928000000000001</v>
          </cell>
        </row>
        <row r="6711">
          <cell r="B6711" t="str">
            <v>INF174KA1QA8</v>
          </cell>
          <cell r="C6711" t="str">
            <v>INF174KA1QB6</v>
          </cell>
          <cell r="D6711" t="str">
            <v>Kotak Healthcare Fund - Direct Plan - IDCW Option</v>
          </cell>
          <cell r="E6711">
            <v>16.927</v>
          </cell>
        </row>
        <row r="6712">
          <cell r="B6712" t="str">
            <v>INF174KA1PW4</v>
          </cell>
          <cell r="C6712" t="str">
            <v>-</v>
          </cell>
          <cell r="D6712" t="str">
            <v>Kotak Healthcare Fund - Regular Plan - Growth Option</v>
          </cell>
          <cell r="E6712">
            <v>16.221</v>
          </cell>
        </row>
        <row r="6713">
          <cell r="B6713" t="str">
            <v>INF174KA1PX2</v>
          </cell>
          <cell r="C6713" t="str">
            <v>INF174KA1PY0</v>
          </cell>
          <cell r="D6713" t="str">
            <v>Kotak Healthcare Fund - Regular Plan - IDCW Option</v>
          </cell>
          <cell r="E6713">
            <v>16.225999999999999</v>
          </cell>
        </row>
        <row r="6714">
          <cell r="B6714" t="str">
            <v>INF178L01095</v>
          </cell>
          <cell r="C6714" t="str">
            <v>-</v>
          </cell>
          <cell r="D6714" t="str">
            <v>Kotak Infrastructure &amp; Economic Reform Fund - Standard Plan-Growth</v>
          </cell>
          <cell r="E6714">
            <v>68.709000000000003</v>
          </cell>
        </row>
        <row r="6715">
          <cell r="B6715" t="str">
            <v>INF178L01079</v>
          </cell>
          <cell r="C6715" t="str">
            <v>INF178L01087</v>
          </cell>
          <cell r="D6715" t="str">
            <v>Kotak Infrastructure &amp; Economic Reform Fund - Standard Plan-Payout of Income Distribution cum capital withdrawal option</v>
          </cell>
          <cell r="E6715">
            <v>54.951000000000001</v>
          </cell>
        </row>
        <row r="6716">
          <cell r="B6716" t="str">
            <v>INF178L01AL9</v>
          </cell>
          <cell r="C6716" t="str">
            <v>-</v>
          </cell>
          <cell r="D6716" t="str">
            <v>Kotak Infrastructure &amp; Economic Reform Fund- Direct Plan- Growth Option</v>
          </cell>
          <cell r="E6716">
            <v>82.171000000000006</v>
          </cell>
        </row>
        <row r="6717">
          <cell r="B6717" t="str">
            <v>INF178L01AK1</v>
          </cell>
          <cell r="C6717" t="str">
            <v>INF178L01AJ3</v>
          </cell>
          <cell r="D6717" t="str">
            <v>Kotak Infrastructure &amp; Economic Reform Fund- Direct Plan- Payout of Income Distribution cum capital withdrawal option</v>
          </cell>
          <cell r="E6717">
            <v>81.230999999999995</v>
          </cell>
        </row>
        <row r="6718">
          <cell r="B6718" t="str">
            <v>INF174KA1IF4</v>
          </cell>
          <cell r="C6718" t="str">
            <v>-</v>
          </cell>
          <cell r="D6718" t="str">
            <v>Kotak Manufacture in India Fund - Direct Plan Growth</v>
          </cell>
          <cell r="E6718">
            <v>22.817</v>
          </cell>
        </row>
        <row r="6719">
          <cell r="B6719" t="str">
            <v>INF174KA1IG2</v>
          </cell>
          <cell r="C6719" t="str">
            <v>INF174KA1IH0</v>
          </cell>
          <cell r="D6719" t="str">
            <v>Kotak Manufacture in India Fund - Direct Plan IDCW Option</v>
          </cell>
          <cell r="E6719">
            <v>22.817</v>
          </cell>
        </row>
        <row r="6720">
          <cell r="B6720" t="str">
            <v>INF174KA1IC1</v>
          </cell>
          <cell r="C6720" t="str">
            <v>-</v>
          </cell>
          <cell r="D6720" t="str">
            <v>Kotak Manufacture in India Fund - Regular Plan Growth</v>
          </cell>
          <cell r="E6720">
            <v>21.311</v>
          </cell>
        </row>
        <row r="6721">
          <cell r="B6721" t="str">
            <v>INF174KA1ID9</v>
          </cell>
          <cell r="C6721" t="str">
            <v>INF174KA1IE7</v>
          </cell>
          <cell r="D6721" t="str">
            <v>Kotak Manufacture in India Fund - Regular Plan IDCW Option</v>
          </cell>
          <cell r="E6721">
            <v>21.311</v>
          </cell>
        </row>
        <row r="6722">
          <cell r="B6722" t="str">
            <v>INF174KA1TG9</v>
          </cell>
          <cell r="C6722" t="str">
            <v>-</v>
          </cell>
          <cell r="D6722" t="str">
            <v>Kotak MNC Fund-Direct Plan-Growth</v>
          </cell>
          <cell r="E6722">
            <v>12.512</v>
          </cell>
        </row>
        <row r="6723">
          <cell r="B6723" t="str">
            <v>INF174KA1TH7</v>
          </cell>
          <cell r="C6723" t="str">
            <v>INF174KA1TI5</v>
          </cell>
          <cell r="D6723" t="str">
            <v>Kotak MNC Fund-Direct Plan-IDCW Option</v>
          </cell>
          <cell r="E6723">
            <v>12.513</v>
          </cell>
        </row>
        <row r="6724">
          <cell r="B6724" t="str">
            <v>INF174KA1TJ3</v>
          </cell>
          <cell r="C6724" t="str">
            <v>-</v>
          </cell>
          <cell r="D6724" t="str">
            <v>Kotak MNC Fund-Regular Plan- Growth</v>
          </cell>
          <cell r="E6724">
            <v>12.204000000000001</v>
          </cell>
        </row>
        <row r="6725">
          <cell r="B6725" t="str">
            <v>INF174KA1TK1</v>
          </cell>
          <cell r="C6725" t="str">
            <v>INF174KA1TL9</v>
          </cell>
          <cell r="D6725" t="str">
            <v>KotaK MNC Fund-Regular Plan-IDCW OPTION</v>
          </cell>
          <cell r="E6725">
            <v>12.204000000000001</v>
          </cell>
        </row>
        <row r="6726">
          <cell r="B6726" t="str">
            <v>INF174KA1EZ1</v>
          </cell>
          <cell r="C6726" t="str">
            <v>-</v>
          </cell>
          <cell r="D6726" t="str">
            <v>Kotak Pioneer Fund- Direct Plan- Growth Option</v>
          </cell>
          <cell r="E6726">
            <v>38.039000000000001</v>
          </cell>
        </row>
        <row r="6727">
          <cell r="B6727" t="str">
            <v>INF174KA1EW8</v>
          </cell>
          <cell r="C6727" t="str">
            <v>-</v>
          </cell>
          <cell r="D6727" t="str">
            <v>Kotak Pioneer Fund- Regular Plan- Growth Option</v>
          </cell>
          <cell r="E6727">
            <v>34.274999999999999</v>
          </cell>
        </row>
        <row r="6728">
          <cell r="B6728" t="str">
            <v>INF174KA1EU2</v>
          </cell>
          <cell r="C6728" t="str">
            <v>INF174KA1EV0</v>
          </cell>
          <cell r="D6728" t="str">
            <v>Kotak Pioneer Fund- Regular Plan- Reinvestment of Income Distribution cum capital withdrawal option</v>
          </cell>
          <cell r="E6728">
            <v>34.29</v>
          </cell>
        </row>
        <row r="6729">
          <cell r="B6729" t="str">
            <v>INF174KA1EX6</v>
          </cell>
          <cell r="C6729" t="str">
            <v>INF174KA1EY4</v>
          </cell>
          <cell r="D6729" t="str">
            <v>Kotak Pioneer Fund-Direct Plan-Reinvestment of Income Distribution cum capital withdrawal option</v>
          </cell>
          <cell r="E6729">
            <v>38.033999999999999</v>
          </cell>
        </row>
        <row r="6730">
          <cell r="B6730" t="str">
            <v>INF174KA1OL0</v>
          </cell>
          <cell r="C6730" t="str">
            <v>-</v>
          </cell>
          <cell r="D6730" t="str">
            <v>Kotak Quant Fund - Direct Plan - Growth Option</v>
          </cell>
          <cell r="E6730">
            <v>15.196</v>
          </cell>
        </row>
        <row r="6731">
          <cell r="B6731" t="str">
            <v>INF174KA1OM8</v>
          </cell>
          <cell r="C6731" t="str">
            <v>INF174KA1ON6</v>
          </cell>
          <cell r="D6731" t="str">
            <v>Kotak Quant Fund - Direct plan - IDCW Payout</v>
          </cell>
          <cell r="E6731">
            <v>15.196</v>
          </cell>
        </row>
        <row r="6732">
          <cell r="B6732" t="str">
            <v>INF174KA1OI6</v>
          </cell>
          <cell r="C6732" t="str">
            <v>-</v>
          </cell>
          <cell r="D6732" t="str">
            <v>Kotak Quant Fund - Regular Plan - Growth Option</v>
          </cell>
          <cell r="E6732">
            <v>15.019</v>
          </cell>
        </row>
        <row r="6733">
          <cell r="B6733" t="str">
            <v>INF174KA1OJ4</v>
          </cell>
          <cell r="C6733" t="str">
            <v>INF174KA1OK2</v>
          </cell>
          <cell r="D6733" t="str">
            <v>Kotak Quant Fund - Regular Plan - IDCW Payout</v>
          </cell>
          <cell r="E6733">
            <v>14.904</v>
          </cell>
        </row>
        <row r="6734">
          <cell r="B6734" t="str">
            <v>INF174KA1XW8</v>
          </cell>
          <cell r="C6734" t="str">
            <v>-</v>
          </cell>
          <cell r="D6734" t="str">
            <v>Kotak Rural Opportunities Fund - Direct Plan - Growth</v>
          </cell>
          <cell r="E6734">
            <v>9.8800000000000008</v>
          </cell>
        </row>
        <row r="6735">
          <cell r="B6735" t="str">
            <v>INF174KA1XX6</v>
          </cell>
          <cell r="C6735" t="str">
            <v>INF174KA1XY4</v>
          </cell>
          <cell r="D6735" t="str">
            <v>Kotak Rural Opportunities Fund - Direct Plan - IDCW Divdend - Payouout &amp; Reinvestment</v>
          </cell>
          <cell r="E6735">
            <v>9.8789999999999996</v>
          </cell>
        </row>
        <row r="6736">
          <cell r="B6736" t="str">
            <v>INF174KA1XZ1</v>
          </cell>
          <cell r="C6736" t="str">
            <v>-</v>
          </cell>
          <cell r="D6736" t="str">
            <v>Kotak Rural Opportunities Fund - Regular Plan - Growth</v>
          </cell>
          <cell r="E6736">
            <v>9.7789999999999999</v>
          </cell>
        </row>
        <row r="6737">
          <cell r="B6737" t="str">
            <v>INF174KA1YA2</v>
          </cell>
          <cell r="C6737" t="str">
            <v>INF174KA1YB0</v>
          </cell>
          <cell r="D6737" t="str">
            <v>Kotak Rural Opportunities Fund - Regular Plan - IDCW Dividend - Payout &amp; Reinvestment</v>
          </cell>
          <cell r="E6737">
            <v>9.7789999999999999</v>
          </cell>
        </row>
        <row r="6738">
          <cell r="B6738" t="str">
            <v>INF174KA1YV8</v>
          </cell>
          <cell r="C6738" t="str">
            <v>-</v>
          </cell>
          <cell r="D6738" t="str">
            <v>Kotak Services Fund - Direct - Growth</v>
          </cell>
          <cell r="E6738">
            <v>10.414999999999999</v>
          </cell>
        </row>
        <row r="6739">
          <cell r="B6739" t="str">
            <v>INF174KA1YW6</v>
          </cell>
          <cell r="C6739" t="str">
            <v>INF174KA1YX4</v>
          </cell>
          <cell r="D6739" t="str">
            <v>Kotak Services Fund - Direct - IDCW</v>
          </cell>
          <cell r="E6739">
            <v>10.414999999999999</v>
          </cell>
        </row>
        <row r="6740">
          <cell r="B6740" t="str">
            <v>INF174KA1YY2</v>
          </cell>
          <cell r="C6740" t="str">
            <v>-</v>
          </cell>
          <cell r="D6740" t="str">
            <v>Kotak Services Fund - Regular - Growth</v>
          </cell>
          <cell r="E6740">
            <v>10.356</v>
          </cell>
        </row>
        <row r="6741">
          <cell r="B6741" t="str">
            <v>INF174KA1YZ9</v>
          </cell>
          <cell r="C6741" t="str">
            <v>INF174KA1ZA9</v>
          </cell>
          <cell r="D6741" t="str">
            <v>Kotak Services Fund - Regular - IDCW</v>
          </cell>
          <cell r="E6741">
            <v>10.355</v>
          </cell>
        </row>
        <row r="6742">
          <cell r="B6742" t="str">
            <v>INF174KA1SF3</v>
          </cell>
          <cell r="C6742" t="str">
            <v>-</v>
          </cell>
          <cell r="D6742" t="str">
            <v>Kotak Special Opportunities Fund - Direct Plan - Growth Option</v>
          </cell>
          <cell r="E6742">
            <v>11.007</v>
          </cell>
        </row>
        <row r="6743">
          <cell r="B6743" t="str">
            <v>INF174KA1SG1</v>
          </cell>
          <cell r="C6743" t="str">
            <v>-</v>
          </cell>
          <cell r="D6743" t="str">
            <v>Kotak Special Opportunities Fund - Direct Plan - IDCW Payout Option</v>
          </cell>
          <cell r="E6743">
            <v>11.007999999999999</v>
          </cell>
        </row>
        <row r="6744">
          <cell r="B6744" t="str">
            <v>INF174KA1SC0</v>
          </cell>
          <cell r="C6744" t="str">
            <v>-</v>
          </cell>
          <cell r="D6744" t="str">
            <v>Kotak Special Opportunities Fund - Regular Plan - Growth Option</v>
          </cell>
          <cell r="E6744">
            <v>10.698</v>
          </cell>
        </row>
        <row r="6745">
          <cell r="B6745" t="str">
            <v>INF174KA1SD8</v>
          </cell>
          <cell r="C6745" t="str">
            <v>INF174KA1SE6</v>
          </cell>
          <cell r="D6745" t="str">
            <v>Kotak Special Opportunities Fund - Regular Plan - IDCW Option</v>
          </cell>
          <cell r="E6745">
            <v>10.698</v>
          </cell>
        </row>
        <row r="6746">
          <cell r="B6746" t="str">
            <v>INF174KA1QZ5</v>
          </cell>
          <cell r="C6746" t="str">
            <v>-</v>
          </cell>
          <cell r="D6746" t="str">
            <v>Kotak Technology Fund - Direct Plan - Growth Option</v>
          </cell>
          <cell r="E6746">
            <v>10.237</v>
          </cell>
        </row>
        <row r="6747">
          <cell r="B6747" t="str">
            <v>INF174KA1RA6</v>
          </cell>
          <cell r="C6747" t="str">
            <v>INF174KA1RB4</v>
          </cell>
          <cell r="D6747" t="str">
            <v>Kotak Technology Fund - Direct Plan - IDCW Option</v>
          </cell>
          <cell r="E6747">
            <v>10.237</v>
          </cell>
        </row>
        <row r="6748">
          <cell r="B6748" t="str">
            <v>INF174KA1QW2</v>
          </cell>
          <cell r="C6748" t="str">
            <v>-</v>
          </cell>
          <cell r="D6748" t="str">
            <v>Kotak Technology Fund - Regular Plan - Growth Option</v>
          </cell>
          <cell r="E6748">
            <v>9.8879999999999999</v>
          </cell>
        </row>
        <row r="6749">
          <cell r="B6749" t="str">
            <v>INF174KA1QX0</v>
          </cell>
          <cell r="C6749" t="str">
            <v>INF174KA1QY8</v>
          </cell>
          <cell r="D6749" t="str">
            <v>Kotak Technology Fund - Regular Plan - IDCW Option</v>
          </cell>
          <cell r="E6749">
            <v>9.8879999999999999</v>
          </cell>
        </row>
        <row r="6750">
          <cell r="B6750" t="str">
            <v>INF174KA1TT2</v>
          </cell>
          <cell r="C6750" t="str">
            <v>INF174KA1TU0</v>
          </cell>
          <cell r="D6750" t="str">
            <v>Kotak Transportation &amp; Logistics Fund-Direct -IDCW-PAYOUT &amp; REINVESTMENT</v>
          </cell>
          <cell r="E6750">
            <v>11.477</v>
          </cell>
        </row>
        <row r="6751">
          <cell r="B6751" t="str">
            <v>INF174KA1TS4</v>
          </cell>
          <cell r="C6751" t="str">
            <v>-</v>
          </cell>
          <cell r="D6751" t="str">
            <v>Kotak Transportation &amp; Logistics Fund-Direct Growth</v>
          </cell>
          <cell r="E6751">
            <v>11.477</v>
          </cell>
        </row>
        <row r="6752">
          <cell r="B6752" t="str">
            <v>INF174KA1TV8</v>
          </cell>
          <cell r="C6752" t="str">
            <v>-</v>
          </cell>
          <cell r="D6752" t="str">
            <v>Kotak Transportation &amp; Logistics Fund-Regular-Growth</v>
          </cell>
          <cell r="E6752">
            <v>11.191000000000001</v>
          </cell>
        </row>
        <row r="6753">
          <cell r="B6753" t="str">
            <v>INF174KA1TW6</v>
          </cell>
          <cell r="C6753" t="str">
            <v>INF174KA1TX4</v>
          </cell>
          <cell r="D6753" t="str">
            <v>Kotak Transportation &amp; Logistics Fund-Regular-IDCW Payout &amp; Reinvestment</v>
          </cell>
          <cell r="E6753">
            <v>11.192</v>
          </cell>
        </row>
        <row r="6754">
          <cell r="B6754" t="str">
            <v/>
          </cell>
          <cell r="C6754" t="str">
            <v/>
          </cell>
          <cell r="D6754" t="str">
            <v/>
          </cell>
        </row>
        <row r="6755">
          <cell r="B6755" t="str">
            <v/>
          </cell>
          <cell r="C6755" t="str">
            <v/>
          </cell>
          <cell r="D6755" t="str">
            <v/>
          </cell>
        </row>
        <row r="6756">
          <cell r="B6756" t="str">
            <v/>
          </cell>
          <cell r="C6756" t="str">
            <v/>
          </cell>
          <cell r="D6756" t="str">
            <v/>
          </cell>
        </row>
        <row r="6757">
          <cell r="B6757" t="str">
            <v>INF767K01NK6</v>
          </cell>
          <cell r="C6757" t="str">
            <v>-</v>
          </cell>
          <cell r="D6757" t="str">
            <v>LIC MF Banking and Financial Services Fund-Direct Plan-Growth</v>
          </cell>
          <cell r="E6757">
            <v>24.588200000000001</v>
          </cell>
        </row>
        <row r="6758">
          <cell r="B6758" t="str">
            <v>INF767K01NJ8</v>
          </cell>
          <cell r="C6758" t="str">
            <v>INF767K01NL4</v>
          </cell>
          <cell r="D6758" t="str">
            <v>LIC MF Banking and Financial Services Fund-Direct Plan-IDCW</v>
          </cell>
          <cell r="E6758">
            <v>24.4161</v>
          </cell>
        </row>
        <row r="6759">
          <cell r="B6759" t="str">
            <v>INF767K01NH2</v>
          </cell>
          <cell r="C6759" t="str">
            <v>-</v>
          </cell>
          <cell r="D6759" t="str">
            <v>LIC MF Banking and Financial Services Fund-Regular Plan-Growth</v>
          </cell>
          <cell r="E6759">
            <v>21.5076</v>
          </cell>
        </row>
        <row r="6760">
          <cell r="B6760" t="str">
            <v>INF767K01NG4</v>
          </cell>
          <cell r="C6760" t="str">
            <v>INF767K01NI0</v>
          </cell>
          <cell r="D6760" t="str">
            <v>LIC MF Banking and Financial Services Fund-Regular Plan-IDCW</v>
          </cell>
          <cell r="E6760">
            <v>21.503799999999998</v>
          </cell>
        </row>
        <row r="6761">
          <cell r="B6761" t="str">
            <v>INF767K01SD0</v>
          </cell>
          <cell r="C6761" t="str">
            <v>-</v>
          </cell>
          <cell r="D6761" t="str">
            <v>LIC MF Consumption Fund-Direct Plan-Growth</v>
          </cell>
          <cell r="E6761">
            <v>9.8070000000000004</v>
          </cell>
        </row>
        <row r="6762">
          <cell r="B6762" t="str">
            <v>INF767K01SF5</v>
          </cell>
          <cell r="C6762" t="str">
            <v>INF767K01SE8</v>
          </cell>
          <cell r="D6762" t="str">
            <v>LIC MF Consumption Fund-Direct Plan-IDCW</v>
          </cell>
          <cell r="E6762">
            <v>9.8070000000000004</v>
          </cell>
        </row>
        <row r="6763">
          <cell r="B6763" t="str">
            <v>INF767K01SA6</v>
          </cell>
          <cell r="C6763" t="str">
            <v>-</v>
          </cell>
          <cell r="D6763" t="str">
            <v>LIC MF Consumption Fund-Regular Plan-Growth</v>
          </cell>
          <cell r="E6763">
            <v>9.7057000000000002</v>
          </cell>
        </row>
        <row r="6764">
          <cell r="B6764" t="str">
            <v>INF767K01SC2</v>
          </cell>
          <cell r="C6764" t="str">
            <v>INF767K01SB4</v>
          </cell>
          <cell r="D6764" t="str">
            <v>LIC MF Consumption Fund-Regular Plan-IDCW</v>
          </cell>
          <cell r="E6764">
            <v>9.7057000000000002</v>
          </cell>
        </row>
        <row r="6765">
          <cell r="B6765" t="str">
            <v>INF397L01LK4</v>
          </cell>
          <cell r="C6765" t="str">
            <v>-</v>
          </cell>
          <cell r="D6765" t="str">
            <v>LIC MF Healthcare Fund-Direct Plan-Growth</v>
          </cell>
          <cell r="E6765">
            <v>36.081299999999999</v>
          </cell>
        </row>
        <row r="6766">
          <cell r="B6766" t="str">
            <v>INF397L01LH0</v>
          </cell>
          <cell r="C6766" t="str">
            <v>INF397L01LI8</v>
          </cell>
          <cell r="D6766" t="str">
            <v>LIC MF Healthcare Fund-Direct Plan-IDCW</v>
          </cell>
          <cell r="E6766">
            <v>36.069400000000002</v>
          </cell>
        </row>
        <row r="6767">
          <cell r="B6767" t="str">
            <v>INF397L01LG2</v>
          </cell>
          <cell r="C6767" t="str">
            <v>-</v>
          </cell>
          <cell r="D6767" t="str">
            <v>LIC MF Healthcare Fund-Regular Plan-Growth</v>
          </cell>
          <cell r="E6767">
            <v>32.622500000000002</v>
          </cell>
        </row>
        <row r="6768">
          <cell r="B6768" t="str">
            <v>INF397L01LD9</v>
          </cell>
          <cell r="C6768" t="str">
            <v>INF397L01LE7</v>
          </cell>
          <cell r="D6768" t="str">
            <v>LIC MF Healthcare Fund-Regular Plan-IDCW</v>
          </cell>
          <cell r="E6768">
            <v>32.622999999999998</v>
          </cell>
        </row>
        <row r="6769">
          <cell r="B6769" t="str">
            <v>INF767K01GW5</v>
          </cell>
          <cell r="C6769" t="str">
            <v>-</v>
          </cell>
          <cell r="D6769" t="str">
            <v>LIC MF Infrastructure Fund-Direct Plan-Growth</v>
          </cell>
          <cell r="E6769">
            <v>62.384</v>
          </cell>
        </row>
        <row r="6770">
          <cell r="B6770" t="str">
            <v>INF767K01GV7</v>
          </cell>
          <cell r="C6770" t="str">
            <v>INF767K01GX3</v>
          </cell>
          <cell r="D6770" t="str">
            <v>LIC MF Infrastructure Fund-Direct Plan-IDCW</v>
          </cell>
          <cell r="E6770">
            <v>61.252600000000001</v>
          </cell>
        </row>
        <row r="6771">
          <cell r="B6771" t="str">
            <v>INF767K01501</v>
          </cell>
          <cell r="C6771" t="str">
            <v>-</v>
          </cell>
          <cell r="D6771" t="str">
            <v>LIC MF Infrastructure Fund-Regular Plan-Growth</v>
          </cell>
          <cell r="E6771">
            <v>53.835799999999999</v>
          </cell>
        </row>
        <row r="6772">
          <cell r="B6772" t="str">
            <v>INF767K01485</v>
          </cell>
          <cell r="C6772" t="str">
            <v>INF767K01493</v>
          </cell>
          <cell r="D6772" t="str">
            <v>LIC MF Infrastructure Fund-Regular Plan-IDCW</v>
          </cell>
          <cell r="E6772">
            <v>53.837299999999999</v>
          </cell>
        </row>
        <row r="6773">
          <cell r="B6773" t="str">
            <v>INF767K01RR2</v>
          </cell>
          <cell r="C6773" t="str">
            <v>-</v>
          </cell>
          <cell r="D6773" t="str">
            <v>LIC MF Manufacturing Fund-Direct Plan-Growth</v>
          </cell>
          <cell r="E6773">
            <v>11.582599999999999</v>
          </cell>
        </row>
        <row r="6774">
          <cell r="B6774" t="str">
            <v>INF767K01RT8</v>
          </cell>
          <cell r="C6774" t="str">
            <v>INF767K01RS0</v>
          </cell>
          <cell r="D6774" t="str">
            <v>LIC MF Manufacturing Fund-Direct Plan-IDCW</v>
          </cell>
          <cell r="E6774">
            <v>11.582599999999999</v>
          </cell>
        </row>
        <row r="6775">
          <cell r="B6775" t="str">
            <v>INF767K01RO9</v>
          </cell>
          <cell r="C6775" t="str">
            <v>-</v>
          </cell>
          <cell r="D6775" t="str">
            <v>LIC MF Manufacturing Fund-Regular Plan-Growth</v>
          </cell>
          <cell r="E6775">
            <v>11.2577</v>
          </cell>
        </row>
        <row r="6776">
          <cell r="B6776" t="str">
            <v>INF767K01RQ4</v>
          </cell>
          <cell r="C6776" t="str">
            <v>INF767K01RP6</v>
          </cell>
          <cell r="D6776" t="str">
            <v>LIC MF Manufacturing Fund-Regular Plan-IDCW</v>
          </cell>
          <cell r="E6776">
            <v>11.2577</v>
          </cell>
        </row>
        <row r="6777">
          <cell r="B6777" t="str">
            <v>INF767K01SJ7</v>
          </cell>
          <cell r="C6777" t="str">
            <v>-</v>
          </cell>
          <cell r="D6777" t="str">
            <v>LIC MF Technology Fund-Direct Plan-Growth</v>
          </cell>
          <cell r="E6777">
            <v>10.7577</v>
          </cell>
        </row>
        <row r="6778">
          <cell r="B6778" t="str">
            <v>INF767K01SL3</v>
          </cell>
          <cell r="C6778" t="str">
            <v>INF767K01SK5</v>
          </cell>
          <cell r="D6778" t="str">
            <v>LIC MF Technology Fund-Direct Plan-IDCW</v>
          </cell>
          <cell r="E6778">
            <v>10.757400000000001</v>
          </cell>
        </row>
        <row r="6779">
          <cell r="B6779" t="str">
            <v>INF767K01SG3</v>
          </cell>
          <cell r="C6779" t="str">
            <v>-</v>
          </cell>
          <cell r="D6779" t="str">
            <v>LIC MF Technology Fund-Regular Plan-Growth</v>
          </cell>
          <cell r="E6779">
            <v>10.6958</v>
          </cell>
        </row>
        <row r="6780">
          <cell r="B6780" t="str">
            <v>INF767K01SI9</v>
          </cell>
          <cell r="C6780" t="str">
            <v>INF767K01SH1</v>
          </cell>
          <cell r="D6780" t="str">
            <v>LIC MF Technology Fund-Regular Plan-IDCW</v>
          </cell>
          <cell r="E6780">
            <v>10.6958</v>
          </cell>
        </row>
        <row r="6781">
          <cell r="B6781" t="str">
            <v/>
          </cell>
          <cell r="C6781" t="str">
            <v/>
          </cell>
          <cell r="D6781" t="str">
            <v/>
          </cell>
        </row>
        <row r="6782">
          <cell r="B6782" t="str">
            <v/>
          </cell>
          <cell r="C6782" t="str">
            <v/>
          </cell>
          <cell r="D6782" t="str">
            <v/>
          </cell>
        </row>
        <row r="6783">
          <cell r="B6783" t="str">
            <v/>
          </cell>
          <cell r="C6783" t="str">
            <v/>
          </cell>
          <cell r="D6783" t="str">
            <v/>
          </cell>
        </row>
        <row r="6784">
          <cell r="B6784" t="str">
            <v>INF174V01BQ4</v>
          </cell>
          <cell r="C6784" t="str">
            <v>-</v>
          </cell>
          <cell r="D6784" t="str">
            <v>Mahindra Manulife Business Cycle Fund - Direct Plan - Growth</v>
          </cell>
          <cell r="E6784">
            <v>16.4251</v>
          </cell>
        </row>
        <row r="6785">
          <cell r="B6785" t="str">
            <v>INF174V01BR2</v>
          </cell>
          <cell r="C6785" t="str">
            <v>INF174V01BS0</v>
          </cell>
          <cell r="D6785" t="str">
            <v>Mahindra Manulife Business Cycle Fund - Direct Plan - IDCW</v>
          </cell>
          <cell r="E6785">
            <v>14.107100000000001</v>
          </cell>
        </row>
        <row r="6786">
          <cell r="B6786" t="str">
            <v>INF174V01BO9</v>
          </cell>
          <cell r="C6786" t="str">
            <v>INF174V01BP6</v>
          </cell>
          <cell r="D6786" t="str">
            <v>Mahindra Manulife Business Cycle Fund - Regular Plan - IDCW</v>
          </cell>
          <cell r="E6786">
            <v>13.362399999999999</v>
          </cell>
        </row>
        <row r="6787">
          <cell r="B6787" t="str">
            <v>INF174V01BN1</v>
          </cell>
          <cell r="C6787" t="str">
            <v>-</v>
          </cell>
          <cell r="D6787" t="str">
            <v>Mahindra Manulife Business Cycle Fund-  Regular Plan - Growth</v>
          </cell>
          <cell r="E6787">
            <v>15.646800000000001</v>
          </cell>
        </row>
        <row r="6788">
          <cell r="B6788" t="str">
            <v>INF174V01DA4</v>
          </cell>
          <cell r="C6788" t="str">
            <v>-</v>
          </cell>
          <cell r="D6788" t="str">
            <v>Mahindra Manulife Innovation Opportunities Fund - Direct - Growth</v>
          </cell>
          <cell r="E6788">
            <v>10.9923</v>
          </cell>
        </row>
        <row r="6789">
          <cell r="B6789" t="str">
            <v>INF174V01DC0</v>
          </cell>
          <cell r="C6789" t="str">
            <v>INF174V01DB2</v>
          </cell>
          <cell r="D6789" t="str">
            <v>Mahindra Manulife Innovation Opportunities Fund - Direct - IDCW</v>
          </cell>
          <cell r="E6789">
            <v>10.9923</v>
          </cell>
        </row>
        <row r="6790">
          <cell r="B6790" t="str">
            <v>INF174V01CX8</v>
          </cell>
          <cell r="C6790" t="str">
            <v>-</v>
          </cell>
          <cell r="D6790" t="str">
            <v>Mahindra Manulife Innovation Opportunities Fund - Regular - Growth</v>
          </cell>
          <cell r="E6790">
            <v>10.8971</v>
          </cell>
        </row>
        <row r="6791">
          <cell r="B6791" t="str">
            <v>INF174V01CZ3</v>
          </cell>
          <cell r="C6791" t="str">
            <v>INF174V01CY6</v>
          </cell>
          <cell r="D6791" t="str">
            <v>Mahindra Manulife Innovation Opportunities Fund - Regular - IDCW</v>
          </cell>
          <cell r="E6791">
            <v>10.8973</v>
          </cell>
        </row>
        <row r="6792">
          <cell r="B6792" t="str">
            <v>INF174V01CC2</v>
          </cell>
          <cell r="C6792" t="str">
            <v>-</v>
          </cell>
          <cell r="D6792" t="str">
            <v>Mahindra Manulife Manufacturing Fund - Direct Plan - Growth</v>
          </cell>
          <cell r="E6792">
            <v>10.7814</v>
          </cell>
        </row>
        <row r="6793">
          <cell r="B6793" t="str">
            <v>INF174V01CD0</v>
          </cell>
          <cell r="C6793" t="str">
            <v>INF174V01CE8</v>
          </cell>
          <cell r="D6793" t="str">
            <v>Mahindra Manulife Manufacturing Fund - Direct Plan - IDCW</v>
          </cell>
          <cell r="E6793">
            <v>10.7814</v>
          </cell>
        </row>
        <row r="6794">
          <cell r="B6794" t="str">
            <v>INF174V01BZ5</v>
          </cell>
          <cell r="C6794" t="str">
            <v>-</v>
          </cell>
          <cell r="D6794" t="str">
            <v>Mahindra Manulife Manufacturing Fund - Regular Plan - Growth</v>
          </cell>
          <cell r="E6794">
            <v>10.435</v>
          </cell>
        </row>
        <row r="6795">
          <cell r="B6795" t="str">
            <v>INF174V01CA6</v>
          </cell>
          <cell r="C6795" t="str">
            <v>INF174V01CB4</v>
          </cell>
          <cell r="D6795" t="str">
            <v>Mahindra Manulife Manufacturing Fund - Regular Plan - IDCW</v>
          </cell>
          <cell r="E6795">
            <v>10.435</v>
          </cell>
        </row>
        <row r="6796">
          <cell r="B6796" t="str">
            <v>INF174V01CO7</v>
          </cell>
          <cell r="C6796" t="str">
            <v>-</v>
          </cell>
          <cell r="D6796" t="str">
            <v>Mahindra Manulife Banking &amp; Financial Services Fund - Direct - Growth</v>
          </cell>
          <cell r="E6796">
            <v>10.8337</v>
          </cell>
        </row>
        <row r="6797">
          <cell r="B6797" t="str">
            <v>INF174V01CQ2</v>
          </cell>
          <cell r="C6797" t="str">
            <v>INF174V01CP4</v>
          </cell>
          <cell r="D6797" t="str">
            <v>Mahindra Manulife Banking &amp; Financial Services Fund - Direct - IDCW</v>
          </cell>
          <cell r="E6797">
            <v>10.8337</v>
          </cell>
        </row>
        <row r="6798">
          <cell r="B6798" t="str">
            <v>INF174V01CL3</v>
          </cell>
          <cell r="C6798" t="str">
            <v>-</v>
          </cell>
          <cell r="D6798" t="str">
            <v>Mahindra Manulife Banking &amp; Financial Services Fund - Regular - Growth</v>
          </cell>
          <cell r="E6798">
            <v>10.639099999999999</v>
          </cell>
        </row>
        <row r="6799">
          <cell r="B6799" t="str">
            <v>INF174V01CN9</v>
          </cell>
          <cell r="C6799" t="str">
            <v>INF174V01CM1</v>
          </cell>
          <cell r="D6799" t="str">
            <v>Mahindra Manulife Banking &amp; Financial Services Fund - Regular - IDCW</v>
          </cell>
          <cell r="E6799">
            <v>10.639099999999999</v>
          </cell>
        </row>
        <row r="6800">
          <cell r="B6800" t="str">
            <v/>
          </cell>
          <cell r="C6800" t="str">
            <v/>
          </cell>
          <cell r="D6800" t="str">
            <v/>
          </cell>
        </row>
        <row r="6801">
          <cell r="B6801" t="str">
            <v/>
          </cell>
          <cell r="C6801" t="str">
            <v/>
          </cell>
          <cell r="D6801" t="str">
            <v/>
          </cell>
        </row>
        <row r="6802">
          <cell r="B6802" t="str">
            <v/>
          </cell>
          <cell r="C6802" t="str">
            <v/>
          </cell>
          <cell r="D6802" t="str">
            <v/>
          </cell>
        </row>
        <row r="6803">
          <cell r="B6803" t="str">
            <v>INF247L01ET7</v>
          </cell>
          <cell r="C6803" t="str">
            <v>INF247L01EU5</v>
          </cell>
          <cell r="D6803" t="str">
            <v>Motilal Oswal Active Momentum Fund - Regular- IDCW</v>
          </cell>
          <cell r="E6803">
            <v>13.5236</v>
          </cell>
        </row>
        <row r="6804">
          <cell r="B6804" t="str">
            <v>INF247L01EP5</v>
          </cell>
          <cell r="C6804" t="str">
            <v>-</v>
          </cell>
          <cell r="D6804" t="str">
            <v>Motilal Oswal Active Momentum Fund- Direct-Growth</v>
          </cell>
          <cell r="E6804">
            <v>13.541600000000001</v>
          </cell>
        </row>
        <row r="6805">
          <cell r="B6805" t="str">
            <v>INF247L01EQ3</v>
          </cell>
          <cell r="C6805" t="str">
            <v>INF247L01ER1</v>
          </cell>
          <cell r="D6805" t="str">
            <v>Motilal Oswal Active Momentum Fund- Direct-IDCW</v>
          </cell>
          <cell r="E6805">
            <v>13.5413</v>
          </cell>
        </row>
        <row r="6806">
          <cell r="B6806" t="str">
            <v>INF247L01ES9</v>
          </cell>
          <cell r="C6806" t="str">
            <v>-</v>
          </cell>
          <cell r="D6806" t="str">
            <v>Motilal Oswal Active Momentum Fund- Regular- Growth</v>
          </cell>
          <cell r="E6806">
            <v>13.523099999999999</v>
          </cell>
        </row>
        <row r="6807">
          <cell r="B6807" t="str">
            <v>INF247L01DG6</v>
          </cell>
          <cell r="C6807" t="str">
            <v>-</v>
          </cell>
          <cell r="D6807" t="str">
            <v>Motilal Oswal Business Cycle Fund - Direct Plan- Growth</v>
          </cell>
          <cell r="E6807">
            <v>12.4451</v>
          </cell>
        </row>
        <row r="6808">
          <cell r="B6808" t="str">
            <v>INF247L01DH4</v>
          </cell>
          <cell r="C6808" t="str">
            <v>INF247L01DI2</v>
          </cell>
          <cell r="D6808" t="str">
            <v>Motilal Oswal Business Cycle Fund - Direct Plan- IDCW</v>
          </cell>
          <cell r="E6808">
            <v>12.4444</v>
          </cell>
        </row>
        <row r="6809">
          <cell r="B6809" t="str">
            <v>INF247L01DD3</v>
          </cell>
          <cell r="C6809" t="str">
            <v>-</v>
          </cell>
          <cell r="D6809" t="str">
            <v>Motilal Oswal Business Cycle Fund-Regular Plan-Growth</v>
          </cell>
          <cell r="E6809">
            <v>12.1282</v>
          </cell>
        </row>
        <row r="6810">
          <cell r="B6810" t="str">
            <v>INF247L01DE1</v>
          </cell>
          <cell r="C6810" t="str">
            <v>INF247L01DF8</v>
          </cell>
          <cell r="D6810" t="str">
            <v>Motilal Oswal Business Cycle Fund-Regular Plan-IDCW</v>
          </cell>
          <cell r="E6810">
            <v>12.128299999999999</v>
          </cell>
        </row>
        <row r="6811">
          <cell r="B6811" t="str">
            <v>INF247L01GA2</v>
          </cell>
          <cell r="C6811" t="str">
            <v>-</v>
          </cell>
          <cell r="D6811" t="str">
            <v>Motilal Oswal Consumption Fund-Direct-Growth</v>
          </cell>
          <cell r="E6811">
            <v>10.705399999999999</v>
          </cell>
        </row>
        <row r="6812">
          <cell r="B6812" t="str">
            <v>INF247L01GB0</v>
          </cell>
          <cell r="C6812" t="str">
            <v>INF247L01GC8</v>
          </cell>
          <cell r="D6812" t="str">
            <v>Motilal Oswal Consumption Fund-Direct-IDCW</v>
          </cell>
          <cell r="E6812">
            <v>10.705399999999999</v>
          </cell>
        </row>
        <row r="6813">
          <cell r="B6813" t="str">
            <v>INF247L01GD6</v>
          </cell>
          <cell r="C6813" t="str">
            <v>-</v>
          </cell>
          <cell r="D6813" t="str">
            <v>Motilal Oswal Consumption Fund-Regular-Growth</v>
          </cell>
          <cell r="E6813">
            <v>10.5761</v>
          </cell>
        </row>
        <row r="6814">
          <cell r="B6814" t="str">
            <v>INF247L01GE4</v>
          </cell>
          <cell r="C6814" t="str">
            <v>INF247L01GF1</v>
          </cell>
          <cell r="D6814" t="str">
            <v>Motilal Oswal Consumption Fund-Regular-IDCW</v>
          </cell>
          <cell r="E6814">
            <v>10.5761</v>
          </cell>
        </row>
        <row r="6815">
          <cell r="B6815" t="str">
            <v>INF247L01DN2</v>
          </cell>
          <cell r="C6815" t="str">
            <v>-</v>
          </cell>
          <cell r="D6815" t="str">
            <v>Motilal Oswal Digital India Fund - Direct Plan - Growth</v>
          </cell>
          <cell r="E6815">
            <v>9.7248999999999999</v>
          </cell>
        </row>
        <row r="6816">
          <cell r="B6816" t="str">
            <v>INF247L01DO0</v>
          </cell>
          <cell r="C6816" t="str">
            <v>INF247L01DP7</v>
          </cell>
          <cell r="D6816" t="str">
            <v>Motilal Oswal Digital India Fund - Direct Plan- IDCW</v>
          </cell>
          <cell r="E6816">
            <v>9.7245000000000008</v>
          </cell>
        </row>
        <row r="6817">
          <cell r="B6817" t="str">
            <v>INF247L01DR3</v>
          </cell>
          <cell r="C6817" t="str">
            <v>INF247L01DS1</v>
          </cell>
          <cell r="D6817" t="str">
            <v>Motilal Oswal Digital India Fund - Regular Plan - IDCW</v>
          </cell>
          <cell r="E6817">
            <v>9.4848999999999997</v>
          </cell>
        </row>
        <row r="6818">
          <cell r="B6818" t="str">
            <v>INF247L01DQ5</v>
          </cell>
          <cell r="C6818" t="str">
            <v>-</v>
          </cell>
          <cell r="D6818" t="str">
            <v>Motilal Oswal Digital India Fund - Regular Plan- Growth</v>
          </cell>
          <cell r="E6818">
            <v>9.4847999999999999</v>
          </cell>
        </row>
        <row r="6819">
          <cell r="B6819" t="str">
            <v>INF247L01GN5</v>
          </cell>
          <cell r="C6819" t="str">
            <v>-</v>
          </cell>
          <cell r="D6819" t="str">
            <v>Motilal Oswal Financial Services Fund- Direct Growth</v>
          </cell>
          <cell r="E6819">
            <v>10.505800000000001</v>
          </cell>
        </row>
        <row r="6820">
          <cell r="B6820" t="str">
            <v>INF247L01GO3</v>
          </cell>
          <cell r="C6820" t="str">
            <v>INF247L01GP0</v>
          </cell>
          <cell r="D6820" t="str">
            <v>Motilal Oswal Financial Services Fund- Direct- IDCW</v>
          </cell>
          <cell r="E6820">
            <v>10.505800000000001</v>
          </cell>
        </row>
        <row r="6821">
          <cell r="B6821" t="str">
            <v>INF247L01GQ8</v>
          </cell>
          <cell r="C6821" t="str">
            <v>-</v>
          </cell>
          <cell r="D6821" t="str">
            <v>Motilal Oswal Financial Services Fund- Regular-Growth</v>
          </cell>
          <cell r="E6821">
            <v>10.4381</v>
          </cell>
        </row>
        <row r="6822">
          <cell r="B6822" t="str">
            <v>INF247L01GR6</v>
          </cell>
          <cell r="C6822" t="str">
            <v>INF247L01GS4</v>
          </cell>
          <cell r="D6822" t="str">
            <v>Motilal Oswal Financial Services Fund- Regular-IDCW-</v>
          </cell>
          <cell r="E6822">
            <v>10.4381</v>
          </cell>
        </row>
        <row r="6823">
          <cell r="B6823" t="str">
            <v>INF247L01EW1</v>
          </cell>
          <cell r="C6823" t="str">
            <v>-</v>
          </cell>
          <cell r="D6823" t="str">
            <v>Motilal Oswal Infrastructure Fund-Direct-Growth</v>
          </cell>
          <cell r="E6823">
            <v>12.870900000000001</v>
          </cell>
        </row>
        <row r="6824">
          <cell r="B6824" t="str">
            <v>INF247L01EX9</v>
          </cell>
          <cell r="C6824" t="str">
            <v>INF247L01EY7</v>
          </cell>
          <cell r="D6824" t="str">
            <v>Motilal Oswal Infrastructure Fund-Direct-IDCW</v>
          </cell>
          <cell r="E6824">
            <v>12.4245</v>
          </cell>
        </row>
        <row r="6825">
          <cell r="B6825" t="str">
            <v>INF247L01EZ4</v>
          </cell>
          <cell r="C6825" t="str">
            <v>-</v>
          </cell>
          <cell r="D6825" t="str">
            <v>Motilal Oswal Infrastructure Fund-Regular-Growth</v>
          </cell>
          <cell r="E6825">
            <v>12.7515</v>
          </cell>
        </row>
        <row r="6826">
          <cell r="B6826" t="str">
            <v>INF247L01FA4</v>
          </cell>
          <cell r="C6826" t="str">
            <v>INF247L01FB2</v>
          </cell>
          <cell r="D6826" t="str">
            <v>Motilal Oswal Infrastructure Fund-Regular-IDCW</v>
          </cell>
          <cell r="E6826">
            <v>12.3072</v>
          </cell>
        </row>
        <row r="6827">
          <cell r="B6827" t="str">
            <v>INF247L01EJ8</v>
          </cell>
          <cell r="C6827" t="str">
            <v>-</v>
          </cell>
          <cell r="D6827" t="str">
            <v>Motilal Oswal Innovation Opportunities Fund - Direct Plan- Growth</v>
          </cell>
          <cell r="E6827">
            <v>14.3752</v>
          </cell>
        </row>
        <row r="6828">
          <cell r="B6828" t="str">
            <v>INF247L01EK6</v>
          </cell>
          <cell r="C6828" t="str">
            <v>INF247L01EL4</v>
          </cell>
          <cell r="D6828" t="str">
            <v>Motilal Oswal Innovation Opportunities Fund - Direct Plan- IDCW</v>
          </cell>
          <cell r="E6828">
            <v>14.3743</v>
          </cell>
        </row>
        <row r="6829">
          <cell r="B6829" t="str">
            <v>INF247L01EM2</v>
          </cell>
          <cell r="C6829" t="str">
            <v>-</v>
          </cell>
          <cell r="D6829" t="str">
            <v>Motilal Oswal Innovation Opportunities Fund- Regular Plan- Growth</v>
          </cell>
          <cell r="E6829">
            <v>14.0905</v>
          </cell>
        </row>
        <row r="6830">
          <cell r="B6830" t="str">
            <v>INF247L01EN0</v>
          </cell>
          <cell r="C6830" t="str">
            <v>INF247L01EO8</v>
          </cell>
          <cell r="D6830" t="str">
            <v>Motilal Oswal Innovation Opportunities Fund- Regular Plan- IDCW</v>
          </cell>
          <cell r="E6830">
            <v>14.0907</v>
          </cell>
        </row>
        <row r="6831">
          <cell r="B6831" t="str">
            <v>INF247L01DB7</v>
          </cell>
          <cell r="C6831" t="str">
            <v>INF247L01DC5</v>
          </cell>
          <cell r="D6831" t="str">
            <v>Motilal Oswal Manufacturing Fund - Direct Plan - IDCW</v>
          </cell>
          <cell r="E6831">
            <v>11.727600000000001</v>
          </cell>
        </row>
        <row r="6832">
          <cell r="B6832" t="str">
            <v>INF247L01DA9</v>
          </cell>
          <cell r="C6832" t="str">
            <v>-</v>
          </cell>
          <cell r="D6832" t="str">
            <v>Motilal Oswal Manufacturing Fund - Direct Plan- Growth</v>
          </cell>
          <cell r="E6832">
            <v>11.728300000000001</v>
          </cell>
        </row>
        <row r="6833">
          <cell r="B6833" t="str">
            <v>INF247L01CY1</v>
          </cell>
          <cell r="C6833" t="str">
            <v>INF247L01CZ8</v>
          </cell>
          <cell r="D6833" t="str">
            <v>Motilal Oswal Manufacturing Fund - Regular Plan - IDCW</v>
          </cell>
          <cell r="E6833">
            <v>11.407299999999999</v>
          </cell>
        </row>
        <row r="6834">
          <cell r="B6834" t="str">
            <v>INF247L01CX3</v>
          </cell>
          <cell r="C6834" t="str">
            <v>-</v>
          </cell>
          <cell r="D6834" t="str">
            <v>Motilal Owsal Manufacturing Fund - Regular Plan - Growth</v>
          </cell>
          <cell r="E6834">
            <v>11.407500000000001</v>
          </cell>
        </row>
        <row r="6835">
          <cell r="B6835" t="str">
            <v>INF247L01CS3</v>
          </cell>
          <cell r="C6835" t="str">
            <v>-</v>
          </cell>
          <cell r="D6835" t="str">
            <v>Motilal Oswal Quant Fund - Direct - Growth</v>
          </cell>
          <cell r="E6835">
            <v>10.334899999999999</v>
          </cell>
        </row>
        <row r="6836">
          <cell r="B6836" t="str">
            <v>INF247L01CT1</v>
          </cell>
          <cell r="C6836" t="str">
            <v>INF247L01CU9</v>
          </cell>
          <cell r="D6836" t="str">
            <v>Motilal Oswal Quant Fund - Direct - IDCW</v>
          </cell>
          <cell r="E6836">
            <v>9.7187999999999999</v>
          </cell>
        </row>
        <row r="6837">
          <cell r="B6837" t="str">
            <v>INF247L01CP9</v>
          </cell>
          <cell r="C6837" t="str">
            <v>-</v>
          </cell>
          <cell r="D6837" t="str">
            <v>Motilal Oswal Quant Fund - Regular - Growth</v>
          </cell>
          <cell r="E6837">
            <v>9.7545999999999999</v>
          </cell>
        </row>
        <row r="6838">
          <cell r="B6838" t="str">
            <v>INF247L01CQ7</v>
          </cell>
          <cell r="C6838" t="str">
            <v>INF247L01CR5</v>
          </cell>
          <cell r="D6838" t="str">
            <v>Motilal Oswal Quant Fund - Regular - IDCW</v>
          </cell>
          <cell r="E6838">
            <v>8.9934999999999992</v>
          </cell>
        </row>
        <row r="6839">
          <cell r="B6839" t="str">
            <v>INF247L01FE6</v>
          </cell>
          <cell r="C6839" t="str">
            <v>-</v>
          </cell>
          <cell r="D6839" t="str">
            <v>Motilal Oswal Services Fund - Direct Plan - Growth</v>
          </cell>
          <cell r="E6839">
            <v>11.376300000000001</v>
          </cell>
        </row>
        <row r="6840">
          <cell r="B6840" t="str">
            <v>INF247L01FI7</v>
          </cell>
          <cell r="C6840" t="str">
            <v>INF247L01FF3</v>
          </cell>
          <cell r="D6840" t="str">
            <v>Motilal Oswal Services Fund - Direct Plan - IDCW</v>
          </cell>
          <cell r="E6840">
            <v>11.376300000000001</v>
          </cell>
        </row>
        <row r="6841">
          <cell r="B6841" t="str">
            <v>INF247L01FG1</v>
          </cell>
          <cell r="C6841" t="str">
            <v>-</v>
          </cell>
          <cell r="D6841" t="str">
            <v>Motilal Oswal Services Fund - Regular Plan - Growth</v>
          </cell>
          <cell r="E6841">
            <v>11.272600000000001</v>
          </cell>
        </row>
        <row r="6842">
          <cell r="B6842" t="str">
            <v>INF247L01FJ5</v>
          </cell>
          <cell r="C6842" t="str">
            <v>INF247L01FH9</v>
          </cell>
          <cell r="D6842" t="str">
            <v>Motilal Oswal Services Fund - Regular Plan - IDCW</v>
          </cell>
          <cell r="E6842">
            <v>11.272600000000001</v>
          </cell>
        </row>
        <row r="6843">
          <cell r="B6843" t="str">
            <v>INF247L01FS6</v>
          </cell>
          <cell r="C6843" t="str">
            <v>-</v>
          </cell>
          <cell r="D6843" t="str">
            <v>Motilal Oswal Special Opportunities Fund - Direct - Growth</v>
          </cell>
          <cell r="E6843">
            <v>11.6105</v>
          </cell>
        </row>
        <row r="6844">
          <cell r="B6844" t="str">
            <v>INF247L01FT4</v>
          </cell>
          <cell r="C6844" t="str">
            <v>INF247L01FU2</v>
          </cell>
          <cell r="D6844" t="str">
            <v>Motilal Oswal Special Opportunities Fund - Direct- IDCW</v>
          </cell>
          <cell r="E6844">
            <v>11.6105</v>
          </cell>
        </row>
        <row r="6845">
          <cell r="B6845" t="str">
            <v>INF247L01FW8</v>
          </cell>
          <cell r="C6845" t="str">
            <v>INF247L01FX6</v>
          </cell>
          <cell r="D6845" t="str">
            <v>Motilal Oswal Special Opportunities Fund-Regular Plan- IDCW</v>
          </cell>
          <cell r="E6845">
            <v>11.5989</v>
          </cell>
        </row>
        <row r="6846">
          <cell r="B6846" t="str">
            <v>INF247L01FV0</v>
          </cell>
          <cell r="C6846" t="str">
            <v>-</v>
          </cell>
          <cell r="D6846" t="str">
            <v>Motilal Oswal Special Opportunities Fund-Regular Plan-Growth</v>
          </cell>
          <cell r="E6846">
            <v>11.5989</v>
          </cell>
        </row>
        <row r="6847">
          <cell r="B6847" t="str">
            <v/>
          </cell>
          <cell r="C6847" t="str">
            <v/>
          </cell>
          <cell r="D6847" t="str">
            <v/>
          </cell>
        </row>
        <row r="6848">
          <cell r="B6848" t="str">
            <v/>
          </cell>
          <cell r="C6848" t="str">
            <v/>
          </cell>
          <cell r="D6848" t="str">
            <v/>
          </cell>
        </row>
        <row r="6849">
          <cell r="B6849" t="str">
            <v/>
          </cell>
          <cell r="C6849" t="str">
            <v/>
          </cell>
          <cell r="D6849" t="str">
            <v/>
          </cell>
        </row>
        <row r="6850">
          <cell r="B6850" t="str">
            <v>INF204KC1EH1</v>
          </cell>
          <cell r="C6850" t="str">
            <v>-</v>
          </cell>
          <cell r="D6850" t="str">
            <v>Nippon India Active Momentum Fund - Regular Plan- Growth Option</v>
          </cell>
          <cell r="E6850">
            <v>12.784700000000001</v>
          </cell>
        </row>
        <row r="6851">
          <cell r="B6851" t="str">
            <v>INF204KC1EL3</v>
          </cell>
          <cell r="C6851" t="str">
            <v>INF204KC1EM1</v>
          </cell>
          <cell r="D6851" t="str">
            <v>Nippon India Active Momentum Fund- Direct Plan IDCW Option</v>
          </cell>
          <cell r="E6851">
            <v>12.9596</v>
          </cell>
        </row>
        <row r="6852">
          <cell r="B6852" t="str">
            <v>INF204KC1EI9</v>
          </cell>
          <cell r="C6852" t="str">
            <v>INF204KC1EJ7</v>
          </cell>
          <cell r="D6852" t="str">
            <v>Nippon India Active Momentum Fund- Regular Plan- IDCW Option</v>
          </cell>
          <cell r="E6852">
            <v>12.784700000000001</v>
          </cell>
        </row>
        <row r="6853">
          <cell r="B6853" t="str">
            <v>INF204KC1EK5</v>
          </cell>
          <cell r="C6853" t="str">
            <v>-</v>
          </cell>
          <cell r="D6853" t="str">
            <v>Nippon India Active Momentum Fund-Direct Plan - Growth Option</v>
          </cell>
          <cell r="E6853">
            <v>12.9596</v>
          </cell>
        </row>
        <row r="6854">
          <cell r="B6854" t="str">
            <v>INF204K01D22</v>
          </cell>
          <cell r="C6854" t="str">
            <v>-</v>
          </cell>
          <cell r="D6854" t="str">
            <v>Nippon India Banking &amp; Financial Services Fund - Direct Plan Growth Plan - Bonus Option</v>
          </cell>
          <cell r="E6854">
            <v>707.29589999999996</v>
          </cell>
        </row>
        <row r="6855">
          <cell r="B6855" t="str">
            <v>INF204K01XO1</v>
          </cell>
          <cell r="C6855" t="str">
            <v>-</v>
          </cell>
          <cell r="D6855" t="str">
            <v>Nippon India Banking &amp; Financial Services Fund - Direct Plan Growth Plan - Growth Option</v>
          </cell>
          <cell r="E6855">
            <v>707.29589999999996</v>
          </cell>
        </row>
        <row r="6856">
          <cell r="B6856" t="str">
            <v>INF204K01893</v>
          </cell>
          <cell r="C6856" t="str">
            <v>INF204K01901</v>
          </cell>
          <cell r="D6856" t="str">
            <v>Nippon India Banking &amp; Financial Services Fund - IDCW Option</v>
          </cell>
          <cell r="E6856">
            <v>68.043400000000005</v>
          </cell>
        </row>
        <row r="6857">
          <cell r="B6857" t="str">
            <v>INF204K01XM5</v>
          </cell>
          <cell r="C6857" t="str">
            <v>INF204K01XN3</v>
          </cell>
          <cell r="D6857" t="str">
            <v>Nippon India Banking &amp; Financial Services Fund- DIRECT Plan - IDCW Option</v>
          </cell>
          <cell r="E6857">
            <v>102.7299</v>
          </cell>
        </row>
        <row r="6858">
          <cell r="B6858" t="str">
            <v>INF204K01919</v>
          </cell>
          <cell r="C6858" t="str">
            <v>-</v>
          </cell>
          <cell r="D6858" t="str">
            <v>Nippon India Banking &amp; Financial Services Fund-Growth Plan-Bonus Option</v>
          </cell>
          <cell r="E6858">
            <v>641.73469999999998</v>
          </cell>
        </row>
        <row r="6859">
          <cell r="B6859" t="str">
            <v>INF204K01927</v>
          </cell>
          <cell r="C6859" t="str">
            <v>-</v>
          </cell>
          <cell r="D6859" t="str">
            <v>Nippon India Banking &amp; Financial Services Fund-Growth Plan-Growth Option</v>
          </cell>
          <cell r="E6859">
            <v>641.73469999999998</v>
          </cell>
        </row>
        <row r="6860">
          <cell r="B6860" t="str">
            <v>INF204K01G37</v>
          </cell>
          <cell r="C6860" t="str">
            <v>INF204K01G45</v>
          </cell>
          <cell r="D6860" t="str">
            <v>NIPPON INDIA CONSUMPTION FUND - DIRECT Plan - IDCW Option</v>
          </cell>
          <cell r="E6860">
            <v>53.615200000000002</v>
          </cell>
        </row>
        <row r="6861">
          <cell r="B6861" t="str">
            <v>INF204K01G29</v>
          </cell>
          <cell r="C6861" t="str">
            <v>-</v>
          </cell>
          <cell r="D6861" t="str">
            <v>Nippon India Consumption Fund - Direct Plan Growth Plan - Bonus</v>
          </cell>
          <cell r="E6861">
            <v>218.89619999999999</v>
          </cell>
        </row>
        <row r="6862">
          <cell r="B6862" t="str">
            <v>INF204K01G52</v>
          </cell>
          <cell r="C6862" t="str">
            <v>-</v>
          </cell>
          <cell r="D6862" t="str">
            <v>Nippon India Consumption Fund - Direct Plan Growth Plan - Growth Option</v>
          </cell>
          <cell r="E6862">
            <v>218.89619999999999</v>
          </cell>
        </row>
        <row r="6863">
          <cell r="B6863" t="str">
            <v>INF204K01AN1</v>
          </cell>
          <cell r="C6863" t="str">
            <v>INF204K01AO9</v>
          </cell>
          <cell r="D6863" t="str">
            <v>NIPPON INDIA CONSUMPTION FUND - IDCW Option</v>
          </cell>
          <cell r="E6863">
            <v>34.738399999999999</v>
          </cell>
        </row>
        <row r="6864">
          <cell r="B6864" t="str">
            <v>INF204K01AP6</v>
          </cell>
          <cell r="C6864" t="str">
            <v>-</v>
          </cell>
          <cell r="D6864" t="str">
            <v>Nippon India Consumption Fund-Growth Plan-Bonus Option</v>
          </cell>
          <cell r="E6864">
            <v>192.21709999999999</v>
          </cell>
        </row>
        <row r="6865">
          <cell r="B6865" t="str">
            <v>INF204K01AQ4</v>
          </cell>
          <cell r="C6865" t="str">
            <v>-</v>
          </cell>
          <cell r="D6865" t="str">
            <v>Nippon India Consumption Fund-Growth Plan-Growth Option</v>
          </cell>
          <cell r="E6865">
            <v>192.21709999999999</v>
          </cell>
        </row>
        <row r="6866">
          <cell r="B6866" t="str">
            <v>INF204KC1BO3</v>
          </cell>
          <cell r="C6866" t="str">
            <v>-</v>
          </cell>
          <cell r="D6866" t="str">
            <v>Nippon India Innovation Fund-Direct Plan-Growth Option</v>
          </cell>
          <cell r="E6866">
            <v>14.9314</v>
          </cell>
        </row>
        <row r="6867">
          <cell r="B6867" t="str">
            <v>INF204KC1BP0</v>
          </cell>
          <cell r="C6867" t="str">
            <v>INF204KC1BQ8</v>
          </cell>
          <cell r="D6867" t="str">
            <v>Nippon India Innovation Fund-Direct Plan-IDCW Option</v>
          </cell>
          <cell r="E6867">
            <v>14.9314</v>
          </cell>
        </row>
        <row r="6868">
          <cell r="B6868" t="str">
            <v>INF204KC1BL9</v>
          </cell>
          <cell r="C6868" t="str">
            <v>-</v>
          </cell>
          <cell r="D6868" t="str">
            <v>Nippon India Innovation Fund-Regular Plan-Growth Option</v>
          </cell>
          <cell r="E6868">
            <v>14.374000000000001</v>
          </cell>
        </row>
        <row r="6869">
          <cell r="B6869" t="str">
            <v>INF204KC1BM7</v>
          </cell>
          <cell r="C6869" t="str">
            <v>INF204KC1BN5</v>
          </cell>
          <cell r="D6869" t="str">
            <v>Nippon India Innovation Fund-Regular Plan-IDCW Option</v>
          </cell>
          <cell r="E6869">
            <v>14.374000000000001</v>
          </cell>
        </row>
        <row r="6870">
          <cell r="B6870" t="str">
            <v>INF204KA1SM3</v>
          </cell>
          <cell r="C6870" t="str">
            <v>-</v>
          </cell>
          <cell r="D6870" t="str">
            <v>NIPPON INDIA - JAPAN EQUITY FUND - DIRECT Plan - IDCW Option</v>
          </cell>
          <cell r="E6870">
            <v>30.977599999999999</v>
          </cell>
        </row>
        <row r="6871">
          <cell r="B6871" t="str">
            <v>INF204KA1SL5</v>
          </cell>
          <cell r="C6871" t="str">
            <v>-</v>
          </cell>
          <cell r="D6871" t="str">
            <v>NIPPON INDIA - JAPAN EQUITY FUND - IDCW Option</v>
          </cell>
          <cell r="E6871">
            <v>27.421500000000002</v>
          </cell>
        </row>
        <row r="6872">
          <cell r="B6872" t="str">
            <v>INF204KA1SK7</v>
          </cell>
          <cell r="C6872" t="str">
            <v>-</v>
          </cell>
          <cell r="D6872" t="str">
            <v>Nippon India Japan Equity Fund- Direct Plan- Growth Plan- Bonus Option</v>
          </cell>
          <cell r="E6872">
            <v>30.977599999999999</v>
          </cell>
        </row>
        <row r="6873">
          <cell r="B6873" t="str">
            <v>INF204KA1SI1</v>
          </cell>
          <cell r="C6873" t="str">
            <v>-</v>
          </cell>
          <cell r="D6873" t="str">
            <v>Nippon India Japan Equity Fund- Direct Plan- Growth Plan- Growth Option</v>
          </cell>
          <cell r="E6873">
            <v>30.977599999999999</v>
          </cell>
        </row>
        <row r="6874">
          <cell r="B6874" t="str">
            <v>INF204KA1SJ9</v>
          </cell>
          <cell r="C6874" t="str">
            <v>-</v>
          </cell>
          <cell r="D6874" t="str">
            <v>Nippon India Japan Equity Fund- Growth Plan- Bonus Option</v>
          </cell>
          <cell r="E6874">
            <v>27.421500000000002</v>
          </cell>
        </row>
        <row r="6875">
          <cell r="B6875" t="str">
            <v>INF204KA1SH3</v>
          </cell>
          <cell r="C6875" t="str">
            <v>-</v>
          </cell>
          <cell r="D6875" t="str">
            <v>Nippon India Japan Equity Fund- Growth Plan- Growth Option</v>
          </cell>
          <cell r="E6875">
            <v>27.421500000000002</v>
          </cell>
        </row>
        <row r="6876">
          <cell r="B6876" t="str">
            <v>INF204KC1FR7</v>
          </cell>
          <cell r="C6876" t="str">
            <v>-</v>
          </cell>
          <cell r="D6876" t="str">
            <v>Nippon India MNC Fund- Direct Plan- Growth Option</v>
          </cell>
          <cell r="E6876">
            <v>10.838900000000001</v>
          </cell>
        </row>
        <row r="6877">
          <cell r="B6877" t="str">
            <v>INF204KC1FS5</v>
          </cell>
          <cell r="C6877" t="str">
            <v>INF204KC1FT3</v>
          </cell>
          <cell r="D6877" t="str">
            <v>Nippon India MNC Fund- Direct Plan-IDCW Payout</v>
          </cell>
          <cell r="E6877">
            <v>10.838900000000001</v>
          </cell>
        </row>
        <row r="6878">
          <cell r="B6878" t="str">
            <v>INF204KC1FP1</v>
          </cell>
          <cell r="C6878" t="str">
            <v>INF204KC1FQ9</v>
          </cell>
          <cell r="D6878" t="str">
            <v>Nippon India MNC Fund- Regular Plan- IDCW Payout</v>
          </cell>
          <cell r="E6878">
            <v>10.701700000000001</v>
          </cell>
        </row>
        <row r="6879">
          <cell r="B6879" t="str">
            <v>INF204KC1FO4</v>
          </cell>
          <cell r="C6879" t="str">
            <v>-</v>
          </cell>
          <cell r="D6879" t="str">
            <v>Nippon India MNC Fund- Regular Plan-Growth Option</v>
          </cell>
          <cell r="E6879">
            <v>10.701700000000001</v>
          </cell>
        </row>
        <row r="6880">
          <cell r="B6880" t="str">
            <v>INF204K01I35</v>
          </cell>
          <cell r="C6880" t="str">
            <v>INF204K01I43</v>
          </cell>
          <cell r="D6880" t="str">
            <v>NIPPON INDIA PHARMA FUND - DIRECT Plan - IDCW Option</v>
          </cell>
          <cell r="E6880">
            <v>172.10069999999999</v>
          </cell>
        </row>
        <row r="6881">
          <cell r="B6881" t="str">
            <v>INF204K01I27</v>
          </cell>
          <cell r="C6881" t="str">
            <v>-</v>
          </cell>
          <cell r="D6881" t="str">
            <v>Nippon India Pharma Fund - Direct Plan Growth Plan - Bonus Option</v>
          </cell>
          <cell r="E6881">
            <v>628.84180000000003</v>
          </cell>
        </row>
        <row r="6882">
          <cell r="B6882" t="str">
            <v>INF204K01I50</v>
          </cell>
          <cell r="C6882" t="str">
            <v>-</v>
          </cell>
          <cell r="D6882" t="str">
            <v>Nippon India Pharma Fund - Direct Plan Growth Plan - Growth Option</v>
          </cell>
          <cell r="E6882">
            <v>628.84180000000003</v>
          </cell>
        </row>
        <row r="6883">
          <cell r="B6883" t="str">
            <v>INF204K01935</v>
          </cell>
          <cell r="C6883" t="str">
            <v>INF204K01943</v>
          </cell>
          <cell r="D6883" t="str">
            <v>NIPPON INDIA PHARMA FUND - IDCW Option</v>
          </cell>
          <cell r="E6883">
            <v>120.82940000000001</v>
          </cell>
        </row>
        <row r="6884">
          <cell r="B6884" t="str">
            <v>INF204K01950</v>
          </cell>
          <cell r="C6884" t="str">
            <v>-</v>
          </cell>
          <cell r="D6884" t="str">
            <v>Nippon India Pharma Fund-Growth Plan-Bonus Option</v>
          </cell>
          <cell r="E6884">
            <v>559.54020000000003</v>
          </cell>
        </row>
        <row r="6885">
          <cell r="B6885" t="str">
            <v>INF204K01968</v>
          </cell>
          <cell r="C6885" t="str">
            <v>-</v>
          </cell>
          <cell r="D6885" t="str">
            <v>Nippon India Pharma Fund-Growth Plan-Growth Option</v>
          </cell>
          <cell r="E6885">
            <v>559.54020000000003</v>
          </cell>
        </row>
        <row r="6886">
          <cell r="B6886" t="str">
            <v>INF204K01I76</v>
          </cell>
          <cell r="C6886" t="str">
            <v>INF204K01I84</v>
          </cell>
          <cell r="D6886" t="str">
            <v>NIPPON INDIA POWER &amp; INFRA FUND - DIRECT Plan - IDCW Option</v>
          </cell>
          <cell r="E6886">
            <v>75.932699999999997</v>
          </cell>
        </row>
        <row r="6887">
          <cell r="B6887" t="str">
            <v>INF204K01I68</v>
          </cell>
          <cell r="C6887" t="str">
            <v>-</v>
          </cell>
          <cell r="D6887" t="str">
            <v>Nippon India Power &amp; Infra Fund - Direct Plan Growth Plan - Bonus Option</v>
          </cell>
          <cell r="E6887">
            <v>414.25099999999998</v>
          </cell>
        </row>
        <row r="6888">
          <cell r="B6888" t="str">
            <v>INF204K01I92</v>
          </cell>
          <cell r="C6888" t="str">
            <v>-</v>
          </cell>
          <cell r="D6888" t="str">
            <v>Nippon India Power &amp; Infra Fund - Direct Plan Growth Plan - Growth Option</v>
          </cell>
          <cell r="E6888">
            <v>414.25099999999998</v>
          </cell>
        </row>
        <row r="6889">
          <cell r="B6889" t="str">
            <v>INF204K01AB6</v>
          </cell>
          <cell r="C6889" t="str">
            <v>INF204K01AC4</v>
          </cell>
          <cell r="D6889" t="str">
            <v>NIPPON INDIA POWER &amp; INFRA FUND - IDCW Option</v>
          </cell>
          <cell r="E6889">
            <v>65.963200000000001</v>
          </cell>
        </row>
        <row r="6890">
          <cell r="B6890" t="str">
            <v>INF204K01AE0</v>
          </cell>
          <cell r="C6890" t="str">
            <v>-</v>
          </cell>
          <cell r="D6890" t="str">
            <v>Nippon India Power &amp; Infra Fund-Growth Plan -Growth Option</v>
          </cell>
          <cell r="E6890">
            <v>379.33620000000002</v>
          </cell>
        </row>
        <row r="6891">
          <cell r="B6891" t="str">
            <v>INF204K01AD2</v>
          </cell>
          <cell r="C6891" t="str">
            <v>-</v>
          </cell>
          <cell r="D6891" t="str">
            <v>Nippon India Power &amp; Infra Fund-Growth Plan-Bonus Option</v>
          </cell>
          <cell r="E6891">
            <v>379.33620000000002</v>
          </cell>
        </row>
        <row r="6892">
          <cell r="B6892" t="str">
            <v>INF204K01J18</v>
          </cell>
          <cell r="C6892" t="str">
            <v>INF204K01J26</v>
          </cell>
          <cell r="D6892" t="str">
            <v>NIPPON INDIA QUANT FUND - DIRECT Plan - IDCW Option</v>
          </cell>
          <cell r="E6892">
            <v>45.516800000000003</v>
          </cell>
        </row>
        <row r="6893">
          <cell r="B6893" t="str">
            <v>INF204K01J00</v>
          </cell>
          <cell r="C6893" t="str">
            <v>-</v>
          </cell>
          <cell r="D6893" t="str">
            <v>Nippon India Quant Fund - Direct Plan Growth Plan - Bonus Option</v>
          </cell>
          <cell r="E6893">
            <v>79.345600000000005</v>
          </cell>
        </row>
        <row r="6894">
          <cell r="B6894" t="str">
            <v>INF204K01J34</v>
          </cell>
          <cell r="C6894" t="str">
            <v>-</v>
          </cell>
          <cell r="D6894" t="str">
            <v>Nippon India Quant Fund - Direct Plan Growth Plan - Growth Option</v>
          </cell>
          <cell r="E6894">
            <v>79.345600000000005</v>
          </cell>
        </row>
        <row r="6895">
          <cell r="B6895" t="str">
            <v>INF204K01745</v>
          </cell>
          <cell r="C6895" t="str">
            <v>INF204K01752</v>
          </cell>
          <cell r="D6895" t="str">
            <v>NIPPON INDIA QUANT FUND - IDCW Option</v>
          </cell>
          <cell r="E6895">
            <v>38.8658</v>
          </cell>
        </row>
        <row r="6896">
          <cell r="B6896" t="str">
            <v>INF204K01760</v>
          </cell>
          <cell r="C6896" t="str">
            <v>-</v>
          </cell>
          <cell r="D6896" t="str">
            <v>Nippon India Quant Fund -Growth Plan - Growth Option</v>
          </cell>
          <cell r="E6896">
            <v>72.906199999999998</v>
          </cell>
        </row>
        <row r="6897">
          <cell r="B6897" t="str">
            <v>INF204K01737</v>
          </cell>
          <cell r="C6897" t="str">
            <v>-</v>
          </cell>
          <cell r="D6897" t="str">
            <v>Nippon India Quant Fund -Growth Plan -Bonus Option</v>
          </cell>
          <cell r="E6897">
            <v>72.906199999999998</v>
          </cell>
        </row>
        <row r="6898">
          <cell r="B6898" t="str">
            <v>INF204KC1303</v>
          </cell>
          <cell r="C6898" t="str">
            <v>-</v>
          </cell>
          <cell r="D6898" t="str">
            <v>Nippon India Taiwan Equity Fund- Direct Plan- Growth Option</v>
          </cell>
          <cell r="E6898">
            <v>34.716500000000003</v>
          </cell>
        </row>
        <row r="6899">
          <cell r="B6899" t="str">
            <v>INF204KC1311</v>
          </cell>
          <cell r="C6899" t="str">
            <v>INF204KC1329</v>
          </cell>
          <cell r="D6899" t="str">
            <v>Nippon India Taiwan Equity Fund- Direct Plan- IDCW option</v>
          </cell>
          <cell r="E6899">
            <v>34.716500000000003</v>
          </cell>
        </row>
        <row r="6900">
          <cell r="B6900" t="str">
            <v>INF204KC1279</v>
          </cell>
          <cell r="C6900" t="str">
            <v>-</v>
          </cell>
          <cell r="D6900" t="str">
            <v>Nippon India Taiwan Equity fund- Regular Plan- Growth Option</v>
          </cell>
          <cell r="E6900">
            <v>32.473100000000002</v>
          </cell>
        </row>
        <row r="6901">
          <cell r="B6901" t="str">
            <v>INF204KC1287</v>
          </cell>
          <cell r="C6901" t="str">
            <v>INF204KC1295</v>
          </cell>
          <cell r="D6901" t="str">
            <v>Nippon India Taiwan Equity Fund- Regular Plan- IDCW option</v>
          </cell>
          <cell r="E6901">
            <v>32.473100000000002</v>
          </cell>
        </row>
        <row r="6902">
          <cell r="B6902" t="str">
            <v>INF204KA16G3</v>
          </cell>
          <cell r="C6902" t="str">
            <v>INF204KA17G1</v>
          </cell>
          <cell r="D6902" t="str">
            <v>NIPPON INDIA - US EQUITY OPPORTUNITIES FUND - Direct Plan - IDCW Option</v>
          </cell>
          <cell r="E6902">
            <v>45.7316</v>
          </cell>
        </row>
        <row r="6903">
          <cell r="B6903" t="str">
            <v>INF204KA13G0</v>
          </cell>
          <cell r="C6903" t="str">
            <v>INF204KA14G8</v>
          </cell>
          <cell r="D6903" t="str">
            <v>NIPPON INDIA - US EQUITY OPPORTUNITIES FUND - IDCW Option</v>
          </cell>
          <cell r="E6903">
            <v>40.526400000000002</v>
          </cell>
        </row>
        <row r="6904">
          <cell r="B6904" t="str">
            <v>INF204KA15G5</v>
          </cell>
          <cell r="C6904" t="str">
            <v>-</v>
          </cell>
          <cell r="D6904" t="str">
            <v>Nippon India US Equity Opportunities Fund- Direct Plan- Growth Plan- Growth Option</v>
          </cell>
          <cell r="E6904">
            <v>45.7316</v>
          </cell>
        </row>
        <row r="6905">
          <cell r="B6905" t="str">
            <v>INF204KA12G2</v>
          </cell>
          <cell r="C6905" t="str">
            <v>-</v>
          </cell>
          <cell r="D6905" t="str">
            <v>Nippon India US Equity Opportunities Fund- Growth Plan- Growth Option</v>
          </cell>
          <cell r="E6905">
            <v>40.526400000000002</v>
          </cell>
        </row>
        <row r="6906">
          <cell r="B6906" t="str">
            <v/>
          </cell>
          <cell r="C6906" t="str">
            <v/>
          </cell>
          <cell r="D6906" t="str">
            <v/>
          </cell>
        </row>
        <row r="6907">
          <cell r="B6907" t="str">
            <v/>
          </cell>
          <cell r="C6907" t="str">
            <v/>
          </cell>
          <cell r="D6907" t="str">
            <v/>
          </cell>
        </row>
        <row r="6908">
          <cell r="B6908" t="str">
            <v/>
          </cell>
          <cell r="C6908" t="str">
            <v/>
          </cell>
          <cell r="D6908" t="str">
            <v/>
          </cell>
        </row>
        <row r="6909">
          <cell r="B6909" t="str">
            <v>INF663L01Z45</v>
          </cell>
          <cell r="C6909" t="str">
            <v>-</v>
          </cell>
          <cell r="D6909" t="str">
            <v>PGIM India Healthcare Fund - Direct Plan - Growth Option</v>
          </cell>
          <cell r="E6909">
            <v>11.98</v>
          </cell>
        </row>
        <row r="6910">
          <cell r="B6910" t="str">
            <v>INF663L01Z60</v>
          </cell>
          <cell r="C6910" t="str">
            <v>INF663L01Z78</v>
          </cell>
          <cell r="D6910" t="str">
            <v>PGIM India Healthcare Fund - Direct Plan - IDCW Option</v>
          </cell>
          <cell r="E6910">
            <v>11.98</v>
          </cell>
        </row>
        <row r="6911">
          <cell r="B6911" t="str">
            <v>INF663L01Z52</v>
          </cell>
          <cell r="C6911" t="str">
            <v>-</v>
          </cell>
          <cell r="D6911" t="str">
            <v>PGIM India Healthcare Fund - Regular Plan - Growth Option</v>
          </cell>
          <cell r="E6911">
            <v>11.65</v>
          </cell>
        </row>
        <row r="6912">
          <cell r="B6912" t="str">
            <v>INF663L01Z86</v>
          </cell>
          <cell r="C6912" t="str">
            <v>INF663L01Z94</v>
          </cell>
          <cell r="D6912" t="str">
            <v>PGIM India Healthcare Fund - Regular Plan - IDCW Option</v>
          </cell>
          <cell r="E6912">
            <v>11.65</v>
          </cell>
        </row>
        <row r="6913">
          <cell r="B6913" t="str">
            <v/>
          </cell>
          <cell r="C6913" t="str">
            <v/>
          </cell>
          <cell r="D6913" t="str">
            <v/>
          </cell>
        </row>
        <row r="6914">
          <cell r="B6914" t="str">
            <v/>
          </cell>
          <cell r="C6914" t="str">
            <v/>
          </cell>
          <cell r="D6914" t="str">
            <v/>
          </cell>
        </row>
        <row r="6915">
          <cell r="B6915" t="str">
            <v/>
          </cell>
          <cell r="C6915" t="str">
            <v/>
          </cell>
          <cell r="D6915" t="str">
            <v/>
          </cell>
        </row>
        <row r="6916">
          <cell r="B6916" t="str">
            <v>INF966L01BX0</v>
          </cell>
          <cell r="C6916" t="str">
            <v>-</v>
          </cell>
          <cell r="D6916" t="str">
            <v>quant BFSI Fund - Growth Option - Direct Plan</v>
          </cell>
          <cell r="E6916">
            <v>21.889900000000001</v>
          </cell>
        </row>
        <row r="6917">
          <cell r="B6917" t="str">
            <v>INF966L01CA6</v>
          </cell>
          <cell r="C6917" t="str">
            <v>-</v>
          </cell>
          <cell r="D6917" t="str">
            <v>quant BFSI Fund - Growth Option - Regular Plan</v>
          </cell>
          <cell r="E6917">
            <v>20.829000000000001</v>
          </cell>
        </row>
        <row r="6918">
          <cell r="B6918" t="str">
            <v>INF966L01BY8</v>
          </cell>
          <cell r="C6918" t="str">
            <v>INF966L01BZ5</v>
          </cell>
          <cell r="D6918" t="str">
            <v>quant BFSI Fund - IDCW Option - Direct Plan</v>
          </cell>
          <cell r="E6918">
            <v>21.914300000000001</v>
          </cell>
        </row>
        <row r="6919">
          <cell r="B6919" t="str">
            <v>INF966L01CB4</v>
          </cell>
          <cell r="C6919" t="str">
            <v>INF966L01CC2</v>
          </cell>
          <cell r="D6919" t="str">
            <v>quant BFSI Fund - IDCW Option - Regular Plan</v>
          </cell>
          <cell r="E6919">
            <v>20.827400000000001</v>
          </cell>
        </row>
        <row r="6920">
          <cell r="B6920" t="str">
            <v>INF966L01BR2</v>
          </cell>
          <cell r="C6920" t="str">
            <v>-</v>
          </cell>
          <cell r="D6920" t="str">
            <v>quant Business Cycle Fund - Growth Option - Direct Plan</v>
          </cell>
          <cell r="E6920">
            <v>17.331099999999999</v>
          </cell>
        </row>
        <row r="6921">
          <cell r="B6921" t="str">
            <v>INF966L01BU6</v>
          </cell>
          <cell r="C6921" t="str">
            <v>-</v>
          </cell>
          <cell r="D6921" t="str">
            <v>quant Business Cycle Fund - Growth Option - Regular Plan</v>
          </cell>
          <cell r="E6921">
            <v>16.5059</v>
          </cell>
        </row>
        <row r="6922">
          <cell r="B6922" t="str">
            <v>INF966L01BS0</v>
          </cell>
          <cell r="C6922" t="str">
            <v>INF966L01BT8</v>
          </cell>
          <cell r="D6922" t="str">
            <v>quant Business Cycle Fund - IDCW Option - Direct Plan</v>
          </cell>
          <cell r="E6922">
            <v>17.318300000000001</v>
          </cell>
        </row>
        <row r="6923">
          <cell r="B6923" t="str">
            <v>INF966L01BV4</v>
          </cell>
          <cell r="C6923" t="str">
            <v>INF966L01BW2</v>
          </cell>
          <cell r="D6923" t="str">
            <v>quant Business Cycle Fund - IDCW Option - Regular Plan</v>
          </cell>
          <cell r="E6923">
            <v>16.521799999999999</v>
          </cell>
        </row>
        <row r="6924">
          <cell r="B6924" t="str">
            <v>INF966L01DF3</v>
          </cell>
          <cell r="C6924" t="str">
            <v>-</v>
          </cell>
          <cell r="D6924" t="str">
            <v>quant Commodities Fund - Growth Option - Direct Plan</v>
          </cell>
          <cell r="E6924">
            <v>15.8255</v>
          </cell>
        </row>
        <row r="6925">
          <cell r="B6925" t="str">
            <v>INF966L01DC0</v>
          </cell>
          <cell r="C6925" t="str">
            <v>-</v>
          </cell>
          <cell r="D6925" t="str">
            <v>quant Commodities Fund - Growth Option - Regular Plan</v>
          </cell>
          <cell r="E6925">
            <v>15.225199999999999</v>
          </cell>
        </row>
        <row r="6926">
          <cell r="B6926" t="str">
            <v>INF966L01DG1</v>
          </cell>
          <cell r="C6926" t="str">
            <v>INF966L01DH9</v>
          </cell>
          <cell r="D6926" t="str">
            <v>quant Commodities Fund - IDCW Option - Direct Plan</v>
          </cell>
          <cell r="E6926">
            <v>15.820399999999999</v>
          </cell>
        </row>
        <row r="6927">
          <cell r="B6927" t="str">
            <v>INF966L01DD8</v>
          </cell>
          <cell r="C6927" t="str">
            <v>INF966L01DE6</v>
          </cell>
          <cell r="D6927" t="str">
            <v>quant Commodities Fund - IDCW Option - Regular Plan</v>
          </cell>
          <cell r="E6927">
            <v>15.222899999999999</v>
          </cell>
        </row>
        <row r="6928">
          <cell r="B6928" t="str">
            <v>INF966L01DN7</v>
          </cell>
          <cell r="C6928" t="str">
            <v>-</v>
          </cell>
          <cell r="D6928" t="str">
            <v>quant Consumption Fund - Growth Option - Direct Plan</v>
          </cell>
          <cell r="E6928">
            <v>10.5334</v>
          </cell>
        </row>
        <row r="6929">
          <cell r="B6929" t="str">
            <v>INF966L01DI7</v>
          </cell>
          <cell r="C6929" t="str">
            <v>-</v>
          </cell>
          <cell r="D6929" t="str">
            <v>quant Consumption Fund - Growth Option - Regular Plan</v>
          </cell>
          <cell r="E6929">
            <v>10.135899999999999</v>
          </cell>
        </row>
        <row r="6930">
          <cell r="B6930" t="str">
            <v>INF966L01DO5</v>
          </cell>
          <cell r="C6930" t="str">
            <v>INF966L01DP2</v>
          </cell>
          <cell r="D6930" t="str">
            <v>quant Consumption Fund - IDCW Option - Direct Plan</v>
          </cell>
          <cell r="E6930">
            <v>10.5381</v>
          </cell>
        </row>
        <row r="6931">
          <cell r="B6931" t="str">
            <v>INF966L01DL1</v>
          </cell>
          <cell r="C6931" t="str">
            <v>INF966L01DM9</v>
          </cell>
          <cell r="D6931" t="str">
            <v>quant Consumption Fund - IDCW Option - Regular Plan</v>
          </cell>
          <cell r="E6931">
            <v>10.14</v>
          </cell>
        </row>
        <row r="6932">
          <cell r="B6932" t="str">
            <v>INF966L01AD4</v>
          </cell>
          <cell r="C6932" t="str">
            <v>-</v>
          </cell>
          <cell r="D6932" t="str">
            <v>quant ESG Integration Strategy Fund - Growth Option - Direct Plan</v>
          </cell>
          <cell r="E6932">
            <v>42.3444</v>
          </cell>
        </row>
        <row r="6933">
          <cell r="B6933" t="str">
            <v>INF966L01AB8</v>
          </cell>
          <cell r="C6933" t="str">
            <v>-</v>
          </cell>
          <cell r="D6933" t="str">
            <v>quant ESG Integration Strategy Fund - Growth Option - Regular Plan</v>
          </cell>
          <cell r="E6933">
            <v>38.770899999999997</v>
          </cell>
        </row>
        <row r="6934">
          <cell r="B6934" t="str">
            <v>INF966L01AE2</v>
          </cell>
          <cell r="C6934" t="str">
            <v>INF966L01AG7</v>
          </cell>
          <cell r="D6934" t="str">
            <v>quant ESG Integration Strategy Fund - IDCW Option - Direct Plan</v>
          </cell>
          <cell r="E6934">
            <v>42.290599999999998</v>
          </cell>
        </row>
        <row r="6935">
          <cell r="B6935" t="str">
            <v>INF966L01AC6</v>
          </cell>
          <cell r="C6935" t="str">
            <v>INF966L01AF9</v>
          </cell>
          <cell r="D6935" t="str">
            <v>quant ESG Integration Strategy Fund - IDCW Option - Regular Plan</v>
          </cell>
          <cell r="E6935">
            <v>38.582500000000003</v>
          </cell>
        </row>
        <row r="6936">
          <cell r="B6936" t="str">
            <v>INF966L01CD0</v>
          </cell>
          <cell r="C6936" t="str">
            <v>-</v>
          </cell>
          <cell r="D6936" t="str">
            <v>quant Healthcare Fund - Growth Option - Direct Plan</v>
          </cell>
          <cell r="E6936">
            <v>18.008900000000001</v>
          </cell>
        </row>
        <row r="6937">
          <cell r="B6937" t="str">
            <v>INF966L01CG3</v>
          </cell>
          <cell r="C6937" t="str">
            <v>-</v>
          </cell>
          <cell r="D6937" t="str">
            <v>quant Healthcare Fund - Growth Option - Regular Plan</v>
          </cell>
          <cell r="E6937">
            <v>17.143999999999998</v>
          </cell>
        </row>
        <row r="6938">
          <cell r="B6938" t="str">
            <v>INF966L01CE8</v>
          </cell>
          <cell r="C6938" t="str">
            <v>INF966L01CF5</v>
          </cell>
          <cell r="D6938" t="str">
            <v>quant Healthcare Fund - IDCW Option - Direct Plan</v>
          </cell>
          <cell r="E6938">
            <v>18.007100000000001</v>
          </cell>
        </row>
        <row r="6939">
          <cell r="B6939" t="str">
            <v>INF966L01CH1</v>
          </cell>
          <cell r="C6939" t="str">
            <v>INF966L01CI9</v>
          </cell>
          <cell r="D6939" t="str">
            <v>quant Healthcare Fund - IDCW Option - Regular Plan</v>
          </cell>
          <cell r="E6939">
            <v>17.1432</v>
          </cell>
        </row>
        <row r="6940">
          <cell r="B6940" t="str">
            <v>INF966L01523</v>
          </cell>
          <cell r="C6940" t="str">
            <v>-</v>
          </cell>
          <cell r="D6940" t="str">
            <v>quant Infrastructure Fund - Growth Option</v>
          </cell>
          <cell r="E6940">
            <v>41.515700000000002</v>
          </cell>
        </row>
        <row r="6941">
          <cell r="B6941" t="str">
            <v>INF966L01721</v>
          </cell>
          <cell r="C6941" t="str">
            <v>-</v>
          </cell>
          <cell r="D6941" t="str">
            <v>quant Infrastructure Fund - Growth Option-Direct Plan</v>
          </cell>
          <cell r="E6941">
            <v>46.119100000000003</v>
          </cell>
        </row>
        <row r="6942">
          <cell r="B6942" t="str">
            <v>INF966L01705</v>
          </cell>
          <cell r="C6942" t="str">
            <v>INF966L01713</v>
          </cell>
          <cell r="D6942" t="str">
            <v>quant Infrastructure Fund - IDCW Option - Direct Plan</v>
          </cell>
          <cell r="E6942">
            <v>46.081800000000001</v>
          </cell>
        </row>
        <row r="6943">
          <cell r="B6943" t="str">
            <v>INF966L01507</v>
          </cell>
          <cell r="C6943" t="str">
            <v>INF966L01515</v>
          </cell>
          <cell r="D6943" t="str">
            <v>quant Infrastructure Fund - IDCW Option - Regular Plan</v>
          </cell>
          <cell r="E6943">
            <v>41.423000000000002</v>
          </cell>
        </row>
        <row r="6944">
          <cell r="B6944" t="str">
            <v>INF966L01CJ7</v>
          </cell>
          <cell r="C6944" t="str">
            <v>-</v>
          </cell>
          <cell r="D6944" t="str">
            <v>quant Manufacturing Fund - Growth Option - Direct Plan</v>
          </cell>
          <cell r="E6944">
            <v>17.590900000000001</v>
          </cell>
        </row>
        <row r="6945">
          <cell r="B6945" t="str">
            <v>INF966L01CN9</v>
          </cell>
          <cell r="C6945" t="str">
            <v>-</v>
          </cell>
          <cell r="D6945" t="str">
            <v>quant Manufacturing Fund - Growth Option - Regular Plan</v>
          </cell>
          <cell r="E6945">
            <v>16.819400000000002</v>
          </cell>
        </row>
        <row r="6946">
          <cell r="B6946" t="str">
            <v>INF966L01CK5</v>
          </cell>
          <cell r="C6946" t="str">
            <v>INF966L01CL3</v>
          </cell>
          <cell r="D6946" t="str">
            <v>quant Manufacturing Fund - IDCW Option - Direct Plan</v>
          </cell>
          <cell r="E6946">
            <v>17.586099999999998</v>
          </cell>
        </row>
        <row r="6947">
          <cell r="B6947" t="str">
            <v>INF966L01CO7</v>
          </cell>
          <cell r="C6947" t="str">
            <v>INF966L01CP4</v>
          </cell>
          <cell r="D6947" t="str">
            <v>quant Manufacturing Fund - IDCW Option - Regular Plan</v>
          </cell>
          <cell r="E6947">
            <v>16.947700000000001</v>
          </cell>
        </row>
        <row r="6948">
          <cell r="B6948" t="str">
            <v>INF966L01CZ3</v>
          </cell>
          <cell r="C6948" t="str">
            <v>-</v>
          </cell>
          <cell r="D6948" t="str">
            <v>quant Momentum Fund - Growth Option - Direct Plan</v>
          </cell>
          <cell r="E6948">
            <v>15.863300000000001</v>
          </cell>
        </row>
        <row r="6949">
          <cell r="B6949" t="str">
            <v>INF966L01CW0</v>
          </cell>
          <cell r="C6949" t="str">
            <v>-</v>
          </cell>
          <cell r="D6949" t="str">
            <v>quant Momentum Fund - Growth Option - Regular Plan</v>
          </cell>
          <cell r="E6949">
            <v>15.331200000000001</v>
          </cell>
        </row>
        <row r="6950">
          <cell r="B6950" t="str">
            <v>INF966L01DA4</v>
          </cell>
          <cell r="C6950" t="str">
            <v>INF966L01DB2</v>
          </cell>
          <cell r="D6950" t="str">
            <v>quant Momentum Fund - IDCW Option - Direct Plan</v>
          </cell>
          <cell r="E6950">
            <v>15.847200000000001</v>
          </cell>
        </row>
        <row r="6951">
          <cell r="B6951" t="str">
            <v>INF966L01CX8</v>
          </cell>
          <cell r="C6951" t="str">
            <v>INF966L01CY6</v>
          </cell>
          <cell r="D6951" t="str">
            <v>quant Momentum Fund - IDCW Option - Regular Plan</v>
          </cell>
          <cell r="E6951">
            <v>15.2826</v>
          </cell>
        </row>
        <row r="6952">
          <cell r="B6952" t="str">
            <v>INF966L01DT4</v>
          </cell>
          <cell r="C6952" t="str">
            <v>-</v>
          </cell>
          <cell r="D6952" t="str">
            <v>quant PSU Fund - Growth Option - Direct Plan</v>
          </cell>
          <cell r="E6952">
            <v>10.8606</v>
          </cell>
        </row>
        <row r="6953">
          <cell r="B6953" t="str">
            <v>INF966L01DQ0</v>
          </cell>
          <cell r="C6953" t="str">
            <v>-</v>
          </cell>
          <cell r="D6953" t="str">
            <v>quant PSU Fund - Growth Option - Regular Plan</v>
          </cell>
          <cell r="E6953">
            <v>10.496499999999999</v>
          </cell>
        </row>
        <row r="6954">
          <cell r="B6954" t="str">
            <v>INF966L01DU2</v>
          </cell>
          <cell r="C6954" t="str">
            <v>INF966L01DV0</v>
          </cell>
          <cell r="D6954" t="str">
            <v>quant PSU Fund - IDCW Option - Direct Plan</v>
          </cell>
          <cell r="E6954">
            <v>10.866899999999999</v>
          </cell>
        </row>
        <row r="6955">
          <cell r="B6955" t="str">
            <v>INF966L01DR8</v>
          </cell>
          <cell r="C6955" t="str">
            <v>INF966L01DS6</v>
          </cell>
          <cell r="D6955" t="str">
            <v>quant PSU Fund - IDCW Option - Regular Plan</v>
          </cell>
          <cell r="E6955">
            <v>10.4962</v>
          </cell>
        </row>
        <row r="6956">
          <cell r="B6956" t="str">
            <v>INF966L01AK9</v>
          </cell>
          <cell r="C6956" t="str">
            <v>-</v>
          </cell>
          <cell r="D6956" t="str">
            <v>quant Quantamental Fund - Growth Option - Direct Plan</v>
          </cell>
          <cell r="E6956">
            <v>27.276800000000001</v>
          </cell>
        </row>
        <row r="6957">
          <cell r="B6957" t="str">
            <v>INF966L01AH5</v>
          </cell>
          <cell r="C6957" t="str">
            <v>-</v>
          </cell>
          <cell r="D6957" t="str">
            <v>quant Quantamental Fund - Growth Option - Regular Plan</v>
          </cell>
          <cell r="E6957">
            <v>25.197199999999999</v>
          </cell>
        </row>
        <row r="6958">
          <cell r="B6958" t="str">
            <v>INF966L01AL7</v>
          </cell>
          <cell r="C6958" t="str">
            <v>INF966L01AM5</v>
          </cell>
          <cell r="D6958" t="str">
            <v>quant Quantamental Fund - IDCW Option - Direct Plan</v>
          </cell>
          <cell r="E6958">
            <v>27.4267</v>
          </cell>
        </row>
        <row r="6959">
          <cell r="B6959" t="str">
            <v>INF966L01AI3</v>
          </cell>
          <cell r="C6959" t="str">
            <v>INF966L01AJ1</v>
          </cell>
          <cell r="D6959" t="str">
            <v>quant Quantamental Fund - IDCW Option - Regular Plan</v>
          </cell>
          <cell r="E6959">
            <v>25.226500000000001</v>
          </cell>
        </row>
        <row r="6960">
          <cell r="B6960" t="str">
            <v>INF966L01CT6</v>
          </cell>
          <cell r="C6960" t="str">
            <v>-</v>
          </cell>
          <cell r="D6960" t="str">
            <v>quant Teck Fund - Growth Option - Direct Plan</v>
          </cell>
          <cell r="E6960">
            <v>11.524900000000001</v>
          </cell>
        </row>
        <row r="6961">
          <cell r="B6961" t="str">
            <v>INF966L01CQ2</v>
          </cell>
          <cell r="C6961" t="str">
            <v>-</v>
          </cell>
          <cell r="D6961" t="str">
            <v>quant Teck Fund - Growth Option - Regular Plan</v>
          </cell>
          <cell r="E6961">
            <v>11.012499999999999</v>
          </cell>
        </row>
        <row r="6962">
          <cell r="B6962" t="str">
            <v>INF966L01CU4</v>
          </cell>
          <cell r="C6962" t="str">
            <v>INF966L01CV2</v>
          </cell>
          <cell r="D6962" t="str">
            <v>quant Teck Fund - IDCW Option - Direct Plan</v>
          </cell>
          <cell r="E6962">
            <v>11.518800000000001</v>
          </cell>
        </row>
        <row r="6963">
          <cell r="B6963" t="str">
            <v>INF966L01CR0</v>
          </cell>
          <cell r="C6963" t="str">
            <v>INF966L01CS8</v>
          </cell>
          <cell r="D6963" t="str">
            <v>quant Teck Fund - IDCW Option - Regular Plan</v>
          </cell>
          <cell r="E6963">
            <v>11.013999999999999</v>
          </cell>
        </row>
        <row r="6964">
          <cell r="B6964" t="str">
            <v/>
          </cell>
          <cell r="C6964" t="str">
            <v/>
          </cell>
          <cell r="D6964" t="str">
            <v/>
          </cell>
        </row>
        <row r="6965">
          <cell r="B6965" t="str">
            <v/>
          </cell>
          <cell r="C6965" t="str">
            <v/>
          </cell>
          <cell r="D6965" t="str">
            <v/>
          </cell>
        </row>
        <row r="6966">
          <cell r="B6966" t="str">
            <v/>
          </cell>
          <cell r="C6966" t="str">
            <v/>
          </cell>
          <cell r="D6966" t="str">
            <v/>
          </cell>
        </row>
        <row r="6967">
          <cell r="B6967" t="str">
            <v>INF082J01382</v>
          </cell>
          <cell r="C6967" t="str">
            <v>-</v>
          </cell>
          <cell r="D6967" t="str">
            <v>QUANTUM ESG BEST IN CLASS STRATEGY FUND - DIRECT PLAN - GROWTH OPTION</v>
          </cell>
          <cell r="E6967">
            <v>24.74</v>
          </cell>
        </row>
        <row r="6968">
          <cell r="B6968" t="str">
            <v>INF082J01390</v>
          </cell>
          <cell r="C6968" t="str">
            <v>-</v>
          </cell>
          <cell r="D6968" t="str">
            <v>QUANTUM ESG BEST IN CLASS STRATEGY FUND - REGULAR PLAN - GROWTH OPTION</v>
          </cell>
          <cell r="E6968">
            <v>23.11</v>
          </cell>
        </row>
        <row r="6969">
          <cell r="B6969" t="str">
            <v>INF082J01473</v>
          </cell>
          <cell r="C6969" t="str">
            <v>-</v>
          </cell>
          <cell r="D6969" t="str">
            <v>Quantum Ethical Fund - Direct Plan Growth Option</v>
          </cell>
          <cell r="E6969">
            <v>9.92</v>
          </cell>
        </row>
        <row r="6970">
          <cell r="B6970" t="str">
            <v>INF082J01481</v>
          </cell>
          <cell r="C6970" t="str">
            <v>-</v>
          </cell>
          <cell r="D6970" t="str">
            <v>Quantum Ethical Fund - Regular Plan Growth Option</v>
          </cell>
          <cell r="E6970">
            <v>9.7100000000000009</v>
          </cell>
        </row>
        <row r="6971">
          <cell r="B6971" t="str">
            <v/>
          </cell>
          <cell r="C6971" t="str">
            <v/>
          </cell>
          <cell r="D6971" t="str">
            <v/>
          </cell>
        </row>
        <row r="6972">
          <cell r="B6972" t="str">
            <v/>
          </cell>
          <cell r="C6972" t="str">
            <v/>
          </cell>
          <cell r="D6972" t="str">
            <v/>
          </cell>
        </row>
        <row r="6973">
          <cell r="B6973" t="str">
            <v/>
          </cell>
          <cell r="C6973" t="str">
            <v/>
          </cell>
          <cell r="D6973" t="str">
            <v/>
          </cell>
        </row>
        <row r="6974">
          <cell r="B6974" t="str">
            <v>INF0K1H01081</v>
          </cell>
          <cell r="C6974" t="str">
            <v>-</v>
          </cell>
          <cell r="D6974" t="str">
            <v>Samco Active Momentum Fund - Direct Plan - Growth Option</v>
          </cell>
          <cell r="E6974">
            <v>14.98</v>
          </cell>
        </row>
        <row r="6975">
          <cell r="B6975" t="str">
            <v>INF0K1H01073</v>
          </cell>
          <cell r="C6975" t="str">
            <v>-</v>
          </cell>
          <cell r="D6975" t="str">
            <v>Samco Active Momentum Fund - Regular Plan - Growth Option</v>
          </cell>
          <cell r="E6975">
            <v>14.36</v>
          </cell>
        </row>
        <row r="6976">
          <cell r="B6976" t="str">
            <v>INF0K1H01180</v>
          </cell>
          <cell r="C6976" t="str">
            <v>-</v>
          </cell>
          <cell r="D6976" t="str">
            <v>Samco Special Opportunities Fund - Direct Plan - Growth</v>
          </cell>
          <cell r="E6976">
            <v>8.77</v>
          </cell>
        </row>
        <row r="6977">
          <cell r="B6977" t="str">
            <v>INF0K1H01172</v>
          </cell>
          <cell r="C6977" t="str">
            <v>-</v>
          </cell>
          <cell r="D6977" t="str">
            <v>Samco Special Opportunities Fund - Regular Plan - Growth</v>
          </cell>
          <cell r="E6977">
            <v>8.4700000000000006</v>
          </cell>
        </row>
        <row r="6978">
          <cell r="B6978" t="str">
            <v/>
          </cell>
          <cell r="C6978" t="str">
            <v/>
          </cell>
          <cell r="D6978" t="str">
            <v/>
          </cell>
        </row>
        <row r="6979">
          <cell r="B6979" t="str">
            <v/>
          </cell>
          <cell r="C6979" t="str">
            <v/>
          </cell>
          <cell r="D6979" t="str">
            <v/>
          </cell>
        </row>
        <row r="6980">
          <cell r="B6980" t="str">
            <v/>
          </cell>
          <cell r="C6980" t="str">
            <v/>
          </cell>
          <cell r="D6980" t="str">
            <v/>
          </cell>
        </row>
        <row r="6981">
          <cell r="B6981" t="str">
            <v>INF200KB1183</v>
          </cell>
          <cell r="C6981" t="str">
            <v>-</v>
          </cell>
          <cell r="D6981" t="str">
            <v>SBI Automotive Opportunities Fund - Direct Plan - Growth</v>
          </cell>
          <cell r="E6981">
            <v>12.6639</v>
          </cell>
        </row>
        <row r="6982">
          <cell r="B6982" t="str">
            <v>INF200KB1191</v>
          </cell>
          <cell r="C6982" t="str">
            <v>INF200KB1209</v>
          </cell>
          <cell r="D6982" t="str">
            <v>SBI Automotive Opportunities Fund - Direct Plan - Income Distribution Cum Capital Withdrawal Option</v>
          </cell>
          <cell r="E6982">
            <v>12.663500000000001</v>
          </cell>
        </row>
        <row r="6983">
          <cell r="B6983" t="str">
            <v>INF200KB1159</v>
          </cell>
          <cell r="C6983" t="str">
            <v>-</v>
          </cell>
          <cell r="D6983" t="str">
            <v>SBI Automotive Opportunities Fund - Regular Plan - Growth</v>
          </cell>
          <cell r="E6983">
            <v>12.3673</v>
          </cell>
        </row>
        <row r="6984">
          <cell r="B6984" t="str">
            <v>INF200KB1167</v>
          </cell>
          <cell r="C6984" t="str">
            <v>INF200KB1175</v>
          </cell>
          <cell r="D6984" t="str">
            <v>SBI Automotive Opportunities Fund - Regular Plan - Income Distribution Cum Capital Withdrawal Option</v>
          </cell>
          <cell r="E6984">
            <v>12.3675</v>
          </cell>
        </row>
        <row r="6985">
          <cell r="B6985" t="str">
            <v>INF200KA1507</v>
          </cell>
          <cell r="C6985" t="str">
            <v>-</v>
          </cell>
          <cell r="D6985" t="str">
            <v>SBI BANKING &amp; FINANCIAL SERVICES FUND - DIRECT PLAN - GROWTH</v>
          </cell>
          <cell r="E6985">
            <v>49.149700000000003</v>
          </cell>
        </row>
        <row r="6986">
          <cell r="B6986" t="str">
            <v>INF200KA1515</v>
          </cell>
          <cell r="C6986" t="str">
            <v>INF200KA1523</v>
          </cell>
          <cell r="D6986" t="str">
            <v>SBI Banking &amp; Financial Services Fund - Direct Plan - Income Distribution cum Capital Withdrawal Option (IDCW)</v>
          </cell>
          <cell r="E6986">
            <v>43.932400000000001</v>
          </cell>
        </row>
        <row r="6987">
          <cell r="B6987" t="str">
            <v>INF200KA1473</v>
          </cell>
          <cell r="C6987" t="str">
            <v>-</v>
          </cell>
          <cell r="D6987" t="str">
            <v>SBI BANKING &amp; FINANCIAL SERVICES FUND - REGULAR PLAN - GROWTH</v>
          </cell>
          <cell r="E6987">
            <v>43.571899999999999</v>
          </cell>
        </row>
        <row r="6988">
          <cell r="B6988" t="str">
            <v>INF200KA1481</v>
          </cell>
          <cell r="C6988" t="str">
            <v>INF200KA1499</v>
          </cell>
          <cell r="D6988" t="str">
            <v>SBI Banking &amp; Financial Services Fund - Regular Plan - Income Distribution cum Capital Withdrawal Option (IDCW)</v>
          </cell>
          <cell r="E6988">
            <v>39.1297</v>
          </cell>
        </row>
        <row r="6989">
          <cell r="B6989" t="str">
            <v>INF200K01SB6</v>
          </cell>
          <cell r="C6989" t="str">
            <v>-</v>
          </cell>
          <cell r="D6989" t="str">
            <v>SBI COMMA Fund - DIRECT PLAN - Growth</v>
          </cell>
          <cell r="E6989">
            <v>125.9367</v>
          </cell>
        </row>
        <row r="6990">
          <cell r="B6990" t="str">
            <v>INF200K01RZ7</v>
          </cell>
          <cell r="C6990" t="str">
            <v>INF200K01SA8</v>
          </cell>
          <cell r="D6990" t="str">
            <v>SBI Comma Fund - Direct Plan - Income Distribution cum Capital Withdrawal Option (IDCW)</v>
          </cell>
          <cell r="E6990">
            <v>71.663899999999998</v>
          </cell>
        </row>
        <row r="6991">
          <cell r="B6991" t="str">
            <v>INF200K01339</v>
          </cell>
          <cell r="C6991" t="str">
            <v>-</v>
          </cell>
          <cell r="D6991" t="str">
            <v>SBI COMMA Fund - REGULAR PLAN - Growth</v>
          </cell>
          <cell r="E6991">
            <v>115.6512</v>
          </cell>
        </row>
        <row r="6992">
          <cell r="B6992" t="str">
            <v>INF200K01313</v>
          </cell>
          <cell r="C6992" t="str">
            <v>INF200K01321</v>
          </cell>
          <cell r="D6992" t="str">
            <v>SBI Comma Fund - Regular Plan - Income Distribution cum Capital Withdrawal Option (IDCW)</v>
          </cell>
          <cell r="E6992">
            <v>65.644599999999997</v>
          </cell>
        </row>
        <row r="6993">
          <cell r="B6993" t="str">
            <v>INF200K01RM5</v>
          </cell>
          <cell r="C6993" t="str">
            <v>-</v>
          </cell>
          <cell r="D6993" t="str">
            <v>SBI CONSUMPTION OPPORTUNITIES FUND - DIRECT PLAN - GROWTH</v>
          </cell>
          <cell r="E6993">
            <v>330.72309999999999</v>
          </cell>
        </row>
        <row r="6994">
          <cell r="B6994" t="str">
            <v>INF200K01RK9</v>
          </cell>
          <cell r="C6994" t="str">
            <v>INF200K01RL7</v>
          </cell>
          <cell r="D6994" t="str">
            <v>SBI Consumption Opportunities Fund - Direct Plan - Income Distribution cum Capital Withdrawal Option (IDCW)</v>
          </cell>
          <cell r="E6994">
            <v>232.82570000000001</v>
          </cell>
        </row>
        <row r="6995">
          <cell r="B6995" t="str">
            <v>INF200K01VR6</v>
          </cell>
          <cell r="C6995" t="str">
            <v>-</v>
          </cell>
          <cell r="D6995" t="str">
            <v>SBI CONSUMPTION OPPORTUNITIES FUND - REGULAR - GROWTH</v>
          </cell>
          <cell r="E6995">
            <v>286.85480000000001</v>
          </cell>
        </row>
        <row r="6996">
          <cell r="B6996" t="str">
            <v>INF200K01404</v>
          </cell>
          <cell r="C6996" t="str">
            <v>INF200K01412</v>
          </cell>
          <cell r="D6996" t="str">
            <v>SBI Consumption Opportunities Fund - Regular Plan - Income Distribution cum Capital Withdrawal Option (IDCW)</v>
          </cell>
          <cell r="E6996">
            <v>172.7063</v>
          </cell>
        </row>
        <row r="6997">
          <cell r="B6997" t="str">
            <v>INF200KB1126</v>
          </cell>
          <cell r="C6997" t="str">
            <v>-</v>
          </cell>
          <cell r="D6997" t="str">
            <v>SBI Energy Opportunities Fund - Direct Plan - Growth</v>
          </cell>
          <cell r="E6997">
            <v>11.4198</v>
          </cell>
        </row>
        <row r="6998">
          <cell r="B6998" t="str">
            <v>INF200KB1134</v>
          </cell>
          <cell r="C6998" t="str">
            <v>INF200KB1142</v>
          </cell>
          <cell r="D6998" t="str">
            <v>SBI Energy Opportunities Fund - Direct Plan - Income Distribution Cum Capital Withdrawal Option</v>
          </cell>
          <cell r="E6998">
            <v>11.419600000000001</v>
          </cell>
        </row>
        <row r="6999">
          <cell r="B6999" t="str">
            <v>INF200KB1092</v>
          </cell>
          <cell r="C6999" t="str">
            <v>-</v>
          </cell>
          <cell r="D6999" t="str">
            <v>SBI Energy Opportunities Fund - Regular Plan - Growth</v>
          </cell>
          <cell r="E6999">
            <v>11.1281</v>
          </cell>
        </row>
        <row r="7000">
          <cell r="B7000" t="str">
            <v>INF200KB1100</v>
          </cell>
          <cell r="C7000" t="str">
            <v>INF200KB1118</v>
          </cell>
          <cell r="D7000" t="str">
            <v>SBI Energy Opportunities Fund - Regular Plan - Income Distribution Cum Capital Withdrawal Option</v>
          </cell>
          <cell r="E7000">
            <v>11.128399999999999</v>
          </cell>
        </row>
        <row r="7001">
          <cell r="B7001" t="str">
            <v>INF200KA1A71</v>
          </cell>
          <cell r="C7001" t="str">
            <v>-</v>
          </cell>
          <cell r="D7001" t="str">
            <v>SBI Equity Minimum Variance Fund - Direct Plan - Growth</v>
          </cell>
          <cell r="E7001">
            <v>24.6829</v>
          </cell>
        </row>
        <row r="7002">
          <cell r="B7002" t="str">
            <v>INF200KA1A89</v>
          </cell>
          <cell r="C7002" t="str">
            <v>INF200KA1A97</v>
          </cell>
          <cell r="D7002" t="str">
            <v>SBI Equity Minimum Variance Fund - Direct Plan - Income Distribution cum Capital Withdrawal Option (IDCW)</v>
          </cell>
          <cell r="E7002">
            <v>24.6813</v>
          </cell>
        </row>
        <row r="7003">
          <cell r="B7003" t="str">
            <v>INF200KA1A48</v>
          </cell>
          <cell r="C7003" t="str">
            <v>-</v>
          </cell>
          <cell r="D7003" t="str">
            <v>SBI Equity Minimum Variance Fund - Regular Plan - Growth</v>
          </cell>
          <cell r="E7003">
            <v>24.041</v>
          </cell>
        </row>
        <row r="7004">
          <cell r="B7004" t="str">
            <v>INF200KA1A55</v>
          </cell>
          <cell r="C7004" t="str">
            <v>INF200KA1A63</v>
          </cell>
          <cell r="D7004" t="str">
            <v>SBI Equity Minimum Variance Fund - Regular Plan - Income Distribution cum Capital Withdrawal Option (IDCW)</v>
          </cell>
          <cell r="E7004">
            <v>24.044799999999999</v>
          </cell>
        </row>
        <row r="7005">
          <cell r="B7005" t="str">
            <v>INF200K01SC4</v>
          </cell>
          <cell r="C7005" t="str">
            <v>INF200K01SD2</v>
          </cell>
          <cell r="D7005" t="str">
            <v>SBI ESG Exclusionary Strategy Fund - Direct Plan - Income Distribution cum Capital Withdrawal Option (IDCW)</v>
          </cell>
          <cell r="E7005">
            <v>94.003299999999996</v>
          </cell>
        </row>
        <row r="7006">
          <cell r="B7006" t="str">
            <v>INF200K01SE0</v>
          </cell>
          <cell r="C7006" t="str">
            <v>-</v>
          </cell>
          <cell r="D7006" t="str">
            <v>SBI ESG Exclusionary Strategy Fund - Direct Plan -Growth</v>
          </cell>
          <cell r="E7006">
            <v>261.85079999999999</v>
          </cell>
        </row>
        <row r="7007">
          <cell r="B7007" t="str">
            <v>INF200K01214</v>
          </cell>
          <cell r="C7007" t="str">
            <v>-</v>
          </cell>
          <cell r="D7007" t="str">
            <v>SBI ESG Exclusionary Strategy Fund - Regular Plan - Growth</v>
          </cell>
          <cell r="E7007">
            <v>237.5737</v>
          </cell>
        </row>
        <row r="7008">
          <cell r="B7008" t="str">
            <v>INF200K01198</v>
          </cell>
          <cell r="C7008" t="str">
            <v>INF200K01206</v>
          </cell>
          <cell r="D7008" t="str">
            <v>SBI ESG Exclusionary Strategy Fund - Regular Plan - Income Distribution cum Capital Withdrawal Option (IDCW)</v>
          </cell>
          <cell r="E7008">
            <v>74.3</v>
          </cell>
        </row>
        <row r="7009">
          <cell r="B7009" t="str">
            <v>INF200K01UN7</v>
          </cell>
          <cell r="C7009" t="str">
            <v>INF200K01UO5</v>
          </cell>
          <cell r="D7009" t="str">
            <v>SBI Healthcare Opportunities Fund - Direct Plan - Income Distribution cum Capital Withdrawal Option (IDCW)</v>
          </cell>
          <cell r="E7009">
            <v>404.68509999999998</v>
          </cell>
        </row>
        <row r="7010">
          <cell r="B7010" t="str">
            <v>INF200K01UP2</v>
          </cell>
          <cell r="C7010" t="str">
            <v>-</v>
          </cell>
          <cell r="D7010" t="str">
            <v>SBI HEALTHCARE OPPORTUNITIES FUND - DIRECT PLAN -GROWTH</v>
          </cell>
          <cell r="E7010">
            <v>582.47320000000002</v>
          </cell>
        </row>
        <row r="7011">
          <cell r="B7011" t="str">
            <v>INF200K01453</v>
          </cell>
          <cell r="C7011" t="str">
            <v>INF200K01461</v>
          </cell>
          <cell r="D7011" t="str">
            <v>SBI Healthcare Opportunities Fund - Regular Plan - Income Distribution cum Capital Withdrawal Option (IDCW)</v>
          </cell>
          <cell r="E7011">
            <v>317.18740000000003</v>
          </cell>
        </row>
        <row r="7012">
          <cell r="B7012" t="str">
            <v>INF200K01446</v>
          </cell>
          <cell r="C7012" t="str">
            <v>-</v>
          </cell>
          <cell r="D7012" t="str">
            <v>SBI HEALTHCARE OPPORTUNITIES FUND - REGULAR PLAN -GROWTH</v>
          </cell>
          <cell r="E7012">
            <v>503.51429999999999</v>
          </cell>
        </row>
        <row r="7013">
          <cell r="B7013" t="str">
            <v>INF200K01RS2</v>
          </cell>
          <cell r="C7013" t="str">
            <v>-</v>
          </cell>
          <cell r="D7013" t="str">
            <v>SBI INFRASTRUCTURE FUND -  DIRECT PLAN - GROWTH</v>
          </cell>
          <cell r="E7013">
            <v>55.807400000000001</v>
          </cell>
        </row>
        <row r="7014">
          <cell r="B7014" t="str">
            <v>INF200K01CT2</v>
          </cell>
          <cell r="C7014" t="str">
            <v>-</v>
          </cell>
          <cell r="D7014" t="str">
            <v>SBI INFRASTRUCTURE FUND -  REGULAR PLAN - GROWTH</v>
          </cell>
          <cell r="E7014">
            <v>51.231000000000002</v>
          </cell>
        </row>
        <row r="7015">
          <cell r="B7015" t="str">
            <v>INF200K01RQ6</v>
          </cell>
          <cell r="C7015" t="str">
            <v>INF200K01RR4</v>
          </cell>
          <cell r="D7015" t="str">
            <v>SBI Infrastructure Fund - Direct Plan - Income Distribution cum Capital Withdrawal Option (IDCW)</v>
          </cell>
          <cell r="E7015">
            <v>49.3904</v>
          </cell>
        </row>
        <row r="7016">
          <cell r="B7016" t="str">
            <v>INF200K01CU0</v>
          </cell>
          <cell r="C7016" t="str">
            <v>INF200K01CV8</v>
          </cell>
          <cell r="D7016" t="str">
            <v>SBI Infrastructure Fund - Regular Plan - Income Distribution cum Capital Withdrawal Option (IDCW)</v>
          </cell>
          <cell r="E7016">
            <v>45.574100000000001</v>
          </cell>
        </row>
        <row r="7017">
          <cell r="B7017" t="str">
            <v>INF200KB1324</v>
          </cell>
          <cell r="C7017" t="str">
            <v>-</v>
          </cell>
          <cell r="D7017" t="str">
            <v>SBI Innovative Opportunities Fund - Direct Plan - Growth</v>
          </cell>
          <cell r="E7017">
            <v>10.211600000000001</v>
          </cell>
        </row>
        <row r="7018">
          <cell r="B7018" t="str">
            <v>INF200KB1332</v>
          </cell>
          <cell r="C7018" t="str">
            <v>INF200KB1340</v>
          </cell>
          <cell r="D7018" t="str">
            <v>SBI Innovative Opportunities Fund - Direct Plan - Income Distribution Cum Capital Withdrawal Option</v>
          </cell>
          <cell r="E7018">
            <v>10.211600000000001</v>
          </cell>
        </row>
        <row r="7019">
          <cell r="B7019" t="str">
            <v>INF200KB1290</v>
          </cell>
          <cell r="C7019" t="str">
            <v>-</v>
          </cell>
          <cell r="D7019" t="str">
            <v>SBI Innovative Opportunities Fund - Regular Plan - Growth</v>
          </cell>
          <cell r="E7019">
            <v>10.0001</v>
          </cell>
        </row>
        <row r="7020">
          <cell r="B7020" t="str">
            <v>INF200KB1308</v>
          </cell>
          <cell r="C7020" t="str">
            <v>INF200KB1316</v>
          </cell>
          <cell r="D7020" t="str">
            <v>SBI Innovative Opportunities Fund - Regular Plan - Income Distribution Cum Capital Withdrawal Option</v>
          </cell>
          <cell r="E7020">
            <v>10.000500000000001</v>
          </cell>
        </row>
        <row r="7021">
          <cell r="B7021" t="str">
            <v>INF200K01SL5</v>
          </cell>
          <cell r="C7021" t="str">
            <v>INF200K01SM3</v>
          </cell>
          <cell r="D7021" t="str">
            <v>SBI MNC Fund - Direct Plan - Income Distribution cum Capital Withdrawal Option (IDCW)</v>
          </cell>
          <cell r="E7021">
            <v>156.4504</v>
          </cell>
        </row>
        <row r="7022">
          <cell r="B7022" t="str">
            <v>INF200K01SN1</v>
          </cell>
          <cell r="C7022" t="str">
            <v>-</v>
          </cell>
          <cell r="D7022" t="str">
            <v>SBI MNC FUND - DIRECT PLAN -GROWTH</v>
          </cell>
          <cell r="E7022">
            <v>438.27980000000002</v>
          </cell>
        </row>
        <row r="7023">
          <cell r="B7023" t="str">
            <v>INF200K01255</v>
          </cell>
          <cell r="C7023" t="str">
            <v>INF200K01263</v>
          </cell>
          <cell r="D7023" t="str">
            <v>SBI MNC Fund - Regular Plan - Income Distribution cum Capital Withdrawal Option (IDCW)</v>
          </cell>
          <cell r="E7023">
            <v>120.7137</v>
          </cell>
        </row>
        <row r="7024">
          <cell r="B7024" t="str">
            <v>INF200K01271</v>
          </cell>
          <cell r="C7024" t="str">
            <v>-</v>
          </cell>
          <cell r="D7024" t="str">
            <v>SBI MNC FUND - REGULAR PLAN -GROWTH</v>
          </cell>
          <cell r="E7024">
            <v>395.14499999999998</v>
          </cell>
        </row>
        <row r="7025">
          <cell r="B7025" t="str">
            <v>INF200K01UY4</v>
          </cell>
          <cell r="C7025" t="str">
            <v>-</v>
          </cell>
          <cell r="D7025" t="str">
            <v>SBI PSU Fund - DIRECT PLAN - GROWTH</v>
          </cell>
          <cell r="E7025">
            <v>38.281700000000001</v>
          </cell>
        </row>
        <row r="7026">
          <cell r="B7026" t="str">
            <v>INF200K01UW8</v>
          </cell>
          <cell r="C7026" t="str">
            <v>INF200K01UX6</v>
          </cell>
          <cell r="D7026" t="str">
            <v>SBI PSU Fund - Direct Plan - Income Distribution cum Capital Withdrawal Option (IDCW)</v>
          </cell>
          <cell r="E7026">
            <v>38.225700000000003</v>
          </cell>
        </row>
        <row r="7027">
          <cell r="B7027" t="str">
            <v>INF200K01BD8</v>
          </cell>
          <cell r="C7027" t="str">
            <v>INF200K01BE6</v>
          </cell>
          <cell r="D7027" t="str">
            <v>SBI PSU Fund - Regular Plan - Income Distribution cum Capital Withdrawal Option (IDCW)</v>
          </cell>
          <cell r="E7027">
            <v>34.413699999999999</v>
          </cell>
        </row>
        <row r="7028">
          <cell r="B7028" t="str">
            <v>INF200K01BC0</v>
          </cell>
          <cell r="C7028" t="str">
            <v>-</v>
          </cell>
          <cell r="D7028" t="str">
            <v>SBI PSU Fund - REGULAR PLAN -Growth</v>
          </cell>
          <cell r="E7028">
            <v>34.417700000000004</v>
          </cell>
        </row>
        <row r="7029">
          <cell r="B7029" t="str">
            <v>INF200KB1AG6</v>
          </cell>
          <cell r="C7029" t="str">
            <v>-</v>
          </cell>
          <cell r="D7029" t="str">
            <v>SBI Quality Fund - Direct Plan - Growth</v>
          </cell>
          <cell r="E7029">
            <v>10.553699999999999</v>
          </cell>
        </row>
        <row r="7030">
          <cell r="B7030" t="str">
            <v>INF200KB1AH4</v>
          </cell>
          <cell r="C7030" t="str">
            <v>INF200KB1AI2</v>
          </cell>
          <cell r="D7030" t="str">
            <v>SBI Quality Fund - Direct Plan - Income Distribution Cum Capital Withdrawal</v>
          </cell>
          <cell r="E7030">
            <v>10.553800000000001</v>
          </cell>
        </row>
        <row r="7031">
          <cell r="B7031" t="str">
            <v>INF200KB1AD3</v>
          </cell>
          <cell r="C7031" t="str">
            <v>-</v>
          </cell>
          <cell r="D7031" t="str">
            <v>SBI Quality Fund - Regular Plan - Growth</v>
          </cell>
          <cell r="E7031">
            <v>10.501099999999999</v>
          </cell>
        </row>
        <row r="7032">
          <cell r="B7032" t="str">
            <v>INF200KB1AE1</v>
          </cell>
          <cell r="C7032" t="str">
            <v>INF200KB1AF8</v>
          </cell>
          <cell r="D7032" t="str">
            <v>SBI Quality Fund - Regular Plan - Income Distribution Cum Capital Withdrawal</v>
          </cell>
          <cell r="E7032">
            <v>10.501099999999999</v>
          </cell>
        </row>
        <row r="7033">
          <cell r="B7033" t="str">
            <v>INF200KB1506</v>
          </cell>
          <cell r="C7033" t="str">
            <v>-</v>
          </cell>
          <cell r="D7033" t="str">
            <v>SBI Quant Fund- Direct Plan- Growth</v>
          </cell>
          <cell r="E7033">
            <v>9.8633000000000006</v>
          </cell>
        </row>
        <row r="7034">
          <cell r="B7034" t="str">
            <v>INF200KB1514</v>
          </cell>
          <cell r="C7034" t="str">
            <v>INF200KB1522</v>
          </cell>
          <cell r="D7034" t="str">
            <v>SBI Quant Fund- Direct Plan- Income Distribution cum Capital Withdrawal Option (IDCW)</v>
          </cell>
          <cell r="E7034">
            <v>9.8630999999999993</v>
          </cell>
        </row>
        <row r="7035">
          <cell r="B7035" t="str">
            <v>INF200KB1472</v>
          </cell>
          <cell r="C7035" t="str">
            <v>-</v>
          </cell>
          <cell r="D7035" t="str">
            <v>SBI Quant Fund- Regular Plan- Growth</v>
          </cell>
          <cell r="E7035">
            <v>9.6882999999999999</v>
          </cell>
        </row>
        <row r="7036">
          <cell r="B7036" t="str">
            <v>INF200KB1480</v>
          </cell>
          <cell r="C7036" t="str">
            <v>INF200KB1498</v>
          </cell>
          <cell r="D7036" t="str">
            <v>SBI Quant Fund- Regular Plan- Income Distribution Cum Capital Withdrawal Option (IDCW)</v>
          </cell>
          <cell r="E7036">
            <v>9.6882999999999999</v>
          </cell>
        </row>
        <row r="7037">
          <cell r="B7037" t="str">
            <v>INF200K01RV6</v>
          </cell>
          <cell r="C7037" t="str">
            <v>-</v>
          </cell>
          <cell r="D7037" t="str">
            <v>SBI TECHNOLOGY OPPORTUNITIES FUND - DIRECT PLAN - GROWTH</v>
          </cell>
          <cell r="E7037">
            <v>217.81950000000001</v>
          </cell>
        </row>
        <row r="7038">
          <cell r="B7038" t="str">
            <v>INF200K01RT0</v>
          </cell>
          <cell r="C7038" t="str">
            <v>INF200K01RU8</v>
          </cell>
          <cell r="D7038" t="str">
            <v>SBI Technology Opportunities Fund - Direct Plan - Income Distribution cum Capital Withdrawal Option (IDCW)</v>
          </cell>
          <cell r="E7038">
            <v>154.7098</v>
          </cell>
        </row>
        <row r="7039">
          <cell r="B7039" t="str">
            <v>INF200K01VS4</v>
          </cell>
          <cell r="C7039" t="str">
            <v>-</v>
          </cell>
          <cell r="D7039" t="str">
            <v>SBI TECHNOLOGY OPPORTUNITIES FUND - REGULAR PLAN - GROWTH</v>
          </cell>
          <cell r="E7039">
            <v>189.3415</v>
          </cell>
        </row>
        <row r="7040">
          <cell r="B7040" t="str">
            <v>INF200K01420</v>
          </cell>
          <cell r="C7040" t="str">
            <v>INF200K01438</v>
          </cell>
          <cell r="D7040" t="str">
            <v>SBI Technology Opportunities Fund - Regular Plan - Income Distribution cum Capital Withdrawal Option (IDCW)</v>
          </cell>
          <cell r="E7040">
            <v>114.0187</v>
          </cell>
        </row>
        <row r="7041">
          <cell r="B7041" t="str">
            <v/>
          </cell>
          <cell r="C7041" t="str">
            <v/>
          </cell>
          <cell r="D7041" t="str">
            <v/>
          </cell>
        </row>
        <row r="7042">
          <cell r="B7042" t="str">
            <v/>
          </cell>
          <cell r="C7042" t="str">
            <v/>
          </cell>
          <cell r="D7042" t="str">
            <v/>
          </cell>
        </row>
        <row r="7043">
          <cell r="B7043" t="str">
            <v/>
          </cell>
          <cell r="C7043" t="str">
            <v/>
          </cell>
          <cell r="D7043" t="str">
            <v/>
          </cell>
        </row>
        <row r="7044">
          <cell r="B7044" t="str">
            <v>INF680P01455</v>
          </cell>
          <cell r="C7044" t="str">
            <v>-</v>
          </cell>
          <cell r="D7044" t="str">
            <v>Shriram Multi Sector Rotation Fund - Direct Plan Growth Option</v>
          </cell>
          <cell r="E7044">
            <v>8.2052999999999994</v>
          </cell>
        </row>
        <row r="7045">
          <cell r="B7045" t="str">
            <v>INF680P01463</v>
          </cell>
          <cell r="C7045" t="str">
            <v>-</v>
          </cell>
          <cell r="D7045" t="str">
            <v>Shriram Multi Sector Rotation Fund - Regular Plan Growth Option</v>
          </cell>
          <cell r="E7045">
            <v>7.9821</v>
          </cell>
        </row>
        <row r="7046">
          <cell r="B7046" t="str">
            <v/>
          </cell>
          <cell r="C7046" t="str">
            <v/>
          </cell>
          <cell r="D7046" t="str">
            <v/>
          </cell>
        </row>
        <row r="7047">
          <cell r="B7047" t="str">
            <v/>
          </cell>
          <cell r="C7047" t="str">
            <v/>
          </cell>
          <cell r="D7047" t="str">
            <v/>
          </cell>
        </row>
        <row r="7048">
          <cell r="B7048" t="str">
            <v/>
          </cell>
          <cell r="C7048" t="str">
            <v/>
          </cell>
          <cell r="D7048" t="str">
            <v/>
          </cell>
        </row>
        <row r="7049">
          <cell r="B7049" t="str">
            <v>INF903JA1LQ6</v>
          </cell>
          <cell r="C7049" t="str">
            <v>-</v>
          </cell>
          <cell r="D7049" t="str">
            <v>Sundaram Business Cycle Fund Direct Plan Growth</v>
          </cell>
          <cell r="E7049">
            <v>11.247299999999999</v>
          </cell>
        </row>
        <row r="7050">
          <cell r="B7050" t="str">
            <v>INF903JA1LR4</v>
          </cell>
          <cell r="C7050" t="str">
            <v>-</v>
          </cell>
          <cell r="D7050" t="str">
            <v>Sundaram Business Cycle Fund Direct Plan IDCW Payout</v>
          </cell>
          <cell r="E7050">
            <v>11.247299999999999</v>
          </cell>
        </row>
        <row r="7051">
          <cell r="B7051" t="str">
            <v>-</v>
          </cell>
          <cell r="C7051" t="str">
            <v>INF903JA1LS2</v>
          </cell>
          <cell r="D7051" t="str">
            <v>Sundaram Business Cycle Fund Direct Plan IDCW Reinvestment</v>
          </cell>
          <cell r="E7051">
            <v>11.247299999999999</v>
          </cell>
        </row>
        <row r="7052">
          <cell r="B7052" t="str">
            <v>INF903JA1LN3</v>
          </cell>
          <cell r="C7052" t="str">
            <v>-</v>
          </cell>
          <cell r="D7052" t="str">
            <v>Sundaram Business Cycle Fund Regular Plan Growth</v>
          </cell>
          <cell r="E7052">
            <v>10.889900000000001</v>
          </cell>
        </row>
        <row r="7053">
          <cell r="B7053" t="str">
            <v>INF903JA1LO1</v>
          </cell>
          <cell r="C7053" t="str">
            <v>-</v>
          </cell>
          <cell r="D7053" t="str">
            <v>Sundaram Business Cycle Fund Regular Plan IDCW Payout</v>
          </cell>
          <cell r="E7053">
            <v>10.889900000000001</v>
          </cell>
        </row>
        <row r="7054">
          <cell r="B7054" t="str">
            <v>-</v>
          </cell>
          <cell r="C7054" t="str">
            <v>INF903JA1LP8</v>
          </cell>
          <cell r="D7054" t="str">
            <v>Sundaram Business Cycle Fund Regular Plan IDCW Reinvestment</v>
          </cell>
          <cell r="E7054">
            <v>10.889900000000001</v>
          </cell>
        </row>
        <row r="7055">
          <cell r="B7055" t="str">
            <v>INF903J01NH5</v>
          </cell>
          <cell r="C7055" t="str">
            <v>-</v>
          </cell>
          <cell r="D7055" t="str">
            <v>Sundaram Consumption Fund (Formerly Known as Sundaram Rural and Consumption Fund Direct Plan - Growth)</v>
          </cell>
          <cell r="E7055">
            <v>101.8814</v>
          </cell>
        </row>
        <row r="7056">
          <cell r="B7056" t="str">
            <v>INF903J01579</v>
          </cell>
          <cell r="C7056" t="str">
            <v>INF903J01587</v>
          </cell>
          <cell r="D7056" t="str">
            <v>Sundaram Consumption Fund (Formerly Known as Sundaram Rural and Consumption Fund Institutional Plan - Income Distribution cum Capital Withdrawal (IDCW)</v>
          </cell>
          <cell r="E7056">
            <v>31.9314</v>
          </cell>
        </row>
        <row r="7057">
          <cell r="B7057" t="str">
            <v>INF903J01546</v>
          </cell>
          <cell r="C7057" t="str">
            <v>INF903J01553</v>
          </cell>
          <cell r="D7057" t="str">
            <v>Sundaram Consumption Fund (Formerly Known as Sundaram Rural and Consumption Fund Regular Plan - Income Distribution cum Capital Withdrawal (IDCW)</v>
          </cell>
          <cell r="E7057">
            <v>24.0715</v>
          </cell>
        </row>
        <row r="7058">
          <cell r="B7058" t="str">
            <v>INF903J01NF9</v>
          </cell>
          <cell r="C7058" t="str">
            <v>INF903J01NG7</v>
          </cell>
          <cell r="D7058" t="str">
            <v>Sundaram Consumption Fund (Formerly Known asSundaram Rural and Consumption Fund Direct Plan - Income Distribution cum Capital Withdrawal (IDCW)</v>
          </cell>
          <cell r="E7058">
            <v>27.0931</v>
          </cell>
        </row>
        <row r="7059">
          <cell r="B7059" t="str">
            <v>INF903J01561</v>
          </cell>
          <cell r="C7059" t="str">
            <v>-</v>
          </cell>
          <cell r="D7059" t="str">
            <v>Sundaram Consumption Fund(Formerly Known as Sundaram Rural and Consumption Fund Regular Plan - Growth)</v>
          </cell>
          <cell r="E7059">
            <v>92.101299999999995</v>
          </cell>
        </row>
        <row r="7060">
          <cell r="B7060" t="str">
            <v>INF903J01NB8</v>
          </cell>
          <cell r="C7060" t="str">
            <v>-</v>
          </cell>
          <cell r="D7060" t="str">
            <v>Sundaram Financial Services Opportunities Fund Direct Plan - Growth</v>
          </cell>
          <cell r="E7060">
            <v>123.169</v>
          </cell>
        </row>
        <row r="7061">
          <cell r="B7061" t="str">
            <v>INF903J01MZ9</v>
          </cell>
          <cell r="C7061" t="str">
            <v>INF903J01NA0</v>
          </cell>
          <cell r="D7061" t="str">
            <v>Sundaram Financial Services Opportunities Fund Direct Plan - Income Distribution cum Capital Withdrawal (IDCW)</v>
          </cell>
          <cell r="E7061">
            <v>33.588099999999997</v>
          </cell>
        </row>
        <row r="7062">
          <cell r="B7062" t="str">
            <v>INF903J01652</v>
          </cell>
          <cell r="C7062" t="str">
            <v>-</v>
          </cell>
          <cell r="D7062" t="str">
            <v>Sundaram Financial Services Opportunities Fund Institutional Plan - Growth</v>
          </cell>
          <cell r="E7062">
            <v>104.9194</v>
          </cell>
        </row>
        <row r="7063">
          <cell r="B7063" t="str">
            <v>INF903J01637</v>
          </cell>
          <cell r="C7063" t="str">
            <v>INF903J01645</v>
          </cell>
          <cell r="D7063" t="str">
            <v>Sundaram Financial Services Opportunities Fund Institutional Plan - Income Distribution cum Capital Withdrawal (IDCW)</v>
          </cell>
          <cell r="E7063">
            <v>33.849499999999999</v>
          </cell>
        </row>
        <row r="7064">
          <cell r="B7064" t="str">
            <v>INF903J01629</v>
          </cell>
          <cell r="C7064" t="str">
            <v>-</v>
          </cell>
          <cell r="D7064" t="str">
            <v>Sundaram Financial Services Opportunities Fund Regular Plan - Growth</v>
          </cell>
          <cell r="E7064">
            <v>107.71</v>
          </cell>
        </row>
        <row r="7065">
          <cell r="B7065" t="str">
            <v>INF903J01603</v>
          </cell>
          <cell r="C7065" t="str">
            <v>INF903J01611</v>
          </cell>
          <cell r="D7065" t="str">
            <v>Sundaram Financial Services Opportunities Fund Regular Plan - Income Distribution cum Capital Withdrawal (IDCW)</v>
          </cell>
          <cell r="E7065">
            <v>28.866</v>
          </cell>
        </row>
        <row r="7066">
          <cell r="B7066" t="str">
            <v>INF903J01F92</v>
          </cell>
          <cell r="C7066" t="str">
            <v>-</v>
          </cell>
          <cell r="D7066" t="str">
            <v>Sundaram Infrastructure Advantage Fund Direct Plan - Growth</v>
          </cell>
          <cell r="E7066">
            <v>109.58069999999999</v>
          </cell>
        </row>
        <row r="7067">
          <cell r="B7067" t="str">
            <v>INF903J01G00</v>
          </cell>
          <cell r="C7067" t="str">
            <v>INF903J01G18</v>
          </cell>
          <cell r="D7067" t="str">
            <v>Sundaram Infrastructure Advantage Fund Direct Plan - Income Distribution cum Capital Withdrawal (IDCW)</v>
          </cell>
          <cell r="E7067">
            <v>63.093400000000003</v>
          </cell>
        </row>
        <row r="7068">
          <cell r="B7068" t="str">
            <v>INF903J01F68</v>
          </cell>
          <cell r="C7068" t="str">
            <v>-</v>
          </cell>
          <cell r="D7068" t="str">
            <v>Sundaram Infrastructure Advantage Fund Regular Plan - Growth</v>
          </cell>
          <cell r="E7068">
            <v>101.9337</v>
          </cell>
        </row>
        <row r="7069">
          <cell r="B7069" t="str">
            <v>INF903J01F76</v>
          </cell>
          <cell r="C7069" t="str">
            <v>INF903J01F84</v>
          </cell>
          <cell r="D7069" t="str">
            <v>Sundaram Infrastructure Advantage Fund Regular Plan - Income Distribution cum Capital Withdrawal (IDCW)</v>
          </cell>
          <cell r="E7069">
            <v>58.3765</v>
          </cell>
        </row>
        <row r="7070">
          <cell r="B7070" t="str">
            <v>INF903JA1LV6</v>
          </cell>
          <cell r="C7070" t="str">
            <v>-</v>
          </cell>
          <cell r="D7070" t="str">
            <v>Sundaram Multi-Factor Fund - Direct - Growth</v>
          </cell>
          <cell r="E7070">
            <v>9.8538999999999994</v>
          </cell>
        </row>
        <row r="7071">
          <cell r="B7071" t="str">
            <v>INF903JA1LU8</v>
          </cell>
          <cell r="C7071" t="str">
            <v>-</v>
          </cell>
          <cell r="D7071" t="str">
            <v>Sundaram Multi-Factor Fund - Direct - IDCW Payout</v>
          </cell>
          <cell r="E7071">
            <v>9.8538999999999994</v>
          </cell>
        </row>
        <row r="7072">
          <cell r="B7072" t="str">
            <v>-</v>
          </cell>
          <cell r="C7072" t="str">
            <v>INF903JA1LT0</v>
          </cell>
          <cell r="D7072" t="str">
            <v>Sundaram Multi-Factor Fund - Direct - IDCW Reinvestment</v>
          </cell>
          <cell r="E7072">
            <v>9.8538999999999994</v>
          </cell>
        </row>
        <row r="7073">
          <cell r="B7073" t="str">
            <v>INF903JA1LY0</v>
          </cell>
          <cell r="C7073" t="str">
            <v>-</v>
          </cell>
          <cell r="D7073" t="str">
            <v>Sundaram Multi-Factor Fund - Regular - Growth</v>
          </cell>
          <cell r="E7073">
            <v>9.6965000000000003</v>
          </cell>
        </row>
        <row r="7074">
          <cell r="B7074" t="str">
            <v>INF903JA1LX2</v>
          </cell>
          <cell r="C7074" t="str">
            <v>-</v>
          </cell>
          <cell r="D7074" t="str">
            <v>Sundaram Multi-Factor Fund - Regular - IDCW Payout</v>
          </cell>
          <cell r="E7074">
            <v>9.6965000000000003</v>
          </cell>
        </row>
        <row r="7075">
          <cell r="B7075" t="str">
            <v>-</v>
          </cell>
          <cell r="C7075" t="str">
            <v>INF903JA1LW4</v>
          </cell>
          <cell r="D7075" t="str">
            <v>Sundaram Multi-Factor Fund - Regular - IDCW Reinvestment</v>
          </cell>
          <cell r="E7075">
            <v>9.6965000000000003</v>
          </cell>
        </row>
        <row r="7076">
          <cell r="B7076" t="str">
            <v>INF903JA1FA2</v>
          </cell>
          <cell r="C7076" t="str">
            <v>-</v>
          </cell>
          <cell r="D7076" t="str">
            <v>Sundaram Services Fund Direct Plan - Growth</v>
          </cell>
          <cell r="E7076">
            <v>39.219000000000001</v>
          </cell>
        </row>
        <row r="7077">
          <cell r="B7077" t="str">
            <v>INF903JA1FB0</v>
          </cell>
          <cell r="C7077" t="str">
            <v>-</v>
          </cell>
          <cell r="D7077" t="str">
            <v xml:space="preserve">Sundaram Services Fund Direct Plan - Payout of Income Distribution cum Capital Withdrawal (IDCW) </v>
          </cell>
          <cell r="E7077">
            <v>23.358000000000001</v>
          </cell>
        </row>
        <row r="7078">
          <cell r="B7078" t="str">
            <v>-</v>
          </cell>
          <cell r="C7078" t="str">
            <v>INF903JA1FC8</v>
          </cell>
          <cell r="D7078" t="str">
            <v>Sundaram Services Fund Direct Plan - Reinvestment of Income Distribution cum Capital Withdrawal (IDCW)</v>
          </cell>
          <cell r="E7078">
            <v>23.358000000000001</v>
          </cell>
        </row>
        <row r="7079">
          <cell r="B7079" t="str">
            <v>INF903JA1EX7</v>
          </cell>
          <cell r="C7079" t="str">
            <v>-</v>
          </cell>
          <cell r="D7079" t="str">
            <v>Sundaram Services Fund Regular Plan - Growth</v>
          </cell>
          <cell r="E7079">
            <v>35.815199999999997</v>
          </cell>
        </row>
        <row r="7080">
          <cell r="B7080" t="str">
            <v>INF903JA1EY5</v>
          </cell>
          <cell r="C7080" t="str">
            <v>-</v>
          </cell>
          <cell r="D7080" t="str">
            <v xml:space="preserve">Sundaram Services Fund Regular Plan - Payout of Income Distribution cum Capital Withdrawal (IDCW) </v>
          </cell>
          <cell r="E7080">
            <v>21.290400000000002</v>
          </cell>
        </row>
        <row r="7081">
          <cell r="B7081" t="str">
            <v>-</v>
          </cell>
          <cell r="C7081" t="str">
            <v>INF903JA1EZ2</v>
          </cell>
          <cell r="D7081" t="str">
            <v>Sundaram Services Fund Regular Plan - Reinvestment of Income Distribution cum Capital Withdrawal (IDCW)</v>
          </cell>
          <cell r="E7081">
            <v>21.290400000000002</v>
          </cell>
        </row>
        <row r="7082">
          <cell r="B7082" t="str">
            <v/>
          </cell>
          <cell r="C7082" t="str">
            <v/>
          </cell>
          <cell r="D7082" t="str">
            <v/>
          </cell>
        </row>
        <row r="7083">
          <cell r="B7083" t="str">
            <v/>
          </cell>
          <cell r="C7083" t="str">
            <v/>
          </cell>
          <cell r="D7083" t="str">
            <v/>
          </cell>
        </row>
        <row r="7084">
          <cell r="B7084" t="str">
            <v/>
          </cell>
          <cell r="C7084" t="str">
            <v/>
          </cell>
          <cell r="D7084" t="str">
            <v/>
          </cell>
        </row>
        <row r="7085">
          <cell r="B7085" t="str">
            <v>INF277K01Z28</v>
          </cell>
          <cell r="C7085" t="str">
            <v>-</v>
          </cell>
          <cell r="D7085" t="str">
            <v xml:space="preserve">TATA Banking &amp; Financial Services Fund Direct Plan - Payout of Income Distribution cum capital withdrawal option </v>
          </cell>
          <cell r="E7085">
            <v>50.043599999999998</v>
          </cell>
        </row>
        <row r="7086">
          <cell r="B7086" t="str">
            <v>-</v>
          </cell>
          <cell r="C7086" t="str">
            <v>INF277K01Z36</v>
          </cell>
          <cell r="D7086" t="str">
            <v xml:space="preserve">TATA Banking &amp; Financial Services Fund Direct Plan - Reinvestment of Income Distribution cum capital withdrawal option </v>
          </cell>
          <cell r="E7086">
            <v>50.043599999999998</v>
          </cell>
        </row>
        <row r="7087">
          <cell r="B7087" t="str">
            <v>INF277K01Y94</v>
          </cell>
          <cell r="C7087" t="str">
            <v>-</v>
          </cell>
          <cell r="D7087" t="str">
            <v xml:space="preserve">TATA Banking &amp; Financial Services Fund Regular Plan - Payout of Income Distribution cum capital withdrawal option </v>
          </cell>
          <cell r="E7087">
            <v>38.606499999999997</v>
          </cell>
        </row>
        <row r="7088">
          <cell r="B7088" t="str">
            <v>-</v>
          </cell>
          <cell r="C7088" t="str">
            <v>INF277K01Z02</v>
          </cell>
          <cell r="D7088" t="str">
            <v xml:space="preserve">TATA Banking &amp; Financial Services Fund Regular Plan - Reinvestment of Income Distribution cum capital withdrawal option </v>
          </cell>
          <cell r="E7088">
            <v>38.606499999999997</v>
          </cell>
        </row>
        <row r="7089">
          <cell r="B7089" t="str">
            <v>INF277K01Z10</v>
          </cell>
          <cell r="C7089" t="str">
            <v>-</v>
          </cell>
          <cell r="D7089" t="str">
            <v>Tata Banking And Financial Services Fund-Direct Plan-Growth</v>
          </cell>
          <cell r="E7089">
            <v>51.661799999999999</v>
          </cell>
        </row>
        <row r="7090">
          <cell r="B7090" t="str">
            <v>INF277K01Y86</v>
          </cell>
          <cell r="C7090" t="str">
            <v>-</v>
          </cell>
          <cell r="D7090" t="str">
            <v>Tata Banking And Financial Services Fund-Regular Plan-Growth</v>
          </cell>
          <cell r="E7090">
            <v>43.728099999999998</v>
          </cell>
        </row>
        <row r="7091">
          <cell r="B7091" t="str">
            <v>INF277KA1166</v>
          </cell>
          <cell r="C7091" t="str">
            <v>-</v>
          </cell>
          <cell r="D7091" t="str">
            <v>Tata Business Cycle Fund-Direct Plan-Growth</v>
          </cell>
          <cell r="E7091">
            <v>20.593800000000002</v>
          </cell>
        </row>
        <row r="7092">
          <cell r="B7092" t="str">
            <v>INF277KA1174</v>
          </cell>
          <cell r="C7092" t="str">
            <v>-</v>
          </cell>
          <cell r="D7092" t="str">
            <v>Tata Business Cycle Fund-Direct Plan-IDCW Payout</v>
          </cell>
          <cell r="E7092">
            <v>20.593800000000002</v>
          </cell>
        </row>
        <row r="7093">
          <cell r="B7093" t="str">
            <v>-</v>
          </cell>
          <cell r="C7093" t="str">
            <v>INF277KA1182</v>
          </cell>
          <cell r="D7093" t="str">
            <v>Tata Business Cycle Fund-Direct Plan-IDCW Reinvestment</v>
          </cell>
          <cell r="E7093">
            <v>20.593800000000002</v>
          </cell>
        </row>
        <row r="7094">
          <cell r="B7094" t="str">
            <v>INF277KA1190</v>
          </cell>
          <cell r="C7094" t="str">
            <v>-</v>
          </cell>
          <cell r="D7094" t="str">
            <v>Tata Business Cycle Fund-Regular Plan-Growth</v>
          </cell>
          <cell r="E7094">
            <v>19.051600000000001</v>
          </cell>
        </row>
        <row r="7095">
          <cell r="B7095" t="str">
            <v>INF277KA1208</v>
          </cell>
          <cell r="C7095" t="str">
            <v>-</v>
          </cell>
          <cell r="D7095" t="str">
            <v>Tata Business Cycle Fund-Regular Plan-IDCW Payout</v>
          </cell>
          <cell r="E7095">
            <v>19.051600000000001</v>
          </cell>
        </row>
        <row r="7096">
          <cell r="B7096" t="str">
            <v>-</v>
          </cell>
          <cell r="C7096" t="str">
            <v>INF277KA1216</v>
          </cell>
          <cell r="D7096" t="str">
            <v>Tata Business Cycle Fund-Regular Plan-IDCW Reinvestment</v>
          </cell>
          <cell r="E7096">
            <v>19.051600000000001</v>
          </cell>
        </row>
        <row r="7097">
          <cell r="B7097" t="str">
            <v>INF277K01Z85</v>
          </cell>
          <cell r="C7097" t="str">
            <v>-</v>
          </cell>
          <cell r="D7097" t="str">
            <v xml:space="preserve">TATA Digital India Fund Direct Plan - Payout of Income Distribution cum capital withdrawal option </v>
          </cell>
          <cell r="E7097">
            <v>45.495600000000003</v>
          </cell>
        </row>
        <row r="7098">
          <cell r="B7098" t="str">
            <v>-</v>
          </cell>
          <cell r="C7098" t="str">
            <v>INF277K01Z93</v>
          </cell>
          <cell r="D7098" t="str">
            <v xml:space="preserve">TATA Digital India Fund Direct Plan - Reinvestment of Income Distribution cum capital withdrawal option </v>
          </cell>
          <cell r="E7098">
            <v>45.495600000000003</v>
          </cell>
        </row>
        <row r="7099">
          <cell r="B7099" t="str">
            <v>INF277K01Z51</v>
          </cell>
          <cell r="C7099" t="str">
            <v>-</v>
          </cell>
          <cell r="D7099" t="str">
            <v xml:space="preserve">TATA Digital India Fund Regular Plan - Payout of Income Distribution cum capital withdrawal option </v>
          </cell>
          <cell r="E7099">
            <v>38.335500000000003</v>
          </cell>
        </row>
        <row r="7100">
          <cell r="B7100" t="str">
            <v>-</v>
          </cell>
          <cell r="C7100" t="str">
            <v>INF277K01Z69</v>
          </cell>
          <cell r="D7100" t="str">
            <v xml:space="preserve">TATA Digital India Fund Regular Plan - Reinvestment of Income Distribution cum capital withdrawal option </v>
          </cell>
          <cell r="E7100">
            <v>38.335500000000003</v>
          </cell>
        </row>
        <row r="7101">
          <cell r="B7101" t="str">
            <v>INF277K01Z77</v>
          </cell>
          <cell r="C7101" t="str">
            <v>-</v>
          </cell>
          <cell r="D7101" t="str">
            <v>Tata Digital India Fund-Direct Plan-Growth</v>
          </cell>
          <cell r="E7101">
            <v>47.073500000000003</v>
          </cell>
        </row>
        <row r="7102">
          <cell r="B7102" t="str">
            <v>INF277K01Z44</v>
          </cell>
          <cell r="C7102" t="str">
            <v>-</v>
          </cell>
          <cell r="D7102" t="str">
            <v>Tata Digital India Fund-Regular Plan-Growth</v>
          </cell>
          <cell r="E7102">
            <v>39.909500000000001</v>
          </cell>
        </row>
        <row r="7103">
          <cell r="B7103" t="str">
            <v>INF277K01NG4</v>
          </cell>
          <cell r="C7103" t="str">
            <v>-</v>
          </cell>
          <cell r="D7103" t="str">
            <v>Tata Ethical Fund -Direct Plan- Growth Option</v>
          </cell>
          <cell r="E7103">
            <v>417.03750000000002</v>
          </cell>
        </row>
        <row r="7104">
          <cell r="B7104" t="str">
            <v>INF277K01NE9</v>
          </cell>
          <cell r="C7104" t="str">
            <v>INF277K01NF6</v>
          </cell>
          <cell r="D7104" t="str">
            <v>Tata Ethical Fund- Direct Plan - Payout of IDCW Option</v>
          </cell>
          <cell r="E7104">
            <v>222.98320000000001</v>
          </cell>
        </row>
        <row r="7105">
          <cell r="B7105" t="str">
            <v>INF277K01EH1</v>
          </cell>
          <cell r="C7105" t="str">
            <v>INF277K01949</v>
          </cell>
          <cell r="D7105" t="str">
            <v>Tata Ethical Fund- Regular Plan - Payout of IDCW Option</v>
          </cell>
          <cell r="E7105">
            <v>141.11279999999999</v>
          </cell>
        </row>
        <row r="7106">
          <cell r="B7106" t="str">
            <v>INF277K01956</v>
          </cell>
          <cell r="C7106" t="str">
            <v>-</v>
          </cell>
          <cell r="D7106" t="str">
            <v>Tata Ethical Fund-Regular Plan - Growth Option</v>
          </cell>
          <cell r="E7106">
            <v>360.7792</v>
          </cell>
        </row>
        <row r="7107">
          <cell r="B7107" t="str">
            <v>INF277KA1497</v>
          </cell>
          <cell r="C7107" t="str">
            <v>-</v>
          </cell>
          <cell r="D7107" t="str">
            <v>Tata Housing Opportunities Fund - Direct Plan - Growth</v>
          </cell>
          <cell r="E7107">
            <v>15.978</v>
          </cell>
        </row>
        <row r="7108">
          <cell r="B7108" t="str">
            <v>INF277KA1513</v>
          </cell>
          <cell r="C7108" t="str">
            <v>-</v>
          </cell>
          <cell r="D7108" t="str">
            <v>Tata Housing Opportunities Fund - Direct Plan - IDCW Payout</v>
          </cell>
          <cell r="E7108">
            <v>15.978</v>
          </cell>
        </row>
        <row r="7109">
          <cell r="B7109" t="str">
            <v>-</v>
          </cell>
          <cell r="C7109" t="str">
            <v>INF277KA1505</v>
          </cell>
          <cell r="D7109" t="str">
            <v>Tata Housing Opportunities Fund - Direct Plan - IDCW Reinvestment</v>
          </cell>
          <cell r="E7109">
            <v>15.978</v>
          </cell>
        </row>
        <row r="7110">
          <cell r="B7110" t="str">
            <v>INF277KA1521</v>
          </cell>
          <cell r="C7110" t="str">
            <v>-</v>
          </cell>
          <cell r="D7110" t="str">
            <v>Tata Housing Opportunities Fund - Regular Plan - Growth</v>
          </cell>
          <cell r="E7110">
            <v>14.9535</v>
          </cell>
        </row>
        <row r="7111">
          <cell r="B7111" t="str">
            <v>INF277KA1547</v>
          </cell>
          <cell r="C7111" t="str">
            <v>-</v>
          </cell>
          <cell r="D7111" t="str">
            <v>Tata Housing Opportunities Fund - Regular Plan - IDCW Payout</v>
          </cell>
          <cell r="E7111">
            <v>14.9535</v>
          </cell>
        </row>
        <row r="7112">
          <cell r="B7112" t="str">
            <v>-</v>
          </cell>
          <cell r="C7112" t="str">
            <v>INF277KA1539</v>
          </cell>
          <cell r="D7112" t="str">
            <v>Tata Housing Opportunities Fund - Regular Plan - IDCW Reinvestment</v>
          </cell>
          <cell r="E7112">
            <v>14.9535</v>
          </cell>
        </row>
        <row r="7113">
          <cell r="B7113" t="str">
            <v>INF277K014A4</v>
          </cell>
          <cell r="C7113" t="str">
            <v>-</v>
          </cell>
          <cell r="D7113" t="str">
            <v xml:space="preserve">TATA India Consumer Fund Direct Plan - Payout of Income Distribution cum capital withdrawal option </v>
          </cell>
          <cell r="E7113">
            <v>52.537799999999997</v>
          </cell>
        </row>
        <row r="7114">
          <cell r="B7114" t="str">
            <v>-</v>
          </cell>
          <cell r="C7114" t="str">
            <v>INF277K015A1</v>
          </cell>
          <cell r="D7114" t="str">
            <v xml:space="preserve">TATA India Consumer Fund Direct Plan - Reinvestment of Income Distribution cum capital withdrawal option </v>
          </cell>
          <cell r="E7114">
            <v>52.537799999999997</v>
          </cell>
        </row>
        <row r="7115">
          <cell r="B7115" t="str">
            <v>INF277K011A0</v>
          </cell>
          <cell r="C7115" t="str">
            <v>-</v>
          </cell>
          <cell r="D7115" t="str">
            <v>TATA India Consumer Fund Regular Plan - Payout of Income Distribution cum capital withdrawal option</v>
          </cell>
          <cell r="E7115">
            <v>41.2316</v>
          </cell>
        </row>
        <row r="7116">
          <cell r="B7116" t="str">
            <v>-</v>
          </cell>
          <cell r="C7116" t="str">
            <v>INF277K012A8</v>
          </cell>
          <cell r="D7116" t="str">
            <v xml:space="preserve">TATA India Consumer Fund Regular Plan - Reinvestment of Income Distribution cum capital withdrawal option </v>
          </cell>
          <cell r="E7116">
            <v>41.2316</v>
          </cell>
        </row>
        <row r="7117">
          <cell r="B7117" t="str">
            <v>INF277K013A6</v>
          </cell>
          <cell r="C7117" t="str">
            <v>-</v>
          </cell>
          <cell r="D7117" t="str">
            <v>Tata India Consumer Fund-Direct Plan-Growth</v>
          </cell>
          <cell r="E7117">
            <v>54.210099999999997</v>
          </cell>
        </row>
        <row r="7118">
          <cell r="B7118" t="str">
            <v>INF277K010A2</v>
          </cell>
          <cell r="C7118" t="str">
            <v>-</v>
          </cell>
          <cell r="D7118" t="str">
            <v>Tata India Consumer Fund-Regular Plan-Growth</v>
          </cell>
          <cell r="E7118">
            <v>46.519599999999997</v>
          </cell>
        </row>
        <row r="7119">
          <cell r="B7119" t="str">
            <v>INF277KA1CU2</v>
          </cell>
          <cell r="C7119" t="str">
            <v>-</v>
          </cell>
          <cell r="D7119" t="str">
            <v>Tata India Innovation Fund- Direct Growth</v>
          </cell>
          <cell r="E7119">
            <v>10.2277</v>
          </cell>
        </row>
        <row r="7120">
          <cell r="B7120" t="str">
            <v>INF277KA1CW8</v>
          </cell>
          <cell r="C7120" t="str">
            <v>-</v>
          </cell>
          <cell r="D7120" t="str">
            <v>Tata India Innovation Fund- Direct IDCW payout</v>
          </cell>
          <cell r="E7120">
            <v>10.2277</v>
          </cell>
        </row>
        <row r="7121">
          <cell r="B7121" t="str">
            <v>-</v>
          </cell>
          <cell r="C7121" t="str">
            <v>INF277KA1CV0</v>
          </cell>
          <cell r="D7121" t="str">
            <v>Tata India Innovation Fund- Direct IDCW Reinvestment</v>
          </cell>
          <cell r="E7121">
            <v>10.2277</v>
          </cell>
        </row>
        <row r="7122">
          <cell r="B7122" t="str">
            <v>INF277KA1CR8</v>
          </cell>
          <cell r="C7122" t="str">
            <v>-</v>
          </cell>
          <cell r="D7122" t="str">
            <v>Tata India Innovation Fund- Regular Growth</v>
          </cell>
          <cell r="E7122">
            <v>9.9768000000000008</v>
          </cell>
        </row>
        <row r="7123">
          <cell r="B7123" t="str">
            <v>INF277KA1CT4</v>
          </cell>
          <cell r="C7123" t="str">
            <v>-</v>
          </cell>
          <cell r="D7123" t="str">
            <v>Tata India Innovation Fund- Regular IDCW payout</v>
          </cell>
          <cell r="E7123">
            <v>9.9768000000000008</v>
          </cell>
        </row>
        <row r="7124">
          <cell r="B7124" t="str">
            <v>-</v>
          </cell>
          <cell r="C7124" t="str">
            <v>INF277KA1CS6</v>
          </cell>
          <cell r="D7124" t="str">
            <v>Tata India Innovation Fund- Regular IDCW Reinvestment</v>
          </cell>
          <cell r="E7124">
            <v>9.9768000000000008</v>
          </cell>
        </row>
        <row r="7125">
          <cell r="B7125" t="str">
            <v>INF277K010B0</v>
          </cell>
          <cell r="C7125" t="str">
            <v>-</v>
          </cell>
          <cell r="D7125" t="str">
            <v xml:space="preserve">TATA India Pharma &amp; Health Care Fund Direct Plan - Payout of Income Distribution cum capital withdrawal option </v>
          </cell>
          <cell r="E7125">
            <v>37.908299999999997</v>
          </cell>
        </row>
        <row r="7126">
          <cell r="B7126" t="str">
            <v>INF277K017A7</v>
          </cell>
          <cell r="C7126" t="str">
            <v>-</v>
          </cell>
          <cell r="D7126" t="str">
            <v xml:space="preserve">TATA India Pharma &amp; Health Care Fund Regular Plan - Payout of Income Distribution cum capital withdrawal option </v>
          </cell>
          <cell r="E7126">
            <v>31.9313</v>
          </cell>
        </row>
        <row r="7127">
          <cell r="B7127" t="str">
            <v>-</v>
          </cell>
          <cell r="C7127" t="str">
            <v>INF277K011B8</v>
          </cell>
          <cell r="D7127" t="str">
            <v>TATA India Pharma &amp; Healthcare Fund Direct Plan - Reinvestment of Income Distribution cum capital withdrawal option</v>
          </cell>
          <cell r="E7127">
            <v>37.908299999999997</v>
          </cell>
        </row>
        <row r="7128">
          <cell r="B7128" t="str">
            <v>-</v>
          </cell>
          <cell r="C7128" t="str">
            <v>INF277K018A5</v>
          </cell>
          <cell r="D7128" t="str">
            <v xml:space="preserve">TATA India Pharma &amp; Healthcare Fund Regular Plan - Reinvestment of Income Distribution cum capital withdrawal option </v>
          </cell>
          <cell r="E7128">
            <v>31.9313</v>
          </cell>
        </row>
        <row r="7129">
          <cell r="B7129" t="str">
            <v>INF277K019A3</v>
          </cell>
          <cell r="C7129" t="str">
            <v>-</v>
          </cell>
          <cell r="D7129" t="str">
            <v>Tata India Pharma &amp; Healthcare Fund-Direct Plan-Growth</v>
          </cell>
          <cell r="E7129">
            <v>39.181899999999999</v>
          </cell>
        </row>
        <row r="7130">
          <cell r="B7130" t="str">
            <v>INF277K016A9</v>
          </cell>
          <cell r="C7130" t="str">
            <v>-</v>
          </cell>
          <cell r="D7130" t="str">
            <v>Tata India Pharma &amp; Healthcare Fund-Regular Plan-Growth</v>
          </cell>
          <cell r="E7130">
            <v>33.201599999999999</v>
          </cell>
        </row>
        <row r="7131">
          <cell r="B7131" t="str">
            <v>INF277K01PQ8</v>
          </cell>
          <cell r="C7131" t="str">
            <v>-</v>
          </cell>
          <cell r="D7131" t="str">
            <v>Tata Infrastructure Fund -Direct Plan -Growth Option</v>
          </cell>
          <cell r="E7131">
            <v>201.69110000000001</v>
          </cell>
        </row>
        <row r="7132">
          <cell r="B7132" t="str">
            <v>INF277K01DY8</v>
          </cell>
          <cell r="C7132" t="str">
            <v>INF277K01774</v>
          </cell>
          <cell r="D7132" t="str">
            <v>TATA Infrastructure Fund Regular Plan - Payout of IDCW Option</v>
          </cell>
          <cell r="E7132">
            <v>80.239599999999996</v>
          </cell>
        </row>
        <row r="7133">
          <cell r="B7133" t="str">
            <v>INF277K01PO3</v>
          </cell>
          <cell r="C7133" t="str">
            <v>INF277K01PP0</v>
          </cell>
          <cell r="D7133" t="str">
            <v>Tata Infrastructure Fund- Direct Plan - Payout of IDCW Option</v>
          </cell>
          <cell r="E7133">
            <v>98.787800000000004</v>
          </cell>
        </row>
        <row r="7134">
          <cell r="B7134" t="str">
            <v>INF277K01782</v>
          </cell>
          <cell r="C7134" t="str">
            <v>-</v>
          </cell>
          <cell r="D7134" t="str">
            <v>Tata Infrastructure Fund-Regular Plan- Growth Option</v>
          </cell>
          <cell r="E7134">
            <v>183.8031</v>
          </cell>
        </row>
        <row r="7135">
          <cell r="B7135" t="str">
            <v>INF277K015Y1</v>
          </cell>
          <cell r="C7135" t="str">
            <v>-</v>
          </cell>
          <cell r="D7135" t="str">
            <v xml:space="preserve">TATA Quant Equity Fund Direct Plan - Payout of Income Distribution cum capital withdrawal option </v>
          </cell>
          <cell r="E7135">
            <v>0</v>
          </cell>
        </row>
        <row r="7136">
          <cell r="B7136" t="str">
            <v>INF277K018Y5</v>
          </cell>
          <cell r="C7136" t="str">
            <v>-</v>
          </cell>
          <cell r="D7136" t="str">
            <v xml:space="preserve">TATA Quant Equity Fund Regular Plan - Payout of Income Distribution cum capital withdrawal option </v>
          </cell>
          <cell r="E7136">
            <v>0</v>
          </cell>
        </row>
        <row r="7137">
          <cell r="B7137" t="str">
            <v>-</v>
          </cell>
          <cell r="C7137" t="str">
            <v>INF277K014Y4</v>
          </cell>
          <cell r="D7137" t="str">
            <v xml:space="preserve">TATA Quant Fund Direct Plan - Reinvestment of Income Distribution cum capital withdrawal option </v>
          </cell>
          <cell r="E7137">
            <v>0</v>
          </cell>
        </row>
        <row r="7138">
          <cell r="B7138" t="str">
            <v>-</v>
          </cell>
          <cell r="C7138" t="str">
            <v>INF277K017Y7</v>
          </cell>
          <cell r="D7138" t="str">
            <v xml:space="preserve">TATA Quant Fund Regular Plan - Reinvestment of Income Distribution cum capital withdrawal option </v>
          </cell>
          <cell r="E7138">
            <v>0</v>
          </cell>
        </row>
        <row r="7139">
          <cell r="B7139" t="str">
            <v>INF277K013Y6</v>
          </cell>
          <cell r="C7139" t="str">
            <v>-</v>
          </cell>
          <cell r="D7139" t="str">
            <v>Tata Quant Fund-Direct Plan-Growth</v>
          </cell>
          <cell r="E7139">
            <v>0</v>
          </cell>
        </row>
        <row r="7140">
          <cell r="B7140" t="str">
            <v>INF277K016Y9</v>
          </cell>
          <cell r="C7140" t="str">
            <v>-</v>
          </cell>
          <cell r="D7140" t="str">
            <v>Tata Quant Fund-Regular Plan-Growth</v>
          </cell>
          <cell r="E7140">
            <v>0</v>
          </cell>
        </row>
        <row r="7141">
          <cell r="B7141" t="str">
            <v>INF277K016B7</v>
          </cell>
          <cell r="C7141" t="str">
            <v>-</v>
          </cell>
          <cell r="D7141" t="str">
            <v xml:space="preserve">TATA Resources &amp; Energy Fund Direct Plan - Payout of Income Distribution cum capital withdrawal option </v>
          </cell>
          <cell r="E7141">
            <v>57.055999999999997</v>
          </cell>
        </row>
        <row r="7142">
          <cell r="B7142" t="str">
            <v>-</v>
          </cell>
          <cell r="C7142" t="str">
            <v>INF277K017B5</v>
          </cell>
          <cell r="D7142" t="str">
            <v xml:space="preserve">TATA Resources &amp; Energy Fund Direct Plan - Reinvestment of Income Distribution cum capital withdrawal option </v>
          </cell>
          <cell r="E7142">
            <v>57.055999999999997</v>
          </cell>
        </row>
        <row r="7143">
          <cell r="B7143" t="str">
            <v>INF277K013B4</v>
          </cell>
          <cell r="C7143" t="str">
            <v>-</v>
          </cell>
          <cell r="D7143" t="str">
            <v xml:space="preserve">TATA Resources &amp; Energy Fund Regular Plan - Payout of Income Distribution cum capital withdrawal option </v>
          </cell>
          <cell r="E7143">
            <v>43.390999999999998</v>
          </cell>
        </row>
        <row r="7144">
          <cell r="B7144" t="str">
            <v>-</v>
          </cell>
          <cell r="C7144" t="str">
            <v>INF277K014B2</v>
          </cell>
          <cell r="D7144" t="str">
            <v xml:space="preserve">TATA Resources &amp; Energy Fund Regular Plan - Reinvestment of Income Distribution cum capital withdrawal option </v>
          </cell>
          <cell r="E7144">
            <v>43.390999999999998</v>
          </cell>
        </row>
        <row r="7145">
          <cell r="B7145" t="str">
            <v>INF277K015B9</v>
          </cell>
          <cell r="C7145" t="str">
            <v>-</v>
          </cell>
          <cell r="D7145" t="str">
            <v>Tata Resources &amp; Energy Fund-Direct Plan-Growth</v>
          </cell>
          <cell r="E7145">
            <v>58.832099999999997</v>
          </cell>
        </row>
        <row r="7146">
          <cell r="B7146" t="str">
            <v>INF277K012B6</v>
          </cell>
          <cell r="C7146" t="str">
            <v>-</v>
          </cell>
          <cell r="D7146" t="str">
            <v>Tata Resources &amp; Energy Fund-Regular Plan-Growth</v>
          </cell>
          <cell r="E7146">
            <v>49.3735</v>
          </cell>
        </row>
        <row r="7147">
          <cell r="B7147" t="str">
            <v/>
          </cell>
          <cell r="C7147" t="str">
            <v/>
          </cell>
          <cell r="D7147" t="str">
            <v/>
          </cell>
        </row>
        <row r="7148">
          <cell r="B7148" t="str">
            <v/>
          </cell>
          <cell r="C7148" t="str">
            <v/>
          </cell>
          <cell r="D7148" t="str">
            <v/>
          </cell>
        </row>
        <row r="7149">
          <cell r="B7149" t="str">
            <v/>
          </cell>
          <cell r="C7149" t="str">
            <v/>
          </cell>
          <cell r="D7149" t="str">
            <v/>
          </cell>
        </row>
        <row r="7150">
          <cell r="B7150" t="str">
            <v>INF044D01CN2</v>
          </cell>
          <cell r="C7150" t="str">
            <v>-</v>
          </cell>
          <cell r="D7150" t="str">
            <v>Taurus Banking &amp; Financial Services Fund - Direct Plan - Growth</v>
          </cell>
          <cell r="E7150">
            <v>59.64</v>
          </cell>
        </row>
        <row r="7151">
          <cell r="B7151" t="str">
            <v>INF044D01CO0</v>
          </cell>
          <cell r="C7151" t="str">
            <v>INF044D01CP7</v>
          </cell>
          <cell r="D7151" t="str">
            <v>Taurus Banking &amp; Financial Services Fund - Direct Plan - Payout of Income Distribution cum Capital Withdrawal option</v>
          </cell>
          <cell r="E7151">
            <v>58.95</v>
          </cell>
        </row>
        <row r="7152">
          <cell r="B7152" t="str">
            <v>INF044D01BI4</v>
          </cell>
          <cell r="C7152" t="str">
            <v>-</v>
          </cell>
          <cell r="D7152" t="str">
            <v>Taurus Banking &amp; Financial Services Fund - Regular Plan - Growth</v>
          </cell>
          <cell r="E7152">
            <v>52.97</v>
          </cell>
        </row>
        <row r="7153">
          <cell r="B7153" t="str">
            <v>INF044D01BJ2</v>
          </cell>
          <cell r="C7153" t="str">
            <v>INF044D01BK0</v>
          </cell>
          <cell r="D7153" t="str">
            <v>Taurus Banking &amp; Financial Services Fund - Regular Plan - Payout of Income Distribution cum Capital Withdrawal option</v>
          </cell>
          <cell r="E7153">
            <v>47.41</v>
          </cell>
        </row>
        <row r="7154">
          <cell r="B7154" t="str">
            <v>INF044D01823</v>
          </cell>
          <cell r="C7154" t="str">
            <v>-</v>
          </cell>
          <cell r="D7154" t="str">
            <v>Taurus Ethical Fund -  Regular Plan - Bonus Option</v>
          </cell>
          <cell r="E7154">
            <v>125.89</v>
          </cell>
        </row>
        <row r="7155">
          <cell r="B7155" t="str">
            <v>INF044D01CJ0</v>
          </cell>
          <cell r="C7155" t="str">
            <v>-</v>
          </cell>
          <cell r="D7155" t="str">
            <v>Taurus Ethical Fund - Direct Plan - Growth</v>
          </cell>
          <cell r="E7155">
            <v>143.88999999999999</v>
          </cell>
        </row>
        <row r="7156">
          <cell r="B7156" t="str">
            <v>INF044D01CK8</v>
          </cell>
          <cell r="C7156" t="str">
            <v>INF044D01CL6</v>
          </cell>
          <cell r="D7156" t="str">
            <v>Taurus Ethical Fund - Direct Plan - Payout of Income Distribution cum Capital Withdrawal option</v>
          </cell>
          <cell r="E7156">
            <v>96.59</v>
          </cell>
        </row>
        <row r="7157">
          <cell r="B7157" t="str">
            <v>INF044D01864</v>
          </cell>
          <cell r="C7157" t="str">
            <v>-</v>
          </cell>
          <cell r="D7157" t="str">
            <v>Taurus Ethical Fund - Regular Plan - Growth</v>
          </cell>
          <cell r="E7157">
            <v>125.92</v>
          </cell>
        </row>
        <row r="7158">
          <cell r="B7158" t="str">
            <v>INF044D01831</v>
          </cell>
          <cell r="C7158" t="str">
            <v>INF044D01849</v>
          </cell>
          <cell r="D7158" t="str">
            <v>Taurus Ethical Fund - Regular Plan - Payout of Income Distribution cum Capital Withdrawal option</v>
          </cell>
          <cell r="E7158">
            <v>85.12</v>
          </cell>
        </row>
        <row r="7159">
          <cell r="B7159" t="str">
            <v>INF044D01CM4</v>
          </cell>
          <cell r="C7159" t="str">
            <v>-</v>
          </cell>
          <cell r="D7159" t="str">
            <v>Taurus Ethical Fund-Direct Plan-Bonus Option #</v>
          </cell>
          <cell r="E7159">
            <v>47.16</v>
          </cell>
        </row>
        <row r="7160">
          <cell r="B7160" t="str">
            <v>INF044D01CD3</v>
          </cell>
          <cell r="C7160" t="str">
            <v>-</v>
          </cell>
          <cell r="D7160" t="str">
            <v xml:space="preserve">Taurus Infrastructure Fund - Direct Plan - Growth </v>
          </cell>
          <cell r="E7160">
            <v>69.150000000000006</v>
          </cell>
        </row>
        <row r="7161">
          <cell r="B7161" t="str">
            <v>INF044D01CE1</v>
          </cell>
          <cell r="C7161" t="str">
            <v>INF044D01CF8</v>
          </cell>
          <cell r="D7161" t="str">
            <v>Taurus Infrastructure Fund - Direct Plan - Payout of Income Distribution cum Capital Withdrawal option</v>
          </cell>
          <cell r="E7161">
            <v>64.400000000000006</v>
          </cell>
        </row>
        <row r="7162">
          <cell r="B7162" t="str">
            <v>INF044D01906</v>
          </cell>
          <cell r="C7162" t="str">
            <v>-</v>
          </cell>
          <cell r="D7162" t="str">
            <v>Taurus Infrastructure Fund - Regular Plan - Growth</v>
          </cell>
          <cell r="E7162">
            <v>64.08</v>
          </cell>
        </row>
        <row r="7163">
          <cell r="B7163" t="str">
            <v>INF044D01872</v>
          </cell>
          <cell r="C7163" t="str">
            <v>INF044D01880</v>
          </cell>
          <cell r="D7163" t="str">
            <v>Taurus Infrastructure Fund - Regular Plan - Payout of Income Distribution cum Capital Withdrawal option</v>
          </cell>
          <cell r="E7163">
            <v>60.18</v>
          </cell>
        </row>
        <row r="7164">
          <cell r="B7164" t="str">
            <v/>
          </cell>
          <cell r="C7164" t="str">
            <v/>
          </cell>
          <cell r="D7164" t="str">
            <v/>
          </cell>
        </row>
        <row r="7165">
          <cell r="B7165" t="str">
            <v/>
          </cell>
          <cell r="C7165" t="str">
            <v/>
          </cell>
          <cell r="D7165" t="str">
            <v/>
          </cell>
        </row>
        <row r="7166">
          <cell r="B7166" t="str">
            <v/>
          </cell>
          <cell r="C7166" t="str">
            <v/>
          </cell>
          <cell r="D7166" t="str">
            <v/>
          </cell>
        </row>
        <row r="7167">
          <cell r="B7167" t="str">
            <v>INF2F0001214</v>
          </cell>
          <cell r="C7167" t="str">
            <v>-</v>
          </cell>
          <cell r="D7167" t="str">
            <v>THE WEALTH COMPANY ETHICAL FUND DIRECT GROWTH</v>
          </cell>
          <cell r="E7167">
            <v>9.6716999999999995</v>
          </cell>
        </row>
        <row r="7168">
          <cell r="B7168" t="str">
            <v>INF2F0001206</v>
          </cell>
          <cell r="C7168" t="str">
            <v>INF2F0001198</v>
          </cell>
          <cell r="D7168" t="str">
            <v>THE WEALTH COMPANY ETHICAL FUND DIRECT IDCW</v>
          </cell>
          <cell r="E7168">
            <v>9.6722999999999999</v>
          </cell>
        </row>
        <row r="7169">
          <cell r="B7169" t="str">
            <v>INF2F0001248</v>
          </cell>
          <cell r="C7169" t="str">
            <v>-</v>
          </cell>
          <cell r="D7169" t="str">
            <v>THE WEALTH COMPANY ETHICAL FUND REGULAR GROWTH</v>
          </cell>
          <cell r="E7169">
            <v>9.5595999999999997</v>
          </cell>
        </row>
        <row r="7170">
          <cell r="B7170" t="str">
            <v>INF2F0001230</v>
          </cell>
          <cell r="C7170" t="str">
            <v>INF2F0001222</v>
          </cell>
          <cell r="D7170" t="str">
            <v>THE WEALTH COMPANY ETHICAL FUND REGULAR IDCW</v>
          </cell>
          <cell r="E7170">
            <v>9.5591000000000008</v>
          </cell>
        </row>
        <row r="7171">
          <cell r="B7171" t="str">
            <v/>
          </cell>
          <cell r="C7171" t="str">
            <v/>
          </cell>
          <cell r="D7171" t="str">
            <v/>
          </cell>
        </row>
        <row r="7172">
          <cell r="B7172" t="str">
            <v/>
          </cell>
          <cell r="C7172" t="str">
            <v/>
          </cell>
          <cell r="D7172" t="str">
            <v/>
          </cell>
        </row>
        <row r="7173">
          <cell r="B7173" t="str">
            <v/>
          </cell>
          <cell r="C7173" t="str">
            <v/>
          </cell>
          <cell r="D7173" t="str">
            <v/>
          </cell>
        </row>
        <row r="7174">
          <cell r="B7174" t="str">
            <v>INF582M01KG9</v>
          </cell>
          <cell r="C7174" t="str">
            <v>-</v>
          </cell>
          <cell r="D7174" t="str">
            <v>Union Active Momentum Fund - Direct Plan - Growth Option</v>
          </cell>
          <cell r="E7174">
            <v>9.64</v>
          </cell>
        </row>
        <row r="7175">
          <cell r="B7175" t="str">
            <v>INF582M01KH7</v>
          </cell>
          <cell r="C7175" t="str">
            <v>INF582M01KI5</v>
          </cell>
          <cell r="D7175" t="str">
            <v>Union Active Momentum Fund - Direct Plan - IDCW Option</v>
          </cell>
          <cell r="E7175">
            <v>9.64</v>
          </cell>
        </row>
        <row r="7176">
          <cell r="B7176" t="str">
            <v>INF582M01KC8</v>
          </cell>
          <cell r="C7176" t="str">
            <v>-</v>
          </cell>
          <cell r="D7176" t="str">
            <v>Union Active Momentum Fund - Regular Plan - Growth Option</v>
          </cell>
          <cell r="E7176">
            <v>9.44</v>
          </cell>
        </row>
        <row r="7177">
          <cell r="B7177" t="str">
            <v>INF582M01KD6</v>
          </cell>
          <cell r="C7177" t="str">
            <v>INF582M01KE4</v>
          </cell>
          <cell r="D7177" t="str">
            <v>Union Active Momentum Fund - Regular Plan - IDCW Option</v>
          </cell>
          <cell r="E7177">
            <v>9.44</v>
          </cell>
        </row>
        <row r="7178">
          <cell r="B7178" t="str">
            <v>INF582M01JQ0</v>
          </cell>
          <cell r="C7178" t="str">
            <v>-</v>
          </cell>
          <cell r="D7178" t="str">
            <v>Union Business Cycle Fund - Direct Plan - Growth Option</v>
          </cell>
          <cell r="E7178">
            <v>11.94</v>
          </cell>
        </row>
        <row r="7179">
          <cell r="B7179" t="str">
            <v>INF582M01JR8</v>
          </cell>
          <cell r="C7179" t="str">
            <v>INF582M01JS6</v>
          </cell>
          <cell r="D7179" t="str">
            <v>Union Business Cycle Fund - Direct Plan - IDCW Option</v>
          </cell>
          <cell r="E7179">
            <v>11.94</v>
          </cell>
        </row>
        <row r="7180">
          <cell r="B7180" t="str">
            <v>INF582M01JM9</v>
          </cell>
          <cell r="C7180" t="str">
            <v>-</v>
          </cell>
          <cell r="D7180" t="str">
            <v>Union Business Cycle Fund - Regular Plan - Growth Option</v>
          </cell>
          <cell r="E7180">
            <v>11.57</v>
          </cell>
        </row>
        <row r="7181">
          <cell r="B7181" t="str">
            <v>INF582M01JN7</v>
          </cell>
          <cell r="C7181" t="str">
            <v>INF582M01JO5</v>
          </cell>
          <cell r="D7181" t="str">
            <v>Union Business Cycle Fund - Regular Plan - IDCW Option</v>
          </cell>
          <cell r="E7181">
            <v>11.57</v>
          </cell>
        </row>
        <row r="7182">
          <cell r="B7182" t="str">
            <v>INF582M01MH3</v>
          </cell>
          <cell r="C7182" t="str">
            <v>-</v>
          </cell>
          <cell r="D7182" t="str">
            <v>Union Consumption Fund - Direct Plan - Growth Option</v>
          </cell>
          <cell r="E7182">
            <v>9.6999999999999993</v>
          </cell>
        </row>
        <row r="7183">
          <cell r="B7183" t="str">
            <v>INF582M01MI1</v>
          </cell>
          <cell r="C7183" t="str">
            <v>INF582M01MJ9</v>
          </cell>
          <cell r="D7183" t="str">
            <v>Union Consumption Fund - Direct Plan - IDCW Option</v>
          </cell>
          <cell r="E7183">
            <v>9.6999999999999993</v>
          </cell>
        </row>
        <row r="7184">
          <cell r="B7184" t="str">
            <v>INF582M01MD2</v>
          </cell>
          <cell r="C7184" t="str">
            <v>-</v>
          </cell>
          <cell r="D7184" t="str">
            <v>Union Consumption Fund - Regular Plan - Growth Option</v>
          </cell>
          <cell r="E7184">
            <v>9.6300000000000008</v>
          </cell>
        </row>
        <row r="7185">
          <cell r="B7185" t="str">
            <v>INF582M01ME0</v>
          </cell>
          <cell r="C7185" t="str">
            <v>INF582M01MF7</v>
          </cell>
          <cell r="D7185" t="str">
            <v>Union Consumption Fund - Regular Plan - IDCW Option</v>
          </cell>
          <cell r="E7185">
            <v>9.6300000000000008</v>
          </cell>
        </row>
        <row r="7186">
          <cell r="B7186" t="str">
            <v>INF582M01JE6</v>
          </cell>
          <cell r="C7186" t="str">
            <v>-</v>
          </cell>
          <cell r="D7186" t="str">
            <v>Union Innovation &amp; Opportunities Fund - Direct Plan - Growth Option</v>
          </cell>
          <cell r="E7186">
            <v>15.97</v>
          </cell>
        </row>
        <row r="7187">
          <cell r="B7187" t="str">
            <v>INF582M01JF3</v>
          </cell>
          <cell r="C7187" t="str">
            <v>INF582M01JG1</v>
          </cell>
          <cell r="D7187" t="str">
            <v>Union Innovation &amp; Opportunities Fund - Direct Plan - IDCW Option</v>
          </cell>
          <cell r="E7187">
            <v>15.97</v>
          </cell>
        </row>
        <row r="7188">
          <cell r="B7188" t="str">
            <v>INF582M01JA4</v>
          </cell>
          <cell r="C7188" t="str">
            <v>-</v>
          </cell>
          <cell r="D7188" t="str">
            <v>Union Innovation &amp; Opportunities Fund - Regular Plan - Growth Option</v>
          </cell>
          <cell r="E7188">
            <v>15.32</v>
          </cell>
        </row>
        <row r="7189">
          <cell r="B7189" t="str">
            <v>INF582M01JB2</v>
          </cell>
          <cell r="C7189" t="str">
            <v>INF582M01JC0</v>
          </cell>
          <cell r="D7189" t="str">
            <v>Union Innovation &amp; Opportunities Fund - Regular Plan - IDCW Option</v>
          </cell>
          <cell r="E7189">
            <v>15.32</v>
          </cell>
        </row>
        <row r="7190">
          <cell r="B7190" t="str">
            <v/>
          </cell>
          <cell r="C7190" t="str">
            <v/>
          </cell>
          <cell r="D7190" t="str">
            <v/>
          </cell>
        </row>
        <row r="7191">
          <cell r="B7191" t="str">
            <v/>
          </cell>
          <cell r="C7191" t="str">
            <v/>
          </cell>
          <cell r="D7191" t="str">
            <v/>
          </cell>
        </row>
        <row r="7192">
          <cell r="B7192" t="str">
            <v/>
          </cell>
          <cell r="C7192" t="str">
            <v/>
          </cell>
          <cell r="D7192" t="str">
            <v/>
          </cell>
        </row>
        <row r="7193">
          <cell r="B7193" t="str">
            <v>INF789F01SN3</v>
          </cell>
          <cell r="C7193" t="str">
            <v>-</v>
          </cell>
          <cell r="D7193" t="str">
            <v>UTI Banking and Financial Services Fund - Direct Plan - Growth Option</v>
          </cell>
          <cell r="E7193">
            <v>224.51740000000001</v>
          </cell>
        </row>
        <row r="7194">
          <cell r="B7194" t="str">
            <v>INF789F01SL7</v>
          </cell>
          <cell r="C7194" t="str">
            <v>INF789F01SM5</v>
          </cell>
          <cell r="D7194" t="str">
            <v>UTI Banking and Financial Services Fund - Direct Plan - IDCW</v>
          </cell>
          <cell r="E7194">
            <v>87.872200000000007</v>
          </cell>
        </row>
        <row r="7195">
          <cell r="B7195" t="str">
            <v>INF789F01372</v>
          </cell>
          <cell r="C7195" t="str">
            <v>-</v>
          </cell>
          <cell r="D7195" t="str">
            <v>UTI Banking and Financial Services Fund - Regular Plan - Growth Option</v>
          </cell>
          <cell r="E7195">
            <v>194.96299999999999</v>
          </cell>
        </row>
        <row r="7196">
          <cell r="B7196" t="str">
            <v>INF789F01356</v>
          </cell>
          <cell r="C7196" t="str">
            <v>INF789F01364</v>
          </cell>
          <cell r="D7196" t="str">
            <v>UTI Banking and Financial Services Fund - Regular Plan - IDCW</v>
          </cell>
          <cell r="E7196">
            <v>75.878600000000006</v>
          </cell>
        </row>
        <row r="7197">
          <cell r="B7197" t="str">
            <v>INF789F01TO9</v>
          </cell>
          <cell r="C7197" t="str">
            <v>-</v>
          </cell>
          <cell r="D7197" t="str">
            <v>UTI Healthcare Fund - Direct Plan - Growth Option</v>
          </cell>
          <cell r="E7197">
            <v>374.34370000000001</v>
          </cell>
        </row>
        <row r="7198">
          <cell r="B7198" t="str">
            <v>INF789F01TM3</v>
          </cell>
          <cell r="C7198" t="str">
            <v>INF789F01TN1</v>
          </cell>
          <cell r="D7198" t="str">
            <v>UTI Healthcare Fund - Direct Plan - IDCW</v>
          </cell>
          <cell r="E7198">
            <v>289.34030000000001</v>
          </cell>
        </row>
        <row r="7199">
          <cell r="B7199" t="str">
            <v>INF789F01695</v>
          </cell>
          <cell r="C7199" t="str">
            <v>-</v>
          </cell>
          <cell r="D7199" t="str">
            <v>UTI Healthcare Fund - Regular Plan - Growth Option</v>
          </cell>
          <cell r="E7199">
            <v>328.77550000000002</v>
          </cell>
        </row>
        <row r="7200">
          <cell r="B7200" t="str">
            <v>INF789F01679</v>
          </cell>
          <cell r="C7200" t="str">
            <v>INF789F01687</v>
          </cell>
          <cell r="D7200" t="str">
            <v>UTI Healthcare Fund - Regular Plan - IDCW</v>
          </cell>
          <cell r="E7200">
            <v>254.0976</v>
          </cell>
        </row>
        <row r="7201">
          <cell r="B7201" t="str">
            <v>INF789F01VF3</v>
          </cell>
          <cell r="C7201" t="str">
            <v>-</v>
          </cell>
          <cell r="D7201" t="str">
            <v>UTI India Consumer Fund - Direct Plan - Growth Option</v>
          </cell>
          <cell r="E7201">
            <v>62.3857</v>
          </cell>
        </row>
        <row r="7202">
          <cell r="B7202" t="str">
            <v>INF789F01VG1</v>
          </cell>
          <cell r="C7202" t="str">
            <v>INF789F01VH9</v>
          </cell>
          <cell r="D7202" t="str">
            <v>UTI India Consumer Fund - Direct Plan - IDCW</v>
          </cell>
          <cell r="E7202">
            <v>54.767600000000002</v>
          </cell>
        </row>
        <row r="7203">
          <cell r="B7203" t="str">
            <v>INF789F01CE6</v>
          </cell>
          <cell r="C7203" t="str">
            <v>-</v>
          </cell>
          <cell r="D7203" t="str">
            <v>UTI India Consumer Fund - Regular Plan - Growth Option</v>
          </cell>
          <cell r="E7203">
            <v>57.153399999999998</v>
          </cell>
        </row>
        <row r="7204">
          <cell r="B7204" t="str">
            <v>INF789F01CF3</v>
          </cell>
          <cell r="C7204" t="str">
            <v>INF789F01CG1</v>
          </cell>
          <cell r="D7204" t="str">
            <v>UTI India Consumer Fund - Regular Plan - IDCW</v>
          </cell>
          <cell r="E7204">
            <v>49.96</v>
          </cell>
        </row>
        <row r="7205">
          <cell r="B7205" t="str">
            <v>INF789F01TS0</v>
          </cell>
          <cell r="C7205" t="str">
            <v>INF789F01TT8</v>
          </cell>
          <cell r="D7205" t="str">
            <v>UTI Infrastructure Fund - Direct Plan - IDCW</v>
          </cell>
          <cell r="E7205">
            <v>79.628399999999999</v>
          </cell>
        </row>
        <row r="7206">
          <cell r="B7206" t="str">
            <v>INF789F01737</v>
          </cell>
          <cell r="C7206" t="str">
            <v>INF789F01745</v>
          </cell>
          <cell r="D7206" t="str">
            <v>UTI Infrastructure Fund - Regular Plan - IDCW</v>
          </cell>
          <cell r="E7206">
            <v>75.494100000000003</v>
          </cell>
        </row>
        <row r="7207">
          <cell r="B7207" t="str">
            <v>INF789F01752</v>
          </cell>
          <cell r="C7207" t="str">
            <v>-</v>
          </cell>
          <cell r="D7207" t="str">
            <v>UTI Infrastructure Fund-Growth Option</v>
          </cell>
          <cell r="E7207">
            <v>144.44649999999999</v>
          </cell>
        </row>
        <row r="7208">
          <cell r="B7208" t="str">
            <v>INF789F01TU6</v>
          </cell>
          <cell r="C7208" t="str">
            <v>-</v>
          </cell>
          <cell r="D7208" t="str">
            <v>UTI Infrastructure Fund-Growth Option- Direct</v>
          </cell>
          <cell r="E7208">
            <v>152.16480000000001</v>
          </cell>
        </row>
        <row r="7209">
          <cell r="B7209" t="str">
            <v>INF789F01UD0</v>
          </cell>
          <cell r="C7209" t="str">
            <v>-</v>
          </cell>
          <cell r="D7209" t="str">
            <v>UTI - MNC Fund - Growth Option - Direct</v>
          </cell>
          <cell r="E7209">
            <v>445.03199999999998</v>
          </cell>
        </row>
        <row r="7210">
          <cell r="B7210" t="str">
            <v>INF789F01844</v>
          </cell>
          <cell r="C7210" t="str">
            <v>-</v>
          </cell>
          <cell r="D7210" t="str">
            <v>UTI - MNC Fund - Regular Plan - Growth Option</v>
          </cell>
          <cell r="E7210">
            <v>396.40989999999999</v>
          </cell>
        </row>
        <row r="7211">
          <cell r="B7211" t="str">
            <v>INF789F01UB4</v>
          </cell>
          <cell r="C7211" t="str">
            <v>INF789F01UC2</v>
          </cell>
          <cell r="D7211" t="str">
            <v>UTI MNC Fund - Direct Plan - IDCW</v>
          </cell>
          <cell r="E7211">
            <v>230.8527</v>
          </cell>
        </row>
        <row r="7212">
          <cell r="B7212" t="str">
            <v>INF789F01828</v>
          </cell>
          <cell r="C7212" t="str">
            <v>INF789F01836</v>
          </cell>
          <cell r="D7212" t="str">
            <v>UTI MNC Fund - Regular Plan - IDCW</v>
          </cell>
          <cell r="E7212">
            <v>204.38290000000001</v>
          </cell>
        </row>
        <row r="7213">
          <cell r="B7213" t="str">
            <v>INF789F01SF9</v>
          </cell>
          <cell r="C7213" t="str">
            <v>INF789F01SG7</v>
          </cell>
          <cell r="D7213" t="str">
            <v>UTI Transportation and Logistics Fund - Direct Plan - IDCW</v>
          </cell>
          <cell r="E7213">
            <v>154.30340000000001</v>
          </cell>
        </row>
        <row r="7214">
          <cell r="B7214" t="str">
            <v>INF789F01273</v>
          </cell>
          <cell r="C7214" t="str">
            <v>INF789F01281</v>
          </cell>
          <cell r="D7214" t="str">
            <v>UTI Transportation and Logistics Fund - Regular Plan - IDCW</v>
          </cell>
          <cell r="E7214">
            <v>132.79159999999999</v>
          </cell>
        </row>
        <row r="7215">
          <cell r="B7215" t="str">
            <v>INF789F01299</v>
          </cell>
          <cell r="C7215" t="str">
            <v>-</v>
          </cell>
          <cell r="D7215" t="str">
            <v>UTI-Transportation and Logistics  Fund-Growth Option</v>
          </cell>
          <cell r="E7215">
            <v>287.98289999999997</v>
          </cell>
        </row>
        <row r="7216">
          <cell r="B7216" t="str">
            <v>INF789F01SH5</v>
          </cell>
          <cell r="C7216" t="str">
            <v>-</v>
          </cell>
          <cell r="D7216" t="str">
            <v>UTI-Transportation and Logistics  Fund-Growth Option- Direct</v>
          </cell>
          <cell r="E7216">
            <v>333.63010000000003</v>
          </cell>
        </row>
        <row r="7217">
          <cell r="B7217" t="str">
            <v>INF789F1AZA4</v>
          </cell>
          <cell r="C7217" t="str">
            <v>-</v>
          </cell>
          <cell r="D7217" t="str">
            <v>UTI Innovation Fund - Direct Plan - Growth Option</v>
          </cell>
          <cell r="E7217">
            <v>11.565300000000001</v>
          </cell>
        </row>
        <row r="7218">
          <cell r="B7218" t="str">
            <v>INF789F1AZB2</v>
          </cell>
          <cell r="C7218" t="str">
            <v>-</v>
          </cell>
          <cell r="D7218" t="str">
            <v>UTI Innovation Fund - Direct Plan - Payout of IDCW Option</v>
          </cell>
          <cell r="E7218">
            <v>11.565300000000001</v>
          </cell>
        </row>
        <row r="7219">
          <cell r="B7219" t="str">
            <v>INF789F1AYY7</v>
          </cell>
          <cell r="C7219" t="str">
            <v>-</v>
          </cell>
          <cell r="D7219" t="str">
            <v>UTI Innovation Fund - Regular Plan - Growth Option</v>
          </cell>
          <cell r="E7219">
            <v>11.1206</v>
          </cell>
        </row>
        <row r="7220">
          <cell r="B7220" t="str">
            <v>INF789F1AYZ4</v>
          </cell>
          <cell r="C7220" t="str">
            <v>-</v>
          </cell>
          <cell r="D7220" t="str">
            <v>UTI Innovation Fund - Regular Plan - Payout of IDCW Option</v>
          </cell>
          <cell r="E7220">
            <v>11.1205</v>
          </cell>
        </row>
        <row r="7221">
          <cell r="B7221" t="str">
            <v>INF789F1AA98</v>
          </cell>
          <cell r="C7221" t="str">
            <v>-</v>
          </cell>
          <cell r="D7221" t="str">
            <v>UTI Quant Fund - Direct Plan - Growth Option</v>
          </cell>
          <cell r="E7221">
            <v>10.5753</v>
          </cell>
        </row>
        <row r="7222">
          <cell r="B7222" t="str">
            <v>INF789F1AA80</v>
          </cell>
          <cell r="C7222" t="str">
            <v>-</v>
          </cell>
          <cell r="D7222" t="str">
            <v>UTI Quant Fund - Regular Plan - Growth Option</v>
          </cell>
          <cell r="E7222">
            <v>10.315099999999999</v>
          </cell>
        </row>
        <row r="7223">
          <cell r="B7223" t="str">
            <v/>
          </cell>
          <cell r="C7223" t="str">
            <v/>
          </cell>
          <cell r="D7223" t="str">
            <v/>
          </cell>
        </row>
        <row r="7224">
          <cell r="B7224" t="str">
            <v/>
          </cell>
          <cell r="C7224" t="str">
            <v/>
          </cell>
          <cell r="D7224" t="str">
            <v/>
          </cell>
        </row>
        <row r="7225">
          <cell r="B7225" t="str">
            <v/>
          </cell>
          <cell r="C7225" t="str">
            <v/>
          </cell>
          <cell r="D7225" t="str">
            <v/>
          </cell>
        </row>
        <row r="7226">
          <cell r="B7226" t="str">
            <v>INF03VN01860</v>
          </cell>
          <cell r="C7226" t="str">
            <v>-</v>
          </cell>
          <cell r="D7226" t="str">
            <v>WhiteOak Capital Banking &amp; Financial Services Fund - Direct Growth</v>
          </cell>
          <cell r="E7226">
            <v>13.577999999999999</v>
          </cell>
        </row>
        <row r="7227">
          <cell r="B7227" t="str">
            <v>INF03VN01852</v>
          </cell>
          <cell r="C7227" t="str">
            <v>-</v>
          </cell>
          <cell r="D7227" t="str">
            <v>WhiteOak Capital Banking &amp; Financial Services Fund - Regular Growth</v>
          </cell>
          <cell r="E7227">
            <v>13.016999999999999</v>
          </cell>
        </row>
        <row r="7228">
          <cell r="B7228" t="str">
            <v>INF03VN01AD3</v>
          </cell>
          <cell r="C7228" t="str">
            <v>-</v>
          </cell>
          <cell r="D7228" t="str">
            <v>WhiteOak Capital Consumption Opportunities Fund Direct Plan Growth</v>
          </cell>
          <cell r="E7228">
            <v>10.302</v>
          </cell>
        </row>
        <row r="7229">
          <cell r="B7229" t="str">
            <v>INF03VN01AE1</v>
          </cell>
          <cell r="C7229" t="str">
            <v>-</v>
          </cell>
          <cell r="D7229" t="str">
            <v>WhiteOak Capital Consumption Opportunities Fund Regular Plan Growth</v>
          </cell>
          <cell r="E7229">
            <v>10.227</v>
          </cell>
        </row>
        <row r="7230">
          <cell r="B7230" t="str">
            <v>INF03VN01936</v>
          </cell>
          <cell r="C7230" t="str">
            <v>-</v>
          </cell>
          <cell r="D7230" t="str">
            <v>WhiteOak Capital Digital Bharat Fund Direct Plan Growth</v>
          </cell>
          <cell r="E7230">
            <v>10.14</v>
          </cell>
        </row>
        <row r="7231">
          <cell r="B7231" t="str">
            <v>INF03VN01944</v>
          </cell>
          <cell r="C7231" t="str">
            <v>-</v>
          </cell>
          <cell r="D7231" t="str">
            <v>WhiteOak Capital Digital Bharat Fund Regular Plan Growth</v>
          </cell>
          <cell r="E7231">
            <v>9.8320000000000007</v>
          </cell>
        </row>
        <row r="7232">
          <cell r="B7232" t="str">
            <v>INF03VN01951</v>
          </cell>
          <cell r="C7232" t="str">
            <v>-</v>
          </cell>
          <cell r="D7232" t="str">
            <v>WhiteOak Capital ESG Best-In-Class Strategy Fund Direct Plan Growth</v>
          </cell>
          <cell r="E7232">
            <v>10.404999999999999</v>
          </cell>
        </row>
        <row r="7233">
          <cell r="B7233" t="str">
            <v>INF03VN01969</v>
          </cell>
          <cell r="C7233" t="str">
            <v>-</v>
          </cell>
          <cell r="D7233" t="str">
            <v>WhiteOak Capital ESG Best-In-Class Strategy Fund Regular Plan Growth</v>
          </cell>
          <cell r="E7233">
            <v>10.098000000000001</v>
          </cell>
        </row>
        <row r="7234">
          <cell r="B7234" t="str">
            <v>INF03VN01886</v>
          </cell>
          <cell r="C7234" t="str">
            <v>-</v>
          </cell>
          <cell r="D7234" t="str">
            <v>WhiteOak Capital Pharma and Heathcare Fund Direct Plan Growth</v>
          </cell>
          <cell r="E7234">
            <v>16.885000000000002</v>
          </cell>
        </row>
        <row r="7235">
          <cell r="B7235" t="str">
            <v>INF03VN01878</v>
          </cell>
          <cell r="C7235" t="str">
            <v>-</v>
          </cell>
          <cell r="D7235" t="str">
            <v>WhiteOak Capital Pharma and Heathcare Fund Regular Plan Growth</v>
          </cell>
          <cell r="E7235">
            <v>16.18</v>
          </cell>
        </row>
        <row r="7236">
          <cell r="B7236" t="str">
            <v>INF03VN01977</v>
          </cell>
          <cell r="C7236" t="str">
            <v>-</v>
          </cell>
          <cell r="D7236" t="str">
            <v>WhiteOak Capital Quality Equity Fund Direct Plan Growth</v>
          </cell>
          <cell r="E7236">
            <v>10.618</v>
          </cell>
        </row>
        <row r="7237">
          <cell r="B7237" t="str">
            <v>INF03VN01985</v>
          </cell>
          <cell r="C7237" t="str">
            <v>-</v>
          </cell>
          <cell r="D7237" t="str">
            <v>WhiteOak Capital Quality Equity Fund Regular Plan Growth</v>
          </cell>
          <cell r="E7237">
            <v>10.353999999999999</v>
          </cell>
        </row>
        <row r="7238">
          <cell r="B7238" t="str">
            <v>INF03VN01902</v>
          </cell>
          <cell r="C7238" t="str">
            <v>-</v>
          </cell>
          <cell r="D7238" t="str">
            <v>WhiteOak Capital Special Opportunities Fund - Direct Growth</v>
          </cell>
          <cell r="E7238">
            <v>14.654</v>
          </cell>
        </row>
        <row r="7239">
          <cell r="B7239" t="str">
            <v>INF03VN01894</v>
          </cell>
          <cell r="C7239" t="str">
            <v>-</v>
          </cell>
          <cell r="D7239" t="str">
            <v>WhiteOak Capital Special Opportunities Fund - Regular Growth</v>
          </cell>
          <cell r="E7239">
            <v>14.101000000000001</v>
          </cell>
        </row>
        <row r="7240">
          <cell r="B7240" t="str">
            <v/>
          </cell>
          <cell r="C7240" t="str">
            <v/>
          </cell>
          <cell r="D7240" t="str">
            <v/>
          </cell>
        </row>
        <row r="7241">
          <cell r="B7241" t="str">
            <v/>
          </cell>
          <cell r="C7241" t="str">
            <v/>
          </cell>
          <cell r="D7241" t="str">
            <v/>
          </cell>
        </row>
        <row r="7242">
          <cell r="B7242" t="str">
            <v/>
          </cell>
          <cell r="C7242" t="str">
            <v/>
          </cell>
          <cell r="D7242" t="str">
            <v/>
          </cell>
        </row>
        <row r="7243">
          <cell r="B7243" t="str">
            <v/>
          </cell>
          <cell r="C7243" t="str">
            <v/>
          </cell>
          <cell r="D7243" t="str">
            <v/>
          </cell>
        </row>
        <row r="7244">
          <cell r="B7244" t="str">
            <v/>
          </cell>
          <cell r="C7244" t="str">
            <v/>
          </cell>
          <cell r="D7244" t="str">
            <v/>
          </cell>
        </row>
        <row r="7245">
          <cell r="B7245" t="str">
            <v>INF2JJD01177</v>
          </cell>
          <cell r="C7245" t="str">
            <v>-</v>
          </cell>
          <cell r="D7245" t="str">
            <v>Abakkus Small Cap Fund - Direct Plan - Growth</v>
          </cell>
          <cell r="E7245">
            <v>12.204000000000001</v>
          </cell>
        </row>
        <row r="7246">
          <cell r="B7246" t="str">
            <v>INF2JJD01185</v>
          </cell>
          <cell r="C7246" t="str">
            <v>-</v>
          </cell>
          <cell r="D7246" t="str">
            <v>Abakkus Small Cap Fund - Regular  Plan - Growth</v>
          </cell>
          <cell r="E7246">
            <v>12.147</v>
          </cell>
        </row>
        <row r="7247">
          <cell r="B7247" t="str">
            <v/>
          </cell>
          <cell r="C7247" t="str">
            <v/>
          </cell>
          <cell r="D7247" t="str">
            <v/>
          </cell>
        </row>
        <row r="7248">
          <cell r="B7248" t="str">
            <v/>
          </cell>
          <cell r="C7248" t="str">
            <v/>
          </cell>
          <cell r="D7248" t="str">
            <v/>
          </cell>
        </row>
        <row r="7249">
          <cell r="B7249" t="str">
            <v/>
          </cell>
          <cell r="C7249" t="str">
            <v/>
          </cell>
          <cell r="D7249" t="str">
            <v/>
          </cell>
        </row>
        <row r="7250">
          <cell r="B7250" t="str">
            <v>INF209K01EN2</v>
          </cell>
          <cell r="C7250" t="str">
            <v>-</v>
          </cell>
          <cell r="D7250" t="str">
            <v>Aditya Birla Sun Life Small Cap Fund - GROWTH</v>
          </cell>
          <cell r="E7250">
            <v>95.572900000000004</v>
          </cell>
        </row>
        <row r="7251">
          <cell r="B7251" t="str">
            <v>INF209K01WN4</v>
          </cell>
          <cell r="C7251" t="str">
            <v>-</v>
          </cell>
          <cell r="D7251" t="str">
            <v>Aditya Birla Sun Life Small Cap Fund - Growth - Direct Plan</v>
          </cell>
          <cell r="E7251">
            <v>109.6177</v>
          </cell>
        </row>
        <row r="7252">
          <cell r="B7252" t="str">
            <v>INF209K01WM6</v>
          </cell>
          <cell r="C7252" t="str">
            <v>-</v>
          </cell>
          <cell r="D7252" t="str">
            <v>Aditya Birla Sun Life Small Cap Fund -Direct - IDCW</v>
          </cell>
          <cell r="E7252">
            <v>76.942899999999995</v>
          </cell>
        </row>
        <row r="7253">
          <cell r="B7253" t="str">
            <v>INF209K01EO0</v>
          </cell>
          <cell r="C7253" t="str">
            <v>INF209K01EP7</v>
          </cell>
          <cell r="D7253" t="str">
            <v>Aditya Birla Sun Life Small Cap Fund -Regular - IDCW</v>
          </cell>
          <cell r="E7253">
            <v>39.553800000000003</v>
          </cell>
        </row>
        <row r="7254">
          <cell r="B7254" t="str">
            <v/>
          </cell>
          <cell r="C7254" t="str">
            <v/>
          </cell>
          <cell r="D7254" t="str">
            <v/>
          </cell>
        </row>
        <row r="7255">
          <cell r="B7255" t="str">
            <v/>
          </cell>
          <cell r="C7255" t="str">
            <v/>
          </cell>
          <cell r="D7255" t="str">
            <v/>
          </cell>
        </row>
        <row r="7256">
          <cell r="B7256" t="str">
            <v/>
          </cell>
          <cell r="C7256" t="str">
            <v/>
          </cell>
          <cell r="D7256" t="str">
            <v/>
          </cell>
        </row>
        <row r="7257">
          <cell r="B7257" t="str">
            <v>INF846K01K35</v>
          </cell>
          <cell r="C7257" t="str">
            <v>-</v>
          </cell>
          <cell r="D7257" t="str">
            <v>Axis Small Cap Fund - Direct Plan - Growth</v>
          </cell>
          <cell r="E7257">
            <v>131.74</v>
          </cell>
        </row>
        <row r="7258">
          <cell r="B7258" t="str">
            <v>INF846K01K43</v>
          </cell>
          <cell r="C7258" t="str">
            <v>INF846K01K50</v>
          </cell>
          <cell r="D7258" t="str">
            <v>Axis Small Cap Fund - Direct Plan - IDCW</v>
          </cell>
          <cell r="E7258">
            <v>53.14</v>
          </cell>
        </row>
        <row r="7259">
          <cell r="B7259" t="str">
            <v>INF846K01K01</v>
          </cell>
          <cell r="C7259" t="str">
            <v>-</v>
          </cell>
          <cell r="D7259" t="str">
            <v>Axis Small Cap Fund - Regular Plan - Growth</v>
          </cell>
          <cell r="E7259">
            <v>112.85</v>
          </cell>
        </row>
        <row r="7260">
          <cell r="B7260" t="str">
            <v>INF846K01K19</v>
          </cell>
          <cell r="C7260" t="str">
            <v>INF846K01K27</v>
          </cell>
          <cell r="D7260" t="str">
            <v>Axis Small Cap Fund - Regular Plan - IDCW</v>
          </cell>
          <cell r="E7260">
            <v>44.95</v>
          </cell>
        </row>
        <row r="7261">
          <cell r="B7261" t="str">
            <v/>
          </cell>
          <cell r="C7261" t="str">
            <v/>
          </cell>
          <cell r="D7261" t="str">
            <v/>
          </cell>
        </row>
        <row r="7262">
          <cell r="B7262" t="str">
            <v/>
          </cell>
          <cell r="C7262" t="str">
            <v/>
          </cell>
          <cell r="D7262" t="str">
            <v/>
          </cell>
        </row>
        <row r="7263">
          <cell r="B7263" t="str">
            <v/>
          </cell>
          <cell r="C7263" t="str">
            <v/>
          </cell>
          <cell r="D7263" t="str">
            <v/>
          </cell>
        </row>
        <row r="7264">
          <cell r="B7264" t="str">
            <v>INF0QA701BN2</v>
          </cell>
          <cell r="C7264" t="str">
            <v>-</v>
          </cell>
          <cell r="D7264" t="str">
            <v>BAJAJ FINSERV SMALL CAP FUND - DIRECT - GROWTH</v>
          </cell>
          <cell r="E7264">
            <v>10.833</v>
          </cell>
        </row>
        <row r="7265">
          <cell r="B7265" t="str">
            <v>INF0QA701BO0</v>
          </cell>
          <cell r="C7265" t="str">
            <v>INF0QA701BP7</v>
          </cell>
          <cell r="D7265" t="str">
            <v>BAJAJ FINSERV SMALL CAP FUND - DIRECT - IDCW</v>
          </cell>
          <cell r="E7265">
            <v>10.833</v>
          </cell>
        </row>
        <row r="7266">
          <cell r="B7266" t="str">
            <v>INF0QA701BK8</v>
          </cell>
          <cell r="C7266" t="str">
            <v>-</v>
          </cell>
          <cell r="D7266" t="str">
            <v>BAJAJ FINSERV SMALL CAP FUND - REGULAR - GROWTH</v>
          </cell>
          <cell r="E7266">
            <v>10.666</v>
          </cell>
        </row>
        <row r="7267">
          <cell r="B7267" t="str">
            <v>INF0QA701BL6</v>
          </cell>
          <cell r="C7267" t="str">
            <v>INF0QA701BM4</v>
          </cell>
          <cell r="D7267" t="str">
            <v>BAJAJ FINSERV SMALL CAP FUND - REGULAR - IDCW</v>
          </cell>
          <cell r="E7267">
            <v>10.666</v>
          </cell>
        </row>
        <row r="7268">
          <cell r="B7268" t="str">
            <v/>
          </cell>
          <cell r="C7268" t="str">
            <v/>
          </cell>
          <cell r="D7268" t="str">
            <v/>
          </cell>
        </row>
        <row r="7269">
          <cell r="B7269" t="str">
            <v/>
          </cell>
          <cell r="C7269" t="str">
            <v/>
          </cell>
          <cell r="D7269" t="str">
            <v/>
          </cell>
        </row>
        <row r="7270">
          <cell r="B7270" t="str">
            <v/>
          </cell>
          <cell r="C7270" t="str">
            <v/>
          </cell>
          <cell r="D7270" t="str">
            <v/>
          </cell>
        </row>
        <row r="7271">
          <cell r="B7271" t="str">
            <v>INF194KB1AL4</v>
          </cell>
          <cell r="C7271" t="str">
            <v>-</v>
          </cell>
          <cell r="D7271" t="str">
            <v>BANDHAN SMALL CAP FUND - DIRECT PLAN GROWTH</v>
          </cell>
          <cell r="E7271">
            <v>55.412999999999997</v>
          </cell>
        </row>
        <row r="7272">
          <cell r="B7272" t="str">
            <v>INF194KB1AM2</v>
          </cell>
          <cell r="C7272" t="str">
            <v>-</v>
          </cell>
          <cell r="D7272" t="str">
            <v>BANDHAN SMALL CAP FUND - DIRECT PLAN IDCW</v>
          </cell>
          <cell r="E7272">
            <v>38.566000000000003</v>
          </cell>
        </row>
        <row r="7273">
          <cell r="B7273" t="str">
            <v>INF194KB1AJ8</v>
          </cell>
          <cell r="C7273" t="str">
            <v>-</v>
          </cell>
          <cell r="D7273" t="str">
            <v>BANDHAN SMALL CAP FUND - REGULAR PLAN GROWTH</v>
          </cell>
          <cell r="E7273">
            <v>50.168999999999997</v>
          </cell>
        </row>
        <row r="7274">
          <cell r="B7274" t="str">
            <v>INF194KB1AK6</v>
          </cell>
          <cell r="C7274" t="str">
            <v>-</v>
          </cell>
          <cell r="D7274" t="str">
            <v>BANDHAN SMALL CAP FUND - REGULAR PLAN IDCW</v>
          </cell>
          <cell r="E7274">
            <v>34.923000000000002</v>
          </cell>
        </row>
        <row r="7275">
          <cell r="B7275" t="str">
            <v/>
          </cell>
          <cell r="C7275" t="str">
            <v/>
          </cell>
          <cell r="D7275" t="str">
            <v/>
          </cell>
        </row>
        <row r="7276">
          <cell r="B7276" t="str">
            <v/>
          </cell>
          <cell r="C7276" t="str">
            <v/>
          </cell>
          <cell r="D7276" t="str">
            <v/>
          </cell>
        </row>
        <row r="7277">
          <cell r="B7277" t="str">
            <v/>
          </cell>
          <cell r="C7277" t="str">
            <v/>
          </cell>
          <cell r="D7277" t="str">
            <v/>
          </cell>
        </row>
        <row r="7278">
          <cell r="B7278" t="str">
            <v>INF761K01EP7</v>
          </cell>
          <cell r="C7278" t="str">
            <v>-</v>
          </cell>
          <cell r="D7278" t="str">
            <v>BANK OF INDIA Small Cap Fund Direct Plan Growth</v>
          </cell>
          <cell r="E7278">
            <v>62.46</v>
          </cell>
        </row>
        <row r="7279">
          <cell r="B7279" t="str">
            <v>INF761K01EO0</v>
          </cell>
          <cell r="C7279" t="str">
            <v>INF761K01ES1</v>
          </cell>
          <cell r="D7279" t="str">
            <v>BANK OF INDIA Small Cap Fund Direct Plan IDCW</v>
          </cell>
          <cell r="E7279">
            <v>46.77</v>
          </cell>
        </row>
        <row r="7280">
          <cell r="B7280" t="str">
            <v>INF761K01ER3</v>
          </cell>
          <cell r="C7280" t="str">
            <v>-</v>
          </cell>
          <cell r="D7280" t="str">
            <v>BANK OF INDIA Small Cap Fund Regular Plan Growth</v>
          </cell>
          <cell r="E7280">
            <v>55.2</v>
          </cell>
        </row>
        <row r="7281">
          <cell r="B7281" t="str">
            <v>INF761K01EQ5</v>
          </cell>
          <cell r="C7281" t="str">
            <v>INF761K01ET9</v>
          </cell>
          <cell r="D7281" t="str">
            <v>BANK OF INDIA Small Cap Fund Regular Plan IDCW</v>
          </cell>
          <cell r="E7281">
            <v>40.24</v>
          </cell>
        </row>
        <row r="7282">
          <cell r="B7282" t="str">
            <v/>
          </cell>
          <cell r="C7282" t="str">
            <v/>
          </cell>
          <cell r="D7282" t="str">
            <v/>
          </cell>
        </row>
        <row r="7283">
          <cell r="B7283" t="str">
            <v/>
          </cell>
          <cell r="C7283" t="str">
            <v/>
          </cell>
          <cell r="D7283" t="str">
            <v/>
          </cell>
        </row>
        <row r="7284">
          <cell r="B7284" t="str">
            <v/>
          </cell>
          <cell r="C7284" t="str">
            <v/>
          </cell>
          <cell r="D7284" t="str">
            <v/>
          </cell>
        </row>
        <row r="7285">
          <cell r="B7285" t="str">
            <v>INF251K01SR5</v>
          </cell>
          <cell r="C7285" t="str">
            <v>-</v>
          </cell>
          <cell r="D7285" t="str">
            <v>Baroda BNP Paribas Small Cap Fund - Direct Plan - Growth option</v>
          </cell>
          <cell r="E7285">
            <v>14.4415</v>
          </cell>
        </row>
        <row r="7286">
          <cell r="B7286" t="str">
            <v>INF251K01SS3</v>
          </cell>
          <cell r="C7286" t="str">
            <v>INF251K01ST1</v>
          </cell>
          <cell r="D7286" t="str">
            <v>Baroda BNP Paribas Small Cap Fund - Direct Plan - IDCW option</v>
          </cell>
          <cell r="E7286">
            <v>14.0923</v>
          </cell>
        </row>
        <row r="7287">
          <cell r="B7287" t="str">
            <v>INF251K01SO2</v>
          </cell>
          <cell r="C7287" t="str">
            <v>-</v>
          </cell>
          <cell r="D7287" t="str">
            <v>Baroda BNP Paribas Small Cap Fund - Regular Plan - Growth option</v>
          </cell>
          <cell r="E7287">
            <v>13.9017</v>
          </cell>
        </row>
        <row r="7288">
          <cell r="B7288" t="str">
            <v>INF251K01SP9</v>
          </cell>
          <cell r="C7288" t="str">
            <v>INF251K01SQ7</v>
          </cell>
          <cell r="D7288" t="str">
            <v>Baroda BNP Paribas Small Cap Fund - Regular Plan - IDCW option</v>
          </cell>
          <cell r="E7288">
            <v>13.5465</v>
          </cell>
        </row>
        <row r="7289">
          <cell r="B7289" t="str">
            <v/>
          </cell>
          <cell r="C7289" t="str">
            <v/>
          </cell>
          <cell r="D7289" t="str">
            <v/>
          </cell>
        </row>
        <row r="7290">
          <cell r="B7290" t="str">
            <v/>
          </cell>
          <cell r="C7290" t="str">
            <v/>
          </cell>
          <cell r="D7290" t="str">
            <v/>
          </cell>
        </row>
        <row r="7291">
          <cell r="B7291" t="str">
            <v/>
          </cell>
          <cell r="C7291" t="str">
            <v/>
          </cell>
          <cell r="D7291" t="str">
            <v/>
          </cell>
        </row>
        <row r="7292">
          <cell r="B7292" t="str">
            <v>INF760K01JC6</v>
          </cell>
          <cell r="C7292" t="str">
            <v>-</v>
          </cell>
          <cell r="D7292" t="str">
            <v>CANARA ROBECO SMALL CAP FUND - DIRECT PLAN - GROWTH OPTION</v>
          </cell>
          <cell r="E7292">
            <v>45.02</v>
          </cell>
        </row>
        <row r="7293">
          <cell r="B7293" t="str">
            <v>INF760K01JD4</v>
          </cell>
          <cell r="C7293" t="str">
            <v>INF760K01JE2</v>
          </cell>
          <cell r="D7293" t="str">
            <v>CANARA ROBECO SMALL CAP FUND - DIRECT PLAN - IDCW (Payout/Reinvestment)</v>
          </cell>
          <cell r="E7293">
            <v>39</v>
          </cell>
        </row>
        <row r="7294">
          <cell r="B7294" t="str">
            <v>INF760K01JF9</v>
          </cell>
          <cell r="C7294" t="str">
            <v>-</v>
          </cell>
          <cell r="D7294" t="str">
            <v>CANARA ROBECO SMALL CAP FUND - REGULAR PLAN - GROWTH OPTION</v>
          </cell>
          <cell r="E7294">
            <v>40.270000000000003</v>
          </cell>
        </row>
        <row r="7295">
          <cell r="B7295" t="str">
            <v>INF760K01JG7</v>
          </cell>
          <cell r="C7295" t="str">
            <v>INF760K01JH5</v>
          </cell>
          <cell r="D7295" t="str">
            <v>CANARA ROBECO SMALL CAP FUND - REGULAR PLAN - IDCW (Payout/Reinvestment)</v>
          </cell>
          <cell r="E7295">
            <v>34.47</v>
          </cell>
        </row>
        <row r="7296">
          <cell r="B7296" t="str">
            <v/>
          </cell>
          <cell r="C7296" t="str">
            <v/>
          </cell>
          <cell r="D7296" t="str">
            <v/>
          </cell>
        </row>
        <row r="7297">
          <cell r="B7297" t="str">
            <v/>
          </cell>
          <cell r="C7297" t="str">
            <v/>
          </cell>
          <cell r="D7297" t="str">
            <v/>
          </cell>
        </row>
        <row r="7298">
          <cell r="B7298" t="str">
            <v/>
          </cell>
          <cell r="C7298" t="str">
            <v/>
          </cell>
          <cell r="D7298" t="str">
            <v/>
          </cell>
        </row>
        <row r="7299">
          <cell r="B7299" t="str">
            <v>INF740K01QD1</v>
          </cell>
          <cell r="C7299" t="str">
            <v>-</v>
          </cell>
          <cell r="D7299" t="str">
            <v>DSP Small Cap Fund - Direct Plan - Growth</v>
          </cell>
          <cell r="E7299">
            <v>244.87700000000001</v>
          </cell>
        </row>
        <row r="7300">
          <cell r="B7300" t="str">
            <v>INF740K01QE9</v>
          </cell>
          <cell r="C7300" t="str">
            <v>INF740K01QF6</v>
          </cell>
          <cell r="D7300" t="str">
            <v>DSP Small Cap Fund - Direct Plan - IDCW</v>
          </cell>
          <cell r="E7300">
            <v>67.212999999999994</v>
          </cell>
        </row>
        <row r="7301">
          <cell r="B7301" t="str">
            <v>INF740K01797</v>
          </cell>
          <cell r="C7301" t="str">
            <v>-</v>
          </cell>
          <cell r="D7301" t="str">
            <v>DSP Small Cap Fund - Regular - Growth</v>
          </cell>
          <cell r="E7301">
            <v>220.846</v>
          </cell>
        </row>
        <row r="7302">
          <cell r="B7302" t="str">
            <v>INF740K01805</v>
          </cell>
          <cell r="C7302" t="str">
            <v>INF740K01AM6</v>
          </cell>
          <cell r="D7302" t="str">
            <v>DSP Small Cap Fund - Regular - IDCW</v>
          </cell>
          <cell r="E7302">
            <v>60.512</v>
          </cell>
        </row>
        <row r="7303">
          <cell r="B7303" t="str">
            <v/>
          </cell>
          <cell r="C7303" t="str">
            <v/>
          </cell>
          <cell r="D7303" t="str">
            <v/>
          </cell>
        </row>
        <row r="7304">
          <cell r="B7304" t="str">
            <v/>
          </cell>
          <cell r="C7304" t="str">
            <v/>
          </cell>
          <cell r="D7304" t="str">
            <v/>
          </cell>
        </row>
        <row r="7305">
          <cell r="B7305" t="str">
            <v/>
          </cell>
          <cell r="C7305" t="str">
            <v/>
          </cell>
          <cell r="D7305" t="str">
            <v/>
          </cell>
        </row>
        <row r="7306">
          <cell r="B7306" t="str">
            <v>INF754K01JN6</v>
          </cell>
          <cell r="C7306" t="str">
            <v>-</v>
          </cell>
          <cell r="D7306" t="str">
            <v>Edelweiss Small Cap Fund - Direct Plan - Growth</v>
          </cell>
          <cell r="E7306">
            <v>52.584000000000003</v>
          </cell>
        </row>
        <row r="7307">
          <cell r="B7307" t="str">
            <v>INF754K01JO4</v>
          </cell>
          <cell r="C7307" t="str">
            <v>INF754K01JP1</v>
          </cell>
          <cell r="D7307" t="str">
            <v>Edelweiss Small Cap Fund - Direct Plan - IDCW Option</v>
          </cell>
          <cell r="E7307">
            <v>46.002000000000002</v>
          </cell>
        </row>
        <row r="7308">
          <cell r="B7308" t="str">
            <v>INF754K01JJ4</v>
          </cell>
          <cell r="C7308" t="str">
            <v>-</v>
          </cell>
          <cell r="D7308" t="str">
            <v>Edelweiss Small Cap Fund - Regular Plan - Growth</v>
          </cell>
          <cell r="E7308">
            <v>46.917000000000002</v>
          </cell>
        </row>
        <row r="7309">
          <cell r="B7309" t="str">
            <v>INF754K01JK2</v>
          </cell>
          <cell r="C7309" t="str">
            <v>INF754K01JL0</v>
          </cell>
          <cell r="D7309" t="str">
            <v>Edelweiss Small Cap Fund - Regular Plan - IDCW Option</v>
          </cell>
          <cell r="E7309">
            <v>40.770000000000003</v>
          </cell>
        </row>
        <row r="7310">
          <cell r="B7310" t="str">
            <v/>
          </cell>
          <cell r="C7310" t="str">
            <v/>
          </cell>
          <cell r="D7310" t="str">
            <v/>
          </cell>
        </row>
        <row r="7311">
          <cell r="B7311" t="str">
            <v/>
          </cell>
          <cell r="C7311" t="str">
            <v/>
          </cell>
          <cell r="D7311" t="str">
            <v/>
          </cell>
        </row>
        <row r="7312">
          <cell r="B7312" t="str">
            <v/>
          </cell>
          <cell r="C7312" t="str">
            <v/>
          </cell>
          <cell r="D7312" t="str">
            <v/>
          </cell>
        </row>
        <row r="7313">
          <cell r="B7313" t="str">
            <v>INF090I01IQ4</v>
          </cell>
          <cell r="C7313" t="str">
            <v>-</v>
          </cell>
          <cell r="D7313" t="str">
            <v>Franklin India Small Cap Fund - Direct - Growth</v>
          </cell>
          <cell r="E7313">
            <v>201.88570000000001</v>
          </cell>
        </row>
        <row r="7314">
          <cell r="B7314" t="str">
            <v>INF090I01IO9</v>
          </cell>
          <cell r="C7314" t="str">
            <v>INF090I01IP6</v>
          </cell>
          <cell r="D7314" t="str">
            <v>Franklin India Small Cap Fund - Direct - IDCW</v>
          </cell>
          <cell r="E7314">
            <v>52.468899999999998</v>
          </cell>
        </row>
        <row r="7315">
          <cell r="B7315" t="str">
            <v>INF090I01544</v>
          </cell>
          <cell r="C7315" t="str">
            <v>INF090I01551</v>
          </cell>
          <cell r="D7315" t="str">
            <v>Franklin India Small Cap Fund - IDCW</v>
          </cell>
          <cell r="E7315">
            <v>44.223300000000002</v>
          </cell>
        </row>
        <row r="7316">
          <cell r="B7316" t="str">
            <v>INF090I01569</v>
          </cell>
          <cell r="C7316" t="str">
            <v>-</v>
          </cell>
          <cell r="D7316" t="str">
            <v>Franklin India Small Cap Fund-Growth</v>
          </cell>
          <cell r="E7316">
            <v>176.91030000000001</v>
          </cell>
        </row>
        <row r="7317">
          <cell r="B7317" t="str">
            <v/>
          </cell>
          <cell r="C7317" t="str">
            <v/>
          </cell>
          <cell r="D7317" t="str">
            <v/>
          </cell>
        </row>
        <row r="7318">
          <cell r="B7318" t="str">
            <v/>
          </cell>
          <cell r="C7318" t="str">
            <v/>
          </cell>
          <cell r="D7318" t="str">
            <v/>
          </cell>
        </row>
        <row r="7319">
          <cell r="B7319" t="str">
            <v/>
          </cell>
          <cell r="C7319" t="str">
            <v/>
          </cell>
          <cell r="D7319" t="str">
            <v/>
          </cell>
        </row>
        <row r="7320">
          <cell r="B7320" t="str">
            <v>INF179KA1RZ8</v>
          </cell>
          <cell r="C7320" t="str">
            <v>-</v>
          </cell>
          <cell r="D7320" t="str">
            <v>HDFC Small Cap Fund - Growth Option</v>
          </cell>
          <cell r="E7320">
            <v>138.90299999999999</v>
          </cell>
        </row>
        <row r="7321">
          <cell r="B7321" t="str">
            <v>INF179KA1RW5</v>
          </cell>
          <cell r="C7321" t="str">
            <v>-</v>
          </cell>
          <cell r="D7321" t="str">
            <v>HDFC Small Cap Fund - Growth Option - Direct Plan</v>
          </cell>
          <cell r="E7321">
            <v>159.27000000000001</v>
          </cell>
        </row>
        <row r="7322">
          <cell r="B7322" t="str">
            <v>INF179KA1SA9</v>
          </cell>
          <cell r="C7322" t="str">
            <v>INF179KA1SB7</v>
          </cell>
          <cell r="D7322" t="str">
            <v>HDFC Small Cap Fund - IDCW Option</v>
          </cell>
          <cell r="E7322">
            <v>40.308999999999997</v>
          </cell>
        </row>
        <row r="7323">
          <cell r="B7323" t="str">
            <v>INF179KA1RX3</v>
          </cell>
          <cell r="C7323" t="str">
            <v>INF179KA1RY1</v>
          </cell>
          <cell r="D7323" t="str">
            <v>HDFC Small Cap Fund - IDCW Option - Direct Plan</v>
          </cell>
          <cell r="E7323">
            <v>64.477999999999994</v>
          </cell>
        </row>
        <row r="7324">
          <cell r="B7324" t="str">
            <v/>
          </cell>
          <cell r="C7324" t="str">
            <v/>
          </cell>
          <cell r="D7324" t="str">
            <v/>
          </cell>
        </row>
        <row r="7325">
          <cell r="B7325" t="str">
            <v/>
          </cell>
          <cell r="C7325" t="str">
            <v/>
          </cell>
          <cell r="D7325" t="str">
            <v/>
          </cell>
        </row>
        <row r="7326">
          <cell r="B7326" t="str">
            <v/>
          </cell>
          <cell r="C7326" t="str">
            <v/>
          </cell>
          <cell r="D7326" t="str">
            <v/>
          </cell>
        </row>
        <row r="7327">
          <cell r="B7327" t="str">
            <v>INF0R8701384</v>
          </cell>
          <cell r="C7327" t="str">
            <v>-</v>
          </cell>
          <cell r="D7327" t="str">
            <v>Helios Small Cap Fund - Direct Plan - Growth Option</v>
          </cell>
          <cell r="E7327">
            <v>11.02</v>
          </cell>
        </row>
        <row r="7328">
          <cell r="B7328" t="str">
            <v>INF0R8701392</v>
          </cell>
          <cell r="C7328" t="str">
            <v>INF0R8701400</v>
          </cell>
          <cell r="D7328" t="str">
            <v>Helios Small Cap Fund - Direct Plan - IDCW Option</v>
          </cell>
          <cell r="E7328">
            <v>11.02</v>
          </cell>
        </row>
        <row r="7329">
          <cell r="B7329" t="str">
            <v>INF0R8701350</v>
          </cell>
          <cell r="C7329" t="str">
            <v>-</v>
          </cell>
          <cell r="D7329" t="str">
            <v>Helios Small Cap Fund - Regular Plan - Growth Option</v>
          </cell>
          <cell r="E7329">
            <v>10.91</v>
          </cell>
        </row>
        <row r="7330">
          <cell r="B7330" t="str">
            <v>INF0R8701368</v>
          </cell>
          <cell r="C7330" t="str">
            <v>INF0R8701376</v>
          </cell>
          <cell r="D7330" t="str">
            <v>Helios Small Cap Fund - Regular Plan - IDCW Option</v>
          </cell>
          <cell r="E7330">
            <v>10.91</v>
          </cell>
        </row>
        <row r="7331">
          <cell r="B7331" t="str">
            <v/>
          </cell>
          <cell r="C7331" t="str">
            <v/>
          </cell>
          <cell r="D7331" t="str">
            <v/>
          </cell>
        </row>
        <row r="7332">
          <cell r="B7332" t="str">
            <v/>
          </cell>
          <cell r="C7332" t="str">
            <v/>
          </cell>
          <cell r="D7332" t="str">
            <v/>
          </cell>
        </row>
        <row r="7333">
          <cell r="B7333" t="str">
            <v/>
          </cell>
          <cell r="C7333" t="str">
            <v/>
          </cell>
          <cell r="D7333" t="str">
            <v/>
          </cell>
        </row>
        <row r="7334">
          <cell r="B7334" t="str">
            <v>INF917K01QA1</v>
          </cell>
          <cell r="C7334" t="str">
            <v>-</v>
          </cell>
          <cell r="D7334" t="str">
            <v>HSBC Small Cap Fund - Direct Growth</v>
          </cell>
          <cell r="E7334">
            <v>96.668199999999999</v>
          </cell>
        </row>
        <row r="7335">
          <cell r="B7335" t="str">
            <v>INF917K01PZ0</v>
          </cell>
          <cell r="C7335" t="str">
            <v>INF917K01XP5</v>
          </cell>
          <cell r="D7335" t="str">
            <v>HSBC Small Cap Fund - Direct IDCW</v>
          </cell>
          <cell r="E7335">
            <v>45.903500000000001</v>
          </cell>
        </row>
        <row r="7336">
          <cell r="B7336" t="str">
            <v>INF917K01QC7</v>
          </cell>
          <cell r="C7336" t="str">
            <v>-</v>
          </cell>
          <cell r="D7336" t="str">
            <v>HSBC Small Cap Fund - Regular Growth</v>
          </cell>
          <cell r="E7336">
            <v>86.110900000000001</v>
          </cell>
        </row>
        <row r="7337">
          <cell r="B7337" t="str">
            <v>INF917K01QB9</v>
          </cell>
          <cell r="C7337" t="str">
            <v>INF917K01XQ3</v>
          </cell>
          <cell r="D7337" t="str">
            <v>HSBC Small Cap Fund - Regular IDCW</v>
          </cell>
          <cell r="E7337">
            <v>38.967300000000002</v>
          </cell>
        </row>
        <row r="7338">
          <cell r="B7338" t="str">
            <v/>
          </cell>
          <cell r="C7338" t="str">
            <v/>
          </cell>
          <cell r="D7338" t="str">
            <v/>
          </cell>
        </row>
        <row r="7339">
          <cell r="B7339" t="str">
            <v/>
          </cell>
          <cell r="C7339" t="str">
            <v/>
          </cell>
          <cell r="D7339" t="str">
            <v/>
          </cell>
        </row>
        <row r="7340">
          <cell r="B7340" t="str">
            <v/>
          </cell>
          <cell r="C7340" t="str">
            <v/>
          </cell>
          <cell r="D7340" t="str">
            <v/>
          </cell>
        </row>
        <row r="7341">
          <cell r="B7341" t="str">
            <v>INF109K015M0</v>
          </cell>
          <cell r="C7341" t="str">
            <v>-</v>
          </cell>
          <cell r="D7341" t="str">
            <v>ICICI Prudential Smallcap Fund - Direct Plan - Growth</v>
          </cell>
          <cell r="E7341">
            <v>100.04</v>
          </cell>
        </row>
        <row r="7342">
          <cell r="B7342" t="str">
            <v>INF109K013M5</v>
          </cell>
          <cell r="C7342" t="str">
            <v>INF109K014M3</v>
          </cell>
          <cell r="D7342" t="str">
            <v>ICICI Prudential Smallcap Fund - Direct Plan - IDCW</v>
          </cell>
          <cell r="E7342">
            <v>69.22</v>
          </cell>
        </row>
        <row r="7343">
          <cell r="B7343" t="str">
            <v>INF109K01BI0</v>
          </cell>
          <cell r="C7343" t="str">
            <v>-</v>
          </cell>
          <cell r="D7343" t="str">
            <v>ICICI Prudential Smallcap Fund - Growth</v>
          </cell>
          <cell r="E7343">
            <v>88.2</v>
          </cell>
        </row>
        <row r="7344">
          <cell r="B7344" t="str">
            <v>INF109K01FA8</v>
          </cell>
          <cell r="C7344" t="str">
            <v>INF109K01BJ8</v>
          </cell>
          <cell r="D7344" t="str">
            <v>ICICI Prudential Smallcap Fund - IDCW</v>
          </cell>
          <cell r="E7344">
            <v>32.75</v>
          </cell>
        </row>
        <row r="7345">
          <cell r="B7345" t="str">
            <v>INF109K01BK6</v>
          </cell>
          <cell r="C7345" t="str">
            <v>-</v>
          </cell>
          <cell r="D7345" t="str">
            <v>ICICI Prudential Smallcap Fund - Institutional Growth</v>
          </cell>
          <cell r="E7345">
            <v>18.649999999999999</v>
          </cell>
        </row>
        <row r="7346">
          <cell r="B7346" t="str">
            <v/>
          </cell>
          <cell r="C7346" t="str">
            <v/>
          </cell>
          <cell r="D7346" t="str">
            <v/>
          </cell>
        </row>
        <row r="7347">
          <cell r="B7347" t="str">
            <v/>
          </cell>
          <cell r="C7347" t="str">
            <v/>
          </cell>
          <cell r="D7347" t="str">
            <v/>
          </cell>
        </row>
        <row r="7348">
          <cell r="B7348" t="str">
            <v/>
          </cell>
          <cell r="C7348" t="str">
            <v/>
          </cell>
          <cell r="D7348" t="str">
            <v/>
          </cell>
        </row>
        <row r="7349">
          <cell r="B7349" t="str">
            <v>INF205K013T3</v>
          </cell>
          <cell r="C7349" t="str">
            <v>-</v>
          </cell>
          <cell r="D7349" t="str">
            <v>Invesco India Smallcap Fund - Direct Plan - Growth</v>
          </cell>
          <cell r="E7349">
            <v>52.22</v>
          </cell>
        </row>
        <row r="7350">
          <cell r="B7350" t="str">
            <v>INF205K012T5</v>
          </cell>
          <cell r="C7350" t="str">
            <v>INF205K015T8</v>
          </cell>
          <cell r="D7350" t="str">
            <v>Invesco India Smallcap Fund - Direct Plan - IDCW (Payout / Reinvestment)</v>
          </cell>
          <cell r="E7350">
            <v>38.79</v>
          </cell>
        </row>
        <row r="7351">
          <cell r="B7351" t="str">
            <v>INF205K011T7</v>
          </cell>
          <cell r="C7351" t="str">
            <v>-</v>
          </cell>
          <cell r="D7351" t="str">
            <v>Invesco India Smallcap Fund - Regular Plan - Growth</v>
          </cell>
          <cell r="E7351">
            <v>46.52</v>
          </cell>
        </row>
        <row r="7352">
          <cell r="B7352" t="str">
            <v>INF205K010T9</v>
          </cell>
          <cell r="C7352" t="str">
            <v>INF205K014T1</v>
          </cell>
          <cell r="D7352" t="str">
            <v>Invesco India Smallcap Fund - Regular Plan - IDCW (Payout / Reinvestment)</v>
          </cell>
          <cell r="E7352">
            <v>33.270000000000003</v>
          </cell>
        </row>
        <row r="7353">
          <cell r="B7353" t="str">
            <v/>
          </cell>
          <cell r="C7353" t="str">
            <v/>
          </cell>
          <cell r="D7353" t="str">
            <v/>
          </cell>
        </row>
        <row r="7354">
          <cell r="B7354" t="str">
            <v/>
          </cell>
          <cell r="C7354" t="str">
            <v/>
          </cell>
          <cell r="D7354" t="str">
            <v/>
          </cell>
        </row>
        <row r="7355">
          <cell r="B7355" t="str">
            <v/>
          </cell>
          <cell r="C7355" t="str">
            <v/>
          </cell>
          <cell r="D7355" t="str">
            <v/>
          </cell>
        </row>
        <row r="7356">
          <cell r="B7356" t="str">
            <v>INF00XX01747</v>
          </cell>
          <cell r="C7356" t="str">
            <v>-</v>
          </cell>
          <cell r="D7356" t="str">
            <v>ITI Small Cap Fund - Direct Plan - Growth Option</v>
          </cell>
          <cell r="E7356">
            <v>36.708599999999997</v>
          </cell>
        </row>
        <row r="7357">
          <cell r="B7357" t="str">
            <v>INF00XX01754</v>
          </cell>
          <cell r="C7357" t="str">
            <v>INF00XX01762</v>
          </cell>
          <cell r="D7357" t="str">
            <v>ITI Small Cap Fund - Direct Plan - IDCW Option</v>
          </cell>
          <cell r="E7357">
            <v>34.799199999999999</v>
          </cell>
        </row>
        <row r="7358">
          <cell r="B7358" t="str">
            <v>INF00XX01713</v>
          </cell>
          <cell r="C7358" t="str">
            <v>-</v>
          </cell>
          <cell r="D7358" t="str">
            <v>ITI Small Cap Fund - Regular Plan - Growth Option</v>
          </cell>
          <cell r="E7358">
            <v>32.580500000000001</v>
          </cell>
        </row>
        <row r="7359">
          <cell r="B7359" t="str">
            <v>INF00XX01721</v>
          </cell>
          <cell r="C7359" t="str">
            <v>INF00XX01739</v>
          </cell>
          <cell r="D7359" t="str">
            <v>ITI Small Cap Fund - Regular Plan - IDCW Option</v>
          </cell>
          <cell r="E7359">
            <v>30.7178</v>
          </cell>
        </row>
        <row r="7360">
          <cell r="B7360" t="str">
            <v/>
          </cell>
          <cell r="C7360" t="str">
            <v/>
          </cell>
          <cell r="D7360" t="str">
            <v/>
          </cell>
        </row>
        <row r="7361">
          <cell r="B7361" t="str">
            <v/>
          </cell>
          <cell r="C7361" t="str">
            <v/>
          </cell>
          <cell r="D7361" t="str">
            <v/>
          </cell>
        </row>
        <row r="7362">
          <cell r="B7362" t="str">
            <v/>
          </cell>
          <cell r="C7362" t="str">
            <v/>
          </cell>
          <cell r="D7362" t="str">
            <v/>
          </cell>
        </row>
        <row r="7363">
          <cell r="B7363" t="str">
            <v>INF192K01NH3</v>
          </cell>
          <cell r="C7363" t="str">
            <v>-</v>
          </cell>
          <cell r="D7363" t="str">
            <v>JM Small Cap Fund (Direct) - Growth Option</v>
          </cell>
          <cell r="E7363">
            <v>11.6831</v>
          </cell>
        </row>
        <row r="7364">
          <cell r="B7364" t="str">
            <v>INF192K01NI1</v>
          </cell>
          <cell r="C7364" t="str">
            <v>INF192K01NJ9</v>
          </cell>
          <cell r="D7364" t="str">
            <v>JM Small Cap Fund (Direct) - IDCW Option</v>
          </cell>
          <cell r="E7364">
            <v>11.683299999999999</v>
          </cell>
        </row>
        <row r="7365">
          <cell r="B7365" t="str">
            <v>INF192K01NE0</v>
          </cell>
          <cell r="C7365" t="str">
            <v>-</v>
          </cell>
          <cell r="D7365" t="str">
            <v>JM Small Cap Fund (Regular) - Growth Option</v>
          </cell>
          <cell r="E7365">
            <v>11.2822</v>
          </cell>
        </row>
        <row r="7366">
          <cell r="B7366" t="str">
            <v>INF192K01NF7</v>
          </cell>
          <cell r="C7366" t="str">
            <v>INF192K01NG5</v>
          </cell>
          <cell r="D7366" t="str">
            <v>JM Small Cap Fund (Regular) - IDCW Option</v>
          </cell>
          <cell r="E7366">
            <v>11.2822</v>
          </cell>
        </row>
        <row r="7367">
          <cell r="B7367" t="str">
            <v/>
          </cell>
          <cell r="C7367" t="str">
            <v/>
          </cell>
          <cell r="D7367" t="str">
            <v/>
          </cell>
        </row>
        <row r="7368">
          <cell r="B7368" t="str">
            <v/>
          </cell>
          <cell r="C7368" t="str">
            <v/>
          </cell>
          <cell r="D7368" t="str">
            <v/>
          </cell>
        </row>
        <row r="7369">
          <cell r="B7369" t="str">
            <v/>
          </cell>
          <cell r="C7369" t="str">
            <v/>
          </cell>
          <cell r="D7369" t="str">
            <v/>
          </cell>
        </row>
        <row r="7370">
          <cell r="B7370" t="str">
            <v>INF174K01211</v>
          </cell>
          <cell r="C7370" t="str">
            <v>-</v>
          </cell>
          <cell r="D7370" t="str">
            <v>Kotak-Small Cap Fund - Growth</v>
          </cell>
          <cell r="E7370">
            <v>265.84500000000003</v>
          </cell>
        </row>
        <row r="7371">
          <cell r="B7371" t="str">
            <v>INF174K01KT2</v>
          </cell>
          <cell r="C7371" t="str">
            <v>-</v>
          </cell>
          <cell r="D7371" t="str">
            <v>Kotak-Small Cap Fund - Growth - Direct</v>
          </cell>
          <cell r="E7371">
            <v>315.44600000000003</v>
          </cell>
        </row>
        <row r="7372">
          <cell r="B7372" t="str">
            <v>INF174K01237</v>
          </cell>
          <cell r="C7372" t="str">
            <v>INF174K01229</v>
          </cell>
          <cell r="D7372" t="str">
            <v>Kotak-Small Cap Fund - Payout of Income Distribution cum capital withdrawal option</v>
          </cell>
          <cell r="E7372">
            <v>115.979</v>
          </cell>
        </row>
        <row r="7373">
          <cell r="B7373" t="str">
            <v>INF174K01KU0</v>
          </cell>
          <cell r="C7373" t="str">
            <v>INF174K01KV8</v>
          </cell>
          <cell r="D7373" t="str">
            <v>Kotak-Small Cap Fund - Payout of Income Distribution cum capital withdrawal option - Direct</v>
          </cell>
          <cell r="E7373">
            <v>138.554</v>
          </cell>
        </row>
        <row r="7374">
          <cell r="B7374" t="str">
            <v/>
          </cell>
          <cell r="C7374" t="str">
            <v/>
          </cell>
          <cell r="D7374" t="str">
            <v/>
          </cell>
        </row>
        <row r="7375">
          <cell r="B7375" t="str">
            <v/>
          </cell>
          <cell r="C7375" t="str">
            <v/>
          </cell>
          <cell r="D7375" t="str">
            <v/>
          </cell>
        </row>
        <row r="7376">
          <cell r="B7376" t="str">
            <v/>
          </cell>
          <cell r="C7376" t="str">
            <v/>
          </cell>
          <cell r="D7376" t="str">
            <v/>
          </cell>
        </row>
        <row r="7377">
          <cell r="B7377" t="str">
            <v>INF397L01JS1</v>
          </cell>
          <cell r="C7377" t="str">
            <v>-</v>
          </cell>
          <cell r="D7377" t="str">
            <v>LIC MF Small Cap Fund-Direct Plan-Growth</v>
          </cell>
          <cell r="E7377">
            <v>37.292400000000001</v>
          </cell>
        </row>
        <row r="7378">
          <cell r="B7378" t="str">
            <v>INF397L01JP7</v>
          </cell>
          <cell r="C7378" t="str">
            <v>INF397L01JQ5</v>
          </cell>
          <cell r="D7378" t="str">
            <v>LIC MF Small Cap Fund-Direct Plan-IDCW</v>
          </cell>
          <cell r="E7378">
            <v>37.284100000000002</v>
          </cell>
        </row>
        <row r="7379">
          <cell r="B7379" t="str">
            <v>INF397L01JW3</v>
          </cell>
          <cell r="C7379" t="str">
            <v>-</v>
          </cell>
          <cell r="D7379" t="str">
            <v>LIC MF Small Cap Fund-Regular Plan-Growth</v>
          </cell>
          <cell r="E7379">
            <v>32.863599999999998</v>
          </cell>
        </row>
        <row r="7380">
          <cell r="B7380" t="str">
            <v>INF397L01JT9</v>
          </cell>
          <cell r="C7380" t="str">
            <v>INF397L01JU7</v>
          </cell>
          <cell r="D7380" t="str">
            <v>LIC MF Small Cap Fund-Regular Plan-IDCW</v>
          </cell>
          <cell r="E7380">
            <v>32.863199999999999</v>
          </cell>
        </row>
        <row r="7381">
          <cell r="B7381" t="str">
            <v/>
          </cell>
          <cell r="C7381" t="str">
            <v/>
          </cell>
          <cell r="D7381" t="str">
            <v/>
          </cell>
        </row>
        <row r="7382">
          <cell r="B7382" t="str">
            <v/>
          </cell>
          <cell r="C7382" t="str">
            <v/>
          </cell>
          <cell r="D7382" t="str">
            <v/>
          </cell>
        </row>
        <row r="7383">
          <cell r="B7383" t="str">
            <v/>
          </cell>
          <cell r="C7383" t="str">
            <v/>
          </cell>
          <cell r="D7383" t="str">
            <v/>
          </cell>
        </row>
        <row r="7384">
          <cell r="B7384" t="str">
            <v>INF174V01BK7</v>
          </cell>
          <cell r="C7384" t="str">
            <v>-</v>
          </cell>
          <cell r="D7384" t="str">
            <v>Mahindra Manulife Small Cap Fund - Direct Plan - Growth</v>
          </cell>
          <cell r="E7384">
            <v>22.618200000000002</v>
          </cell>
        </row>
        <row r="7385">
          <cell r="B7385" t="str">
            <v>INF174V01BL5</v>
          </cell>
          <cell r="C7385" t="str">
            <v>INF174V01BM3</v>
          </cell>
          <cell r="D7385" t="str">
            <v>Mahindra Manulife Small Cap Fund - Direct Plan - IDCW</v>
          </cell>
          <cell r="E7385">
            <v>21.7272</v>
          </cell>
        </row>
        <row r="7386">
          <cell r="B7386" t="str">
            <v>INF174V01BH3</v>
          </cell>
          <cell r="C7386" t="str">
            <v>-</v>
          </cell>
          <cell r="D7386" t="str">
            <v>Mahindra Manulife Small Cap Fund - Regular Plan - Growth</v>
          </cell>
          <cell r="E7386">
            <v>21.377600000000001</v>
          </cell>
        </row>
        <row r="7387">
          <cell r="B7387" t="str">
            <v>INF174V01BI1</v>
          </cell>
          <cell r="C7387" t="str">
            <v>INF174V01BJ9</v>
          </cell>
          <cell r="D7387" t="str">
            <v>Mahindra Manulife Small Cap Fund - Regular Plan - IDCW</v>
          </cell>
          <cell r="E7387">
            <v>20.4909</v>
          </cell>
        </row>
        <row r="7388">
          <cell r="B7388" t="str">
            <v/>
          </cell>
          <cell r="C7388" t="str">
            <v/>
          </cell>
          <cell r="D7388" t="str">
            <v/>
          </cell>
        </row>
        <row r="7389">
          <cell r="B7389" t="str">
            <v/>
          </cell>
          <cell r="C7389" t="str">
            <v/>
          </cell>
          <cell r="D7389" t="str">
            <v/>
          </cell>
        </row>
        <row r="7390">
          <cell r="B7390" t="str">
            <v/>
          </cell>
          <cell r="C7390" t="str">
            <v/>
          </cell>
          <cell r="D7390" t="str">
            <v/>
          </cell>
        </row>
        <row r="7391">
          <cell r="B7391" t="str">
            <v>INF769K01NJ4</v>
          </cell>
          <cell r="C7391" t="str">
            <v>-</v>
          </cell>
          <cell r="D7391" t="str">
            <v>Mirae Asset Small Cap Fund - Direct Plan - Growth</v>
          </cell>
          <cell r="E7391">
            <v>12.4</v>
          </cell>
        </row>
        <row r="7392">
          <cell r="B7392" t="str">
            <v>INF769K01NL0</v>
          </cell>
          <cell r="C7392" t="str">
            <v>INF769K01NK2</v>
          </cell>
          <cell r="D7392" t="str">
            <v>Mirae Asset Small Cap Fund - Direct Plan - IDCW</v>
          </cell>
          <cell r="E7392">
            <v>12.398999999999999</v>
          </cell>
        </row>
        <row r="7393">
          <cell r="B7393" t="str">
            <v>INF769K01NG0</v>
          </cell>
          <cell r="C7393" t="str">
            <v>-</v>
          </cell>
          <cell r="D7393" t="str">
            <v>Mirae Asset Small Cap Fund - Regular Plan - Growth</v>
          </cell>
          <cell r="E7393">
            <v>12.114000000000001</v>
          </cell>
        </row>
        <row r="7394">
          <cell r="B7394" t="str">
            <v>INF769K01NI6</v>
          </cell>
          <cell r="C7394" t="str">
            <v>INF769K01NH8</v>
          </cell>
          <cell r="D7394" t="str">
            <v>Mirae Asset Small Cap Fund - Regular Plan - IDCW</v>
          </cell>
          <cell r="E7394">
            <v>12.117000000000001</v>
          </cell>
        </row>
        <row r="7395">
          <cell r="B7395" t="str">
            <v/>
          </cell>
          <cell r="C7395" t="str">
            <v/>
          </cell>
          <cell r="D7395" t="str">
            <v/>
          </cell>
        </row>
        <row r="7396">
          <cell r="B7396" t="str">
            <v/>
          </cell>
          <cell r="C7396" t="str">
            <v/>
          </cell>
          <cell r="D7396" t="str">
            <v/>
          </cell>
        </row>
        <row r="7397">
          <cell r="B7397" t="str">
            <v/>
          </cell>
          <cell r="C7397" t="str">
            <v/>
          </cell>
          <cell r="D7397" t="str">
            <v/>
          </cell>
        </row>
        <row r="7398">
          <cell r="B7398" t="str">
            <v>INF247L01BY3</v>
          </cell>
          <cell r="C7398" t="str">
            <v>-</v>
          </cell>
          <cell r="D7398" t="str">
            <v>Motilal Oswal Small Cap Fund - Direct - Growth</v>
          </cell>
          <cell r="E7398">
            <v>16.8811</v>
          </cell>
        </row>
        <row r="7399">
          <cell r="B7399" t="str">
            <v>INF247L01BZ0</v>
          </cell>
          <cell r="C7399" t="str">
            <v>INF247L01CA1</v>
          </cell>
          <cell r="D7399" t="str">
            <v>Motilal Oswal Small Cap Fund - Direct IDCW</v>
          </cell>
          <cell r="E7399">
            <v>16.8811</v>
          </cell>
        </row>
        <row r="7400">
          <cell r="B7400" t="str">
            <v>INF247L01BV9</v>
          </cell>
          <cell r="C7400" t="str">
            <v>-</v>
          </cell>
          <cell r="D7400" t="str">
            <v>Motilal Oswal Small Cap Fund - Regular - Growth</v>
          </cell>
          <cell r="E7400">
            <v>16.314599999999999</v>
          </cell>
        </row>
        <row r="7401">
          <cell r="B7401" t="str">
            <v>INF247L01BW7</v>
          </cell>
          <cell r="C7401" t="str">
            <v>INF247L01BX5</v>
          </cell>
          <cell r="D7401" t="str">
            <v>Motilal Oswal Small Cap Fund - Regular - IDCW</v>
          </cell>
          <cell r="E7401">
            <v>16.315000000000001</v>
          </cell>
        </row>
        <row r="7402">
          <cell r="B7402" t="str">
            <v/>
          </cell>
          <cell r="C7402" t="str">
            <v/>
          </cell>
          <cell r="D7402" t="str">
            <v/>
          </cell>
        </row>
        <row r="7403">
          <cell r="B7403" t="str">
            <v/>
          </cell>
          <cell r="C7403" t="str">
            <v/>
          </cell>
          <cell r="D7403" t="str">
            <v/>
          </cell>
        </row>
        <row r="7404">
          <cell r="B7404" t="str">
            <v/>
          </cell>
          <cell r="C7404" t="str">
            <v/>
          </cell>
          <cell r="D7404" t="str">
            <v/>
          </cell>
        </row>
        <row r="7405">
          <cell r="B7405" t="str">
            <v>INF204K01J91</v>
          </cell>
          <cell r="C7405" t="str">
            <v>INF204K01K07</v>
          </cell>
          <cell r="D7405" t="str">
            <v>NIPPON INDIA SMALL CAP FUND - Direct Plan - IDCW Option</v>
          </cell>
          <cell r="E7405">
            <v>107.51600000000001</v>
          </cell>
        </row>
        <row r="7406">
          <cell r="B7406" t="str">
            <v>INF204K01J83</v>
          </cell>
          <cell r="C7406" t="str">
            <v>-</v>
          </cell>
          <cell r="D7406" t="str">
            <v>Nippon India Small Cap Fund - Direct Plan Growth Plan - Bonus Option</v>
          </cell>
          <cell r="E7406">
            <v>202.1644</v>
          </cell>
        </row>
        <row r="7407">
          <cell r="B7407" t="str">
            <v>INF204K01K15</v>
          </cell>
          <cell r="C7407" t="str">
            <v>-</v>
          </cell>
          <cell r="D7407" t="str">
            <v>Nippon India Small Cap Fund - Direct Plan Growth Plan - Growth Option</v>
          </cell>
          <cell r="E7407">
            <v>202.1644</v>
          </cell>
        </row>
        <row r="7408">
          <cell r="B7408" t="str">
            <v>INF204K01HZ0</v>
          </cell>
          <cell r="C7408" t="str">
            <v>-</v>
          </cell>
          <cell r="D7408" t="str">
            <v>Nippon India Small Cap Fund - Growth Plan - Bonus Option</v>
          </cell>
          <cell r="E7408">
            <v>179.0745</v>
          </cell>
        </row>
        <row r="7409">
          <cell r="B7409" t="str">
            <v>INF204K01HY3</v>
          </cell>
          <cell r="C7409" t="str">
            <v>-</v>
          </cell>
          <cell r="D7409" t="str">
            <v>Nippon India Small Cap Fund - Growth Plan - Growth Option</v>
          </cell>
          <cell r="E7409">
            <v>179.0745</v>
          </cell>
        </row>
        <row r="7410">
          <cell r="B7410" t="str">
            <v>INF204K01IA1</v>
          </cell>
          <cell r="C7410" t="str">
            <v>INF204K01IB9</v>
          </cell>
          <cell r="D7410" t="str">
            <v>NIPPON INDIA SMALL CAP FUND - IDCW Option</v>
          </cell>
          <cell r="E7410">
            <v>92.049700000000001</v>
          </cell>
        </row>
        <row r="7411">
          <cell r="B7411" t="str">
            <v/>
          </cell>
          <cell r="C7411" t="str">
            <v/>
          </cell>
          <cell r="D7411" t="str">
            <v/>
          </cell>
        </row>
        <row r="7412">
          <cell r="B7412" t="str">
            <v/>
          </cell>
          <cell r="C7412" t="str">
            <v/>
          </cell>
          <cell r="D7412" t="str">
            <v/>
          </cell>
        </row>
        <row r="7413">
          <cell r="B7413" t="str">
            <v/>
          </cell>
          <cell r="C7413" t="str">
            <v/>
          </cell>
          <cell r="D7413" t="str">
            <v/>
          </cell>
        </row>
        <row r="7414">
          <cell r="B7414" t="str">
            <v>INF663L01W14</v>
          </cell>
          <cell r="C7414" t="str">
            <v>INF663L01W22</v>
          </cell>
          <cell r="D7414" t="str">
            <v>PGIM India Small Cap Fund - Direct Plan - IDCW Option</v>
          </cell>
          <cell r="E7414">
            <v>15</v>
          </cell>
        </row>
        <row r="7415">
          <cell r="B7415" t="str">
            <v>INF663L01W06</v>
          </cell>
          <cell r="C7415" t="str">
            <v>-</v>
          </cell>
          <cell r="D7415" t="str">
            <v>PGIM India Small Cap Fund - Direct Plan- Growth Option</v>
          </cell>
          <cell r="E7415">
            <v>19.059999999999999</v>
          </cell>
        </row>
        <row r="7416">
          <cell r="B7416" t="str">
            <v>INF663L01W30</v>
          </cell>
          <cell r="C7416" t="str">
            <v>-</v>
          </cell>
          <cell r="D7416" t="str">
            <v>PGIM India Small Cap Fund - Regular Plan - Growth Option</v>
          </cell>
          <cell r="E7416">
            <v>17.55</v>
          </cell>
        </row>
        <row r="7417">
          <cell r="B7417" t="str">
            <v>INF663L01W48</v>
          </cell>
          <cell r="C7417" t="str">
            <v>INF663L01W55</v>
          </cell>
          <cell r="D7417" t="str">
            <v>PGIM India Small Cap Fund - Regular Plan - IDCW Option</v>
          </cell>
          <cell r="E7417">
            <v>14.28</v>
          </cell>
        </row>
        <row r="7418">
          <cell r="B7418" t="str">
            <v/>
          </cell>
          <cell r="C7418" t="str">
            <v/>
          </cell>
          <cell r="D7418" t="str">
            <v/>
          </cell>
        </row>
        <row r="7419">
          <cell r="B7419" t="str">
            <v/>
          </cell>
          <cell r="C7419" t="str">
            <v/>
          </cell>
          <cell r="D7419" t="str">
            <v/>
          </cell>
        </row>
        <row r="7420">
          <cell r="B7420" t="str">
            <v/>
          </cell>
          <cell r="C7420" t="str">
            <v/>
          </cell>
          <cell r="D7420" t="str">
            <v/>
          </cell>
        </row>
        <row r="7421">
          <cell r="B7421" t="str">
            <v>INF966L01AA0</v>
          </cell>
          <cell r="C7421" t="str">
            <v>-</v>
          </cell>
          <cell r="D7421" t="str">
            <v>quant Small Cap Fund - Growth - Regular Plan</v>
          </cell>
          <cell r="E7421">
            <v>284.00619999999998</v>
          </cell>
        </row>
        <row r="7422">
          <cell r="B7422" t="str">
            <v>INF966L01689</v>
          </cell>
          <cell r="C7422" t="str">
            <v>-</v>
          </cell>
          <cell r="D7422" t="str">
            <v>quant Small Cap Fund - Growth Option - Direct Plan</v>
          </cell>
          <cell r="E7422">
            <v>311.25</v>
          </cell>
        </row>
        <row r="7423">
          <cell r="B7423" t="str">
            <v>INF966L01663</v>
          </cell>
          <cell r="C7423" t="str">
            <v>INF966L01671</v>
          </cell>
          <cell r="D7423" t="str">
            <v>quant Small Cap Fund - IDCW Option - Direct Plan</v>
          </cell>
          <cell r="E7423">
            <v>243.30119999999999</v>
          </cell>
        </row>
        <row r="7424">
          <cell r="B7424" t="str">
            <v>INF206A01022</v>
          </cell>
          <cell r="C7424" t="str">
            <v>INF966L01044</v>
          </cell>
          <cell r="D7424" t="str">
            <v>quant Small Cap Fund - IDCW Option - Regular Plan</v>
          </cell>
          <cell r="E7424">
            <v>225.85679999999999</v>
          </cell>
        </row>
        <row r="7425">
          <cell r="B7425" t="str">
            <v/>
          </cell>
          <cell r="C7425" t="str">
            <v/>
          </cell>
          <cell r="D7425" t="str">
            <v/>
          </cell>
        </row>
        <row r="7426">
          <cell r="B7426" t="str">
            <v/>
          </cell>
          <cell r="C7426" t="str">
            <v/>
          </cell>
          <cell r="D7426" t="str">
            <v/>
          </cell>
        </row>
        <row r="7427">
          <cell r="B7427" t="str">
            <v/>
          </cell>
          <cell r="C7427" t="str">
            <v/>
          </cell>
          <cell r="D7427" t="str">
            <v/>
          </cell>
        </row>
        <row r="7428">
          <cell r="B7428" t="str">
            <v>INF082J01432</v>
          </cell>
          <cell r="C7428" t="str">
            <v>-</v>
          </cell>
          <cell r="D7428" t="str">
            <v>QUANTUM SMALL CAP FUND - DIRECT PLAN GROWTH OPTION</v>
          </cell>
          <cell r="E7428">
            <v>13.84</v>
          </cell>
        </row>
        <row r="7429">
          <cell r="B7429" t="str">
            <v>INF082J01440</v>
          </cell>
          <cell r="C7429" t="str">
            <v>-</v>
          </cell>
          <cell r="D7429" t="str">
            <v>QUANTUM SMALL CAP FUND - REGULAR PLAN GROWTH OPTION</v>
          </cell>
          <cell r="E7429">
            <v>13.29</v>
          </cell>
        </row>
        <row r="7430">
          <cell r="B7430" t="str">
            <v/>
          </cell>
          <cell r="C7430" t="str">
            <v/>
          </cell>
          <cell r="D7430" t="str">
            <v/>
          </cell>
        </row>
        <row r="7431">
          <cell r="B7431" t="str">
            <v/>
          </cell>
          <cell r="C7431" t="str">
            <v/>
          </cell>
          <cell r="D7431" t="str">
            <v/>
          </cell>
        </row>
        <row r="7432">
          <cell r="B7432" t="str">
            <v/>
          </cell>
          <cell r="C7432" t="str">
            <v/>
          </cell>
          <cell r="D7432" t="str">
            <v/>
          </cell>
        </row>
        <row r="7433">
          <cell r="B7433" t="str">
            <v>INF0K1H01297</v>
          </cell>
          <cell r="C7433" t="str">
            <v>-</v>
          </cell>
          <cell r="D7433" t="str">
            <v>Samco Small Cap Fund - Direct Plan</v>
          </cell>
          <cell r="E7433">
            <v>10.76</v>
          </cell>
        </row>
        <row r="7434">
          <cell r="B7434" t="str">
            <v>INF0K1H01305</v>
          </cell>
          <cell r="C7434" t="str">
            <v>-</v>
          </cell>
          <cell r="D7434" t="str">
            <v>Samco Small Cap Fund - Regular Plan</v>
          </cell>
          <cell r="E7434">
            <v>10.66</v>
          </cell>
        </row>
        <row r="7435">
          <cell r="B7435" t="str">
            <v/>
          </cell>
          <cell r="C7435" t="str">
            <v/>
          </cell>
          <cell r="D7435" t="str">
            <v/>
          </cell>
        </row>
        <row r="7436">
          <cell r="B7436" t="str">
            <v/>
          </cell>
          <cell r="C7436" t="str">
            <v/>
          </cell>
          <cell r="D7436" t="str">
            <v/>
          </cell>
        </row>
        <row r="7437">
          <cell r="B7437" t="str">
            <v/>
          </cell>
          <cell r="C7437" t="str">
            <v/>
          </cell>
          <cell r="D7437" t="str">
            <v/>
          </cell>
        </row>
        <row r="7438">
          <cell r="B7438" t="str">
            <v>INF200K01T51</v>
          </cell>
          <cell r="C7438" t="str">
            <v>-</v>
          </cell>
          <cell r="D7438" t="str">
            <v>SBI Small Cap Fund - Direct Plan - Growth</v>
          </cell>
          <cell r="E7438">
            <v>207.6748</v>
          </cell>
        </row>
        <row r="7439">
          <cell r="B7439" t="str">
            <v>INF200K01T69</v>
          </cell>
          <cell r="C7439" t="str">
            <v>INF200K01T77</v>
          </cell>
          <cell r="D7439" t="str">
            <v>SBI Small Cap Fund - Direct Plan - Income Distribution cum Capital Withdrawal Option (IDCW)</v>
          </cell>
          <cell r="E7439">
            <v>141.74680000000001</v>
          </cell>
        </row>
        <row r="7440">
          <cell r="B7440" t="str">
            <v>INF200K01T28</v>
          </cell>
          <cell r="C7440" t="str">
            <v>-</v>
          </cell>
          <cell r="D7440" t="str">
            <v>SBI Small Cap Fund - Regular Plan - Growth</v>
          </cell>
          <cell r="E7440">
            <v>179.99299999999999</v>
          </cell>
        </row>
        <row r="7441">
          <cell r="B7441" t="str">
            <v>INF200K01T36</v>
          </cell>
          <cell r="C7441" t="str">
            <v>INF200K01T44</v>
          </cell>
          <cell r="D7441" t="str">
            <v>SBI Small Cap Fund - Regular Plan - Income Distribution cum Capital Withdrawal Option (IDCW)</v>
          </cell>
          <cell r="E7441">
            <v>106.337</v>
          </cell>
        </row>
        <row r="7442">
          <cell r="B7442" t="str">
            <v/>
          </cell>
          <cell r="C7442" t="str">
            <v/>
          </cell>
          <cell r="D7442" t="str">
            <v/>
          </cell>
        </row>
        <row r="7443">
          <cell r="B7443" t="str">
            <v/>
          </cell>
          <cell r="C7443" t="str">
            <v/>
          </cell>
          <cell r="D7443" t="str">
            <v/>
          </cell>
        </row>
        <row r="7444">
          <cell r="B7444" t="str">
            <v/>
          </cell>
          <cell r="C7444" t="str">
            <v/>
          </cell>
          <cell r="D7444" t="str">
            <v/>
          </cell>
        </row>
        <row r="7445">
          <cell r="B7445" t="str">
            <v>INF903J01NK9</v>
          </cell>
          <cell r="C7445" t="str">
            <v>-</v>
          </cell>
          <cell r="D7445" t="str">
            <v>Sundaram Small Cap Fund Direct Plan - Growth</v>
          </cell>
          <cell r="E7445">
            <v>319.2081</v>
          </cell>
        </row>
        <row r="7446">
          <cell r="B7446" t="str">
            <v>INF903J01NI3</v>
          </cell>
          <cell r="C7446" t="str">
            <v>INF903J01NJ1</v>
          </cell>
          <cell r="D7446" t="str">
            <v>Sundaram Small Cap Fund Direct Plan - Income Distribution cum Capital Withdrawal (IDCW)</v>
          </cell>
          <cell r="E7446">
            <v>41.947699999999998</v>
          </cell>
        </row>
        <row r="7447">
          <cell r="B7447" t="str">
            <v>INF903J01470</v>
          </cell>
          <cell r="C7447" t="str">
            <v>-</v>
          </cell>
          <cell r="D7447" t="str">
            <v>Sundaram Small Cap Fund Regular Plan - Growth</v>
          </cell>
          <cell r="E7447">
            <v>285.20890000000003</v>
          </cell>
        </row>
        <row r="7448">
          <cell r="B7448" t="str">
            <v>INF903J01454</v>
          </cell>
          <cell r="C7448" t="str">
            <v>INF903J01462</v>
          </cell>
          <cell r="D7448" t="str">
            <v>Sundaram Small Cap Fund Regular Plan - Income Distribution cum Capital Withdrawal (IDCW)</v>
          </cell>
          <cell r="E7448">
            <v>36.4617</v>
          </cell>
        </row>
        <row r="7449">
          <cell r="B7449" t="str">
            <v/>
          </cell>
          <cell r="C7449" t="str">
            <v/>
          </cell>
          <cell r="D7449" t="str">
            <v/>
          </cell>
        </row>
        <row r="7450">
          <cell r="B7450" t="str">
            <v/>
          </cell>
          <cell r="C7450" t="str">
            <v/>
          </cell>
          <cell r="D7450" t="str">
            <v/>
          </cell>
        </row>
        <row r="7451">
          <cell r="B7451" t="str">
            <v/>
          </cell>
          <cell r="C7451" t="str">
            <v/>
          </cell>
          <cell r="D7451" t="str">
            <v/>
          </cell>
        </row>
        <row r="7452">
          <cell r="B7452" t="str">
            <v>-</v>
          </cell>
          <cell r="C7452" t="str">
            <v>INF277K012O9</v>
          </cell>
          <cell r="D7452" t="str">
            <v xml:space="preserve">TATA Small Cap Fund Direct Plan - Reinvestment of Income Distribution cum capital withdrawal option </v>
          </cell>
          <cell r="E7452">
            <v>41.9161</v>
          </cell>
        </row>
        <row r="7453">
          <cell r="B7453" t="str">
            <v>-</v>
          </cell>
          <cell r="C7453" t="str">
            <v>INF277K016O0</v>
          </cell>
          <cell r="D7453" t="str">
            <v xml:space="preserve">TATA Small Cap Fund Regular Plan - Reinvestment of Income Distribution cum capital withdrawal option </v>
          </cell>
          <cell r="E7453">
            <v>36.666400000000003</v>
          </cell>
        </row>
        <row r="7454">
          <cell r="B7454" t="str">
            <v>INF277K011O1</v>
          </cell>
          <cell r="C7454" t="str">
            <v>-</v>
          </cell>
          <cell r="D7454" t="str">
            <v>Tata Small Cap Fund-Direct Plan-Growth</v>
          </cell>
          <cell r="E7454">
            <v>43.385599999999997</v>
          </cell>
        </row>
        <row r="7455">
          <cell r="B7455" t="str">
            <v>INF277K015O2</v>
          </cell>
          <cell r="C7455" t="str">
            <v>-</v>
          </cell>
          <cell r="D7455" t="str">
            <v>Tata Small Cap Fund-Regular Plan-Growth</v>
          </cell>
          <cell r="E7455">
            <v>38.132100000000001</v>
          </cell>
        </row>
        <row r="7456">
          <cell r="B7456" t="str">
            <v>INF277K013O7</v>
          </cell>
          <cell r="C7456" t="str">
            <v>-</v>
          </cell>
          <cell r="D7456" t="str">
            <v xml:space="preserve">TATA SmallCap Fund - Direct Plan - Payout of Income Distribution cum capital withdrawal option </v>
          </cell>
          <cell r="E7456">
            <v>41.9161</v>
          </cell>
        </row>
        <row r="7457">
          <cell r="B7457" t="str">
            <v>INF277K017O8</v>
          </cell>
          <cell r="C7457" t="str">
            <v>-</v>
          </cell>
          <cell r="D7457" t="str">
            <v xml:space="preserve">TATA SmallCap Fund Regular Plan - Payout of Income Distribution cum capital withdrawal option </v>
          </cell>
          <cell r="E7457">
            <v>36.666400000000003</v>
          </cell>
        </row>
        <row r="7458">
          <cell r="B7458" t="str">
            <v/>
          </cell>
          <cell r="C7458" t="str">
            <v/>
          </cell>
          <cell r="D7458" t="str">
            <v/>
          </cell>
        </row>
        <row r="7459">
          <cell r="B7459" t="str">
            <v/>
          </cell>
          <cell r="C7459" t="str">
            <v/>
          </cell>
          <cell r="D7459" t="str">
            <v/>
          </cell>
        </row>
        <row r="7460">
          <cell r="B7460" t="str">
            <v/>
          </cell>
          <cell r="C7460" t="str">
            <v/>
          </cell>
          <cell r="D7460" t="str">
            <v/>
          </cell>
        </row>
        <row r="7461">
          <cell r="B7461" t="str">
            <v>INF2F0001537</v>
          </cell>
          <cell r="C7461" t="str">
            <v>-</v>
          </cell>
          <cell r="D7461" t="str">
            <v>The Wealth Company Small Cap Fund- Direct-Growth</v>
          </cell>
          <cell r="E7461">
            <v>11.446400000000001</v>
          </cell>
        </row>
        <row r="7462">
          <cell r="B7462" t="str">
            <v>INF2F0001545</v>
          </cell>
          <cell r="C7462" t="str">
            <v>INF2F0001552</v>
          </cell>
          <cell r="D7462" t="str">
            <v>The Wealth Company Small Cap Fund- Direct-IDCW</v>
          </cell>
          <cell r="E7462">
            <v>11.446</v>
          </cell>
        </row>
        <row r="7463">
          <cell r="B7463" t="str">
            <v>INF2F0001503</v>
          </cell>
          <cell r="C7463" t="str">
            <v>-</v>
          </cell>
          <cell r="D7463" t="str">
            <v>The Wealth Company Small Cap Fund- Regular-Growth</v>
          </cell>
          <cell r="E7463">
            <v>11.3749</v>
          </cell>
        </row>
        <row r="7464">
          <cell r="B7464" t="str">
            <v>INF2F0001511</v>
          </cell>
          <cell r="C7464" t="str">
            <v>INF2F0001529</v>
          </cell>
          <cell r="D7464" t="str">
            <v>The Wealth Company Small Cap Fund- Regular-IDCW</v>
          </cell>
          <cell r="E7464">
            <v>11.3742</v>
          </cell>
        </row>
        <row r="7465">
          <cell r="B7465" t="str">
            <v/>
          </cell>
          <cell r="C7465" t="str">
            <v/>
          </cell>
          <cell r="D7465" t="str">
            <v/>
          </cell>
        </row>
        <row r="7466">
          <cell r="B7466" t="str">
            <v/>
          </cell>
          <cell r="C7466" t="str">
            <v/>
          </cell>
          <cell r="D7466" t="str">
            <v/>
          </cell>
        </row>
        <row r="7467">
          <cell r="B7467" t="str">
            <v/>
          </cell>
          <cell r="C7467" t="str">
            <v/>
          </cell>
          <cell r="D7467" t="str">
            <v/>
          </cell>
        </row>
        <row r="7468">
          <cell r="B7468" t="str">
            <v>INF0GCD01800</v>
          </cell>
          <cell r="C7468" t="str">
            <v>-</v>
          </cell>
          <cell r="D7468" t="str">
            <v>TRUSTMF SMALL CAP FUND -DIRECT PLAN-GROWTH</v>
          </cell>
          <cell r="E7468">
            <v>13.21</v>
          </cell>
        </row>
        <row r="7469">
          <cell r="B7469" t="str">
            <v>INF0GCD01826</v>
          </cell>
          <cell r="C7469" t="str">
            <v>INF0GCD01818</v>
          </cell>
          <cell r="D7469" t="str">
            <v>TRUSTMF SMALL CAP FUND -DIRECT PLAN-IDCW</v>
          </cell>
          <cell r="E7469">
            <v>13.22</v>
          </cell>
        </row>
        <row r="7470">
          <cell r="B7470" t="str">
            <v>INF0GCD01792</v>
          </cell>
          <cell r="C7470" t="str">
            <v>INF0GCD01784</v>
          </cell>
          <cell r="D7470" t="str">
            <v>TRUSTMF SMALL CAP FUND -REGULAR PLAN- IDCW</v>
          </cell>
          <cell r="E7470">
            <v>12.84</v>
          </cell>
        </row>
        <row r="7471">
          <cell r="B7471" t="str">
            <v>INF0GCD01776</v>
          </cell>
          <cell r="C7471" t="str">
            <v>-</v>
          </cell>
          <cell r="D7471" t="str">
            <v>TRUSTMF SMALL CAP FUND -REGULAR PLAN-GROWTH</v>
          </cell>
          <cell r="E7471">
            <v>12.84</v>
          </cell>
        </row>
        <row r="7472">
          <cell r="B7472" t="str">
            <v/>
          </cell>
          <cell r="C7472" t="str">
            <v/>
          </cell>
          <cell r="D7472" t="str">
            <v/>
          </cell>
        </row>
        <row r="7473">
          <cell r="B7473" t="str">
            <v/>
          </cell>
          <cell r="C7473" t="str">
            <v/>
          </cell>
          <cell r="D7473" t="str">
            <v/>
          </cell>
        </row>
        <row r="7474">
          <cell r="B7474" t="str">
            <v/>
          </cell>
          <cell r="C7474" t="str">
            <v/>
          </cell>
          <cell r="D7474" t="str">
            <v/>
          </cell>
        </row>
        <row r="7475">
          <cell r="B7475" t="str">
            <v>INF582M01BU9</v>
          </cell>
          <cell r="C7475" t="str">
            <v>-</v>
          </cell>
          <cell r="D7475" t="str">
            <v>Union Small Cap Fund - Direct Plan - Growth Option</v>
          </cell>
          <cell r="E7475">
            <v>64.17</v>
          </cell>
        </row>
        <row r="7476">
          <cell r="B7476" t="str">
            <v>INF582M01BW5</v>
          </cell>
          <cell r="C7476" t="str">
            <v>INF582M01BV7</v>
          </cell>
          <cell r="D7476" t="str">
            <v>Union Small Cap Fund - Direct Plan - IDCW Option</v>
          </cell>
          <cell r="E7476">
            <v>42.23</v>
          </cell>
        </row>
        <row r="7477">
          <cell r="B7477" t="str">
            <v>INF582M01BY1</v>
          </cell>
          <cell r="C7477" t="str">
            <v>-</v>
          </cell>
          <cell r="D7477" t="str">
            <v>Union Small Cap Fund - Regular Plan - Growth Option</v>
          </cell>
          <cell r="E7477">
            <v>57.47</v>
          </cell>
        </row>
        <row r="7478">
          <cell r="B7478" t="str">
            <v>INF582M01CA9</v>
          </cell>
          <cell r="C7478" t="str">
            <v>INF582M01BZ8</v>
          </cell>
          <cell r="D7478" t="str">
            <v>Union Small Cap Fund - Regular Plan - IDCW Option</v>
          </cell>
          <cell r="E7478">
            <v>44.1</v>
          </cell>
        </row>
        <row r="7479">
          <cell r="B7479" t="str">
            <v/>
          </cell>
          <cell r="C7479" t="str">
            <v/>
          </cell>
          <cell r="D7479" t="str">
            <v/>
          </cell>
        </row>
        <row r="7480">
          <cell r="B7480" t="str">
            <v/>
          </cell>
          <cell r="C7480" t="str">
            <v/>
          </cell>
          <cell r="D7480" t="str">
            <v/>
          </cell>
        </row>
        <row r="7481">
          <cell r="B7481" t="str">
            <v/>
          </cell>
          <cell r="C7481" t="str">
            <v/>
          </cell>
          <cell r="D7481" t="str">
            <v/>
          </cell>
        </row>
        <row r="7482">
          <cell r="B7482" t="str">
            <v>INF789F1AUQ1</v>
          </cell>
          <cell r="C7482" t="str">
            <v>-</v>
          </cell>
          <cell r="D7482" t="str">
            <v>UTI Small Cap Fund - Direct Plan - Growth Option</v>
          </cell>
          <cell r="E7482">
            <v>29.576699999999999</v>
          </cell>
        </row>
        <row r="7483">
          <cell r="B7483" t="str">
            <v>INF789F1AUR9</v>
          </cell>
          <cell r="C7483" t="str">
            <v>-</v>
          </cell>
          <cell r="D7483" t="str">
            <v>UTI Small Cap Fund - Direct Plan - IDCW (Payout)</v>
          </cell>
          <cell r="E7483">
            <v>29.576599999999999</v>
          </cell>
        </row>
        <row r="7484">
          <cell r="B7484" t="str">
            <v>INF789F1AUO6</v>
          </cell>
          <cell r="C7484" t="str">
            <v>-</v>
          </cell>
          <cell r="D7484" t="str">
            <v>UTI Small Cap Fund - Regular Plan - Growth Option</v>
          </cell>
          <cell r="E7484">
            <v>27.177</v>
          </cell>
        </row>
        <row r="7485">
          <cell r="B7485" t="str">
            <v>INF789F1AUP3</v>
          </cell>
          <cell r="C7485" t="str">
            <v>-</v>
          </cell>
          <cell r="D7485" t="str">
            <v>UTI Small Cap Fund - Regular Plan - IDCW (Payout)</v>
          </cell>
          <cell r="E7485">
            <v>27.1768</v>
          </cell>
        </row>
        <row r="7486">
          <cell r="B7486" t="str">
            <v/>
          </cell>
          <cell r="C7486" t="str">
            <v/>
          </cell>
          <cell r="D7486" t="str">
            <v/>
          </cell>
        </row>
        <row r="7487">
          <cell r="B7487" t="str">
            <v/>
          </cell>
          <cell r="C7487" t="str">
            <v/>
          </cell>
          <cell r="D7487" t="str">
            <v/>
          </cell>
        </row>
        <row r="7488">
          <cell r="B7488" t="str">
            <v/>
          </cell>
          <cell r="C7488" t="str">
            <v/>
          </cell>
          <cell r="D7488" t="str">
            <v/>
          </cell>
        </row>
        <row r="7489">
          <cell r="B7489" t="str">
            <v/>
          </cell>
          <cell r="C7489" t="str">
            <v/>
          </cell>
          <cell r="D7489" t="str">
            <v/>
          </cell>
        </row>
        <row r="7490">
          <cell r="B7490" t="str">
            <v/>
          </cell>
          <cell r="C7490" t="str">
            <v/>
          </cell>
          <cell r="D7490" t="str">
            <v/>
          </cell>
        </row>
        <row r="7491">
          <cell r="B7491" t="str">
            <v>INF209K01WP9</v>
          </cell>
          <cell r="C7491" t="str">
            <v>INF209K01WR5</v>
          </cell>
          <cell r="D7491" t="str">
            <v>Aditya Birla Sun Life Value Fund - Direct - IDCW</v>
          </cell>
          <cell r="E7491">
            <v>81.825199999999995</v>
          </cell>
        </row>
        <row r="7492">
          <cell r="B7492" t="str">
            <v>INF209K01WQ7</v>
          </cell>
          <cell r="C7492" t="str">
            <v>-</v>
          </cell>
          <cell r="D7492" t="str">
            <v>Aditya Birla Sun Life Value Fund - Growth - Direct Plan</v>
          </cell>
          <cell r="E7492">
            <v>153.32380000000001</v>
          </cell>
        </row>
        <row r="7493">
          <cell r="B7493" t="str">
            <v>INF209K01LF3</v>
          </cell>
          <cell r="C7493" t="str">
            <v>-</v>
          </cell>
          <cell r="D7493" t="str">
            <v>Aditya Birla Sun Life Value Fund - Growth Option</v>
          </cell>
          <cell r="E7493">
            <v>135.0421</v>
          </cell>
        </row>
        <row r="7494">
          <cell r="B7494" t="str">
            <v>INF209K01LE6</v>
          </cell>
          <cell r="C7494" t="str">
            <v>INF209K01LG1</v>
          </cell>
          <cell r="D7494" t="str">
            <v>Aditya Birla Sun Life Value Fund - Regular - IDCW</v>
          </cell>
          <cell r="E7494">
            <v>44.456699999999998</v>
          </cell>
        </row>
        <row r="7495">
          <cell r="B7495" t="str">
            <v/>
          </cell>
          <cell r="C7495" t="str">
            <v/>
          </cell>
          <cell r="D7495" t="str">
            <v/>
          </cell>
        </row>
        <row r="7496">
          <cell r="B7496" t="str">
            <v/>
          </cell>
          <cell r="C7496" t="str">
            <v/>
          </cell>
          <cell r="D7496" t="str">
            <v/>
          </cell>
        </row>
        <row r="7497">
          <cell r="B7497" t="str">
            <v/>
          </cell>
          <cell r="C7497" t="str">
            <v/>
          </cell>
          <cell r="D7497" t="str">
            <v/>
          </cell>
        </row>
        <row r="7498">
          <cell r="B7498" t="str">
            <v>INF846K010C0</v>
          </cell>
          <cell r="C7498" t="str">
            <v>-</v>
          </cell>
          <cell r="D7498" t="str">
            <v>Axis Value Fund - Direct Plan - Growth</v>
          </cell>
          <cell r="E7498">
            <v>20.88</v>
          </cell>
        </row>
        <row r="7499">
          <cell r="B7499" t="str">
            <v>INF846K011C8</v>
          </cell>
          <cell r="C7499" t="str">
            <v>INF846K012C6</v>
          </cell>
          <cell r="D7499" t="str">
            <v>Axis Value Fund - Direct Plan - IDCW</v>
          </cell>
          <cell r="E7499">
            <v>17.559999999999999</v>
          </cell>
        </row>
        <row r="7500">
          <cell r="B7500" t="str">
            <v>INF846K013C4</v>
          </cell>
          <cell r="C7500" t="str">
            <v>-</v>
          </cell>
          <cell r="D7500" t="str">
            <v>Axis Value Fund - Regular Plan - Growth</v>
          </cell>
          <cell r="E7500">
            <v>19.510000000000002</v>
          </cell>
        </row>
        <row r="7501">
          <cell r="B7501" t="str">
            <v>INF846K014C2</v>
          </cell>
          <cell r="C7501" t="str">
            <v>INF846K015C9</v>
          </cell>
          <cell r="D7501" t="str">
            <v>Axis Value Fund - Regular Plan - IDCW</v>
          </cell>
          <cell r="E7501">
            <v>16.41</v>
          </cell>
        </row>
        <row r="7502">
          <cell r="B7502" t="str">
            <v/>
          </cell>
          <cell r="C7502" t="str">
            <v/>
          </cell>
          <cell r="D7502" t="str">
            <v/>
          </cell>
        </row>
        <row r="7503">
          <cell r="B7503" t="str">
            <v/>
          </cell>
          <cell r="C7503" t="str">
            <v/>
          </cell>
          <cell r="D7503" t="str">
            <v/>
          </cell>
        </row>
        <row r="7504">
          <cell r="B7504" t="str">
            <v/>
          </cell>
          <cell r="C7504" t="str">
            <v/>
          </cell>
          <cell r="D7504" t="str">
            <v/>
          </cell>
        </row>
        <row r="7505">
          <cell r="B7505" t="str">
            <v>INF194K01Z85</v>
          </cell>
          <cell r="C7505" t="str">
            <v>-</v>
          </cell>
          <cell r="D7505" t="str">
            <v>Bandhan Value Fund - Direct Plan - Growth</v>
          </cell>
          <cell r="E7505">
            <v>167.07599999999999</v>
          </cell>
        </row>
        <row r="7506">
          <cell r="B7506" t="str">
            <v>INF194K01Z93</v>
          </cell>
          <cell r="C7506" t="str">
            <v>INF194K010A2</v>
          </cell>
          <cell r="D7506" t="str">
            <v>Bandhan Value Fund - Direct Plan - IDCW</v>
          </cell>
          <cell r="E7506">
            <v>48.255000000000003</v>
          </cell>
        </row>
        <row r="7507">
          <cell r="B7507" t="str">
            <v>INF194K01342</v>
          </cell>
          <cell r="C7507" t="str">
            <v>-</v>
          </cell>
          <cell r="D7507" t="str">
            <v>Bandhan Value Fund - Regular Plan - Growth</v>
          </cell>
          <cell r="E7507">
            <v>145.77799999999999</v>
          </cell>
        </row>
        <row r="7508">
          <cell r="B7508" t="str">
            <v>INF194K01359</v>
          </cell>
          <cell r="C7508" t="str">
            <v>INF194K01367</v>
          </cell>
          <cell r="D7508" t="str">
            <v>Bandhan Value Fund - Regular Plan - IDCW</v>
          </cell>
          <cell r="E7508">
            <v>36.438000000000002</v>
          </cell>
        </row>
        <row r="7509">
          <cell r="B7509" t="str">
            <v/>
          </cell>
          <cell r="C7509" t="str">
            <v/>
          </cell>
          <cell r="D7509" t="str">
            <v/>
          </cell>
        </row>
        <row r="7510">
          <cell r="B7510" t="str">
            <v/>
          </cell>
          <cell r="C7510" t="str">
            <v/>
          </cell>
          <cell r="D7510" t="str">
            <v/>
          </cell>
        </row>
        <row r="7511">
          <cell r="B7511" t="str">
            <v/>
          </cell>
          <cell r="C7511" t="str">
            <v/>
          </cell>
          <cell r="D7511" t="str">
            <v/>
          </cell>
        </row>
        <row r="7512">
          <cell r="B7512" t="str">
            <v>INF251K01SD5</v>
          </cell>
          <cell r="C7512" t="str">
            <v>-</v>
          </cell>
          <cell r="D7512" t="str">
            <v>Baroda BNP Paribas Value Fund - Direct Plan - Growth option</v>
          </cell>
          <cell r="E7512">
            <v>14.185700000000001</v>
          </cell>
        </row>
        <row r="7513">
          <cell r="B7513" t="str">
            <v>INF251K01SE3</v>
          </cell>
          <cell r="C7513" t="str">
            <v>INF251K01SF0</v>
          </cell>
          <cell r="D7513" t="str">
            <v>Baroda BNP Paribas Value Fund - Direct Plan - IDCW option</v>
          </cell>
          <cell r="E7513">
            <v>12.934799999999999</v>
          </cell>
        </row>
        <row r="7514">
          <cell r="B7514" t="str">
            <v>INF251K01SA1</v>
          </cell>
          <cell r="C7514" t="str">
            <v>-</v>
          </cell>
          <cell r="D7514" t="str">
            <v>Baroda BNP Paribas Value Fund - Regular Plan - Growth option</v>
          </cell>
          <cell r="E7514">
            <v>13.6266</v>
          </cell>
        </row>
        <row r="7515">
          <cell r="B7515" t="str">
            <v>INF251K01SB9</v>
          </cell>
          <cell r="C7515" t="str">
            <v>INF251K01SC7</v>
          </cell>
          <cell r="D7515" t="str">
            <v>Baroda BNP Paribas Value Fund - Regular Plan - IDCW option</v>
          </cell>
          <cell r="E7515">
            <v>12.424300000000001</v>
          </cell>
        </row>
        <row r="7516">
          <cell r="B7516" t="str">
            <v/>
          </cell>
          <cell r="C7516" t="str">
            <v/>
          </cell>
          <cell r="D7516" t="str">
            <v/>
          </cell>
        </row>
        <row r="7517">
          <cell r="B7517" t="str">
            <v/>
          </cell>
          <cell r="C7517" t="str">
            <v/>
          </cell>
          <cell r="D7517" t="str">
            <v/>
          </cell>
        </row>
        <row r="7518">
          <cell r="B7518" t="str">
            <v/>
          </cell>
          <cell r="C7518" t="str">
            <v/>
          </cell>
          <cell r="D7518" t="str">
            <v/>
          </cell>
        </row>
        <row r="7519">
          <cell r="B7519" t="str">
            <v>INF760K01JW4</v>
          </cell>
          <cell r="C7519" t="str">
            <v>-</v>
          </cell>
          <cell r="D7519" t="str">
            <v>Canara Robeco Value Fund - Direct Plan - Growth Option</v>
          </cell>
          <cell r="E7519">
            <v>19.2</v>
          </cell>
        </row>
        <row r="7520">
          <cell r="B7520" t="str">
            <v>INF760K01JY0</v>
          </cell>
          <cell r="C7520" t="str">
            <v>INF760K01JX2</v>
          </cell>
          <cell r="D7520" t="str">
            <v>Canara Robeco Value Fund - Direct Plan - IDCW (Payout/Reinvestment)</v>
          </cell>
          <cell r="E7520">
            <v>18.05</v>
          </cell>
        </row>
        <row r="7521">
          <cell r="B7521" t="str">
            <v>INF760K01JZ7</v>
          </cell>
          <cell r="C7521" t="str">
            <v>-</v>
          </cell>
          <cell r="D7521" t="str">
            <v>Canara Robeco Value Fund - Regular Plan - Growth Option</v>
          </cell>
          <cell r="E7521">
            <v>17.79</v>
          </cell>
        </row>
        <row r="7522">
          <cell r="B7522" t="str">
            <v>INF760K01KB6</v>
          </cell>
          <cell r="C7522" t="str">
            <v>INF760K01KA8</v>
          </cell>
          <cell r="D7522" t="str">
            <v>Canara Robeco Value Fund - Regular Plan - IDCW (Payout/Reinvestment)</v>
          </cell>
          <cell r="E7522">
            <v>16.73</v>
          </cell>
        </row>
        <row r="7523">
          <cell r="B7523" t="str">
            <v/>
          </cell>
          <cell r="C7523" t="str">
            <v/>
          </cell>
          <cell r="D7523" t="str">
            <v/>
          </cell>
        </row>
        <row r="7524">
          <cell r="B7524" t="str">
            <v/>
          </cell>
          <cell r="C7524" t="str">
            <v/>
          </cell>
          <cell r="D7524" t="str">
            <v/>
          </cell>
        </row>
        <row r="7525">
          <cell r="B7525" t="str">
            <v/>
          </cell>
          <cell r="C7525" t="str">
            <v/>
          </cell>
          <cell r="D7525" t="str">
            <v/>
          </cell>
        </row>
        <row r="7526">
          <cell r="B7526" t="str">
            <v>INF740KA1PP3</v>
          </cell>
          <cell r="C7526" t="str">
            <v>-</v>
          </cell>
          <cell r="D7526" t="str">
            <v>DSP Value Fund - Direct Plan - Growth</v>
          </cell>
          <cell r="E7526">
            <v>24.893999999999998</v>
          </cell>
        </row>
        <row r="7527">
          <cell r="B7527" t="str">
            <v>INF740KA1PQ1</v>
          </cell>
          <cell r="C7527" t="str">
            <v>INF740KA1PR9</v>
          </cell>
          <cell r="D7527" t="str">
            <v>DSP Value Fund - Direct Plan - IDCW</v>
          </cell>
          <cell r="E7527">
            <v>18.856000000000002</v>
          </cell>
        </row>
        <row r="7528">
          <cell r="B7528" t="str">
            <v>INF740KA1PM0</v>
          </cell>
          <cell r="C7528" t="str">
            <v>-</v>
          </cell>
          <cell r="D7528" t="str">
            <v>DSP Value Fund - Regular Plan - Growth</v>
          </cell>
          <cell r="E7528">
            <v>23.834</v>
          </cell>
        </row>
        <row r="7529">
          <cell r="B7529" t="str">
            <v>INF740KA1PN8</v>
          </cell>
          <cell r="C7529" t="str">
            <v>INF740KA1PO6</v>
          </cell>
          <cell r="D7529" t="str">
            <v>DSP Value Fund - Regular Plan - IDCW</v>
          </cell>
          <cell r="E7529">
            <v>16.658000000000001</v>
          </cell>
        </row>
        <row r="7530">
          <cell r="B7530" t="str">
            <v/>
          </cell>
          <cell r="C7530" t="str">
            <v/>
          </cell>
          <cell r="D7530" t="str">
            <v/>
          </cell>
        </row>
        <row r="7531">
          <cell r="B7531" t="str">
            <v/>
          </cell>
          <cell r="C7531" t="str">
            <v/>
          </cell>
          <cell r="D7531" t="str">
            <v/>
          </cell>
        </row>
        <row r="7532">
          <cell r="B7532" t="str">
            <v/>
          </cell>
          <cell r="C7532" t="str">
            <v/>
          </cell>
          <cell r="D7532" t="str">
            <v/>
          </cell>
        </row>
        <row r="7533">
          <cell r="B7533" t="str">
            <v>INF090I01GY2</v>
          </cell>
          <cell r="C7533" t="str">
            <v>-</v>
          </cell>
          <cell r="D7533" t="str">
            <v>Templeton India Value Fund - Direct - Growth</v>
          </cell>
          <cell r="E7533">
            <v>777.22519999999997</v>
          </cell>
        </row>
        <row r="7534">
          <cell r="B7534" t="str">
            <v>INF090I01GW6</v>
          </cell>
          <cell r="C7534" t="str">
            <v>INF090I01GX4</v>
          </cell>
          <cell r="D7534" t="str">
            <v xml:space="preserve">Templeton India Value Fund - Direct - IDCW </v>
          </cell>
          <cell r="E7534">
            <v>105.42019999999999</v>
          </cell>
        </row>
        <row r="7535">
          <cell r="B7535" t="str">
            <v>INF090I01296</v>
          </cell>
          <cell r="C7535" t="str">
            <v>-</v>
          </cell>
          <cell r="D7535" t="str">
            <v>Templeton India Value Fund - Growth Plan</v>
          </cell>
          <cell r="E7535">
            <v>688.8347</v>
          </cell>
        </row>
        <row r="7536">
          <cell r="B7536" t="str">
            <v>INF090I01270</v>
          </cell>
          <cell r="C7536" t="str">
            <v>INF090I01288</v>
          </cell>
          <cell r="D7536" t="str">
            <v xml:space="preserve">Templeton India Value Fund - IDCW </v>
          </cell>
          <cell r="E7536">
            <v>90.700500000000005</v>
          </cell>
        </row>
        <row r="7537">
          <cell r="B7537" t="str">
            <v/>
          </cell>
          <cell r="C7537" t="str">
            <v/>
          </cell>
          <cell r="D7537" t="str">
            <v/>
          </cell>
        </row>
        <row r="7538">
          <cell r="B7538" t="str">
            <v/>
          </cell>
          <cell r="C7538" t="str">
            <v/>
          </cell>
          <cell r="D7538" t="str">
            <v/>
          </cell>
        </row>
        <row r="7539">
          <cell r="B7539" t="str">
            <v/>
          </cell>
          <cell r="C7539" t="str">
            <v/>
          </cell>
          <cell r="D7539" t="str">
            <v/>
          </cell>
        </row>
        <row r="7540">
          <cell r="B7540" t="str">
            <v>INF179K01VC4</v>
          </cell>
          <cell r="C7540" t="str">
            <v>-</v>
          </cell>
          <cell r="D7540" t="str">
            <v>HDFC Value Fund - Growth Option - Direct Plan</v>
          </cell>
          <cell r="E7540">
            <v>873.61900000000003</v>
          </cell>
        </row>
        <row r="7541">
          <cell r="B7541" t="str">
            <v>INF179K01426</v>
          </cell>
          <cell r="C7541" t="str">
            <v>-</v>
          </cell>
          <cell r="D7541" t="str">
            <v>HDFC Value Fund - Growth Plan</v>
          </cell>
          <cell r="E7541">
            <v>775.70299999999997</v>
          </cell>
        </row>
        <row r="7542">
          <cell r="B7542" t="str">
            <v>INF179K01VA8</v>
          </cell>
          <cell r="C7542" t="str">
            <v>INF179K01VB6</v>
          </cell>
          <cell r="D7542" t="str">
            <v>HDFC Value Fund - IDCW Option - Direct Plan</v>
          </cell>
          <cell r="E7542">
            <v>45.192</v>
          </cell>
        </row>
        <row r="7543">
          <cell r="B7543" t="str">
            <v>INF179K01400</v>
          </cell>
          <cell r="C7543" t="str">
            <v>INF179K01418</v>
          </cell>
          <cell r="D7543" t="str">
            <v>HDFC Value Fund - IDCW Plan</v>
          </cell>
          <cell r="E7543">
            <v>36.122</v>
          </cell>
        </row>
        <row r="7544">
          <cell r="B7544" t="str">
            <v/>
          </cell>
          <cell r="C7544" t="str">
            <v/>
          </cell>
          <cell r="D7544" t="str">
            <v/>
          </cell>
        </row>
        <row r="7545">
          <cell r="B7545" t="str">
            <v/>
          </cell>
          <cell r="C7545" t="str">
            <v/>
          </cell>
          <cell r="D7545" t="str">
            <v/>
          </cell>
        </row>
        <row r="7546">
          <cell r="B7546" t="str">
            <v/>
          </cell>
          <cell r="C7546" t="str">
            <v/>
          </cell>
          <cell r="D7546" t="str">
            <v/>
          </cell>
        </row>
        <row r="7547">
          <cell r="B7547" t="str">
            <v>INF917K01HD4</v>
          </cell>
          <cell r="C7547" t="str">
            <v>-</v>
          </cell>
          <cell r="D7547" t="str">
            <v>HSBC Value Fund - Direct Growth</v>
          </cell>
          <cell r="E7547">
            <v>127.83159999999999</v>
          </cell>
        </row>
        <row r="7548">
          <cell r="B7548" t="str">
            <v>INF917K01HC6</v>
          </cell>
          <cell r="C7548" t="str">
            <v>INF917K01HB8</v>
          </cell>
          <cell r="D7548" t="str">
            <v>HSBC Value Fund - Direct IDCW</v>
          </cell>
          <cell r="E7548">
            <v>63.260100000000001</v>
          </cell>
        </row>
        <row r="7549">
          <cell r="B7549" t="str">
            <v>INF677K01023</v>
          </cell>
          <cell r="C7549" t="str">
            <v>-</v>
          </cell>
          <cell r="D7549" t="str">
            <v>HSBC Value Fund - Regular Growth</v>
          </cell>
          <cell r="E7549">
            <v>113.4091</v>
          </cell>
        </row>
        <row r="7550">
          <cell r="B7550" t="str">
            <v>INF677K01213</v>
          </cell>
          <cell r="C7550" t="str">
            <v>INF677K01015</v>
          </cell>
          <cell r="D7550" t="str">
            <v>HSBC Value Fund - Regular IDCW</v>
          </cell>
          <cell r="E7550">
            <v>49.148299999999999</v>
          </cell>
        </row>
        <row r="7551">
          <cell r="B7551" t="str">
            <v/>
          </cell>
          <cell r="C7551" t="str">
            <v/>
          </cell>
          <cell r="D7551" t="str">
            <v/>
          </cell>
        </row>
        <row r="7552">
          <cell r="B7552" t="str">
            <v/>
          </cell>
          <cell r="C7552" t="str">
            <v/>
          </cell>
          <cell r="D7552" t="str">
            <v/>
          </cell>
        </row>
        <row r="7553">
          <cell r="B7553" t="str">
            <v/>
          </cell>
          <cell r="C7553" t="str">
            <v/>
          </cell>
          <cell r="D7553" t="str">
            <v/>
          </cell>
        </row>
        <row r="7554">
          <cell r="B7554" t="str">
            <v>INF109K012K1</v>
          </cell>
          <cell r="C7554" t="str">
            <v>-</v>
          </cell>
          <cell r="D7554" t="str">
            <v>ICICI Prudential Value Fund (erstwhile Value Discovery Fund) - Direct Plan - Growth</v>
          </cell>
          <cell r="E7554">
            <v>506.62</v>
          </cell>
        </row>
        <row r="7555">
          <cell r="B7555" t="str">
            <v>INF109K011K3</v>
          </cell>
          <cell r="C7555" t="str">
            <v>INF109K010K5</v>
          </cell>
          <cell r="D7555" t="str">
            <v>ICICI Prudential Value Fund (erstwhile Value Discovery Fund) - Direct Plan - IDCW</v>
          </cell>
          <cell r="E7555">
            <v>114.38</v>
          </cell>
        </row>
        <row r="7556">
          <cell r="B7556" t="str">
            <v>INF109K01AF8</v>
          </cell>
          <cell r="C7556" t="str">
            <v>-</v>
          </cell>
          <cell r="D7556" t="str">
            <v>ICICI Prudential Value Fund (erstwhile Value Discovery Fund) - Growth</v>
          </cell>
          <cell r="E7556">
            <v>458.73</v>
          </cell>
        </row>
        <row r="7557">
          <cell r="B7557" t="str">
            <v>INF109K01EC7</v>
          </cell>
          <cell r="C7557" t="str">
            <v>INF109K01AD3</v>
          </cell>
          <cell r="D7557" t="str">
            <v>ICICI Prudential Value Fund (erstwhile Value Discovery Fund) - IDCW</v>
          </cell>
          <cell r="E7557">
            <v>34.700000000000003</v>
          </cell>
        </row>
        <row r="7558">
          <cell r="B7558" t="str">
            <v/>
          </cell>
          <cell r="C7558" t="str">
            <v/>
          </cell>
          <cell r="D7558" t="str">
            <v/>
          </cell>
        </row>
        <row r="7559">
          <cell r="B7559" t="str">
            <v/>
          </cell>
          <cell r="C7559" t="str">
            <v/>
          </cell>
          <cell r="D7559" t="str">
            <v/>
          </cell>
        </row>
        <row r="7560">
          <cell r="B7560" t="str">
            <v/>
          </cell>
          <cell r="C7560" t="str">
            <v/>
          </cell>
          <cell r="D7560" t="str">
            <v/>
          </cell>
        </row>
        <row r="7561">
          <cell r="B7561" t="str">
            <v>INF00XX01AQ6</v>
          </cell>
          <cell r="C7561" t="str">
            <v>-</v>
          </cell>
          <cell r="D7561" t="str">
            <v>ITI Value Fund - Direct Plan - Growth Option</v>
          </cell>
          <cell r="E7561">
            <v>18.723600000000001</v>
          </cell>
        </row>
        <row r="7562">
          <cell r="B7562" t="str">
            <v>INF00XX01AR4</v>
          </cell>
          <cell r="C7562" t="str">
            <v>INF00XX01AS2</v>
          </cell>
          <cell r="D7562" t="str">
            <v>ITI Value Fund - Direct Plan - IDCW Option</v>
          </cell>
          <cell r="E7562">
            <v>17.7255</v>
          </cell>
        </row>
        <row r="7563">
          <cell r="B7563" t="str">
            <v>INF00XX01AN3</v>
          </cell>
          <cell r="C7563" t="str">
            <v>-</v>
          </cell>
          <cell r="D7563" t="str">
            <v>ITI Value Fund - Regular Plan - Growth Option</v>
          </cell>
          <cell r="E7563">
            <v>16.9282</v>
          </cell>
        </row>
        <row r="7564">
          <cell r="B7564" t="str">
            <v>INF00XX01AO1</v>
          </cell>
          <cell r="C7564" t="str">
            <v>INF00XX01AP8</v>
          </cell>
          <cell r="D7564" t="str">
            <v>ITI Value Fund - Regular Plan - IDCW Option</v>
          </cell>
          <cell r="E7564">
            <v>15.9381</v>
          </cell>
        </row>
        <row r="7565">
          <cell r="B7565" t="str">
            <v/>
          </cell>
          <cell r="C7565" t="str">
            <v/>
          </cell>
          <cell r="D7565" t="str">
            <v/>
          </cell>
        </row>
        <row r="7566">
          <cell r="B7566" t="str">
            <v/>
          </cell>
          <cell r="C7566" t="str">
            <v/>
          </cell>
          <cell r="D7566" t="str">
            <v/>
          </cell>
        </row>
        <row r="7567">
          <cell r="B7567" t="str">
            <v/>
          </cell>
          <cell r="C7567" t="str">
            <v/>
          </cell>
          <cell r="D7567" t="str">
            <v/>
          </cell>
        </row>
        <row r="7568">
          <cell r="B7568" t="str">
            <v>INF192K01BT3</v>
          </cell>
          <cell r="C7568" t="str">
            <v>-</v>
          </cell>
          <cell r="D7568" t="str">
            <v>JM Value Fund (Direct) - Growth Option</v>
          </cell>
          <cell r="E7568">
            <v>105.77370000000001</v>
          </cell>
        </row>
        <row r="7569">
          <cell r="B7569" t="str">
            <v>INF192K01BR7</v>
          </cell>
          <cell r="C7569" t="str">
            <v>INF192K01BS5</v>
          </cell>
          <cell r="D7569" t="str">
            <v>JM Value Fund (Direct) - IDCW</v>
          </cell>
          <cell r="E7569">
            <v>72.067800000000005</v>
          </cell>
        </row>
        <row r="7570">
          <cell r="B7570" t="str">
            <v>INF137A01037</v>
          </cell>
          <cell r="C7570" t="str">
            <v>-</v>
          </cell>
          <cell r="D7570" t="str">
            <v>JM Value Fund (Regular) - Growth Option</v>
          </cell>
          <cell r="E7570">
            <v>93.059899999999999</v>
          </cell>
        </row>
        <row r="7571">
          <cell r="B7571" t="str">
            <v>INF137A01011</v>
          </cell>
          <cell r="C7571" t="str">
            <v>INF137A01029</v>
          </cell>
          <cell r="D7571" t="str">
            <v>JM Value Fund (Regular) - IDCW</v>
          </cell>
          <cell r="E7571">
            <v>64.982600000000005</v>
          </cell>
        </row>
        <row r="7572">
          <cell r="B7572" t="str">
            <v/>
          </cell>
          <cell r="C7572" t="str">
            <v/>
          </cell>
          <cell r="D7572" t="str">
            <v/>
          </cell>
        </row>
        <row r="7573">
          <cell r="B7573" t="str">
            <v/>
          </cell>
          <cell r="C7573" t="str">
            <v/>
          </cell>
          <cell r="D7573" t="str">
            <v/>
          </cell>
        </row>
        <row r="7574">
          <cell r="B7574" t="str">
            <v/>
          </cell>
          <cell r="C7574" t="str">
            <v/>
          </cell>
          <cell r="D7574" t="str">
            <v/>
          </cell>
        </row>
        <row r="7575">
          <cell r="B7575" t="str">
            <v>INF397L01KU5</v>
          </cell>
          <cell r="C7575" t="str">
            <v>-</v>
          </cell>
          <cell r="D7575" t="str">
            <v>LIC MF Value Fund-Direct Plan-Growth</v>
          </cell>
          <cell r="E7575">
            <v>29.9754</v>
          </cell>
        </row>
        <row r="7576">
          <cell r="B7576" t="str">
            <v>INF397L01KR1</v>
          </cell>
          <cell r="C7576" t="str">
            <v>-</v>
          </cell>
          <cell r="D7576" t="str">
            <v>LIC MF Value Fund-Direct Plan-IDCW</v>
          </cell>
          <cell r="E7576">
            <v>29.9434</v>
          </cell>
        </row>
        <row r="7577">
          <cell r="B7577" t="str">
            <v>INF397L01KQ3</v>
          </cell>
          <cell r="C7577" t="str">
            <v>-</v>
          </cell>
          <cell r="D7577" t="str">
            <v>LIC MF Value Fund-Regular Plan-Growth</v>
          </cell>
          <cell r="E7577">
            <v>27.5184</v>
          </cell>
        </row>
        <row r="7578">
          <cell r="B7578" t="str">
            <v>INF397L01KN0</v>
          </cell>
          <cell r="C7578" t="str">
            <v>-</v>
          </cell>
          <cell r="D7578" t="str">
            <v>LIC MF Value Fund-Regular Plan-IDCW</v>
          </cell>
          <cell r="E7578">
            <v>27.5185</v>
          </cell>
        </row>
        <row r="7579">
          <cell r="B7579" t="str">
            <v/>
          </cell>
          <cell r="C7579" t="str">
            <v/>
          </cell>
          <cell r="D7579" t="str">
            <v/>
          </cell>
        </row>
        <row r="7580">
          <cell r="B7580" t="str">
            <v/>
          </cell>
          <cell r="C7580" t="str">
            <v/>
          </cell>
          <cell r="D7580" t="str">
            <v/>
          </cell>
        </row>
        <row r="7581">
          <cell r="B7581" t="str">
            <v/>
          </cell>
          <cell r="C7581" t="str">
            <v/>
          </cell>
          <cell r="D7581" t="str">
            <v/>
          </cell>
        </row>
        <row r="7582">
          <cell r="B7582" t="str">
            <v>INF174V01CI9</v>
          </cell>
          <cell r="C7582" t="str">
            <v>-</v>
          </cell>
          <cell r="D7582" t="str">
            <v>Mahindra Manulife Value Fund - Direct Plan - Growth</v>
          </cell>
          <cell r="E7582">
            <v>12.8187</v>
          </cell>
        </row>
        <row r="7583">
          <cell r="B7583" t="str">
            <v>INF174V01CJ7</v>
          </cell>
          <cell r="C7583" t="str">
            <v>INF174V01CK5</v>
          </cell>
          <cell r="D7583" t="str">
            <v>Mahindra Manulife Value Fund - Direct Plan - IDCW</v>
          </cell>
          <cell r="E7583">
            <v>12.8187</v>
          </cell>
        </row>
        <row r="7584">
          <cell r="B7584" t="str">
            <v>INF174V01CF5</v>
          </cell>
          <cell r="C7584" t="str">
            <v>-</v>
          </cell>
          <cell r="D7584" t="str">
            <v>Mahindra Manulife Value Fund - Regular Plan - Growth</v>
          </cell>
          <cell r="E7584">
            <v>12.505599999999999</v>
          </cell>
        </row>
        <row r="7585">
          <cell r="B7585" t="str">
            <v>INF174V01CH1</v>
          </cell>
          <cell r="C7585" t="str">
            <v>INF174V01CG3</v>
          </cell>
          <cell r="D7585" t="str">
            <v>Mahindra Manulife Value Fund - Regular Plan - IDCW</v>
          </cell>
          <cell r="E7585">
            <v>12.5055</v>
          </cell>
        </row>
        <row r="7586">
          <cell r="B7586" t="str">
            <v/>
          </cell>
          <cell r="C7586" t="str">
            <v/>
          </cell>
          <cell r="D7586" t="str">
            <v/>
          </cell>
        </row>
        <row r="7587">
          <cell r="B7587" t="str">
            <v/>
          </cell>
          <cell r="C7587" t="str">
            <v/>
          </cell>
          <cell r="D7587" t="str">
            <v/>
          </cell>
        </row>
        <row r="7588">
          <cell r="B7588" t="str">
            <v/>
          </cell>
          <cell r="C7588" t="str">
            <v/>
          </cell>
          <cell r="D7588" t="str">
            <v/>
          </cell>
        </row>
        <row r="7589">
          <cell r="B7589" t="str">
            <v>INF204K01K23</v>
          </cell>
          <cell r="C7589" t="str">
            <v>INF204K01K31</v>
          </cell>
          <cell r="D7589" t="str">
            <v>NIPPON INDIA VALUE FUND - DIRECT Plan - IDCW Option</v>
          </cell>
          <cell r="E7589">
            <v>65.045500000000004</v>
          </cell>
        </row>
        <row r="7590">
          <cell r="B7590" t="str">
            <v>INF204K01K49</v>
          </cell>
          <cell r="C7590" t="str">
            <v>-</v>
          </cell>
          <cell r="D7590" t="str">
            <v>Nippon India Value Fund - Direct Plan Growth Plan</v>
          </cell>
          <cell r="E7590">
            <v>246.30009999999999</v>
          </cell>
        </row>
        <row r="7591">
          <cell r="B7591" t="str">
            <v>INF204K01GC1</v>
          </cell>
          <cell r="C7591" t="str">
            <v>INF204K01GD9</v>
          </cell>
          <cell r="D7591" t="str">
            <v>NIPPON INDIA VALUE FUND - IDCW Option</v>
          </cell>
          <cell r="E7591">
            <v>41.458799999999997</v>
          </cell>
        </row>
        <row r="7592">
          <cell r="B7592" t="str">
            <v>INF204K01GB3</v>
          </cell>
          <cell r="C7592" t="str">
            <v>-</v>
          </cell>
          <cell r="D7592" t="str">
            <v>Nippon India Value Fund- Growth Plan</v>
          </cell>
          <cell r="E7592">
            <v>223.31469999999999</v>
          </cell>
        </row>
        <row r="7593">
          <cell r="B7593" t="str">
            <v/>
          </cell>
          <cell r="C7593" t="str">
            <v/>
          </cell>
          <cell r="D7593" t="str">
            <v/>
          </cell>
        </row>
        <row r="7594">
          <cell r="B7594" t="str">
            <v/>
          </cell>
          <cell r="C7594" t="str">
            <v/>
          </cell>
          <cell r="D7594" t="str">
            <v/>
          </cell>
        </row>
        <row r="7595">
          <cell r="B7595" t="str">
            <v/>
          </cell>
          <cell r="C7595" t="str">
            <v/>
          </cell>
          <cell r="D7595" t="str">
            <v/>
          </cell>
        </row>
        <row r="7596">
          <cell r="B7596" t="str">
            <v>INF966L01AN3</v>
          </cell>
          <cell r="C7596" t="str">
            <v>-</v>
          </cell>
          <cell r="D7596" t="str">
            <v>Quant Value Fund - Growth Option  - Direct Plan</v>
          </cell>
          <cell r="E7596">
            <v>24.5717</v>
          </cell>
        </row>
        <row r="7597">
          <cell r="B7597" t="str">
            <v>INF966L01AQ6</v>
          </cell>
          <cell r="C7597" t="str">
            <v>-</v>
          </cell>
          <cell r="D7597" t="str">
            <v>Quant Value Fund - Growth Option - Regular Plan</v>
          </cell>
          <cell r="E7597">
            <v>22.773099999999999</v>
          </cell>
        </row>
        <row r="7598">
          <cell r="B7598" t="str">
            <v>INF966L01AO1</v>
          </cell>
          <cell r="C7598" t="str">
            <v>INF966L01AP8</v>
          </cell>
          <cell r="D7598" t="str">
            <v>Quant Value Fund - IDCW Option - Direct Plan</v>
          </cell>
          <cell r="E7598">
            <v>23.3462</v>
          </cell>
        </row>
        <row r="7599">
          <cell r="B7599" t="str">
            <v>INF966L01AR4</v>
          </cell>
          <cell r="C7599" t="str">
            <v>INF966L01AS2</v>
          </cell>
          <cell r="D7599" t="str">
            <v>Quant Value Fund - IDCW Option- Regular Plan</v>
          </cell>
          <cell r="E7599">
            <v>22.8979</v>
          </cell>
        </row>
        <row r="7600">
          <cell r="B7600" t="str">
            <v/>
          </cell>
          <cell r="C7600" t="str">
            <v/>
          </cell>
          <cell r="D7600" t="str">
            <v/>
          </cell>
        </row>
        <row r="7601">
          <cell r="B7601" t="str">
            <v/>
          </cell>
          <cell r="C7601" t="str">
            <v/>
          </cell>
          <cell r="D7601" t="str">
            <v/>
          </cell>
        </row>
        <row r="7602">
          <cell r="B7602" t="str">
            <v/>
          </cell>
          <cell r="C7602" t="str">
            <v/>
          </cell>
          <cell r="D7602" t="str">
            <v/>
          </cell>
        </row>
        <row r="7603">
          <cell r="B7603" t="str">
            <v>INF082J01036</v>
          </cell>
          <cell r="C7603" t="str">
            <v>-</v>
          </cell>
          <cell r="D7603" t="str">
            <v>Quantum Value Fund - Direct Plan Growth Option</v>
          </cell>
          <cell r="E7603">
            <v>125.11</v>
          </cell>
        </row>
        <row r="7604">
          <cell r="B7604" t="str">
            <v>INF082J01044</v>
          </cell>
          <cell r="C7604" t="str">
            <v>INF082J01051</v>
          </cell>
          <cell r="D7604" t="str">
            <v>Quantum Value Fund - Direct Plan IDCW</v>
          </cell>
          <cell r="E7604">
            <v>125.37</v>
          </cell>
        </row>
        <row r="7605">
          <cell r="B7605" t="str">
            <v>INF082J01242</v>
          </cell>
          <cell r="C7605" t="str">
            <v>-</v>
          </cell>
          <cell r="D7605" t="str">
            <v>Quantum Value Fund - Regular Plan Growth Option</v>
          </cell>
          <cell r="E7605">
            <v>118.6</v>
          </cell>
        </row>
        <row r="7606">
          <cell r="B7606" t="str">
            <v>INF082J01259</v>
          </cell>
          <cell r="C7606" t="str">
            <v>INF082J01267</v>
          </cell>
          <cell r="D7606" t="str">
            <v>Quantum Value Fund - Regular Plan IDCW</v>
          </cell>
          <cell r="E7606">
            <v>118.46</v>
          </cell>
        </row>
        <row r="7607">
          <cell r="B7607" t="str">
            <v/>
          </cell>
          <cell r="C7607" t="str">
            <v/>
          </cell>
          <cell r="D7607" t="str">
            <v/>
          </cell>
        </row>
        <row r="7608">
          <cell r="B7608" t="str">
            <v/>
          </cell>
          <cell r="C7608" t="str">
            <v/>
          </cell>
          <cell r="D7608" t="str">
            <v/>
          </cell>
        </row>
        <row r="7609">
          <cell r="B7609" t="str">
            <v/>
          </cell>
          <cell r="C7609" t="str">
            <v/>
          </cell>
          <cell r="D7609" t="str">
            <v/>
          </cell>
        </row>
        <row r="7610">
          <cell r="B7610" t="str">
            <v>INF903J01NN3</v>
          </cell>
          <cell r="C7610" t="str">
            <v>-</v>
          </cell>
          <cell r="D7610" t="str">
            <v>Sundaram Value Fund Direct Plan - Growth</v>
          </cell>
          <cell r="E7610">
            <v>223.54089999999999</v>
          </cell>
        </row>
        <row r="7611">
          <cell r="B7611" t="str">
            <v>INF903J01NL7</v>
          </cell>
          <cell r="C7611" t="str">
            <v>INF903J01NM5</v>
          </cell>
          <cell r="D7611" t="str">
            <v>Sundaram Value Fund Direct Plan - Income Distribution cum Capital Withdrawal (IDCW)</v>
          </cell>
          <cell r="E7611">
            <v>18.289300000000001</v>
          </cell>
        </row>
        <row r="7612">
          <cell r="B7612" t="str">
            <v>INF903J01538</v>
          </cell>
          <cell r="C7612" t="str">
            <v>-</v>
          </cell>
          <cell r="D7612" t="str">
            <v>Sundaram Value Fund Regular Plan - Growth</v>
          </cell>
          <cell r="E7612">
            <v>209.8869</v>
          </cell>
        </row>
        <row r="7613">
          <cell r="B7613" t="str">
            <v>INF903J01512</v>
          </cell>
          <cell r="C7613" t="str">
            <v>INF903J01520</v>
          </cell>
          <cell r="D7613" t="str">
            <v>Sundaram Value Fund Regular Plan - Income Distribution cum Capital Withdrawal (IDCW)</v>
          </cell>
          <cell r="E7613">
            <v>14.9651</v>
          </cell>
        </row>
        <row r="7614">
          <cell r="B7614" t="str">
            <v/>
          </cell>
          <cell r="C7614" t="str">
            <v/>
          </cell>
          <cell r="D7614" t="str">
            <v/>
          </cell>
        </row>
        <row r="7615">
          <cell r="B7615" t="str">
            <v/>
          </cell>
          <cell r="C7615" t="str">
            <v/>
          </cell>
          <cell r="D7615" t="str">
            <v/>
          </cell>
        </row>
        <row r="7616">
          <cell r="B7616" t="str">
            <v/>
          </cell>
          <cell r="C7616" t="str">
            <v/>
          </cell>
          <cell r="D7616" t="str">
            <v/>
          </cell>
        </row>
        <row r="7617">
          <cell r="B7617" t="str">
            <v>INF277K01DI1</v>
          </cell>
          <cell r="C7617" t="str">
            <v>INF277K01436</v>
          </cell>
          <cell r="D7617" t="str">
            <v>Tata Value Fund - Regular Plan - Payout of IDCW-Option A(5%)</v>
          </cell>
          <cell r="E7617">
            <v>129.4726</v>
          </cell>
        </row>
        <row r="7618">
          <cell r="B7618" t="str">
            <v>INF277K01451</v>
          </cell>
          <cell r="C7618" t="str">
            <v>-</v>
          </cell>
          <cell r="D7618" t="str">
            <v>Tata Value Fund - Regular Plan -Growth Option</v>
          </cell>
          <cell r="E7618">
            <v>348.06310000000002</v>
          </cell>
        </row>
        <row r="7619">
          <cell r="B7619" t="str">
            <v>INF277K01ND1</v>
          </cell>
          <cell r="C7619" t="str">
            <v>-</v>
          </cell>
          <cell r="D7619" t="str">
            <v>Tata Value Fund -Direct Plan Growth Option</v>
          </cell>
          <cell r="E7619">
            <v>395.84629999999999</v>
          </cell>
        </row>
        <row r="7620">
          <cell r="B7620" t="str">
            <v>INF277K01DJ9</v>
          </cell>
          <cell r="C7620" t="str">
            <v>INF277K01444</v>
          </cell>
          <cell r="D7620" t="str">
            <v>Tata Value Fund Regular Plan - Payout of IDCW-Option B(10%)</v>
          </cell>
          <cell r="E7620">
            <v>116.5057</v>
          </cell>
        </row>
        <row r="7621">
          <cell r="B7621" t="str">
            <v>INF277K01NB5</v>
          </cell>
          <cell r="C7621" t="str">
            <v>INF277K01NC3</v>
          </cell>
          <cell r="D7621" t="str">
            <v>Tata Value Fund- Direct Plan - Payout of IDCW -Option B(10%)</v>
          </cell>
          <cell r="E7621">
            <v>134.52449999999999</v>
          </cell>
        </row>
        <row r="7622">
          <cell r="B7622" t="str">
            <v>INF277K01MZ6</v>
          </cell>
          <cell r="C7622" t="str">
            <v>INF277K01NA7</v>
          </cell>
          <cell r="D7622" t="str">
            <v>Tata Value Fund- Direct Plan -Payout of IDCW-Option A(5%)</v>
          </cell>
          <cell r="E7622">
            <v>145.4521</v>
          </cell>
        </row>
        <row r="7623">
          <cell r="B7623" t="str">
            <v/>
          </cell>
          <cell r="C7623" t="str">
            <v/>
          </cell>
          <cell r="D7623" t="str">
            <v/>
          </cell>
        </row>
        <row r="7624">
          <cell r="B7624" t="str">
            <v/>
          </cell>
          <cell r="C7624" t="str">
            <v/>
          </cell>
          <cell r="D7624" t="str">
            <v/>
          </cell>
        </row>
        <row r="7625">
          <cell r="B7625" t="str">
            <v/>
          </cell>
          <cell r="C7625" t="str">
            <v/>
          </cell>
          <cell r="D7625" t="str">
            <v/>
          </cell>
        </row>
        <row r="7626">
          <cell r="B7626" t="str">
            <v>INF582M01EK4</v>
          </cell>
          <cell r="C7626" t="str">
            <v>-</v>
          </cell>
          <cell r="D7626" t="str">
            <v>Union Value Fund - Direct Plan - Growth Option</v>
          </cell>
          <cell r="E7626">
            <v>30.91</v>
          </cell>
        </row>
        <row r="7627">
          <cell r="B7627" t="str">
            <v>INF582M01EM0</v>
          </cell>
          <cell r="C7627" t="str">
            <v>INF582M01EL2</v>
          </cell>
          <cell r="D7627" t="str">
            <v>Union Value Fund - Direct Plan - IDCW Option</v>
          </cell>
          <cell r="E7627">
            <v>30.91</v>
          </cell>
        </row>
        <row r="7628">
          <cell r="B7628" t="str">
            <v>INF582M01EO6</v>
          </cell>
          <cell r="C7628" t="str">
            <v>-</v>
          </cell>
          <cell r="D7628" t="str">
            <v>Union Value Fund - Regular Plan - Growth Option</v>
          </cell>
          <cell r="E7628">
            <v>28.78</v>
          </cell>
        </row>
        <row r="7629">
          <cell r="B7629" t="str">
            <v>INF582M01EQ1</v>
          </cell>
          <cell r="C7629" t="str">
            <v>INF582M01EP3</v>
          </cell>
          <cell r="D7629" t="str">
            <v>Union Value Fund - Regular Plan - IDCW Option</v>
          </cell>
          <cell r="E7629">
            <v>28.78</v>
          </cell>
        </row>
        <row r="7630">
          <cell r="B7630" t="str">
            <v/>
          </cell>
          <cell r="C7630" t="str">
            <v/>
          </cell>
          <cell r="D7630" t="str">
            <v/>
          </cell>
        </row>
        <row r="7631">
          <cell r="B7631" t="str">
            <v/>
          </cell>
          <cell r="C7631" t="str">
            <v/>
          </cell>
          <cell r="D7631" t="str">
            <v/>
          </cell>
        </row>
        <row r="7632">
          <cell r="B7632" t="str">
            <v/>
          </cell>
          <cell r="C7632" t="str">
            <v/>
          </cell>
          <cell r="D7632" t="str">
            <v/>
          </cell>
        </row>
        <row r="7633">
          <cell r="B7633" t="str">
            <v>INF789F01VB2</v>
          </cell>
          <cell r="C7633" t="str">
            <v>-</v>
          </cell>
          <cell r="D7633" t="str">
            <v>UTI Value Fund - Direct Plan - Growth Option</v>
          </cell>
          <cell r="E7633">
            <v>182.37799999999999</v>
          </cell>
        </row>
        <row r="7634">
          <cell r="B7634" t="str">
            <v>INF789F01UZ3</v>
          </cell>
          <cell r="C7634" t="str">
            <v>INF789F01VA4</v>
          </cell>
          <cell r="D7634" t="str">
            <v>UTI Value Fund - Direct Plan - IDCW</v>
          </cell>
          <cell r="E7634">
            <v>59.48</v>
          </cell>
        </row>
        <row r="7635">
          <cell r="B7635" t="str">
            <v>INF789F01AG5</v>
          </cell>
          <cell r="C7635" t="str">
            <v>-</v>
          </cell>
          <cell r="D7635" t="str">
            <v>UTI Value Fund - Regular Plan - Growth Option</v>
          </cell>
          <cell r="E7635">
            <v>165.5538</v>
          </cell>
        </row>
        <row r="7636">
          <cell r="B7636" t="str">
            <v>INF789F01AE0</v>
          </cell>
          <cell r="C7636" t="str">
            <v>INF789F01AF7</v>
          </cell>
          <cell r="D7636" t="str">
            <v>UTI Value Fund - Regular Plan - IDCW</v>
          </cell>
          <cell r="E7636">
            <v>48.2468</v>
          </cell>
        </row>
        <row r="7637">
          <cell r="B7637" t="str">
            <v/>
          </cell>
          <cell r="C7637" t="str">
            <v/>
          </cell>
          <cell r="D7637" t="str">
            <v/>
          </cell>
        </row>
        <row r="7638">
          <cell r="B7638" t="str">
            <v/>
          </cell>
          <cell r="C7638" t="str">
            <v/>
          </cell>
          <cell r="D7638" t="str">
            <v/>
          </cell>
        </row>
        <row r="7639">
          <cell r="B7639" t="str">
            <v/>
          </cell>
          <cell r="C7639" t="str">
            <v/>
          </cell>
          <cell r="D7639" t="str">
            <v/>
          </cell>
        </row>
        <row r="7640">
          <cell r="B7640" t="str">
            <v/>
          </cell>
          <cell r="C7640" t="str">
            <v/>
          </cell>
          <cell r="D7640" t="str">
            <v/>
          </cell>
        </row>
        <row r="7641">
          <cell r="B7641" t="str">
            <v/>
          </cell>
          <cell r="C7641" t="str">
            <v/>
          </cell>
          <cell r="D7641" t="str">
            <v/>
          </cell>
        </row>
        <row r="7642">
          <cell r="B7642" t="str">
            <v>INF174V01093</v>
          </cell>
          <cell r="C7642" t="str">
            <v>-</v>
          </cell>
          <cell r="D7642" t="str">
            <v>Mahindra Manulife ELSS Tax Saver Fund - Direct Plan -Growth</v>
          </cell>
          <cell r="E7642">
            <v>32.629899999999999</v>
          </cell>
        </row>
        <row r="7643">
          <cell r="B7643" t="str">
            <v>INF174V01085</v>
          </cell>
          <cell r="C7643" t="str">
            <v>-</v>
          </cell>
          <cell r="D7643" t="str">
            <v>Mahindra Manulife ELSS Tax Saver Fund - Regular Plan - IDCW</v>
          </cell>
          <cell r="E7643">
            <v>16.2224</v>
          </cell>
        </row>
        <row r="7644">
          <cell r="B7644" t="str">
            <v>INF174V01101</v>
          </cell>
          <cell r="C7644" t="str">
            <v>-</v>
          </cell>
          <cell r="D7644" t="str">
            <v>Mahindra Manulife ELSS Tax Saver Fund- Direct Plan - IDCW</v>
          </cell>
          <cell r="E7644">
            <v>20.544499999999999</v>
          </cell>
        </row>
        <row r="7645">
          <cell r="B7645" t="str">
            <v>INF174V01077</v>
          </cell>
          <cell r="C7645" t="str">
            <v>-</v>
          </cell>
          <cell r="D7645" t="str">
            <v>Mahindra Manulife ELSS Tax Saver Fund- Regular Plan - Growth</v>
          </cell>
          <cell r="E7645">
            <v>27.396599999999999</v>
          </cell>
        </row>
        <row r="7646">
          <cell r="B7646" t="str">
            <v/>
          </cell>
          <cell r="C7646" t="str">
            <v/>
          </cell>
          <cell r="D7646" t="str">
            <v/>
          </cell>
        </row>
        <row r="7647">
          <cell r="B7647" t="str">
            <v/>
          </cell>
          <cell r="C7647" t="str">
            <v/>
          </cell>
          <cell r="D7647" t="str">
            <v/>
          </cell>
        </row>
        <row r="7648">
          <cell r="B7648" t="str">
            <v>INF174V01AS2</v>
          </cell>
          <cell r="C7648" t="str">
            <v>-</v>
          </cell>
          <cell r="D7648" t="str">
            <v>Mahindra Manulife Flexi Cap Fund - Direct Plan -Growth</v>
          </cell>
          <cell r="E7648">
            <v>17.218699999999998</v>
          </cell>
        </row>
        <row r="7649">
          <cell r="B7649" t="str">
            <v>INF174V01AU8</v>
          </cell>
          <cell r="C7649" t="str">
            <v>INF174V01AT0</v>
          </cell>
          <cell r="D7649" t="str">
            <v>Mahindra Manulife Flexi Cap Fund - Direct Plan -IDCW</v>
          </cell>
          <cell r="E7649">
            <v>13.8627</v>
          </cell>
        </row>
        <row r="7650">
          <cell r="B7650" t="str">
            <v>INF174V01AP8</v>
          </cell>
          <cell r="C7650" t="str">
            <v>-</v>
          </cell>
          <cell r="D7650" t="str">
            <v>Mahindra Manulife Flexi Cap Fund - Regular Plan -Growth</v>
          </cell>
          <cell r="E7650">
            <v>15.7699</v>
          </cell>
        </row>
        <row r="7651">
          <cell r="B7651" t="str">
            <v>INF174V01AR4</v>
          </cell>
          <cell r="C7651" t="str">
            <v>INF174V01AQ6</v>
          </cell>
          <cell r="D7651" t="str">
            <v>Mahindra Manulife Flexi Cap Fund - Regular Plan -IDCW</v>
          </cell>
          <cell r="E7651">
            <v>12.4838</v>
          </cell>
        </row>
        <row r="7652">
          <cell r="B7652" t="str">
            <v/>
          </cell>
          <cell r="C7652" t="str">
            <v/>
          </cell>
          <cell r="D7652" t="str">
            <v/>
          </cell>
        </row>
        <row r="7653">
          <cell r="B7653" t="str">
            <v/>
          </cell>
          <cell r="C7653" t="str">
            <v/>
          </cell>
          <cell r="D7653" t="str">
            <v/>
          </cell>
        </row>
        <row r="7654">
          <cell r="B7654" t="str">
            <v>INF174V01AI3</v>
          </cell>
          <cell r="C7654" t="str">
            <v>INF174V01AH5</v>
          </cell>
          <cell r="D7654" t="str">
            <v>Mahindra Manulife Focused Fund - Direct Plan - IDCW</v>
          </cell>
          <cell r="E7654">
            <v>20.1538</v>
          </cell>
        </row>
        <row r="7655">
          <cell r="B7655" t="str">
            <v>INF174V01AG7</v>
          </cell>
          <cell r="C7655" t="str">
            <v>-</v>
          </cell>
          <cell r="D7655" t="str">
            <v>Mahindra Manulife Focused Fund - Direct Plan -Growth</v>
          </cell>
          <cell r="E7655">
            <v>29.6157</v>
          </cell>
        </row>
        <row r="7656">
          <cell r="B7656" t="str">
            <v>INF174V01AD4</v>
          </cell>
          <cell r="C7656" t="str">
            <v>-</v>
          </cell>
          <cell r="D7656" t="str">
            <v>Mahindra Manulife Focused Fund - Regular Plan - Growth</v>
          </cell>
          <cell r="E7656">
            <v>26.696000000000002</v>
          </cell>
        </row>
        <row r="7657">
          <cell r="B7657" t="str">
            <v>INF174V01AF9</v>
          </cell>
          <cell r="C7657" t="str">
            <v>INF174V01AE2</v>
          </cell>
          <cell r="D7657" t="str">
            <v>Mahindra Manulife Focused Fund - Regular Plan - IDCW</v>
          </cell>
          <cell r="E7657">
            <v>17.722999999999999</v>
          </cell>
        </row>
        <row r="7658">
          <cell r="B7658" t="str">
            <v/>
          </cell>
          <cell r="C7658" t="str">
            <v/>
          </cell>
          <cell r="D7658" t="str">
            <v/>
          </cell>
        </row>
        <row r="7659">
          <cell r="B7659" t="str">
            <v/>
          </cell>
          <cell r="C7659" t="str">
            <v/>
          </cell>
          <cell r="D7659" t="str">
            <v/>
          </cell>
        </row>
        <row r="7660">
          <cell r="B7660" t="str">
            <v/>
          </cell>
          <cell r="C7660" t="str">
            <v/>
          </cell>
          <cell r="D7660" t="str">
            <v/>
          </cell>
        </row>
        <row r="7661">
          <cell r="B7661" t="str">
            <v/>
          </cell>
          <cell r="C7661" t="str">
            <v/>
          </cell>
          <cell r="D7661" t="str">
            <v/>
          </cell>
        </row>
        <row r="7662">
          <cell r="B7662" t="str">
            <v/>
          </cell>
          <cell r="C7662" t="str">
            <v/>
          </cell>
          <cell r="D7662" t="str">
            <v/>
          </cell>
        </row>
        <row r="7663">
          <cell r="B7663" t="str">
            <v>INF666M01600</v>
          </cell>
          <cell r="C7663" t="str">
            <v>-</v>
          </cell>
          <cell r="D7663" t="str">
            <v>Groww Largecap Fund (formerly known as Indiabulls Blue Chip Fund) - Direct Plan - Growth Option</v>
          </cell>
          <cell r="E7663">
            <v>51.63</v>
          </cell>
        </row>
        <row r="7664">
          <cell r="B7664" t="str">
            <v>INF666M01162</v>
          </cell>
          <cell r="C7664" t="str">
            <v>-</v>
          </cell>
          <cell r="D7664" t="str">
            <v>Groww Largecap Fund (formerly known as Indiabulls Blue Chip Fund) - Regular Plan- Growth Option</v>
          </cell>
          <cell r="E7664">
            <v>42.49</v>
          </cell>
        </row>
        <row r="7665">
          <cell r="B7665" t="str">
            <v>INF666M01626</v>
          </cell>
          <cell r="C7665" t="str">
            <v>INF666M01618</v>
          </cell>
          <cell r="D7665" t="str">
            <v>Groww Largecap Fund (formerly known as Indiabulls Bluechip Fund)- Direct Plan- - Income Distribution cum capital withdrawal Option (Payout &amp; Reinvestment)</v>
          </cell>
          <cell r="E7665">
            <v>29.9</v>
          </cell>
        </row>
        <row r="7666">
          <cell r="B7666" t="str">
            <v>INF666M01CQ6</v>
          </cell>
          <cell r="C7666" t="str">
            <v>INF666M01CR4</v>
          </cell>
          <cell r="D7666" t="str">
            <v>Groww Largecap Fund (formerly known as Indiabulls Bluechip Fund)- Direct Plan- Half Yearly -Income Distribution cum capital withdrawal Option (Payout &amp; Reinvestment)</v>
          </cell>
          <cell r="E7666">
            <v>29.02</v>
          </cell>
        </row>
        <row r="7667">
          <cell r="B7667" t="str">
            <v>INF666M01CM5</v>
          </cell>
          <cell r="C7667" t="str">
            <v>INF666M01CN3</v>
          </cell>
          <cell r="D7667" t="str">
            <v>Groww Largecap Fund (formerly known as Indiabulls Bluechip Fund)- Direct Plan- Monthly - Income Distribution cum capital withdrawal Option (Payout &amp; Reinvestment)</v>
          </cell>
          <cell r="E7667">
            <v>23.05</v>
          </cell>
        </row>
        <row r="7668">
          <cell r="B7668" t="str">
            <v>INF666M01CO1</v>
          </cell>
          <cell r="C7668" t="str">
            <v>INF666M01CP8</v>
          </cell>
          <cell r="D7668" t="str">
            <v>Groww Largecap Fund (formerly known as Indiabulls Bluechip Fund)- Direct Plan- Quarterly - Income Distribution cum capital withdrawal Option (Payout &amp; Reinvestment)</v>
          </cell>
          <cell r="E7668">
            <v>28.8</v>
          </cell>
        </row>
        <row r="7669">
          <cell r="B7669" t="str">
            <v>INF666M01188</v>
          </cell>
          <cell r="C7669" t="str">
            <v>INF666M01170</v>
          </cell>
          <cell r="D7669" t="str">
            <v>Groww Largecap Fund (formerly known as Indiabulls Bluechip Fund)- Regular Plan- - Income Distribution cum capital withdrawal Option (Payout &amp; Reinvestment)</v>
          </cell>
          <cell r="E7669">
            <v>23.94</v>
          </cell>
        </row>
        <row r="7670">
          <cell r="B7670" t="str">
            <v>INF666M01CW4</v>
          </cell>
          <cell r="C7670" t="str">
            <v>INF666M01CX2</v>
          </cell>
          <cell r="D7670" t="str">
            <v>Groww Largecap Fund (formerly known as Indiabulls Bluechip Fund)- Regular Plan- Half Yearly - Income Distribution cum capital withdrawal Option (Payout &amp; Reinvestment)</v>
          </cell>
          <cell r="E7670">
            <v>25.51</v>
          </cell>
        </row>
        <row r="7671">
          <cell r="B7671" t="str">
            <v>INF666M01CS2</v>
          </cell>
          <cell r="C7671" t="str">
            <v>INF666M01CT0</v>
          </cell>
          <cell r="D7671" t="str">
            <v>Groww Largecap Fund (formerly known as Indiabulls Bluechip Fund)- Regular Plan- Monthly - Income Distribution cum capital withdrawal Option (Payout &amp; Reinvestment)</v>
          </cell>
          <cell r="E7671">
            <v>24.47</v>
          </cell>
        </row>
        <row r="7672">
          <cell r="B7672" t="str">
            <v>INF666M01CU8</v>
          </cell>
          <cell r="C7672" t="str">
            <v>INF666M01CV6</v>
          </cell>
          <cell r="D7672" t="str">
            <v>Groww Largecap Fund (formerly known as Indiabulls Bluechip Fund)- Regular Plan- Quarterly - Income Distribution cum capital withdrawal Option (Payout &amp; Reinvestment)</v>
          </cell>
          <cell r="E7672">
            <v>25.37</v>
          </cell>
        </row>
        <row r="7673">
          <cell r="B7673" t="str">
            <v/>
          </cell>
          <cell r="C7673" t="str">
            <v/>
          </cell>
          <cell r="D7673" t="str">
            <v/>
          </cell>
        </row>
        <row r="7674">
          <cell r="B7674" t="str">
            <v/>
          </cell>
          <cell r="C7674" t="str">
            <v/>
          </cell>
          <cell r="D7674" t="str">
            <v/>
          </cell>
        </row>
        <row r="7675">
          <cell r="B7675" t="str">
            <v/>
          </cell>
          <cell r="C7675" t="str">
            <v/>
          </cell>
          <cell r="D7675" t="str">
            <v/>
          </cell>
        </row>
        <row r="7676">
          <cell r="B7676" t="str">
            <v>INF174V01747</v>
          </cell>
          <cell r="C7676" t="str">
            <v>INF174V01739</v>
          </cell>
          <cell r="D7676" t="str">
            <v>Mahindra Manulife Large Cap Fund - Direct Plan - IDCW</v>
          </cell>
          <cell r="E7676">
            <v>17.554600000000001</v>
          </cell>
        </row>
        <row r="7677">
          <cell r="B7677" t="str">
            <v>INF174V01721</v>
          </cell>
          <cell r="C7677" t="str">
            <v>-</v>
          </cell>
          <cell r="D7677" t="str">
            <v>Mahindra Manulife Large Cap Fund - Direct Plan -Growth</v>
          </cell>
          <cell r="E7677">
            <v>25.197299999999998</v>
          </cell>
        </row>
        <row r="7678">
          <cell r="B7678" t="str">
            <v>INF174V01697</v>
          </cell>
          <cell r="C7678" t="str">
            <v>-</v>
          </cell>
          <cell r="D7678" t="str">
            <v>Mahindra Manulife Large Cap Fund - Regular Plan - Growth</v>
          </cell>
          <cell r="E7678">
            <v>22.092600000000001</v>
          </cell>
        </row>
        <row r="7679">
          <cell r="B7679" t="str">
            <v>INF174V01713</v>
          </cell>
          <cell r="C7679" t="str">
            <v>INF174V01705</v>
          </cell>
          <cell r="D7679" t="str">
            <v>Mahindra Manulife Large Cap Fund - Regular Plan - IDCW</v>
          </cell>
          <cell r="E7679">
            <v>14.7369</v>
          </cell>
        </row>
        <row r="7680">
          <cell r="B7680" t="str">
            <v/>
          </cell>
          <cell r="C7680" t="str">
            <v/>
          </cell>
          <cell r="D7680" t="str">
            <v/>
          </cell>
        </row>
        <row r="7681">
          <cell r="B7681" t="str">
            <v/>
          </cell>
          <cell r="C7681" t="str">
            <v/>
          </cell>
          <cell r="D7681" t="str">
            <v/>
          </cell>
        </row>
        <row r="7682">
          <cell r="B7682" t="str">
            <v/>
          </cell>
          <cell r="C7682" t="str">
            <v/>
          </cell>
          <cell r="D7682" t="str">
            <v/>
          </cell>
        </row>
        <row r="7683">
          <cell r="B7683" t="str">
            <v/>
          </cell>
          <cell r="C7683" t="str">
            <v/>
          </cell>
          <cell r="D7683" t="str">
            <v/>
          </cell>
        </row>
        <row r="7684">
          <cell r="B7684" t="str">
            <v/>
          </cell>
          <cell r="C7684" t="str">
            <v/>
          </cell>
          <cell r="D7684" t="str">
            <v/>
          </cell>
        </row>
        <row r="7685">
          <cell r="B7685" t="str">
            <v>INF666M01JD9</v>
          </cell>
          <cell r="C7685" t="str">
            <v>-</v>
          </cell>
          <cell r="D7685" t="str">
            <v>Groww Multicap Fund - Direct - Growth</v>
          </cell>
          <cell r="E7685">
            <v>11.9412</v>
          </cell>
        </row>
        <row r="7686">
          <cell r="B7686" t="str">
            <v>INF666M01JE7</v>
          </cell>
          <cell r="C7686" t="str">
            <v>INF666M01JF4</v>
          </cell>
          <cell r="D7686" t="str">
            <v>Groww Multicap Fund - Direct - IDCW</v>
          </cell>
          <cell r="E7686">
            <v>11.9411</v>
          </cell>
        </row>
        <row r="7687">
          <cell r="B7687" t="str">
            <v>INF666M01JG2</v>
          </cell>
          <cell r="C7687" t="str">
            <v>-</v>
          </cell>
          <cell r="D7687" t="str">
            <v>Groww Multicap Fund - Regular - Growth</v>
          </cell>
          <cell r="E7687">
            <v>11.5947</v>
          </cell>
        </row>
        <row r="7688">
          <cell r="B7688" t="str">
            <v>INF666M01JH0</v>
          </cell>
          <cell r="C7688" t="str">
            <v>INF666M01JI8</v>
          </cell>
          <cell r="D7688" t="str">
            <v>Groww Multicap Fund - Regular - IDCW</v>
          </cell>
          <cell r="E7688">
            <v>11.602600000000001</v>
          </cell>
        </row>
        <row r="7689">
          <cell r="B7689" t="str">
            <v/>
          </cell>
          <cell r="C7689" t="str">
            <v/>
          </cell>
          <cell r="D7689" t="str">
            <v/>
          </cell>
        </row>
        <row r="7690">
          <cell r="B7690" t="str">
            <v/>
          </cell>
          <cell r="C7690" t="str">
            <v/>
          </cell>
          <cell r="D7690" t="str">
            <v/>
          </cell>
        </row>
        <row r="7691">
          <cell r="B7691" t="str">
            <v/>
          </cell>
          <cell r="C7691" t="str">
            <v/>
          </cell>
          <cell r="D7691" t="str">
            <v/>
          </cell>
        </row>
        <row r="7692">
          <cell r="B7692" t="str">
            <v>INF174V01366</v>
          </cell>
          <cell r="C7692" t="str">
            <v>INF174V01358</v>
          </cell>
          <cell r="D7692" t="str">
            <v>Mahindra Manulife Multi Cap Fund - Direct Plan - IDCW</v>
          </cell>
          <cell r="E7692">
            <v>32.019300000000001</v>
          </cell>
        </row>
        <row r="7693">
          <cell r="B7693" t="str">
            <v>INF174V01341</v>
          </cell>
          <cell r="C7693" t="str">
            <v>-</v>
          </cell>
          <cell r="D7693" t="str">
            <v>Mahindra Manulife Multi Cap Fund - Direct Plan -Growth</v>
          </cell>
          <cell r="E7693">
            <v>44.739899999999999</v>
          </cell>
        </row>
        <row r="7694">
          <cell r="B7694" t="str">
            <v>INF174V01317</v>
          </cell>
          <cell r="C7694" t="str">
            <v>-</v>
          </cell>
          <cell r="D7694" t="str">
            <v>Mahindra Manulife Multi Cap Fund - Regular Plan - Growth</v>
          </cell>
          <cell r="E7694">
            <v>38.034700000000001</v>
          </cell>
        </row>
        <row r="7695">
          <cell r="B7695" t="str">
            <v>INF174V01333</v>
          </cell>
          <cell r="C7695" t="str">
            <v>INF174V01325</v>
          </cell>
          <cell r="D7695" t="str">
            <v>Mahindra Manulife Multi Cap Fund - Regular Plan - IDCW</v>
          </cell>
          <cell r="E7695">
            <v>25.9436</v>
          </cell>
        </row>
        <row r="7696">
          <cell r="B7696" t="str">
            <v/>
          </cell>
          <cell r="C7696" t="str">
            <v/>
          </cell>
          <cell r="D7696" t="str">
            <v/>
          </cell>
        </row>
        <row r="7697">
          <cell r="B7697" t="str">
            <v/>
          </cell>
          <cell r="C7697" t="str">
            <v/>
          </cell>
          <cell r="D7697" t="str">
            <v/>
          </cell>
        </row>
        <row r="7698">
          <cell r="B7698" t="str">
            <v/>
          </cell>
          <cell r="C7698" t="str">
            <v/>
          </cell>
          <cell r="D7698" t="str">
            <v/>
          </cell>
        </row>
        <row r="7699">
          <cell r="B7699" t="str">
            <v/>
          </cell>
          <cell r="C7699" t="str">
            <v/>
          </cell>
          <cell r="D7699" t="str">
            <v/>
          </cell>
        </row>
        <row r="7700">
          <cell r="B7700" t="str">
            <v/>
          </cell>
          <cell r="C7700" t="str">
            <v/>
          </cell>
          <cell r="D7700" t="str">
            <v/>
          </cell>
        </row>
        <row r="7701">
          <cell r="B7701" t="str">
            <v>INF666M01HS1</v>
          </cell>
          <cell r="C7701" t="str">
            <v>-</v>
          </cell>
          <cell r="D7701" t="str">
            <v>Groww Banking &amp; Financial Services Fund - Direct Plan - Growth</v>
          </cell>
          <cell r="E7701">
            <v>13.472099999999999</v>
          </cell>
        </row>
        <row r="7702">
          <cell r="B7702" t="str">
            <v>INF666M01HP7</v>
          </cell>
          <cell r="C7702" t="str">
            <v>-</v>
          </cell>
          <cell r="D7702" t="str">
            <v>Groww Banking &amp; Financial Services Fund - Regular - Growth</v>
          </cell>
          <cell r="E7702">
            <v>12.848000000000001</v>
          </cell>
        </row>
        <row r="7703">
          <cell r="B7703" t="str">
            <v>INF666M01HQ5</v>
          </cell>
          <cell r="C7703" t="str">
            <v>INF666M01HR3</v>
          </cell>
          <cell r="D7703" t="str">
            <v>Groww Banking &amp; Financial Services Fund - Regular Plan - IDCW</v>
          </cell>
          <cell r="E7703">
            <v>12.848100000000001</v>
          </cell>
        </row>
        <row r="7704">
          <cell r="B7704" t="str">
            <v>INF666M01HT9</v>
          </cell>
          <cell r="C7704" t="str">
            <v>INF666M01HU7</v>
          </cell>
          <cell r="D7704" t="str">
            <v>Groww Banking &amp; Financial Services Fund-IDCW</v>
          </cell>
          <cell r="E7704">
            <v>13.4712</v>
          </cell>
        </row>
        <row r="7705">
          <cell r="B7705" t="str">
            <v/>
          </cell>
          <cell r="C7705" t="str">
            <v/>
          </cell>
          <cell r="D7705" t="str">
            <v/>
          </cell>
        </row>
        <row r="7706">
          <cell r="B7706" t="str">
            <v/>
          </cell>
          <cell r="C7706" t="str">
            <v/>
          </cell>
          <cell r="D7706" t="str">
            <v/>
          </cell>
        </row>
        <row r="7707">
          <cell r="B7707" t="str">
            <v>INF666M01NK6</v>
          </cell>
          <cell r="C7707" t="str">
            <v>INF666M01NL4</v>
          </cell>
          <cell r="D7707" t="str">
            <v>Groww Small Cap Fund - Direct-IDCW</v>
          </cell>
          <cell r="E7707">
            <v>11.992900000000001</v>
          </cell>
        </row>
        <row r="7708">
          <cell r="B7708" t="str">
            <v>INF666M01NJ8</v>
          </cell>
          <cell r="C7708" t="str">
            <v>-</v>
          </cell>
          <cell r="D7708" t="str">
            <v>Groww Small Cap Fund-Direct-Growth</v>
          </cell>
          <cell r="E7708">
            <v>11.993</v>
          </cell>
        </row>
        <row r="7709">
          <cell r="B7709" t="str">
            <v>INF666M01NM2</v>
          </cell>
          <cell r="C7709" t="str">
            <v>-</v>
          </cell>
          <cell r="D7709" t="str">
            <v>Groww Small Cap Fund-Regular-Growth</v>
          </cell>
          <cell r="E7709">
            <v>11.890499999999999</v>
          </cell>
        </row>
        <row r="7710">
          <cell r="B7710" t="str">
            <v>INF666M01NN0</v>
          </cell>
          <cell r="C7710" t="str">
            <v>INF666M01NO8</v>
          </cell>
          <cell r="D7710" t="str">
            <v>Groww Small Cap Fund-Regular-IDCW</v>
          </cell>
          <cell r="E7710">
            <v>11.890499999999999</v>
          </cell>
        </row>
        <row r="7711">
          <cell r="B7711" t="str">
            <v/>
          </cell>
          <cell r="C7711" t="str">
            <v/>
          </cell>
          <cell r="D7711" t="str">
            <v/>
          </cell>
        </row>
        <row r="7712">
          <cell r="B7712" t="str">
            <v/>
          </cell>
          <cell r="C7712" t="str">
            <v/>
          </cell>
          <cell r="D7712" t="str">
            <v/>
          </cell>
        </row>
        <row r="7713">
          <cell r="B7713" t="str">
            <v/>
          </cell>
          <cell r="C7713" t="str">
            <v/>
          </cell>
          <cell r="D7713" t="str">
            <v/>
          </cell>
        </row>
        <row r="7714">
          <cell r="B7714" t="str">
            <v/>
          </cell>
          <cell r="C7714" t="str">
            <v/>
          </cell>
          <cell r="D7714" t="str">
            <v/>
          </cell>
        </row>
        <row r="7715">
          <cell r="B7715" t="str">
            <v/>
          </cell>
          <cell r="C7715" t="str">
            <v/>
          </cell>
          <cell r="D7715" t="str">
            <v/>
          </cell>
        </row>
        <row r="7716">
          <cell r="B7716" t="str">
            <v>INF174V01689</v>
          </cell>
          <cell r="C7716" t="str">
            <v>INF174V01671</v>
          </cell>
          <cell r="D7716" t="str">
            <v>Mahindra Manulife Consumption Fund - Direct Plan - IDCW</v>
          </cell>
          <cell r="E7716">
            <v>17.594100000000001</v>
          </cell>
        </row>
        <row r="7717">
          <cell r="B7717" t="str">
            <v>INF174V01663</v>
          </cell>
          <cell r="C7717" t="str">
            <v>-</v>
          </cell>
          <cell r="D7717" t="str">
            <v>Mahindra Manulife Consumption Fund - Direct Plan -Growth</v>
          </cell>
          <cell r="E7717">
            <v>24.845199999999998</v>
          </cell>
        </row>
        <row r="7718">
          <cell r="B7718" t="str">
            <v>INF174V01655</v>
          </cell>
          <cell r="C7718" t="str">
            <v>INF174V01648</v>
          </cell>
          <cell r="D7718" t="str">
            <v>Mahindra Manulife Consumption Fund - Regular Plan - IDCW</v>
          </cell>
          <cell r="E7718">
            <v>14.8308</v>
          </cell>
        </row>
        <row r="7719">
          <cell r="B7719" t="str">
            <v>INF174V01630</v>
          </cell>
          <cell r="C7719" t="str">
            <v>-</v>
          </cell>
          <cell r="D7719" t="str">
            <v>Mahindra Manulife Consumption Fund- Regular Plan - Growth</v>
          </cell>
          <cell r="E7719">
            <v>21.790800000000001</v>
          </cell>
        </row>
        <row r="7720">
          <cell r="B7720" t="str">
            <v/>
          </cell>
          <cell r="C7720" t="str">
            <v/>
          </cell>
          <cell r="D7720" t="str">
            <v/>
          </cell>
        </row>
        <row r="7721">
          <cell r="B7721" t="str">
            <v/>
          </cell>
          <cell r="C7721" t="str">
            <v/>
          </cell>
          <cell r="D7721" t="str">
            <v/>
          </cell>
        </row>
        <row r="7722">
          <cell r="B7722" t="str">
            <v/>
          </cell>
          <cell r="C7722" t="str">
            <v/>
          </cell>
          <cell r="D7722" t="str">
            <v/>
          </cell>
        </row>
        <row r="7723">
          <cell r="B7723" t="str">
            <v>INF769K01GW1</v>
          </cell>
          <cell r="C7723" t="str">
            <v>INF769K01GY7</v>
          </cell>
          <cell r="D7723" t="str">
            <v>Mirae Asset Banking and Financial Services Fund Direct  IDCW</v>
          </cell>
          <cell r="E7723">
            <v>23.363</v>
          </cell>
        </row>
        <row r="7724">
          <cell r="B7724" t="str">
            <v>INF769K01GX9</v>
          </cell>
          <cell r="C7724" t="str">
            <v>-</v>
          </cell>
          <cell r="D7724" t="str">
            <v>Mirae Asset Banking and Financial Services Fund Direct Growth</v>
          </cell>
          <cell r="E7724">
            <v>23.466000000000001</v>
          </cell>
        </row>
        <row r="7725">
          <cell r="B7725" t="str">
            <v>INF769K01GU5</v>
          </cell>
          <cell r="C7725" t="str">
            <v>-</v>
          </cell>
          <cell r="D7725" t="str">
            <v>Mirae Asset Banking and Financial Services Fund Regular Growth</v>
          </cell>
          <cell r="E7725">
            <v>21.51</v>
          </cell>
        </row>
        <row r="7726">
          <cell r="B7726" t="str">
            <v>INF769K01GT7</v>
          </cell>
          <cell r="C7726" t="str">
            <v>INF769K01GV3</v>
          </cell>
          <cell r="D7726" t="str">
            <v>Mirae Asset Banking and Financial Services Fund Regular IDCW</v>
          </cell>
          <cell r="E7726">
            <v>21.536999999999999</v>
          </cell>
        </row>
        <row r="7727">
          <cell r="B7727" t="str">
            <v>INF769K01BL5</v>
          </cell>
          <cell r="C7727" t="str">
            <v>-</v>
          </cell>
          <cell r="D7727" t="str">
            <v>Mirae Asset Great Consumer Fund - Direct Plan - Growth</v>
          </cell>
          <cell r="E7727">
            <v>110.833</v>
          </cell>
        </row>
        <row r="7728">
          <cell r="B7728" t="str">
            <v>INF769K01135</v>
          </cell>
          <cell r="C7728" t="str">
            <v>-</v>
          </cell>
          <cell r="D7728" t="str">
            <v>Mirae Asset Great Consumer Fund - Regular Plan - Growth option</v>
          </cell>
          <cell r="E7728">
            <v>91.682000000000002</v>
          </cell>
        </row>
        <row r="7729">
          <cell r="B7729" t="str">
            <v>INF769K01BM3</v>
          </cell>
          <cell r="C7729" t="str">
            <v>INF769K01BN1</v>
          </cell>
          <cell r="D7729" t="str">
            <v>Mirae Asset Great Consumer Fund Direct IDCW</v>
          </cell>
          <cell r="E7729">
            <v>66.546000000000006</v>
          </cell>
        </row>
        <row r="7730">
          <cell r="B7730" t="str">
            <v>INF769K01150</v>
          </cell>
          <cell r="C7730" t="str">
            <v>INF769K01143</v>
          </cell>
          <cell r="D7730" t="str">
            <v>Mirae Asset Great Consumer Fund Regular IDCW</v>
          </cell>
          <cell r="E7730">
            <v>25.686</v>
          </cell>
        </row>
        <row r="7731">
          <cell r="B7731" t="str">
            <v>INF769K01EA2</v>
          </cell>
          <cell r="C7731" t="str">
            <v>-</v>
          </cell>
          <cell r="D7731" t="str">
            <v>Mirae Asset Healthcare Fund -Regular Growth</v>
          </cell>
          <cell r="E7731">
            <v>44.44</v>
          </cell>
        </row>
        <row r="7732">
          <cell r="B7732" t="str">
            <v>INF769K01ED6</v>
          </cell>
          <cell r="C7732" t="str">
            <v>-</v>
          </cell>
          <cell r="D7732" t="str">
            <v>Mirae Asset Healthcare Fund Direct Growth</v>
          </cell>
          <cell r="E7732">
            <v>50.273000000000003</v>
          </cell>
        </row>
        <row r="7733">
          <cell r="B7733" t="str">
            <v>INF769K01EE4</v>
          </cell>
          <cell r="C7733" t="str">
            <v>INF769K01EF1</v>
          </cell>
          <cell r="D7733" t="str">
            <v>Mirae Asset Healthcare Fund Direct IDCW</v>
          </cell>
          <cell r="E7733">
            <v>30.279</v>
          </cell>
        </row>
        <row r="7734">
          <cell r="B7734" t="str">
            <v>INF769K01EB0</v>
          </cell>
          <cell r="C7734" t="str">
            <v>INF769K01EC8</v>
          </cell>
          <cell r="D7734" t="str">
            <v>Mirae Asset Healthcare Fund Regular IDCW</v>
          </cell>
          <cell r="E7734">
            <v>26.161000000000001</v>
          </cell>
        </row>
        <row r="7735">
          <cell r="B7735" t="str">
            <v>INF769K01PV4</v>
          </cell>
          <cell r="C7735" t="str">
            <v>-</v>
          </cell>
          <cell r="D7735" t="str">
            <v>Mirae Asset Infrastructure Fund - Direct Plan - Growth</v>
          </cell>
          <cell r="E7735">
            <v>11.134</v>
          </cell>
        </row>
        <row r="7736">
          <cell r="B7736" t="str">
            <v>INF769K01PX0</v>
          </cell>
          <cell r="C7736" t="str">
            <v>INF769K01PW2</v>
          </cell>
          <cell r="D7736" t="str">
            <v>Mirae Asset Infrastructure Fund - Direct Plan - IDCW</v>
          </cell>
          <cell r="E7736">
            <v>11.132999999999999</v>
          </cell>
        </row>
        <row r="7737">
          <cell r="B7737" t="str">
            <v>INF769K01PS0</v>
          </cell>
          <cell r="C7737" t="str">
            <v>-</v>
          </cell>
          <cell r="D7737" t="str">
            <v>Mirae Asset Infrastructure Fund - Regular Plan - Growth</v>
          </cell>
          <cell r="E7737">
            <v>11.022</v>
          </cell>
        </row>
        <row r="7738">
          <cell r="B7738" t="str">
            <v>INF769K01PU6</v>
          </cell>
          <cell r="C7738" t="str">
            <v>INF769K01PT8</v>
          </cell>
          <cell r="D7738" t="str">
            <v>Mirae Asset Infrastructure Fund - Regular Plan - IDCW</v>
          </cell>
          <cell r="E7738">
            <v>11.023999999999999</v>
          </cell>
        </row>
        <row r="7739">
          <cell r="B7739" t="str">
            <v/>
          </cell>
          <cell r="C7739" t="str">
            <v/>
          </cell>
          <cell r="D7739" t="str">
            <v/>
          </cell>
        </row>
        <row r="7740">
          <cell r="B7740" t="str">
            <v/>
          </cell>
          <cell r="C7740" t="str">
            <v/>
          </cell>
          <cell r="D7740" t="str">
            <v/>
          </cell>
        </row>
        <row r="7741">
          <cell r="B7741" t="str">
            <v/>
          </cell>
          <cell r="C7741" t="str">
            <v/>
          </cell>
          <cell r="D7741" t="str">
            <v/>
          </cell>
        </row>
        <row r="7742">
          <cell r="B7742" t="str">
            <v/>
          </cell>
          <cell r="C7742" t="str">
            <v/>
          </cell>
          <cell r="D7742" t="str">
            <v/>
          </cell>
        </row>
        <row r="7743">
          <cell r="B7743" t="str">
            <v/>
          </cell>
          <cell r="C7743" t="str">
            <v/>
          </cell>
          <cell r="D7743" t="str">
            <v/>
          </cell>
        </row>
        <row r="7744">
          <cell r="B7744" t="str">
            <v>INF666M01BE4</v>
          </cell>
          <cell r="C7744" t="str">
            <v>-</v>
          </cell>
          <cell r="D7744" t="str">
            <v>Groww Value Fund (formerly known as Indiabulls Value Fund) - Direct Plan - Growth Option</v>
          </cell>
          <cell r="E7744">
            <v>32.972299999999997</v>
          </cell>
        </row>
        <row r="7745">
          <cell r="B7745" t="str">
            <v>INF666M01BH7</v>
          </cell>
          <cell r="C7745" t="str">
            <v>-</v>
          </cell>
          <cell r="D7745" t="str">
            <v>Groww Value Fund (formerly known as Indiabulls Value Fund) - Regular Plan - Growth Option</v>
          </cell>
          <cell r="E7745">
            <v>27.268599999999999</v>
          </cell>
        </row>
        <row r="7746">
          <cell r="B7746" t="str">
            <v>INF666M01BF1</v>
          </cell>
          <cell r="C7746" t="str">
            <v>INF666M01BG9</v>
          </cell>
          <cell r="D7746" t="str">
            <v>Groww Value Fund (formerly known as Indiabulls Value Fund)- Direct Plan- - Income Distribution cum capital withdrawal Option (Payout &amp; Reinvestment)</v>
          </cell>
          <cell r="E7746">
            <v>32.849400000000003</v>
          </cell>
        </row>
        <row r="7747">
          <cell r="B7747" t="str">
            <v>INF666M01DC4</v>
          </cell>
          <cell r="C7747" t="str">
            <v>INF666M01DD2</v>
          </cell>
          <cell r="D7747" t="str">
            <v>Groww Value Fund (formerly known as Indiabulls Value Fund)- Direct Plan- Half Yearly - Income Distribution cum capital withdrawal Option (Payout &amp; Reinvestment)</v>
          </cell>
          <cell r="E7747">
            <v>26.399699999999999</v>
          </cell>
        </row>
        <row r="7748">
          <cell r="B7748" t="str">
            <v>INF666M01CY0</v>
          </cell>
          <cell r="C7748" t="str">
            <v>INF666M01CZ7</v>
          </cell>
          <cell r="D7748" t="str">
            <v>Groww Value Fund (formerly known as Indiabulls Value Fund)- Direct Plan- Monthly - Income Distribution cum capital withdrawal Option (Payout &amp; Reinvestment)</v>
          </cell>
          <cell r="E7748">
            <v>24.181100000000001</v>
          </cell>
        </row>
        <row r="7749">
          <cell r="B7749" t="str">
            <v>INF666M01DA8</v>
          </cell>
          <cell r="C7749" t="str">
            <v>INF666M01DB6</v>
          </cell>
          <cell r="D7749" t="str">
            <v>Groww Value Fund (formerly known as Indiabulls Value Fund)- Direct Plan- Quarterly - Income Distribution cum capital withdrawal Option (Payout &amp; Reinvestment)</v>
          </cell>
          <cell r="E7749">
            <v>26.378799999999998</v>
          </cell>
        </row>
        <row r="7750">
          <cell r="B7750" t="str">
            <v>INF666M01BI5</v>
          </cell>
          <cell r="C7750" t="str">
            <v>INF666M01BJ3</v>
          </cell>
          <cell r="D7750" t="str">
            <v>Groww Value Fund (formerly known as Indiabulls Value Fund)- Regular Plan - Income Distribution cum capital withdrawal Option (Payout &amp; Reinvestment)</v>
          </cell>
          <cell r="E7750">
            <v>27.259599999999999</v>
          </cell>
        </row>
        <row r="7751">
          <cell r="B7751" t="str">
            <v>INF666M01DI1</v>
          </cell>
          <cell r="C7751" t="str">
            <v>INF666M01DJ9</v>
          </cell>
          <cell r="D7751" t="str">
            <v>Groww Value Fund (formerly known as Indiabulls Value Fund)- Regular Plan- Half Yearly -Income Distribution cum capital withdrawal Option (Payout &amp; Reinvestment)</v>
          </cell>
          <cell r="E7751">
            <v>22.336300000000001</v>
          </cell>
        </row>
        <row r="7752">
          <cell r="B7752" t="str">
            <v>INF666M01DE0</v>
          </cell>
          <cell r="C7752" t="str">
            <v>INF666M01DF7</v>
          </cell>
          <cell r="D7752" t="str">
            <v>Groww Value Fund (formerly known as Indiabulls Value Fund)- Regular Plan- Monthly - Income Distribution cum capital withdrawal Option (Payout &amp; Reinvestment.</v>
          </cell>
          <cell r="E7752">
            <v>21.1616</v>
          </cell>
        </row>
        <row r="7753">
          <cell r="B7753" t="str">
            <v>INF666M01DG5</v>
          </cell>
          <cell r="C7753" t="str">
            <v>INF666M01DH3</v>
          </cell>
          <cell r="D7753" t="str">
            <v>Groww Value Fund (formerly known as Indiabulls Value Fund)- Regular Plan- Quarterly - Income Distribution cum capital withdrawal Option (Payout &amp; Reinvestment)</v>
          </cell>
          <cell r="E7753">
            <v>20.622900000000001</v>
          </cell>
        </row>
        <row r="7754">
          <cell r="B7754" t="str">
            <v/>
          </cell>
          <cell r="C7754" t="str">
            <v/>
          </cell>
          <cell r="D7754" t="str">
            <v/>
          </cell>
        </row>
        <row r="7755">
          <cell r="B7755" t="str">
            <v/>
          </cell>
          <cell r="C7755" t="str">
            <v/>
          </cell>
          <cell r="D7755" t="str">
            <v/>
          </cell>
        </row>
        <row r="7756">
          <cell r="B7756" t="str">
            <v/>
          </cell>
          <cell r="C7756" t="str">
            <v/>
          </cell>
          <cell r="D7756" t="str">
            <v/>
          </cell>
        </row>
        <row r="7757">
          <cell r="B7757" t="str">
            <v/>
          </cell>
          <cell r="C7757" t="str">
            <v/>
          </cell>
          <cell r="D7757" t="str">
            <v/>
          </cell>
        </row>
        <row r="7758">
          <cell r="B7758" t="str">
            <v/>
          </cell>
          <cell r="C7758" t="str">
            <v/>
          </cell>
          <cell r="D7758" t="str">
            <v/>
          </cell>
        </row>
        <row r="7759">
          <cell r="B7759" t="str">
            <v>INF209KB18T9</v>
          </cell>
          <cell r="C7759" t="str">
            <v>-</v>
          </cell>
          <cell r="D7759" t="str">
            <v>Aditya Birla Sun Life CRISIL Liquid Overnight ETF - IDCW Daily Reinvestment with Weekly Payout</v>
          </cell>
          <cell r="E7759">
            <v>1000</v>
          </cell>
        </row>
        <row r="7760">
          <cell r="B7760" t="str">
            <v/>
          </cell>
          <cell r="C7760" t="str">
            <v/>
          </cell>
          <cell r="D7760" t="str">
            <v/>
          </cell>
        </row>
        <row r="7761">
          <cell r="B7761" t="str">
            <v/>
          </cell>
          <cell r="C7761" t="str">
            <v/>
          </cell>
          <cell r="D7761" t="str">
            <v/>
          </cell>
        </row>
        <row r="7762">
          <cell r="B7762" t="str">
            <v>INF209KB10E8</v>
          </cell>
          <cell r="C7762" t="str">
            <v>-</v>
          </cell>
          <cell r="D7762" t="str">
            <v>Aditya Birla Sun Life BSE Sensex ETF</v>
          </cell>
          <cell r="E7762">
            <v>77.314499999999995</v>
          </cell>
        </row>
        <row r="7763">
          <cell r="B7763" t="str">
            <v>INF209KC1670</v>
          </cell>
          <cell r="C7763" t="str">
            <v>-</v>
          </cell>
          <cell r="D7763" t="str">
            <v>Aditya Birla Sun Life BSE Top 10 Banks ETF</v>
          </cell>
          <cell r="E7763">
            <v>169.6721</v>
          </cell>
        </row>
        <row r="7764">
          <cell r="B7764" t="str">
            <v>INF209KB18D3</v>
          </cell>
          <cell r="C7764" t="str">
            <v>-</v>
          </cell>
          <cell r="D7764" t="str">
            <v>Aditya Birla Sun Life Gold ETF</v>
          </cell>
          <cell r="E7764">
            <v>126.67610000000001</v>
          </cell>
        </row>
        <row r="7765">
          <cell r="B7765" t="str">
            <v>INF209KC1662</v>
          </cell>
          <cell r="C7765" t="str">
            <v>-</v>
          </cell>
          <cell r="D7765" t="str">
            <v>Aditya Birla Sun Life MSCI India ETF</v>
          </cell>
          <cell r="E7765">
            <v>29.3733</v>
          </cell>
        </row>
        <row r="7766">
          <cell r="B7766" t="str">
            <v>INF209KB15K4</v>
          </cell>
          <cell r="C7766" t="str">
            <v>-</v>
          </cell>
          <cell r="D7766" t="str">
            <v>Aditya Birla Sun Life Nifty 200 Quality 30 ETF</v>
          </cell>
          <cell r="E7766">
            <v>21.15</v>
          </cell>
        </row>
        <row r="7767">
          <cell r="B7767" t="str">
            <v>INF209KB19D1</v>
          </cell>
          <cell r="C7767" t="str">
            <v>-</v>
          </cell>
          <cell r="D7767" t="str">
            <v>Aditya Birla Sun Life Nifty 50 ETF</v>
          </cell>
          <cell r="E7767">
            <v>28.1036</v>
          </cell>
        </row>
        <row r="7768">
          <cell r="B7768" t="str">
            <v>INF209KB17D5</v>
          </cell>
          <cell r="C7768" t="str">
            <v>-</v>
          </cell>
          <cell r="D7768" t="str">
            <v>Aditya Birla Sun Life Nifty Bank ETF</v>
          </cell>
          <cell r="E7768">
            <v>58.566600000000001</v>
          </cell>
        </row>
        <row r="7769">
          <cell r="B7769" t="str">
            <v>INF209KB10C2</v>
          </cell>
          <cell r="C7769" t="str">
            <v>-</v>
          </cell>
          <cell r="D7769" t="str">
            <v>Aditya Birla Sun Life Nifty Healthcare ETF</v>
          </cell>
          <cell r="E7769">
            <v>16.823699999999999</v>
          </cell>
        </row>
        <row r="7770">
          <cell r="B7770" t="str">
            <v>INF209KB11D8</v>
          </cell>
          <cell r="C7770" t="str">
            <v>-</v>
          </cell>
          <cell r="D7770" t="str">
            <v>Aditya Birla Sun Life Nifty IT ETF</v>
          </cell>
          <cell r="E7770">
            <v>31.271799999999999</v>
          </cell>
        </row>
        <row r="7771">
          <cell r="B7771" t="str">
            <v>INF209KB16D7</v>
          </cell>
          <cell r="C7771" t="str">
            <v>-</v>
          </cell>
          <cell r="D7771" t="str">
            <v>Aditya Birla Sunlife Nifty Next 50 ETF</v>
          </cell>
          <cell r="E7771">
            <v>76.002700000000004</v>
          </cell>
        </row>
        <row r="7772">
          <cell r="B7772" t="str">
            <v>INF209KB19Z4</v>
          </cell>
          <cell r="C7772" t="str">
            <v>-</v>
          </cell>
          <cell r="D7772" t="str">
            <v>Aditya Birla Sun Life Nifty PSE ETF</v>
          </cell>
          <cell r="E7772">
            <v>10.3901</v>
          </cell>
        </row>
        <row r="7773">
          <cell r="B7773" t="str">
            <v>INF209KB19F6</v>
          </cell>
          <cell r="C7773" t="str">
            <v>-</v>
          </cell>
          <cell r="D7773" t="str">
            <v>Aditya Birla Sun Life Silver ETF</v>
          </cell>
          <cell r="E7773">
            <v>222.96129999999999</v>
          </cell>
        </row>
        <row r="7774">
          <cell r="B7774" t="str">
            <v/>
          </cell>
          <cell r="C7774" t="str">
            <v/>
          </cell>
          <cell r="D7774" t="str">
            <v/>
          </cell>
        </row>
        <row r="7775">
          <cell r="B7775" t="str">
            <v/>
          </cell>
          <cell r="C7775" t="str">
            <v/>
          </cell>
          <cell r="D7775" t="str">
            <v/>
          </cell>
        </row>
        <row r="7776">
          <cell r="B7776" t="str">
            <v/>
          </cell>
          <cell r="C7776" t="str">
            <v/>
          </cell>
          <cell r="D7776" t="str">
            <v/>
          </cell>
        </row>
        <row r="7777">
          <cell r="B7777" t="str">
            <v>INF0QA701CI0</v>
          </cell>
          <cell r="C7777" t="str">
            <v>-</v>
          </cell>
          <cell r="D7777" t="str">
            <v>Bajaj Finserv BSE Top 10 Banks ETF</v>
          </cell>
          <cell r="E7777">
            <v>20.891300000000001</v>
          </cell>
        </row>
        <row r="7778">
          <cell r="B7778" t="str">
            <v/>
          </cell>
          <cell r="C7778" t="str">
            <v/>
          </cell>
          <cell r="D7778" t="str">
            <v/>
          </cell>
        </row>
        <row r="7779">
          <cell r="B7779" t="str">
            <v/>
          </cell>
          <cell r="C7779" t="str">
            <v/>
          </cell>
          <cell r="D7779" t="str">
            <v/>
          </cell>
        </row>
        <row r="7780">
          <cell r="B7780" t="str">
            <v/>
          </cell>
          <cell r="C7780" t="str">
            <v/>
          </cell>
          <cell r="D7780" t="str">
            <v/>
          </cell>
        </row>
        <row r="7781">
          <cell r="B7781" t="str">
            <v>INF174KA1A94</v>
          </cell>
          <cell r="C7781" t="str">
            <v>-</v>
          </cell>
          <cell r="D7781" t="str">
            <v>Kotak Nifty Private Bank ETF</v>
          </cell>
          <cell r="E7781">
            <v>27.521000000000001</v>
          </cell>
        </row>
        <row r="7782">
          <cell r="B7782" t="str">
            <v>INF174KA1A86</v>
          </cell>
          <cell r="C7782" t="str">
            <v>-</v>
          </cell>
          <cell r="D7782" t="str">
            <v>Kotak Nifty PSU Bank ETF</v>
          </cell>
          <cell r="E7782">
            <v>83.972200000000001</v>
          </cell>
        </row>
        <row r="7783">
          <cell r="B7783" t="str">
            <v/>
          </cell>
          <cell r="C7783" t="str">
            <v/>
          </cell>
          <cell r="D7783" t="str">
            <v/>
          </cell>
        </row>
        <row r="7784">
          <cell r="B7784" t="str">
            <v/>
          </cell>
          <cell r="C7784" t="str">
            <v/>
          </cell>
          <cell r="D7784" t="str">
            <v/>
          </cell>
        </row>
        <row r="7785">
          <cell r="B7785" t="str">
            <v/>
          </cell>
          <cell r="C7785" t="str">
            <v/>
          </cell>
          <cell r="D7785" t="str">
            <v/>
          </cell>
        </row>
        <row r="7786">
          <cell r="B7786" t="str">
            <v>INF769K01RC0</v>
          </cell>
          <cell r="C7786" t="str">
            <v>-</v>
          </cell>
          <cell r="D7786" t="str">
            <v>Mirae Asset BSE Midcap 150 Momentum 30 ETF</v>
          </cell>
          <cell r="E7786">
            <v>12.4924</v>
          </cell>
        </row>
        <row r="7787">
          <cell r="B7787" t="str">
            <v/>
          </cell>
          <cell r="C7787" t="str">
            <v/>
          </cell>
          <cell r="D7787" t="str">
            <v/>
          </cell>
        </row>
        <row r="7788">
          <cell r="B7788" t="str">
            <v/>
          </cell>
          <cell r="C7788" t="str">
            <v/>
          </cell>
          <cell r="D7788" t="str">
            <v/>
          </cell>
        </row>
        <row r="7789">
          <cell r="B7789" t="str">
            <v/>
          </cell>
          <cell r="C7789" t="str">
            <v/>
          </cell>
          <cell r="D7789" t="str">
            <v/>
          </cell>
        </row>
        <row r="7790">
          <cell r="B7790" t="str">
            <v/>
          </cell>
          <cell r="C7790" t="str">
            <v/>
          </cell>
          <cell r="D7790" t="str">
            <v/>
          </cell>
        </row>
        <row r="7791">
          <cell r="B7791" t="str">
            <v/>
          </cell>
          <cell r="C7791" t="str">
            <v/>
          </cell>
          <cell r="D7791" t="str">
            <v/>
          </cell>
        </row>
        <row r="7792">
          <cell r="B7792" t="str">
            <v>INF209KB16F2</v>
          </cell>
          <cell r="C7792" t="str">
            <v>-</v>
          </cell>
          <cell r="D7792" t="str">
            <v>Aditya Birla Sun Life Silver ETF FOF-Direct Growth</v>
          </cell>
          <cell r="E7792">
            <v>34.630400000000002</v>
          </cell>
        </row>
        <row r="7793">
          <cell r="B7793" t="str">
            <v>INF209KB17F0</v>
          </cell>
          <cell r="C7793" t="str">
            <v>INF209KB18F8</v>
          </cell>
          <cell r="D7793" t="str">
            <v>Aditya Birla Sun Life Silver ETF FOF-Direct IDCW</v>
          </cell>
          <cell r="E7793">
            <v>34.617899999999999</v>
          </cell>
        </row>
        <row r="7794">
          <cell r="B7794" t="str">
            <v>INF209KB13F9</v>
          </cell>
          <cell r="C7794" t="str">
            <v>-</v>
          </cell>
          <cell r="D7794" t="str">
            <v>Aditya Birla Sun Life Silver ETF FOF-Regular Growth</v>
          </cell>
          <cell r="E7794">
            <v>33.9392</v>
          </cell>
        </row>
        <row r="7795">
          <cell r="B7795" t="str">
            <v>INF209KB14F7</v>
          </cell>
          <cell r="C7795" t="str">
            <v>INF209KB15F4</v>
          </cell>
          <cell r="D7795" t="str">
            <v>Aditya Birla Sun Life Silver ETF FOF-Regular IDCW</v>
          </cell>
          <cell r="E7795">
            <v>33.932699999999997</v>
          </cell>
        </row>
        <row r="7796">
          <cell r="B7796" t="str">
            <v/>
          </cell>
          <cell r="C7796" t="str">
            <v/>
          </cell>
          <cell r="D7796" t="str">
            <v/>
          </cell>
        </row>
        <row r="7797">
          <cell r="B7797" t="str">
            <v/>
          </cell>
          <cell r="C7797" t="str">
            <v/>
          </cell>
          <cell r="D7797" t="str">
            <v/>
          </cell>
        </row>
        <row r="7798">
          <cell r="B7798" t="str">
            <v/>
          </cell>
          <cell r="C7798" t="str">
            <v/>
          </cell>
          <cell r="D7798" t="str">
            <v/>
          </cell>
        </row>
        <row r="7799">
          <cell r="B7799" t="str">
            <v>INF174KA1ZO0</v>
          </cell>
          <cell r="C7799" t="str">
            <v>-</v>
          </cell>
          <cell r="D7799" t="str">
            <v>Kotak Multi Asset Active FOF - Direct - Growth</v>
          </cell>
          <cell r="E7799">
            <v>10.141</v>
          </cell>
        </row>
        <row r="7800">
          <cell r="B7800" t="str">
            <v>INF174KA1ZP7</v>
          </cell>
          <cell r="C7800" t="str">
            <v>INF174KA1ZQ5</v>
          </cell>
          <cell r="D7800" t="str">
            <v>Kotak Multi Asset Active FOF - Direct - IDCW</v>
          </cell>
          <cell r="E7800">
            <v>10.141</v>
          </cell>
        </row>
        <row r="7801">
          <cell r="B7801" t="str">
            <v>INF174KA1ZR3</v>
          </cell>
          <cell r="C7801" t="str">
            <v>-</v>
          </cell>
          <cell r="D7801" t="str">
            <v>Kotak Multi Asset Active FOF - Regular - Growth</v>
          </cell>
          <cell r="E7801">
            <v>10.122999999999999</v>
          </cell>
        </row>
        <row r="7802">
          <cell r="B7802" t="str">
            <v>INF174KA1ZS1</v>
          </cell>
          <cell r="C7802" t="str">
            <v>INF174KA1ZT9</v>
          </cell>
          <cell r="D7802" t="str">
            <v>Kotak Multi Asset Active FOF - Regular- IDCW</v>
          </cell>
          <cell r="E7802">
            <v>10.122999999999999</v>
          </cell>
        </row>
        <row r="7803">
          <cell r="B7803" t="str">
            <v/>
          </cell>
          <cell r="C7803" t="str">
            <v/>
          </cell>
          <cell r="D7803" t="str">
            <v/>
          </cell>
        </row>
        <row r="7804">
          <cell r="B7804" t="str">
            <v/>
          </cell>
          <cell r="C7804" t="str">
            <v/>
          </cell>
          <cell r="D7804" t="str">
            <v/>
          </cell>
        </row>
        <row r="7805">
          <cell r="B7805" t="str">
            <v/>
          </cell>
          <cell r="C7805" t="str">
            <v/>
          </cell>
          <cell r="D7805" t="str">
            <v/>
          </cell>
        </row>
        <row r="7806">
          <cell r="B7806" t="str">
            <v/>
          </cell>
          <cell r="C7806" t="str">
            <v/>
          </cell>
          <cell r="D7806" t="str">
            <v/>
          </cell>
        </row>
        <row r="7807">
          <cell r="B7807" t="str">
            <v/>
          </cell>
          <cell r="C7807" t="str">
            <v/>
          </cell>
          <cell r="D7807" t="str">
            <v/>
          </cell>
        </row>
        <row r="7808">
          <cell r="B7808" t="str">
            <v>INF109K019C3</v>
          </cell>
          <cell r="C7808" t="str">
            <v>INF109K010D0</v>
          </cell>
          <cell r="D7808" t="str">
            <v>ICICI Prudential Gilt Fund Investment Plan PF Option - Direct Plan - Half Yearly Dividend</v>
          </cell>
          <cell r="E7808">
            <v>10.9255</v>
          </cell>
        </row>
        <row r="7809">
          <cell r="B7809" t="str">
            <v>INF109K011D8</v>
          </cell>
          <cell r="C7809" t="str">
            <v>-</v>
          </cell>
          <cell r="D7809" t="str">
            <v>ICICI Prudential Gilt Fund Investment Plan PF Option - Direct Plan -Growth Option</v>
          </cell>
          <cell r="E7809">
            <v>35.531300000000002</v>
          </cell>
        </row>
        <row r="7810">
          <cell r="B7810" t="str">
            <v>INF109K01JS2</v>
          </cell>
          <cell r="C7810" t="str">
            <v>-</v>
          </cell>
          <cell r="D7810" t="str">
            <v>ICICI Prudential Gilt Fund Investment Plan PF Option - Growth</v>
          </cell>
          <cell r="E7810">
            <v>34.964599999999997</v>
          </cell>
        </row>
        <row r="7811">
          <cell r="B7811" t="str">
            <v>INF109K01I15</v>
          </cell>
          <cell r="C7811" t="str">
            <v>INF109K01I07</v>
          </cell>
          <cell r="D7811" t="str">
            <v>ICICI Prudential Gilt Fund Investment Plan PF Option - Half Yearly Dividend</v>
          </cell>
          <cell r="E7811">
            <v>11.258699999999999</v>
          </cell>
        </row>
        <row r="7812">
          <cell r="B7812" t="str">
            <v>INF109KA1C31</v>
          </cell>
          <cell r="C7812" t="str">
            <v>-</v>
          </cell>
          <cell r="D7812" t="str">
            <v>ICICI Prudential Gilt Investment PF Option - Bonus</v>
          </cell>
          <cell r="E7812">
            <v>14.058400000000001</v>
          </cell>
        </row>
        <row r="7813">
          <cell r="B7813" t="str">
            <v>INF109KA1C23</v>
          </cell>
          <cell r="C7813" t="str">
            <v>-</v>
          </cell>
          <cell r="D7813" t="str">
            <v>ICICI Prudential Gilt Investment PF Option - Direct Plan Bonus</v>
          </cell>
          <cell r="E7813">
            <v>14.5046</v>
          </cell>
        </row>
        <row r="7814">
          <cell r="B7814" t="str">
            <v>INF109K017D5</v>
          </cell>
          <cell r="C7814" t="str">
            <v>INF109K018D3</v>
          </cell>
          <cell r="D7814" t="str">
            <v>ICICI Prudential Gilt Fund Treasury Plan PF Option - Direct Plan - Half Yearly Dividend</v>
          </cell>
          <cell r="E7814">
            <v>11.577299999999999</v>
          </cell>
        </row>
        <row r="7815">
          <cell r="B7815" t="str">
            <v>INF109K019D1</v>
          </cell>
          <cell r="C7815" t="str">
            <v>INF109K010E8</v>
          </cell>
          <cell r="D7815" t="str">
            <v>ICICI Prudential Gilt Fund Treasury Plan PF Option - Direct Plan - Quarterly Dividend</v>
          </cell>
          <cell r="E7815">
            <v>13.334</v>
          </cell>
        </row>
        <row r="7816">
          <cell r="B7816" t="str">
            <v>INF109K011E6</v>
          </cell>
          <cell r="C7816" t="str">
            <v>-</v>
          </cell>
          <cell r="D7816" t="str">
            <v>ICICI Prudential Gilt Fund Treasury Plan PF Option - Direct Plan -Growth Option</v>
          </cell>
          <cell r="E7816">
            <v>25.842700000000001</v>
          </cell>
        </row>
        <row r="7817">
          <cell r="B7817" t="str">
            <v>INF109K01KA8</v>
          </cell>
          <cell r="C7817" t="str">
            <v>-</v>
          </cell>
          <cell r="D7817" t="str">
            <v>ICICI Prudential Gilt Fund Treasury Plan PF Option - Growth</v>
          </cell>
          <cell r="E7817">
            <v>25.2302</v>
          </cell>
        </row>
        <row r="7818">
          <cell r="B7818" t="str">
            <v>INF109K01I56</v>
          </cell>
          <cell r="C7818" t="str">
            <v>INF109K01I31</v>
          </cell>
          <cell r="D7818" t="str">
            <v>ICICI Prudential Gilt Fund Treasury Plan PF Option - Half Yearly Dividend</v>
          </cell>
          <cell r="E7818">
            <v>11.07</v>
          </cell>
        </row>
        <row r="7819">
          <cell r="B7819" t="str">
            <v>INF109K01I49</v>
          </cell>
          <cell r="C7819" t="str">
            <v>INF109K01I23</v>
          </cell>
          <cell r="D7819" t="str">
            <v>ICICI Prudential Gilt Fund Treasury Plan PF Option - Quarterly Dividend</v>
          </cell>
          <cell r="E7819">
            <v>13.140700000000001</v>
          </cell>
        </row>
        <row r="7820">
          <cell r="B7820" t="str">
            <v>INF109KA1C56</v>
          </cell>
          <cell r="C7820" t="str">
            <v>-</v>
          </cell>
          <cell r="D7820" t="str">
            <v>ICICI Prudential Gilt Treasury PF Option - Bonus</v>
          </cell>
          <cell r="E7820">
            <v>13.108700000000001</v>
          </cell>
        </row>
        <row r="7821">
          <cell r="B7821" t="str">
            <v/>
          </cell>
          <cell r="C7821" t="str">
            <v/>
          </cell>
          <cell r="D7821" t="str">
            <v/>
          </cell>
        </row>
        <row r="7822">
          <cell r="B7822" t="str">
            <v/>
          </cell>
          <cell r="C7822" t="str">
            <v/>
          </cell>
          <cell r="D7822" t="str">
            <v/>
          </cell>
        </row>
        <row r="7823">
          <cell r="B7823" t="str">
            <v>INF109K01DZ0</v>
          </cell>
          <cell r="C7823" t="str">
            <v>INF109K01AO0</v>
          </cell>
          <cell r="D7823" t="str">
            <v>ICICI Prudential Blended Plan A -  Dividend</v>
          </cell>
          <cell r="E7823">
            <v>13.5898</v>
          </cell>
        </row>
        <row r="7824">
          <cell r="B7824" t="str">
            <v>INF109KA1B65</v>
          </cell>
          <cell r="C7824" t="str">
            <v>-</v>
          </cell>
          <cell r="D7824" t="str">
            <v>ICICI Prudential Blended Plan A - Direct Plan Bonus</v>
          </cell>
          <cell r="E7824">
            <v>10.9152</v>
          </cell>
        </row>
        <row r="7825">
          <cell r="B7825" t="str">
            <v>INF109K01AP7</v>
          </cell>
          <cell r="C7825" t="str">
            <v>-</v>
          </cell>
          <cell r="D7825" t="str">
            <v>ICICI Prudential Blended Plan A - Growth</v>
          </cell>
          <cell r="E7825">
            <v>22.758700000000001</v>
          </cell>
        </row>
        <row r="7826">
          <cell r="B7826" t="str">
            <v>INF109K013C6</v>
          </cell>
          <cell r="C7826" t="str">
            <v>INF109K014C4</v>
          </cell>
          <cell r="D7826" t="str">
            <v>ICICI Prudential Blended Plan A-Direct Plan -  Dividend</v>
          </cell>
          <cell r="E7826">
            <v>13.6408</v>
          </cell>
        </row>
        <row r="7827">
          <cell r="B7827" t="str">
            <v>INF109K015C1</v>
          </cell>
          <cell r="C7827" t="str">
            <v>-</v>
          </cell>
          <cell r="D7827" t="str">
            <v>ICICI Prudential Blended Plan A-Direct Plan -  Growth</v>
          </cell>
          <cell r="E7827">
            <v>23.093299999999999</v>
          </cell>
        </row>
        <row r="7828">
          <cell r="B7828" t="str">
            <v/>
          </cell>
          <cell r="C7828" t="str">
            <v/>
          </cell>
          <cell r="D7828" t="str">
            <v/>
          </cell>
        </row>
        <row r="7829">
          <cell r="B7829" t="str">
            <v/>
          </cell>
          <cell r="C7829" t="str">
            <v/>
          </cell>
          <cell r="D7829" t="str">
            <v/>
          </cell>
        </row>
        <row r="7830">
          <cell r="B7830" t="str">
            <v/>
          </cell>
          <cell r="C7830" t="str">
            <v/>
          </cell>
          <cell r="D7830" t="str">
            <v/>
          </cell>
        </row>
        <row r="7831">
          <cell r="B7831" t="str">
            <v/>
          </cell>
          <cell r="C7831" t="str">
            <v/>
          </cell>
          <cell r="D7831" t="str">
            <v/>
          </cell>
        </row>
        <row r="7832">
          <cell r="B7832" t="str">
            <v/>
          </cell>
          <cell r="C7832" t="str">
            <v/>
          </cell>
          <cell r="D7832" t="str">
            <v/>
          </cell>
        </row>
        <row r="7833">
          <cell r="B7833" t="str">
            <v>INF209K01ZC0</v>
          </cell>
          <cell r="C7833" t="str">
            <v>-</v>
          </cell>
          <cell r="D7833" t="str">
            <v>Aditya Birla Sun Life Equity Hybrid'95 Fund - Direct Plan-Growth</v>
          </cell>
          <cell r="E7833">
            <v>1728.95</v>
          </cell>
        </row>
        <row r="7834">
          <cell r="B7834" t="str">
            <v>INF209K01BT5</v>
          </cell>
          <cell r="C7834" t="str">
            <v>-</v>
          </cell>
          <cell r="D7834" t="str">
            <v>Aditya Birla Sun Life Equity Hybrid'95 Fund - Regular Plan-Growth</v>
          </cell>
          <cell r="E7834">
            <v>1532.04</v>
          </cell>
        </row>
        <row r="7835">
          <cell r="B7835" t="str">
            <v>INF209KA1LH3</v>
          </cell>
          <cell r="C7835" t="str">
            <v>INF209K01ZB2</v>
          </cell>
          <cell r="D7835" t="str">
            <v>Aditya Birla Sun Life Equity Hybrid'95 Fund -DIRECT - IDCW</v>
          </cell>
          <cell r="E7835">
            <v>294.23</v>
          </cell>
        </row>
        <row r="7836">
          <cell r="B7836" t="str">
            <v>INF209K01BS7</v>
          </cell>
          <cell r="C7836" t="str">
            <v>INF209K01EE1</v>
          </cell>
          <cell r="D7836" t="str">
            <v>Aditya Birla Sun Life Equity Hybrid'95 Fund -Regular - IDCW</v>
          </cell>
          <cell r="E7836">
            <v>170.89</v>
          </cell>
        </row>
        <row r="7837">
          <cell r="B7837" t="str">
            <v/>
          </cell>
          <cell r="C7837" t="str">
            <v/>
          </cell>
          <cell r="D7837" t="str">
            <v/>
          </cell>
        </row>
        <row r="7838">
          <cell r="B7838" t="str">
            <v/>
          </cell>
          <cell r="C7838" t="str">
            <v/>
          </cell>
          <cell r="D7838" t="str">
            <v/>
          </cell>
        </row>
        <row r="7839">
          <cell r="B7839" t="str">
            <v/>
          </cell>
          <cell r="C7839" t="str">
            <v/>
          </cell>
          <cell r="D7839" t="str">
            <v/>
          </cell>
        </row>
        <row r="7840">
          <cell r="B7840" t="str">
            <v>INF846K01E25</v>
          </cell>
          <cell r="C7840" t="str">
            <v>-</v>
          </cell>
          <cell r="D7840" t="str">
            <v>Axis Aggressive Hybrid Fund - Direct Plan - Growth Option</v>
          </cell>
          <cell r="E7840">
            <v>22.83</v>
          </cell>
        </row>
        <row r="7841">
          <cell r="B7841" t="str">
            <v>INF846K01E33</v>
          </cell>
          <cell r="C7841" t="str">
            <v>INF846K01E41</v>
          </cell>
          <cell r="D7841" t="str">
            <v>Axis Aggressive Hybrid Fund - Direct Plan - Monthly IDCW</v>
          </cell>
          <cell r="E7841">
            <v>15.48</v>
          </cell>
        </row>
        <row r="7842">
          <cell r="B7842" t="str">
            <v>INF846K01E58</v>
          </cell>
          <cell r="C7842" t="str">
            <v>INF846K01E66</v>
          </cell>
          <cell r="D7842" t="str">
            <v>Axis Aggressive Hybrid Fund - Direct Plan - Quarterly IDCW</v>
          </cell>
          <cell r="E7842">
            <v>14.66</v>
          </cell>
        </row>
        <row r="7843">
          <cell r="B7843" t="str">
            <v>INF846K01E09</v>
          </cell>
          <cell r="C7843" t="str">
            <v>INF846K01E17</v>
          </cell>
          <cell r="D7843" t="str">
            <v>Axis Aggressive Hybrid Fund - Direct Plan - Regular IDCW</v>
          </cell>
          <cell r="E7843">
            <v>15.39</v>
          </cell>
        </row>
        <row r="7844">
          <cell r="B7844" t="str">
            <v>INF846K01E90</v>
          </cell>
          <cell r="C7844" t="str">
            <v>-</v>
          </cell>
          <cell r="D7844" t="str">
            <v>Axis Aggressive Hybrid Fund - Regular Plan - Growth Option</v>
          </cell>
          <cell r="E7844">
            <v>20.6</v>
          </cell>
        </row>
        <row r="7845">
          <cell r="B7845" t="str">
            <v>INF846K01F08</v>
          </cell>
          <cell r="C7845" t="str">
            <v>INF846K01F16</v>
          </cell>
          <cell r="D7845" t="str">
            <v>Axis Aggressive Hybrid Fund - Regular Plan - Monthly IDCW</v>
          </cell>
          <cell r="E7845">
            <v>12.61</v>
          </cell>
        </row>
        <row r="7846">
          <cell r="B7846" t="str">
            <v>INF846K01F24</v>
          </cell>
          <cell r="C7846" t="str">
            <v>INF846K01F32</v>
          </cell>
          <cell r="D7846" t="str">
            <v>Axis Aggressive Hybrid Fund - Regular Plan - Quarterly IDCW</v>
          </cell>
          <cell r="E7846">
            <v>12.7</v>
          </cell>
        </row>
        <row r="7847">
          <cell r="B7847" t="str">
            <v>INF846K01E74</v>
          </cell>
          <cell r="C7847" t="str">
            <v>INF846K01E82</v>
          </cell>
          <cell r="D7847" t="str">
            <v>Axis Aggressive Hybrid Fund - Regular Plan - Regular IDCW</v>
          </cell>
          <cell r="E7847">
            <v>13.84</v>
          </cell>
        </row>
        <row r="7848">
          <cell r="B7848" t="str">
            <v/>
          </cell>
          <cell r="C7848" t="str">
            <v/>
          </cell>
          <cell r="D7848" t="str">
            <v/>
          </cell>
        </row>
        <row r="7849">
          <cell r="B7849" t="str">
            <v/>
          </cell>
          <cell r="C7849" t="str">
            <v/>
          </cell>
          <cell r="D7849" t="str">
            <v/>
          </cell>
        </row>
        <row r="7850">
          <cell r="B7850" t="str">
            <v/>
          </cell>
          <cell r="C7850" t="str">
            <v/>
          </cell>
          <cell r="D7850" t="str">
            <v/>
          </cell>
        </row>
        <row r="7851">
          <cell r="B7851" t="str">
            <v>INF194KA1U56</v>
          </cell>
          <cell r="C7851" t="str">
            <v>-</v>
          </cell>
          <cell r="D7851" t="str">
            <v>Bandhan Aggressive Hybrid Fund-Direct Plan Growth</v>
          </cell>
          <cell r="E7851">
            <v>31.5</v>
          </cell>
        </row>
        <row r="7852">
          <cell r="B7852" t="str">
            <v>INF194KA1U64</v>
          </cell>
          <cell r="C7852" t="str">
            <v>INF194KA1U72</v>
          </cell>
          <cell r="D7852" t="str">
            <v>Bandhan Aggressive Hybrid Fund-Direct Plan IDCW</v>
          </cell>
          <cell r="E7852">
            <v>21.837</v>
          </cell>
        </row>
        <row r="7853">
          <cell r="B7853" t="str">
            <v>INF194KA1U15</v>
          </cell>
          <cell r="C7853" t="str">
            <v>-</v>
          </cell>
          <cell r="D7853" t="str">
            <v>Bandhan Aggressive Hybrid Fund-Regular Plan Growth</v>
          </cell>
          <cell r="E7853">
            <v>27.488</v>
          </cell>
        </row>
        <row r="7854">
          <cell r="B7854" t="str">
            <v>INF194KA1U23</v>
          </cell>
          <cell r="C7854" t="str">
            <v>INF194KA1U31</v>
          </cell>
          <cell r="D7854" t="str">
            <v>Bandhan Aggressive Hybrid Fund-Regular Plan IDCW</v>
          </cell>
          <cell r="E7854">
            <v>19.081</v>
          </cell>
        </row>
        <row r="7855">
          <cell r="B7855" t="str">
            <v/>
          </cell>
          <cell r="C7855" t="str">
            <v/>
          </cell>
          <cell r="D7855" t="str">
            <v/>
          </cell>
        </row>
        <row r="7856">
          <cell r="B7856" t="str">
            <v/>
          </cell>
          <cell r="C7856" t="str">
            <v/>
          </cell>
          <cell r="D7856" t="str">
            <v/>
          </cell>
        </row>
        <row r="7857">
          <cell r="B7857" t="str">
            <v/>
          </cell>
          <cell r="C7857" t="str">
            <v/>
          </cell>
          <cell r="D7857" t="str">
            <v/>
          </cell>
        </row>
        <row r="7858">
          <cell r="B7858" t="str">
            <v>INF761K01DM6</v>
          </cell>
          <cell r="C7858" t="str">
            <v>-</v>
          </cell>
          <cell r="D7858" t="str">
            <v>BANK OF INDIA MID &amp; SMALL CAP EQUITY &amp; DEBT FUND - DIRECT PLAN GROWTH</v>
          </cell>
          <cell r="E7858">
            <v>46.23</v>
          </cell>
        </row>
        <row r="7859">
          <cell r="B7859" t="str">
            <v>INF761K01DN4</v>
          </cell>
          <cell r="C7859" t="str">
            <v>INF761K01DO2</v>
          </cell>
          <cell r="D7859" t="str">
            <v>BANK OF INDIA MID &amp; SMALL CAP EQUITY &amp; DEBT FUND - DIRECT PLAN IDCW</v>
          </cell>
          <cell r="E7859">
            <v>36.07</v>
          </cell>
        </row>
        <row r="7860">
          <cell r="B7860" t="str">
            <v>INF761K01DP9</v>
          </cell>
          <cell r="C7860" t="str">
            <v>-</v>
          </cell>
          <cell r="D7860" t="str">
            <v>BANK OF INDIA MID &amp; SMALL CAP EQUITY &amp; DEBT FUND - REGULAR  PLAN  GROWTH</v>
          </cell>
          <cell r="E7860">
            <v>41.84</v>
          </cell>
        </row>
        <row r="7861">
          <cell r="B7861" t="str">
            <v>INF761K01DQ7</v>
          </cell>
          <cell r="C7861" t="str">
            <v>INF761K01DR5</v>
          </cell>
          <cell r="D7861" t="str">
            <v>BANK OF INDIA MID &amp; SMALL CAP EQUITY &amp; DEBT FUND - REGULAR  PLAN IDCW</v>
          </cell>
          <cell r="E7861">
            <v>33.9</v>
          </cell>
        </row>
        <row r="7862">
          <cell r="B7862" t="str">
            <v/>
          </cell>
          <cell r="C7862" t="str">
            <v/>
          </cell>
          <cell r="D7862" t="str">
            <v/>
          </cell>
        </row>
        <row r="7863">
          <cell r="B7863" t="str">
            <v/>
          </cell>
          <cell r="C7863" t="str">
            <v/>
          </cell>
          <cell r="D7863" t="str">
            <v/>
          </cell>
        </row>
        <row r="7864">
          <cell r="B7864" t="str">
            <v/>
          </cell>
          <cell r="C7864" t="str">
            <v/>
          </cell>
          <cell r="D7864" t="str">
            <v/>
          </cell>
        </row>
        <row r="7865">
          <cell r="B7865" t="str">
            <v>INF251K01PB5</v>
          </cell>
          <cell r="C7865" t="str">
            <v>INF251K01PA7</v>
          </cell>
          <cell r="D7865" t="str">
            <v>Baroda BNP Paribas Aggressive Hybrid Fund -DIRECT PLAN- IDCW OPTION</v>
          </cell>
          <cell r="E7865">
            <v>17.935199999999998</v>
          </cell>
        </row>
        <row r="7866">
          <cell r="B7866" t="str">
            <v>INF251K01OZ7</v>
          </cell>
          <cell r="C7866" t="str">
            <v>-</v>
          </cell>
          <cell r="D7866" t="str">
            <v>Baroda BNP Paribas Aggressive Hybrid Fund- DIRECT PLAN - GROWTH OPTION</v>
          </cell>
          <cell r="E7866">
            <v>32.318899999999999</v>
          </cell>
        </row>
        <row r="7867">
          <cell r="B7867" t="str">
            <v>INF251K01OY0</v>
          </cell>
          <cell r="C7867" t="str">
            <v>INF251K01OX2</v>
          </cell>
          <cell r="D7867" t="str">
            <v>Baroda BNP Paribas Aggressive Hybrid Fund- REGULAR PLAN- IDCW OPTION</v>
          </cell>
          <cell r="E7867">
            <v>15.4476</v>
          </cell>
        </row>
        <row r="7868">
          <cell r="B7868" t="str">
            <v>INF251K01OW4</v>
          </cell>
          <cell r="C7868" t="str">
            <v>-</v>
          </cell>
          <cell r="D7868" t="str">
            <v>Baroda BNP Paribas Aggressive Hybrid Fund- REGULAT PLAN -GROWTH OPTION</v>
          </cell>
          <cell r="E7868">
            <v>27.8203</v>
          </cell>
        </row>
        <row r="7869">
          <cell r="B7869" t="str">
            <v/>
          </cell>
          <cell r="C7869" t="str">
            <v/>
          </cell>
          <cell r="D7869" t="str">
            <v/>
          </cell>
        </row>
        <row r="7870">
          <cell r="B7870" t="str">
            <v/>
          </cell>
          <cell r="C7870" t="str">
            <v/>
          </cell>
          <cell r="D7870" t="str">
            <v/>
          </cell>
        </row>
        <row r="7871">
          <cell r="B7871" t="str">
            <v/>
          </cell>
          <cell r="C7871" t="str">
            <v/>
          </cell>
          <cell r="D7871" t="str">
            <v/>
          </cell>
        </row>
        <row r="7872">
          <cell r="B7872" t="str">
            <v>INF760K01EZ8</v>
          </cell>
          <cell r="C7872" t="str">
            <v>-</v>
          </cell>
          <cell r="D7872" t="str">
            <v>CANARA ROBECO EQUITY HYBRID FUND - DIRECT PLAN - GROWTH OPTION</v>
          </cell>
          <cell r="E7872">
            <v>417.01</v>
          </cell>
        </row>
        <row r="7873">
          <cell r="B7873" t="str">
            <v>INF760K01EX3</v>
          </cell>
          <cell r="C7873" t="str">
            <v>INF760K01EY1</v>
          </cell>
          <cell r="D7873" t="str">
            <v>CANARA ROBECO EQUITY HYBRID FUND - DIRECT PLAN - MONTHLY IDCW (Payout/Reinvestment)</v>
          </cell>
          <cell r="E7873">
            <v>130.06</v>
          </cell>
        </row>
        <row r="7874">
          <cell r="B7874" t="str">
            <v>INF760K01050</v>
          </cell>
          <cell r="C7874" t="str">
            <v>-</v>
          </cell>
          <cell r="D7874" t="str">
            <v>CANARA ROBECO EQUITY HYBRID FUND - REGULAR PLAN - GROWTH OPTION</v>
          </cell>
          <cell r="E7874">
            <v>364.43</v>
          </cell>
        </row>
        <row r="7875">
          <cell r="B7875" t="str">
            <v>INF760K01068</v>
          </cell>
          <cell r="C7875" t="str">
            <v>INF760K01076</v>
          </cell>
          <cell r="D7875" t="str">
            <v>CANARA ROBECO EQUITY HYBRID FUND - REGULAR PLAN - MONTHLY IDCW (Payout/Reinvestment)</v>
          </cell>
          <cell r="E7875">
            <v>91.64</v>
          </cell>
        </row>
        <row r="7876">
          <cell r="B7876" t="str">
            <v/>
          </cell>
          <cell r="C7876" t="str">
            <v/>
          </cell>
          <cell r="D7876" t="str">
            <v/>
          </cell>
        </row>
        <row r="7877">
          <cell r="B7877" t="str">
            <v/>
          </cell>
          <cell r="C7877" t="str">
            <v/>
          </cell>
          <cell r="D7877" t="str">
            <v/>
          </cell>
        </row>
        <row r="7878">
          <cell r="B7878" t="str">
            <v/>
          </cell>
          <cell r="C7878" t="str">
            <v/>
          </cell>
          <cell r="D7878" t="str">
            <v/>
          </cell>
        </row>
        <row r="7879">
          <cell r="B7879" t="str">
            <v>INF740K01NY4</v>
          </cell>
          <cell r="C7879" t="str">
            <v>-</v>
          </cell>
          <cell r="D7879" t="str">
            <v>DSP Aggressive Hybrid Fund - Direct Plan - Growth</v>
          </cell>
          <cell r="E7879">
            <v>395.77600000000001</v>
          </cell>
        </row>
        <row r="7880">
          <cell r="B7880" t="str">
            <v>INF740K01NZ1</v>
          </cell>
          <cell r="C7880" t="str">
            <v>INF740K01OA2</v>
          </cell>
          <cell r="D7880" t="str">
            <v>DSP Aggressive Hybrid Fund - Direct Plan - IDCW</v>
          </cell>
          <cell r="E7880">
            <v>70.322000000000003</v>
          </cell>
        </row>
        <row r="7881">
          <cell r="B7881" t="str">
            <v>INF740K01318</v>
          </cell>
          <cell r="C7881" t="str">
            <v>-</v>
          </cell>
          <cell r="D7881" t="str">
            <v>DSP Aggressive Hybrid Fund- Regular Plan - Growth</v>
          </cell>
          <cell r="E7881">
            <v>348.25599999999997</v>
          </cell>
        </row>
        <row r="7882">
          <cell r="B7882" t="str">
            <v>INF740K01326</v>
          </cell>
          <cell r="C7882" t="str">
            <v>INF740K01334</v>
          </cell>
          <cell r="D7882" t="str">
            <v>DSP Aggressive Hybrid Fund- Regular Plan - IDCW</v>
          </cell>
          <cell r="E7882">
            <v>26.725999999999999</v>
          </cell>
        </row>
        <row r="7883">
          <cell r="B7883" t="str">
            <v/>
          </cell>
          <cell r="C7883" t="str">
            <v/>
          </cell>
          <cell r="D7883" t="str">
            <v/>
          </cell>
        </row>
        <row r="7884">
          <cell r="B7884" t="str">
            <v/>
          </cell>
          <cell r="C7884" t="str">
            <v/>
          </cell>
          <cell r="D7884" t="str">
            <v/>
          </cell>
        </row>
        <row r="7885">
          <cell r="B7885" t="str">
            <v/>
          </cell>
          <cell r="C7885" t="str">
            <v/>
          </cell>
          <cell r="D7885" t="str">
            <v/>
          </cell>
        </row>
        <row r="7886">
          <cell r="B7886" t="str">
            <v>INF754K01CB6</v>
          </cell>
          <cell r="C7886" t="str">
            <v>INF754K01CC4</v>
          </cell>
          <cell r="D7886" t="str">
            <v>Edelweiss Aggressive Hybrid Fund  - Direct Plan - IDCW Option</v>
          </cell>
          <cell r="E7886">
            <v>32.76</v>
          </cell>
        </row>
        <row r="7887">
          <cell r="B7887" t="str">
            <v>INF754K01137</v>
          </cell>
          <cell r="C7887" t="str">
            <v>INF754K01145</v>
          </cell>
          <cell r="D7887" t="str">
            <v>Edelweiss Aggressive Hybrid Fund  - Plan B - IDCW Option</v>
          </cell>
          <cell r="E7887">
            <v>64.73</v>
          </cell>
        </row>
        <row r="7888">
          <cell r="B7888" t="str">
            <v>INF754K01202</v>
          </cell>
          <cell r="C7888" t="str">
            <v>-</v>
          </cell>
          <cell r="D7888" t="str">
            <v>Edelweiss Aggressive Hybrid Fund - Regular Plan - Growth Option</v>
          </cell>
          <cell r="E7888">
            <v>64.599999999999994</v>
          </cell>
        </row>
        <row r="7889">
          <cell r="B7889" t="str">
            <v>INF754K01178</v>
          </cell>
          <cell r="C7889" t="str">
            <v>INF754K01186</v>
          </cell>
          <cell r="D7889" t="str">
            <v>Edelweiss Aggressive Hybrid Fund - Regular Plan - IDCW Option</v>
          </cell>
          <cell r="E7889">
            <v>25.84</v>
          </cell>
        </row>
        <row r="7890">
          <cell r="B7890" t="str">
            <v>INF754K01160</v>
          </cell>
          <cell r="C7890" t="str">
            <v>-</v>
          </cell>
          <cell r="D7890" t="str">
            <v>Edelweiss Aggressive Hybrid Fund- Plan B-Growth Option</v>
          </cell>
          <cell r="E7890">
            <v>63.92</v>
          </cell>
        </row>
        <row r="7891">
          <cell r="B7891" t="str">
            <v>INF754K01CE0</v>
          </cell>
          <cell r="C7891" t="str">
            <v>-</v>
          </cell>
          <cell r="D7891" t="str">
            <v>Edelweiss Aggressive Hybrid Fund-Direct Plan-Growth Option</v>
          </cell>
          <cell r="E7891">
            <v>75.52</v>
          </cell>
        </row>
        <row r="7892">
          <cell r="B7892" t="str">
            <v/>
          </cell>
          <cell r="C7892" t="str">
            <v/>
          </cell>
          <cell r="D7892" t="str">
            <v/>
          </cell>
        </row>
        <row r="7893">
          <cell r="B7893" t="str">
            <v/>
          </cell>
          <cell r="C7893" t="str">
            <v/>
          </cell>
          <cell r="D7893" t="str">
            <v/>
          </cell>
        </row>
        <row r="7894">
          <cell r="B7894" t="str">
            <v/>
          </cell>
          <cell r="C7894" t="str">
            <v/>
          </cell>
          <cell r="D7894" t="str">
            <v/>
          </cell>
        </row>
        <row r="7895">
          <cell r="B7895" t="str">
            <v>INF090I01FZ1</v>
          </cell>
          <cell r="C7895" t="str">
            <v>-</v>
          </cell>
          <cell r="D7895" t="str">
            <v>Franklin India Aggressive Hybrid Fund - Direct - Growth</v>
          </cell>
          <cell r="E7895">
            <v>307.28480000000002</v>
          </cell>
        </row>
        <row r="7896">
          <cell r="B7896" t="str">
            <v>INF090I01GA2</v>
          </cell>
          <cell r="C7896" t="str">
            <v>INF090I01GB0</v>
          </cell>
          <cell r="D7896" t="str">
            <v>Franklin India Aggressive Hybrid Fund - Direct - IDCW</v>
          </cell>
          <cell r="E7896">
            <v>33.8005</v>
          </cell>
        </row>
        <row r="7897">
          <cell r="B7897" t="str">
            <v>INF090I01817</v>
          </cell>
          <cell r="C7897" t="str">
            <v>-</v>
          </cell>
          <cell r="D7897" t="str">
            <v>Franklin India Aggressive Hybrid Fund - Growth Plan</v>
          </cell>
          <cell r="E7897">
            <v>265.82929999999999</v>
          </cell>
        </row>
        <row r="7898">
          <cell r="B7898" t="str">
            <v>INF090I01825</v>
          </cell>
          <cell r="C7898" t="str">
            <v>INF090I01833</v>
          </cell>
          <cell r="D7898" t="str">
            <v>Franklin India Aggressive Hybrid Fund - IDCW</v>
          </cell>
          <cell r="E7898">
            <v>28.200399999999998</v>
          </cell>
        </row>
        <row r="7899">
          <cell r="B7899" t="str">
            <v/>
          </cell>
          <cell r="C7899" t="str">
            <v/>
          </cell>
          <cell r="D7899" t="str">
            <v/>
          </cell>
        </row>
        <row r="7900">
          <cell r="B7900" t="str">
            <v/>
          </cell>
          <cell r="C7900" t="str">
            <v/>
          </cell>
          <cell r="D7900" t="str">
            <v/>
          </cell>
        </row>
        <row r="7901">
          <cell r="B7901" t="str">
            <v/>
          </cell>
          <cell r="C7901" t="str">
            <v/>
          </cell>
          <cell r="D7901" t="str">
            <v/>
          </cell>
        </row>
        <row r="7902">
          <cell r="B7902" t="str">
            <v>INF666M01FA3</v>
          </cell>
          <cell r="C7902" t="str">
            <v>-</v>
          </cell>
          <cell r="D7902" t="str">
            <v>Groww Aggressive Hybrid Fund (formerly known as Indiabulls Equity Hybrid Fund) - Direct Plan - Growth option</v>
          </cell>
          <cell r="E7902">
            <v>23.117000000000001</v>
          </cell>
        </row>
        <row r="7903">
          <cell r="B7903" t="str">
            <v>INF666M01FJ4</v>
          </cell>
          <cell r="C7903" t="str">
            <v>-</v>
          </cell>
          <cell r="D7903" t="str">
            <v>Groww Aggressive Hybrid Fund (formerly known as Indiabulls Equity Hybrid Fund) - Regular Plan - Growth option</v>
          </cell>
          <cell r="E7903">
            <v>20.464700000000001</v>
          </cell>
        </row>
        <row r="7904">
          <cell r="B7904" t="str">
            <v>INF666M01FB1</v>
          </cell>
          <cell r="C7904" t="str">
            <v>INF666M01FC9</v>
          </cell>
          <cell r="D7904" t="str">
            <v>Groww Aggressive Hybrid Fund (formerly known as Indiabulls Equity Hybrid Fund)- Direct Plan- - Income Distribution cum capital withdrawal Option (Payout &amp; Reinvestment)</v>
          </cell>
          <cell r="E7904">
            <v>22.913399999999999</v>
          </cell>
        </row>
        <row r="7905">
          <cell r="B7905" t="str">
            <v>INF666M01FH8</v>
          </cell>
          <cell r="C7905" t="str">
            <v>INF666M01FI6</v>
          </cell>
          <cell r="D7905" t="str">
            <v>Groww Aggressive Hybrid Fund (formerly known as Indiabulls Equity Hybrid Fund)- Direct Plan- Half Yearly - Income Distribution cum capital withdrawal Option (Payout &amp; Reinvestment)</v>
          </cell>
          <cell r="E7905">
            <v>22.221499999999999</v>
          </cell>
        </row>
        <row r="7906">
          <cell r="B7906" t="str">
            <v>INF666M01FD7</v>
          </cell>
          <cell r="C7906" t="str">
            <v>INF666M01FE5</v>
          </cell>
          <cell r="D7906" t="str">
            <v>Groww Aggressive Hybrid Fund (formerly known as Indiabulls Equity Hybrid Fund)- Direct Plan- Monthly - Income Distribution cum capital withdrawal Option (Payout &amp; Reinvestment)</v>
          </cell>
          <cell r="E7906">
            <v>22.876999999999999</v>
          </cell>
        </row>
        <row r="7907">
          <cell r="B7907" t="str">
            <v>INF666M01FF2</v>
          </cell>
          <cell r="C7907" t="str">
            <v>INF666M01FG0</v>
          </cell>
          <cell r="D7907" t="str">
            <v>Groww Aggressive Hybrid Fund (formerly known as Indiabulls Equity Hybrid Fund)- Direct Plan- Quarterly - Income Distribution cum capital withdrawal Option (Payout &amp; Reinvestment)</v>
          </cell>
          <cell r="E7907">
            <v>22.6416</v>
          </cell>
        </row>
        <row r="7908">
          <cell r="B7908" t="str">
            <v>INF666M01FK2</v>
          </cell>
          <cell r="C7908" t="str">
            <v>INF666M01FL0</v>
          </cell>
          <cell r="D7908" t="str">
            <v>Groww Aggressive Hybrid Fund (formerly known as Indiabulls Equity Hybrid Fund)- Regular Plan- - Income Distribution cum capital withdrawal Option (Payout &amp; Reinvestment)</v>
          </cell>
          <cell r="E7908">
            <v>20.4618</v>
          </cell>
        </row>
        <row r="7909">
          <cell r="B7909" t="str">
            <v>INF666M01FQ9</v>
          </cell>
          <cell r="C7909" t="str">
            <v>INF666M01FR7</v>
          </cell>
          <cell r="D7909" t="str">
            <v>Groww Aggressive Hybrid Fund (formerly known as Indiabulls Equity Hybrid Fund)- Regular Plan- Half Yearly - Income Distribution cum capital withdrawal Option (Payout &amp; Reinvestment)</v>
          </cell>
          <cell r="E7909">
            <v>20.416599999999999</v>
          </cell>
        </row>
        <row r="7910">
          <cell r="B7910" t="str">
            <v>INF666M01FM8</v>
          </cell>
          <cell r="C7910" t="str">
            <v>INF666M01FN6</v>
          </cell>
          <cell r="D7910" t="str">
            <v>Groww Aggressive Hybrid Fund (formerly known as Indiabulls Equity Hybrid Fund)- Regular Plan- Monthly - Income Distribution cum capital withdrawal Option (Payout &amp; Reinvestment.</v>
          </cell>
          <cell r="E7910">
            <v>20.463000000000001</v>
          </cell>
        </row>
        <row r="7911">
          <cell r="B7911" t="str">
            <v>INF666M01FO4</v>
          </cell>
          <cell r="C7911" t="str">
            <v>INF666M01FP1</v>
          </cell>
          <cell r="D7911" t="str">
            <v>Groww Aggressive Hybrid Fund (formerly known as Indiabulls Equity Hybrid Fund)- Regular Plan- Quarterly - Income Distribution cum capital withdrawal Option (Payout &amp; Reinvestment)</v>
          </cell>
          <cell r="E7911">
            <v>21.691400000000002</v>
          </cell>
        </row>
        <row r="7912">
          <cell r="B7912" t="str">
            <v/>
          </cell>
          <cell r="C7912" t="str">
            <v/>
          </cell>
          <cell r="D7912" t="str">
            <v/>
          </cell>
        </row>
        <row r="7913">
          <cell r="B7913" t="str">
            <v/>
          </cell>
          <cell r="C7913" t="str">
            <v/>
          </cell>
          <cell r="D7913" t="str">
            <v/>
          </cell>
        </row>
        <row r="7914">
          <cell r="B7914" t="str">
            <v/>
          </cell>
          <cell r="C7914" t="str">
            <v/>
          </cell>
          <cell r="D7914" t="str">
            <v/>
          </cell>
        </row>
        <row r="7915">
          <cell r="B7915" t="str">
            <v>INF179K01XZ1</v>
          </cell>
          <cell r="C7915" t="str">
            <v>-</v>
          </cell>
          <cell r="D7915" t="str">
            <v>HDFC Hybrid Equity Fund - Growth Option - Direct Plan</v>
          </cell>
          <cell r="E7915">
            <v>123.381</v>
          </cell>
        </row>
        <row r="7916">
          <cell r="B7916" t="str">
            <v>INF179K01AS4</v>
          </cell>
          <cell r="C7916" t="str">
            <v>-</v>
          </cell>
          <cell r="D7916" t="str">
            <v>HDFC Hybrid Equity Fund - Growth Plan</v>
          </cell>
          <cell r="E7916">
            <v>113.074</v>
          </cell>
        </row>
        <row r="7917">
          <cell r="B7917" t="str">
            <v>INF179K01XX6</v>
          </cell>
          <cell r="C7917" t="str">
            <v>INF179K01XY4</v>
          </cell>
          <cell r="D7917" t="str">
            <v>HDFC Hybrid Equity Fund - IDCW Option - Direct Plan</v>
          </cell>
          <cell r="E7917">
            <v>17.535</v>
          </cell>
        </row>
        <row r="7918">
          <cell r="B7918" t="str">
            <v>INF179K01AQ8</v>
          </cell>
          <cell r="C7918" t="str">
            <v>INF179K01AR6</v>
          </cell>
          <cell r="D7918" t="str">
            <v>HDFC Hybrid Equity Fund - IDCW Plan</v>
          </cell>
          <cell r="E7918">
            <v>15.055</v>
          </cell>
        </row>
        <row r="7919">
          <cell r="B7919" t="str">
            <v/>
          </cell>
          <cell r="C7919" t="str">
            <v/>
          </cell>
          <cell r="D7919" t="str">
            <v/>
          </cell>
        </row>
        <row r="7920">
          <cell r="B7920" t="str">
            <v/>
          </cell>
          <cell r="C7920" t="str">
            <v/>
          </cell>
          <cell r="D7920" t="str">
            <v/>
          </cell>
        </row>
        <row r="7921">
          <cell r="B7921" t="str">
            <v/>
          </cell>
          <cell r="C7921" t="str">
            <v/>
          </cell>
          <cell r="D7921" t="str">
            <v/>
          </cell>
        </row>
        <row r="7922">
          <cell r="B7922" t="str">
            <v>INF917K01TY5</v>
          </cell>
          <cell r="C7922" t="str">
            <v>INF917K01TX7</v>
          </cell>
          <cell r="D7922" t="str">
            <v>HSBC Aggressive Hybrid Fund - Direct Annual IDCW</v>
          </cell>
          <cell r="E7922">
            <v>19.225000000000001</v>
          </cell>
        </row>
        <row r="7923">
          <cell r="B7923" t="str">
            <v>INF917K01LE4</v>
          </cell>
          <cell r="C7923" t="str">
            <v>-</v>
          </cell>
          <cell r="D7923" t="str">
            <v>HSBC Aggressive Hybrid Fund - Direct Growth</v>
          </cell>
          <cell r="E7923">
            <v>66.648099999999999</v>
          </cell>
        </row>
        <row r="7924">
          <cell r="B7924" t="str">
            <v>INF917K01E45</v>
          </cell>
          <cell r="C7924" t="str">
            <v>INF917K01LD6</v>
          </cell>
          <cell r="D7924" t="str">
            <v>HSBC Aggressive Hybrid Fund - Direct IDCW</v>
          </cell>
          <cell r="E7924">
            <v>33.247399999999999</v>
          </cell>
        </row>
        <row r="7925">
          <cell r="B7925" t="str">
            <v>INF917K01TW9</v>
          </cell>
          <cell r="C7925" t="str">
            <v>INF917K01TV1</v>
          </cell>
          <cell r="D7925" t="str">
            <v>HSBC Aggressive Hybrid Fund - Regular Annual IDCW</v>
          </cell>
          <cell r="E7925">
            <v>16.951899999999998</v>
          </cell>
        </row>
        <row r="7926">
          <cell r="B7926" t="str">
            <v>INF917K01LB0</v>
          </cell>
          <cell r="C7926" t="str">
            <v>-</v>
          </cell>
          <cell r="D7926" t="str">
            <v>HSBC Aggressive Hybrid Fund - Regular Growth</v>
          </cell>
          <cell r="E7926">
            <v>58.045900000000003</v>
          </cell>
        </row>
        <row r="7927">
          <cell r="B7927" t="str">
            <v>INF917K01KZ1</v>
          </cell>
          <cell r="C7927" t="str">
            <v>INF917K01LA2</v>
          </cell>
          <cell r="D7927" t="str">
            <v>HSBC Aggressive Hybrid Fund - Regular IDCW</v>
          </cell>
          <cell r="E7927">
            <v>27.573799999999999</v>
          </cell>
        </row>
        <row r="7928">
          <cell r="B7928" t="str">
            <v/>
          </cell>
          <cell r="C7928" t="str">
            <v/>
          </cell>
          <cell r="D7928" t="str">
            <v/>
          </cell>
        </row>
        <row r="7929">
          <cell r="B7929" t="str">
            <v/>
          </cell>
          <cell r="C7929" t="str">
            <v/>
          </cell>
          <cell r="D7929" t="str">
            <v/>
          </cell>
        </row>
        <row r="7930">
          <cell r="B7930" t="str">
            <v/>
          </cell>
          <cell r="C7930" t="str">
            <v/>
          </cell>
          <cell r="D7930" t="str">
            <v/>
          </cell>
        </row>
        <row r="7931">
          <cell r="B7931" t="str">
            <v>INF109KB1QK6</v>
          </cell>
          <cell r="C7931" t="str">
            <v>INF109KB1QJ8</v>
          </cell>
          <cell r="D7931" t="str">
            <v>ICICI Prudential Equity &amp; Debt Fund - Annual IDCW</v>
          </cell>
          <cell r="E7931">
            <v>25.75</v>
          </cell>
        </row>
        <row r="7932">
          <cell r="B7932" t="str">
            <v>INF109KB1QM2</v>
          </cell>
          <cell r="C7932" t="str">
            <v>INF109KB1QL4</v>
          </cell>
          <cell r="D7932" t="str">
            <v>ICICI Prudential Equity &amp; Debt Fund - Direct Plan - Annual IDCW</v>
          </cell>
          <cell r="E7932">
            <v>28.86</v>
          </cell>
        </row>
        <row r="7933">
          <cell r="B7933" t="str">
            <v>INF109K01Y07</v>
          </cell>
          <cell r="C7933" t="str">
            <v>-</v>
          </cell>
          <cell r="D7933" t="str">
            <v>ICICI Prudential Equity &amp; Debt Fund - Direct Plan - Growth</v>
          </cell>
          <cell r="E7933">
            <v>451.5</v>
          </cell>
        </row>
        <row r="7934">
          <cell r="B7934" t="str">
            <v>INF109KA1Y19</v>
          </cell>
          <cell r="C7934" t="str">
            <v>INF109KA1Y01</v>
          </cell>
          <cell r="D7934" t="str">
            <v>ICICI Prudential Equity &amp; Debt Fund - Direct Plan - Half Yearly IDCW</v>
          </cell>
          <cell r="E7934">
            <v>29.26</v>
          </cell>
        </row>
        <row r="7935">
          <cell r="B7935" t="str">
            <v>INF109K01X81</v>
          </cell>
          <cell r="C7935" t="str">
            <v>INF109K01X99</v>
          </cell>
          <cell r="D7935" t="str">
            <v>ICICI Prudential Equity &amp; Debt Fund - Direct Plan - Monthly IDCW</v>
          </cell>
          <cell r="E7935">
            <v>70.569999999999993</v>
          </cell>
        </row>
        <row r="7936">
          <cell r="B7936" t="str">
            <v>INF109K01480</v>
          </cell>
          <cell r="C7936" t="str">
            <v>-</v>
          </cell>
          <cell r="D7936" t="str">
            <v>ICICI Prudential Equity &amp; Debt Fund - Growth</v>
          </cell>
          <cell r="E7936">
            <v>404.56</v>
          </cell>
        </row>
        <row r="7937">
          <cell r="B7937" t="str">
            <v>INF109KA1X93</v>
          </cell>
          <cell r="C7937" t="str">
            <v>INF109KA1X85</v>
          </cell>
          <cell r="D7937" t="str">
            <v>ICICI Prudential Equity &amp; Debt Fund - Half Yearly IDCW</v>
          </cell>
          <cell r="E7937">
            <v>25.61</v>
          </cell>
        </row>
        <row r="7938">
          <cell r="B7938" t="str">
            <v>INF109K01DX5</v>
          </cell>
          <cell r="C7938" t="str">
            <v>INF109K01498</v>
          </cell>
          <cell r="D7938" t="str">
            <v>ICICI Prudential Equity &amp; Debt Fund - Monthly IDCW</v>
          </cell>
          <cell r="E7938">
            <v>43.17</v>
          </cell>
        </row>
        <row r="7939">
          <cell r="B7939" t="str">
            <v/>
          </cell>
          <cell r="C7939" t="str">
            <v/>
          </cell>
          <cell r="D7939" t="str">
            <v/>
          </cell>
        </row>
        <row r="7940">
          <cell r="B7940" t="str">
            <v/>
          </cell>
          <cell r="C7940" t="str">
            <v/>
          </cell>
          <cell r="D7940" t="str">
            <v/>
          </cell>
        </row>
        <row r="7941">
          <cell r="B7941" t="str">
            <v/>
          </cell>
          <cell r="C7941" t="str">
            <v/>
          </cell>
          <cell r="D7941" t="str">
            <v/>
          </cell>
        </row>
        <row r="7942">
          <cell r="B7942" t="str">
            <v>INF205K014Q7</v>
          </cell>
          <cell r="C7942" t="str">
            <v>-</v>
          </cell>
          <cell r="D7942" t="str">
            <v>Invesco India Aggressive Hybrid Fund - Direct Plan - Growth</v>
          </cell>
          <cell r="E7942">
            <v>24.0991</v>
          </cell>
        </row>
        <row r="7943">
          <cell r="B7943" t="str">
            <v>INF205K013Q9</v>
          </cell>
          <cell r="C7943" t="str">
            <v>INF205K015Q4</v>
          </cell>
          <cell r="D7943" t="str">
            <v>Invesco India Aggressive Hybrid Fund - Direct Plan - IDCW (Payout / Reinvestment)</v>
          </cell>
          <cell r="E7943">
            <v>23.994599999999998</v>
          </cell>
        </row>
        <row r="7944">
          <cell r="B7944" t="str">
            <v>INF205K011Q3</v>
          </cell>
          <cell r="C7944" t="str">
            <v>-</v>
          </cell>
          <cell r="D7944" t="str">
            <v>Invesco India Aggressive Hybrid Fund - Regular Plan - Growth</v>
          </cell>
          <cell r="E7944">
            <v>21.2285</v>
          </cell>
        </row>
        <row r="7945">
          <cell r="B7945" t="str">
            <v>INF205K010Q5</v>
          </cell>
          <cell r="C7945" t="str">
            <v>INF205K012Q1</v>
          </cell>
          <cell r="D7945" t="str">
            <v>Invesco India Aggressive Hybrid Fund - Regular Plan - IDCW (Payout / Reinvestment)</v>
          </cell>
          <cell r="E7945">
            <v>21.229600000000001</v>
          </cell>
        </row>
        <row r="7946">
          <cell r="B7946" t="str">
            <v/>
          </cell>
          <cell r="C7946" t="str">
            <v/>
          </cell>
          <cell r="D7946" t="str">
            <v/>
          </cell>
        </row>
        <row r="7947">
          <cell r="B7947" t="str">
            <v/>
          </cell>
          <cell r="C7947" t="str">
            <v/>
          </cell>
          <cell r="D7947" t="str">
            <v/>
          </cell>
        </row>
        <row r="7948">
          <cell r="B7948" t="str">
            <v/>
          </cell>
          <cell r="C7948" t="str">
            <v/>
          </cell>
          <cell r="D7948" t="str">
            <v/>
          </cell>
        </row>
        <row r="7949">
          <cell r="B7949" t="str">
            <v>INF192K01HB8</v>
          </cell>
          <cell r="C7949" t="str">
            <v>-</v>
          </cell>
          <cell r="D7949" t="str">
            <v>JM Aggressive Hybrid Fund (Direct) - Annual Bonus Option</v>
          </cell>
          <cell r="E7949">
            <v>136.3039</v>
          </cell>
        </row>
        <row r="7950">
          <cell r="B7950" t="str">
            <v>INF192K01HJ1</v>
          </cell>
          <cell r="C7950" t="str">
            <v>INF192K01HK9</v>
          </cell>
          <cell r="D7950" t="str">
            <v>JM Aggressive Hybrid Fund (Direct) - Annual IDCW</v>
          </cell>
          <cell r="E7950">
            <v>45.915700000000001</v>
          </cell>
        </row>
        <row r="7951">
          <cell r="B7951" t="str">
            <v>INF192K01GP0</v>
          </cell>
          <cell r="C7951" t="str">
            <v>-</v>
          </cell>
          <cell r="D7951" t="str">
            <v>JM Aggressive Hybrid Fund (Direct) - Bonus Option - Principal Units</v>
          </cell>
          <cell r="E7951">
            <v>131.1849</v>
          </cell>
        </row>
        <row r="7952">
          <cell r="B7952" t="str">
            <v>INF192K01BQ9</v>
          </cell>
          <cell r="C7952" t="str">
            <v>-</v>
          </cell>
          <cell r="D7952" t="str">
            <v>JM Aggressive Hybrid Fund (Direct) - Growth Option</v>
          </cell>
          <cell r="E7952">
            <v>136.08109999999999</v>
          </cell>
        </row>
        <row r="7953">
          <cell r="B7953" t="str">
            <v>INF192K01HV6</v>
          </cell>
          <cell r="C7953" t="str">
            <v>-</v>
          </cell>
          <cell r="D7953" t="str">
            <v>JM Aggressive Hybrid Fund (Direct) - Half Yearly Bonus Option - Principal Units</v>
          </cell>
          <cell r="E7953">
            <v>131.1823</v>
          </cell>
        </row>
        <row r="7954">
          <cell r="B7954" t="str">
            <v>INF192K01HH5</v>
          </cell>
          <cell r="C7954" t="str">
            <v>INF192K01HI3</v>
          </cell>
          <cell r="D7954" t="str">
            <v>JM Aggressive Hybrid Fund (Direct) - Half Yearly IDCW</v>
          </cell>
          <cell r="E7954">
            <v>97.919399999999996</v>
          </cell>
        </row>
        <row r="7955">
          <cell r="B7955" t="str">
            <v>INF192K01BO4</v>
          </cell>
          <cell r="C7955" t="str">
            <v>INF192K01BP1</v>
          </cell>
          <cell r="D7955" t="str">
            <v>JM Aggressive Hybrid Fund (Direct) - IDCW</v>
          </cell>
          <cell r="E7955">
            <v>75.0244</v>
          </cell>
        </row>
        <row r="7956">
          <cell r="B7956" t="str">
            <v>INF192K01HN3</v>
          </cell>
          <cell r="C7956" t="str">
            <v>INF192K01HO1</v>
          </cell>
          <cell r="D7956" t="str">
            <v>JM Aggressive Hybrid Fund (Direct) - Monthly IDCW</v>
          </cell>
          <cell r="E7956">
            <v>97.890600000000006</v>
          </cell>
        </row>
        <row r="7957">
          <cell r="B7957" t="str">
            <v>INF192K01HZ7</v>
          </cell>
          <cell r="C7957" t="str">
            <v>-</v>
          </cell>
          <cell r="D7957" t="str">
            <v>JM Aggressive Hybrid Fund (Direct) - Quarterly Bonus Option - Principal Units</v>
          </cell>
          <cell r="E7957">
            <v>131.1823</v>
          </cell>
        </row>
        <row r="7958">
          <cell r="B7958" t="str">
            <v>INF192K01HR4</v>
          </cell>
          <cell r="C7958" t="str">
            <v>INF192K01HS2</v>
          </cell>
          <cell r="D7958" t="str">
            <v>JM Aggressive Hybrid Fund (Direct) - Quarterly IDCW</v>
          </cell>
          <cell r="E7958">
            <v>34.430399999999999</v>
          </cell>
        </row>
        <row r="7959">
          <cell r="B7959" t="str">
            <v>INF192K01GZ9</v>
          </cell>
          <cell r="C7959" t="str">
            <v>-</v>
          </cell>
          <cell r="D7959" t="str">
            <v>JM Aggressive Hybrid Fund (Regular) - Annual Bonus Option - Principal Units</v>
          </cell>
          <cell r="E7959">
            <v>116.1562</v>
          </cell>
        </row>
        <row r="7960">
          <cell r="B7960" t="str">
            <v>INF192K01HF9</v>
          </cell>
          <cell r="C7960" t="str">
            <v>INF192K01HG7</v>
          </cell>
          <cell r="D7960" t="str">
            <v>JM Aggressive Hybrid Fund (Regular) - Annual IDCW</v>
          </cell>
          <cell r="E7960">
            <v>32.563099999999999</v>
          </cell>
        </row>
        <row r="7961">
          <cell r="B7961" t="str">
            <v>INF192K01GN5</v>
          </cell>
          <cell r="C7961" t="str">
            <v>-</v>
          </cell>
          <cell r="D7961" t="str">
            <v>JM Aggressive Hybrid Fund (Regular) - Bonus Option - Principal Units</v>
          </cell>
          <cell r="E7961">
            <v>116.158</v>
          </cell>
        </row>
        <row r="7962">
          <cell r="B7962" t="str">
            <v>INF192K01HT0</v>
          </cell>
          <cell r="C7962" t="str">
            <v>-</v>
          </cell>
          <cell r="D7962" t="str">
            <v>JM Aggressive Hybrid Fund (Regular) - Half Yearly Bonus Option - Principal Units</v>
          </cell>
          <cell r="E7962">
            <v>116.1562</v>
          </cell>
        </row>
        <row r="7963">
          <cell r="B7963" t="str">
            <v>INF192K01HD4</v>
          </cell>
          <cell r="C7963" t="str">
            <v>INF192K01HE2</v>
          </cell>
          <cell r="D7963" t="str">
            <v>JM Aggressive Hybrid Fund (Regular) - Half Yearly IDCW</v>
          </cell>
          <cell r="E7963">
            <v>85.584699999999998</v>
          </cell>
        </row>
        <row r="7964">
          <cell r="B7964" t="str">
            <v>INF192K01528</v>
          </cell>
          <cell r="C7964" t="str">
            <v>INF192K01536</v>
          </cell>
          <cell r="D7964" t="str">
            <v>JM Aggressive Hybrid Fund (Regular) - IDCW</v>
          </cell>
          <cell r="E7964">
            <v>32.795999999999999</v>
          </cell>
        </row>
        <row r="7965">
          <cell r="B7965" t="str">
            <v>INF192K01HL7</v>
          </cell>
          <cell r="C7965" t="str">
            <v>INF192K01HM5</v>
          </cell>
          <cell r="D7965" t="str">
            <v>JM Aggressive Hybrid Fund (Regular) - Monthly IDCW</v>
          </cell>
          <cell r="E7965">
            <v>84.904200000000003</v>
          </cell>
        </row>
        <row r="7966">
          <cell r="B7966" t="str">
            <v>INF192K01HX2</v>
          </cell>
          <cell r="C7966" t="str">
            <v>-</v>
          </cell>
          <cell r="D7966" t="str">
            <v>JM Aggressive Hybrid Fund (Regular) - Quarterly Bonus Option - Principal Units</v>
          </cell>
          <cell r="E7966">
            <v>116.1562</v>
          </cell>
        </row>
        <row r="7967">
          <cell r="B7967" t="str">
            <v>INF192K01HP8</v>
          </cell>
          <cell r="C7967" t="str">
            <v>INF192K01HQ6</v>
          </cell>
          <cell r="D7967" t="str">
            <v>JM Aggressive Hybrid Fund (Regular) - Quarterly IDCW</v>
          </cell>
          <cell r="E7967">
            <v>30.304200000000002</v>
          </cell>
        </row>
        <row r="7968">
          <cell r="B7968" t="str">
            <v>INF192K01544</v>
          </cell>
          <cell r="C7968" t="str">
            <v>-</v>
          </cell>
          <cell r="D7968" t="str">
            <v>JM Aggressive Hybrid Fund (Regular) -Growth Option</v>
          </cell>
          <cell r="E7968">
            <v>117.2582</v>
          </cell>
        </row>
        <row r="7969">
          <cell r="B7969" t="str">
            <v/>
          </cell>
          <cell r="C7969" t="str">
            <v/>
          </cell>
          <cell r="D7969" t="str">
            <v/>
          </cell>
        </row>
        <row r="7970">
          <cell r="B7970" t="str">
            <v/>
          </cell>
          <cell r="C7970" t="str">
            <v/>
          </cell>
          <cell r="D7970" t="str">
            <v/>
          </cell>
        </row>
        <row r="7971">
          <cell r="B7971" t="str">
            <v/>
          </cell>
          <cell r="C7971" t="str">
            <v/>
          </cell>
          <cell r="D7971" t="str">
            <v/>
          </cell>
        </row>
        <row r="7972">
          <cell r="B7972" t="str">
            <v>INF174K01LL7</v>
          </cell>
          <cell r="C7972" t="str">
            <v>INF174K01LM5</v>
          </cell>
          <cell r="D7972" t="str">
            <v>Kotak Aggressive Hybrid Fund - Direct Plan - IDCW - Payout &amp; Reinvestment of Income Distribution cum  capital withdrawal option</v>
          </cell>
          <cell r="E7972">
            <v>47.168999999999997</v>
          </cell>
        </row>
        <row r="7973">
          <cell r="B7973" t="str">
            <v>INF174K01F00</v>
          </cell>
          <cell r="C7973" t="str">
            <v>-</v>
          </cell>
          <cell r="D7973" t="str">
            <v>Kotak Aggressive Hybrid Fund - Direct Plan -Growth</v>
          </cell>
          <cell r="E7973">
            <v>76.945999999999998</v>
          </cell>
        </row>
        <row r="7974">
          <cell r="B7974" t="str">
            <v>INF174K01450</v>
          </cell>
          <cell r="C7974" t="str">
            <v>INF174K01443</v>
          </cell>
          <cell r="D7974" t="str">
            <v>Kotak Aggressive Hybrid Fund - Regular Plan - IDCW - Payout &amp; Reinvestment of Income Distribution cum capital withdrawal option</v>
          </cell>
          <cell r="E7974">
            <v>38.012999999999998</v>
          </cell>
        </row>
        <row r="7975">
          <cell r="B7975" t="str">
            <v>INF174K01E92</v>
          </cell>
          <cell r="C7975" t="str">
            <v>-</v>
          </cell>
          <cell r="D7975" t="str">
            <v>Kotak Aggressive Hybrid Fund - Regular Plan -Growth</v>
          </cell>
          <cell r="E7975">
            <v>64.680999999999997</v>
          </cell>
        </row>
        <row r="7976">
          <cell r="B7976" t="str">
            <v/>
          </cell>
          <cell r="C7976" t="str">
            <v/>
          </cell>
          <cell r="D7976" t="str">
            <v/>
          </cell>
        </row>
        <row r="7977">
          <cell r="B7977" t="str">
            <v/>
          </cell>
          <cell r="C7977" t="str">
            <v/>
          </cell>
          <cell r="D7977" t="str">
            <v/>
          </cell>
        </row>
        <row r="7978">
          <cell r="B7978" t="str">
            <v/>
          </cell>
          <cell r="C7978" t="str">
            <v/>
          </cell>
          <cell r="D7978" t="str">
            <v/>
          </cell>
        </row>
        <row r="7979">
          <cell r="B7979" t="str">
            <v>INF767K01ED0</v>
          </cell>
          <cell r="C7979" t="str">
            <v>-</v>
          </cell>
          <cell r="D7979" t="str">
            <v>LIC MF Aggressive Hybrid Fund-Direct Plan-Growth</v>
          </cell>
          <cell r="E7979">
            <v>226.35650000000001</v>
          </cell>
        </row>
        <row r="7980">
          <cell r="B7980" t="str">
            <v>INF767K01EC2</v>
          </cell>
          <cell r="C7980" t="str">
            <v>INF767K01EE8</v>
          </cell>
          <cell r="D7980" t="str">
            <v>LIC MF Aggressive Hybrid Fund-Direct Plan-IDCW</v>
          </cell>
          <cell r="E7980">
            <v>22.041599999999999</v>
          </cell>
        </row>
        <row r="7981">
          <cell r="B7981" t="str">
            <v>INF767K01030</v>
          </cell>
          <cell r="C7981" t="str">
            <v>-</v>
          </cell>
          <cell r="D7981" t="str">
            <v>LIC MF Aggressive Hybrid Fund-Regular Plan-Growth</v>
          </cell>
          <cell r="E7981">
            <v>197.21029999999999</v>
          </cell>
        </row>
        <row r="7982">
          <cell r="B7982" t="str">
            <v>INF767K01022</v>
          </cell>
          <cell r="C7982" t="str">
            <v>INF767K01014</v>
          </cell>
          <cell r="D7982" t="str">
            <v>LIC MF Aggressive Hybrid Fund-Regular Plan-IDCW</v>
          </cell>
          <cell r="E7982">
            <v>14.924899999999999</v>
          </cell>
        </row>
        <row r="7983">
          <cell r="B7983" t="str">
            <v/>
          </cell>
          <cell r="C7983" t="str">
            <v/>
          </cell>
          <cell r="D7983" t="str">
            <v/>
          </cell>
        </row>
        <row r="7984">
          <cell r="B7984" t="str">
            <v/>
          </cell>
          <cell r="C7984" t="str">
            <v/>
          </cell>
          <cell r="D7984" t="str">
            <v/>
          </cell>
        </row>
        <row r="7985">
          <cell r="B7985" t="str">
            <v/>
          </cell>
          <cell r="C7985" t="str">
            <v/>
          </cell>
          <cell r="D7985" t="str">
            <v/>
          </cell>
        </row>
        <row r="7986">
          <cell r="B7986" t="str">
            <v>INF769K01DH9</v>
          </cell>
          <cell r="C7986" t="str">
            <v>-</v>
          </cell>
          <cell r="D7986" t="str">
            <v>Mirae Asset Aggressive Hybrid Fund - Direct Plan - Growth</v>
          </cell>
          <cell r="E7986">
            <v>39.134999999999998</v>
          </cell>
        </row>
        <row r="7987">
          <cell r="B7987" t="str">
            <v>INF769K01DI7</v>
          </cell>
          <cell r="C7987" t="str">
            <v>INF769K01DJ5</v>
          </cell>
          <cell r="D7987" t="str">
            <v>Mirae Asset Aggressive Hybrid Fund - Direct Plan - IDCW</v>
          </cell>
          <cell r="E7987">
            <v>21.036999999999999</v>
          </cell>
        </row>
        <row r="7988">
          <cell r="B7988" t="str">
            <v>INF769K01DE6</v>
          </cell>
          <cell r="C7988" t="str">
            <v>-</v>
          </cell>
          <cell r="D7988" t="str">
            <v>Mirae Asset Aggressive Hybrid Fund - Regular Plan - Growth</v>
          </cell>
          <cell r="E7988">
            <v>33.1</v>
          </cell>
        </row>
        <row r="7989">
          <cell r="B7989" t="str">
            <v>INF769K01DF3</v>
          </cell>
          <cell r="C7989" t="str">
            <v>INF769K01DG1</v>
          </cell>
          <cell r="D7989" t="str">
            <v>Mirae Asset Aggressive Hybrid Fund - Regular Plan - IDCW</v>
          </cell>
          <cell r="E7989">
            <v>16.866</v>
          </cell>
        </row>
        <row r="7990">
          <cell r="B7990" t="str">
            <v/>
          </cell>
          <cell r="C7990" t="str">
            <v/>
          </cell>
          <cell r="D7990" t="str">
            <v/>
          </cell>
        </row>
        <row r="7991">
          <cell r="B7991" t="str">
            <v/>
          </cell>
          <cell r="C7991" t="str">
            <v/>
          </cell>
          <cell r="D7991" t="str">
            <v/>
          </cell>
        </row>
        <row r="7992">
          <cell r="B7992" t="str">
            <v/>
          </cell>
          <cell r="C7992" t="str">
            <v/>
          </cell>
          <cell r="D7992" t="str">
            <v/>
          </cell>
        </row>
        <row r="7993">
          <cell r="B7993" t="str">
            <v>INF959L01CX3</v>
          </cell>
          <cell r="C7993" t="str">
            <v>-</v>
          </cell>
          <cell r="D7993" t="str">
            <v>Navi Aggressive Hybrid Fund - Direct Plan - Growth</v>
          </cell>
          <cell r="E7993">
            <v>24.9526</v>
          </cell>
        </row>
        <row r="7994">
          <cell r="B7994" t="str">
            <v>INF959L01DG6</v>
          </cell>
          <cell r="C7994" t="str">
            <v>INF959L01DH4</v>
          </cell>
          <cell r="D7994" t="str">
            <v>Navi Aggressive Hybrid Fund - Direct Plan Annual IDCW</v>
          </cell>
          <cell r="E7994">
            <v>24.841899999999999</v>
          </cell>
        </row>
        <row r="7995">
          <cell r="B7995" t="str">
            <v>INF959L01DE1</v>
          </cell>
          <cell r="C7995" t="str">
            <v>INF959L01DF8</v>
          </cell>
          <cell r="D7995" t="str">
            <v>Navi Aggressive Hybrid Fund - Direct Plan Half Yearly IDCW</v>
          </cell>
          <cell r="E7995">
            <v>24.814299999999999</v>
          </cell>
        </row>
        <row r="7996">
          <cell r="B7996" t="str">
            <v>INF959L01DA9</v>
          </cell>
          <cell r="C7996" t="str">
            <v>INF959L01DB7</v>
          </cell>
          <cell r="D7996" t="str">
            <v>Navi Aggressive Hybrid Fund - Direct Plan Monthly IDCW</v>
          </cell>
          <cell r="E7996">
            <v>24.837299999999999</v>
          </cell>
        </row>
        <row r="7997">
          <cell r="B7997" t="str">
            <v>INF959L01CY1</v>
          </cell>
          <cell r="C7997" t="str">
            <v>INF959L01CZ8</v>
          </cell>
          <cell r="D7997" t="str">
            <v>Navi Aggressive Hybrid Fund - Direct Plan Normal IDCW</v>
          </cell>
          <cell r="E7997">
            <v>24.8385</v>
          </cell>
        </row>
        <row r="7998">
          <cell r="B7998" t="str">
            <v>INF959L01DC5</v>
          </cell>
          <cell r="C7998" t="str">
            <v>INF959L01DD3</v>
          </cell>
          <cell r="D7998" t="str">
            <v>Navi Aggressive Hybrid Fund - Direct Plan Quarterly IDCW</v>
          </cell>
          <cell r="E7998">
            <v>24.821100000000001</v>
          </cell>
        </row>
        <row r="7999">
          <cell r="B7999" t="str">
            <v>INF959L01DI2</v>
          </cell>
          <cell r="C7999" t="str">
            <v>-</v>
          </cell>
          <cell r="D7999" t="str">
            <v>Navi Aggressive Hybrid Fund - Regular Plan - Growth</v>
          </cell>
          <cell r="E7999">
            <v>21.518000000000001</v>
          </cell>
        </row>
        <row r="8000">
          <cell r="B8000" t="str">
            <v>INF959L01DR3</v>
          </cell>
          <cell r="C8000" t="str">
            <v>INF959L01DS1</v>
          </cell>
          <cell r="D8000" t="str">
            <v>Navi Aggressive Hybrid Fund - Regular Plan Annual IDCW</v>
          </cell>
          <cell r="E8000">
            <v>21.5154</v>
          </cell>
        </row>
        <row r="8001">
          <cell r="B8001" t="str">
            <v>INF959L01DP7</v>
          </cell>
          <cell r="C8001" t="str">
            <v>INF959L01DQ5</v>
          </cell>
          <cell r="D8001" t="str">
            <v>Navi Aggressive Hybrid Fund - Regular Plan Half Yearly IDCW</v>
          </cell>
          <cell r="E8001">
            <v>21.5319</v>
          </cell>
        </row>
        <row r="8002">
          <cell r="B8002" t="str">
            <v>INF959L01DL6</v>
          </cell>
          <cell r="C8002" t="str">
            <v>INF959L01DM4</v>
          </cell>
          <cell r="D8002" t="str">
            <v>Navi Aggressive Hybrid Fund - Regular Plan Monthly IDCW</v>
          </cell>
          <cell r="E8002">
            <v>21.517399999999999</v>
          </cell>
        </row>
        <row r="8003">
          <cell r="B8003" t="str">
            <v>INF959L01DJ0</v>
          </cell>
          <cell r="C8003" t="str">
            <v>INF959L01DK8</v>
          </cell>
          <cell r="D8003" t="str">
            <v>Navi Aggressive Hybrid Fund - Regular Plan Normal IDCW</v>
          </cell>
          <cell r="E8003">
            <v>21.519200000000001</v>
          </cell>
        </row>
        <row r="8004">
          <cell r="B8004" t="str">
            <v>INF959L01DN2</v>
          </cell>
          <cell r="C8004" t="str">
            <v>INF959L01DO0</v>
          </cell>
          <cell r="D8004" t="str">
            <v>Navi Aggressive Hybrid Fund - Regular Plan Quarterly IDCW</v>
          </cell>
          <cell r="E8004">
            <v>21.5181</v>
          </cell>
        </row>
        <row r="8005">
          <cell r="B8005" t="str">
            <v/>
          </cell>
          <cell r="C8005" t="str">
            <v/>
          </cell>
          <cell r="D8005" t="str">
            <v/>
          </cell>
        </row>
        <row r="8006">
          <cell r="B8006" t="str">
            <v/>
          </cell>
          <cell r="C8006" t="str">
            <v/>
          </cell>
          <cell r="D8006" t="str">
            <v/>
          </cell>
        </row>
        <row r="8007">
          <cell r="B8007" t="str">
            <v/>
          </cell>
          <cell r="C8007" t="str">
            <v/>
          </cell>
          <cell r="D8007" t="str">
            <v/>
          </cell>
        </row>
        <row r="8008">
          <cell r="B8008" t="str">
            <v>INF204KB13T1</v>
          </cell>
          <cell r="C8008" t="str">
            <v>-</v>
          </cell>
          <cell r="D8008" t="str">
            <v>Nippon India Aggressive  Hybrid Fund - Segregated Portfolio 2 - Direct Plan - Growth Plan</v>
          </cell>
          <cell r="E8008">
            <v>0</v>
          </cell>
        </row>
        <row r="8009">
          <cell r="B8009" t="str">
            <v>INF204K01B08</v>
          </cell>
          <cell r="C8009" t="str">
            <v>-</v>
          </cell>
          <cell r="D8009" t="str">
            <v>Nippon India Aggressive Hybrid Fund  - Direct Plan Growth Plan</v>
          </cell>
          <cell r="E8009">
            <v>120.6525</v>
          </cell>
        </row>
        <row r="8010">
          <cell r="B8010" t="str">
            <v>INF204KB19F7</v>
          </cell>
          <cell r="C8010" t="str">
            <v>INF204KB10G4</v>
          </cell>
          <cell r="D8010" t="str">
            <v>NIPPON INDIA AGGRESSIVE HYBRID FUND -  SEGREGATED PORTFOLIO 1 - Direct Plan - IDCW Option</v>
          </cell>
          <cell r="E8010">
            <v>4.6600000000000003E-2</v>
          </cell>
        </row>
        <row r="8011">
          <cell r="B8011" t="str">
            <v>INF204KB11G2</v>
          </cell>
          <cell r="C8011" t="str">
            <v>INF204KB12G0</v>
          </cell>
          <cell r="D8011" t="str">
            <v>NIPPON INDIA AGGRESSIVE HYBRID FUND -  SEGREGATED PORTFOLIO 1 - Direct Plan - MONTHLY IDCW Option</v>
          </cell>
          <cell r="E8011">
            <v>2.3400000000000001E-2</v>
          </cell>
        </row>
        <row r="8012">
          <cell r="B8012" t="str">
            <v>INF204KB17F1</v>
          </cell>
          <cell r="C8012" t="str">
            <v>INF204KB18F9</v>
          </cell>
          <cell r="D8012" t="str">
            <v>NIPPON INDIA AGGRESSIVE HYBRID FUND -  SEGREGATED PORTFOLIO 1 - Direct Plan - QUARTERLY IDCW Option</v>
          </cell>
          <cell r="E8012">
            <v>3.2199999999999999E-2</v>
          </cell>
        </row>
        <row r="8013">
          <cell r="B8013" t="str">
            <v>INF204KB16G1</v>
          </cell>
          <cell r="C8013" t="str">
            <v>INF204KB17G9</v>
          </cell>
          <cell r="D8013" t="str">
            <v>NIPPON INDIA AGGRESSIVE HYBRID FUND -  SEGREGATED PORTFOLIO 1 - IDCW Option</v>
          </cell>
          <cell r="E8013">
            <v>3.5999999999999997E-2</v>
          </cell>
        </row>
        <row r="8014">
          <cell r="B8014" t="str">
            <v>INF204KB18G7</v>
          </cell>
          <cell r="C8014" t="str">
            <v>INF204KB19G5</v>
          </cell>
          <cell r="D8014" t="str">
            <v>NIPPON INDIA AGGRESSIVE HYBRID FUND -  SEGREGATED PORTFOLIO 1 - MONTHLY IDCW Option</v>
          </cell>
          <cell r="E8014">
            <v>2.24E-2</v>
          </cell>
        </row>
        <row r="8015">
          <cell r="B8015" t="str">
            <v>INF204KB14G6</v>
          </cell>
          <cell r="C8015" t="str">
            <v>INF204KB15G3</v>
          </cell>
          <cell r="D8015" t="str">
            <v>NIPPON INDIA AGGRESSIVE HYBRID FUND -  SEGREGATED PORTFOLIO 1 - QUARTERLY IDCW Option</v>
          </cell>
          <cell r="E8015">
            <v>3.09E-2</v>
          </cell>
        </row>
        <row r="8016">
          <cell r="B8016" t="str">
            <v>INF204KB16T4</v>
          </cell>
          <cell r="C8016" t="str">
            <v>INF204KB17T2</v>
          </cell>
          <cell r="D8016" t="str">
            <v>NIPPON INDIA AGGRESSIVE HYBRID FUND -  SEGREGATED PORTFOLIO 2 - DIRECT Plan - IDCW Option</v>
          </cell>
          <cell r="E8016">
            <v>0</v>
          </cell>
        </row>
        <row r="8017">
          <cell r="B8017" t="str">
            <v>INF204KB18T0</v>
          </cell>
          <cell r="C8017" t="str">
            <v>INF204KB19T8</v>
          </cell>
          <cell r="D8017" t="str">
            <v>NIPPON INDIA AGGRESSIVE HYBRID FUND -  SEGREGATED PORTFOLIO 2 - DIRECT Plan - MONTHLY IDCW Option</v>
          </cell>
          <cell r="E8017">
            <v>0</v>
          </cell>
        </row>
        <row r="8018">
          <cell r="B8018" t="str">
            <v>INF204KB14T9</v>
          </cell>
          <cell r="C8018" t="str">
            <v>INF204KB15T6</v>
          </cell>
          <cell r="D8018" t="str">
            <v>NIPPON INDIA AGGRESSIVE HYBRID FUND -  SEGREGATED PORTFOLIO 2 - DIRECT Plan - QUARTERLY IDCW Option</v>
          </cell>
          <cell r="E8018">
            <v>0</v>
          </cell>
        </row>
        <row r="8019">
          <cell r="B8019" t="str">
            <v>INF204KB13U9</v>
          </cell>
          <cell r="C8019" t="str">
            <v>INF204KB14U7</v>
          </cell>
          <cell r="D8019" t="str">
            <v>NIPPON INDIA AGGRESSIVE HYBRID FUND -  SEGREGATED PORTFOLIO 2 - IDCW Option</v>
          </cell>
          <cell r="E8019">
            <v>0</v>
          </cell>
        </row>
        <row r="8020">
          <cell r="B8020" t="str">
            <v>INF204KB15U4</v>
          </cell>
          <cell r="C8020" t="str">
            <v>INF204KB16U2</v>
          </cell>
          <cell r="D8020" t="str">
            <v>NIPPON INDIA AGGRESSIVE HYBRID FUND -  SEGREGATED PORTFOLIO 2 - MONTHLY IDCW Option</v>
          </cell>
          <cell r="E8020">
            <v>0</v>
          </cell>
        </row>
        <row r="8021">
          <cell r="B8021" t="str">
            <v>INF204KB11U3</v>
          </cell>
          <cell r="C8021" t="str">
            <v>INF204KB12U1</v>
          </cell>
          <cell r="D8021" t="str">
            <v>NIPPON INDIA AGGRESSIVE HYBRID FUND -  SEGREGATED PORTFOLIO 2 - QUARTERLY IDCW Option</v>
          </cell>
          <cell r="E8021">
            <v>0</v>
          </cell>
        </row>
        <row r="8022">
          <cell r="B8022" t="str">
            <v>INF204K01B16</v>
          </cell>
          <cell r="C8022" t="str">
            <v>INF204K01B24</v>
          </cell>
          <cell r="D8022" t="str">
            <v>NIPPON INDIA AGGRESSIVE HYBRID FUND - DIRECT Plan - IDCW Option</v>
          </cell>
          <cell r="E8022">
            <v>37.6967</v>
          </cell>
        </row>
        <row r="8023">
          <cell r="B8023" t="str">
            <v>INF204KB1BD7</v>
          </cell>
          <cell r="C8023" t="str">
            <v>INF204KB1BE5</v>
          </cell>
          <cell r="D8023" t="str">
            <v>NIPPON INDIA AGGRESSIVE HYBRID FUND - DIRECT Plan - MONTHLY IDCW Option</v>
          </cell>
          <cell r="E8023">
            <v>18.619199999999999</v>
          </cell>
        </row>
        <row r="8024">
          <cell r="B8024" t="str">
            <v>INF204K011R2</v>
          </cell>
          <cell r="C8024" t="str">
            <v>INF204K012R0</v>
          </cell>
          <cell r="D8024" t="str">
            <v>NIPPON INDIA AGGRESSIVE HYBRID FUND - DIRECT Plan - QUARTERLY IDCW Option</v>
          </cell>
          <cell r="E8024">
            <v>24.979299999999999</v>
          </cell>
        </row>
        <row r="8025">
          <cell r="B8025" t="str">
            <v>INF204K01FW1</v>
          </cell>
          <cell r="C8025" t="str">
            <v>-</v>
          </cell>
          <cell r="D8025" t="str">
            <v>Nippon India Aggressive Hybrid Fund - Growth Plan</v>
          </cell>
          <cell r="E8025">
            <v>106.1258</v>
          </cell>
        </row>
        <row r="8026">
          <cell r="B8026" t="str">
            <v>INF204K01FX9</v>
          </cell>
          <cell r="C8026" t="str">
            <v>INF204K01FY7</v>
          </cell>
          <cell r="D8026" t="str">
            <v>NIPPON INDIA AGGRESSIVE HYBRID FUND - IDCW Option</v>
          </cell>
          <cell r="E8026">
            <v>26.517600000000002</v>
          </cell>
        </row>
        <row r="8027">
          <cell r="B8027" t="str">
            <v>INF204KB1BF2</v>
          </cell>
          <cell r="C8027" t="str">
            <v>INF204KB1BG0</v>
          </cell>
          <cell r="D8027" t="str">
            <v>NIPPON INDIA AGGRESSIVE HYBRID FUND - MONTHLY IDCW Option</v>
          </cell>
          <cell r="E8027">
            <v>16.561</v>
          </cell>
        </row>
        <row r="8028">
          <cell r="B8028" t="str">
            <v>INF204K013R8</v>
          </cell>
          <cell r="C8028" t="str">
            <v>INF204K014R6</v>
          </cell>
          <cell r="D8028" t="str">
            <v>NIPPON INDIA AGGRESSIVE HYBRID FUND - QUARTERLY IDCW Option</v>
          </cell>
          <cell r="E8028">
            <v>22.471900000000002</v>
          </cell>
        </row>
        <row r="8029">
          <cell r="B8029" t="str">
            <v>INF204KB16F3</v>
          </cell>
          <cell r="C8029" t="str">
            <v>-</v>
          </cell>
          <cell r="D8029" t="str">
            <v>Nippon India Aggressive Hybrid Fund - Segregated Portfolio 1 - Direct Plan - Growth Plan</v>
          </cell>
          <cell r="E8029">
            <v>0.12609999999999999</v>
          </cell>
        </row>
        <row r="8030">
          <cell r="B8030" t="str">
            <v>INF204KB13G8</v>
          </cell>
          <cell r="C8030" t="str">
            <v>-</v>
          </cell>
          <cell r="D8030" t="str">
            <v>Nippon India Aggressive Hybrid Fund - Segregated Portfolio 1 - Growth Plan</v>
          </cell>
          <cell r="E8030">
            <v>0.1172</v>
          </cell>
        </row>
        <row r="8031">
          <cell r="B8031" t="str">
            <v>INF204KB10U5</v>
          </cell>
          <cell r="C8031" t="str">
            <v>-</v>
          </cell>
          <cell r="D8031" t="str">
            <v>Nippon India Aggressive Hybrid Fund - Segregated Portfolio 2 - Growth Plan</v>
          </cell>
          <cell r="E8031">
            <v>0</v>
          </cell>
        </row>
        <row r="8032">
          <cell r="B8032" t="str">
            <v/>
          </cell>
          <cell r="C8032" t="str">
            <v/>
          </cell>
          <cell r="D8032" t="str">
            <v/>
          </cell>
        </row>
        <row r="8033">
          <cell r="B8033" t="str">
            <v/>
          </cell>
          <cell r="C8033" t="str">
            <v/>
          </cell>
          <cell r="D8033" t="str">
            <v/>
          </cell>
        </row>
        <row r="8034">
          <cell r="B8034" t="str">
            <v/>
          </cell>
          <cell r="C8034" t="str">
            <v/>
          </cell>
          <cell r="D8034" t="str">
            <v/>
          </cell>
        </row>
        <row r="8035">
          <cell r="B8035" t="str">
            <v>INF223J01903</v>
          </cell>
          <cell r="C8035" t="str">
            <v>-</v>
          </cell>
          <cell r="D8035" t="str">
            <v>PGIM India Aggressive Hybrid Equity Fund - BONUS OPTION</v>
          </cell>
          <cell r="E8035">
            <v>16.600000000000001</v>
          </cell>
        </row>
        <row r="8036">
          <cell r="B8036" t="str">
            <v>INF663L01ZC6</v>
          </cell>
          <cell r="C8036" t="str">
            <v>INF663L01ZD4</v>
          </cell>
          <cell r="D8036" t="str">
            <v>PGIM India Aggressive Hybrid Equity Fund - Direct Plan - Annual Dividend Option</v>
          </cell>
          <cell r="E8036">
            <v>13.27</v>
          </cell>
        </row>
        <row r="8037">
          <cell r="B8037" t="str">
            <v>INF663L01GY0</v>
          </cell>
          <cell r="C8037" t="str">
            <v>INF663L01GZ7</v>
          </cell>
          <cell r="D8037" t="str">
            <v>PGIM India Aggressive Hybrid Equity Fund - Direct Plan - Dividend</v>
          </cell>
          <cell r="E8037">
            <v>24.9</v>
          </cell>
        </row>
        <row r="8038">
          <cell r="B8038" t="str">
            <v>INF663L01GX2</v>
          </cell>
          <cell r="C8038" t="str">
            <v>-</v>
          </cell>
          <cell r="D8038" t="str">
            <v>PGIM India Aggressive Hybrid Equity Fund - Direct Plan - Growth</v>
          </cell>
          <cell r="E8038">
            <v>156.83000000000001</v>
          </cell>
        </row>
        <row r="8039">
          <cell r="B8039" t="str">
            <v>INF663L01HA8</v>
          </cell>
          <cell r="C8039" t="str">
            <v>INF663L01HB6</v>
          </cell>
          <cell r="D8039" t="str">
            <v>PGIM India Aggressive Hybrid Equity Fund - Dividend Option</v>
          </cell>
          <cell r="E8039">
            <v>13.87</v>
          </cell>
        </row>
        <row r="8040">
          <cell r="B8040" t="str">
            <v>INF663L01HC4</v>
          </cell>
          <cell r="C8040" t="str">
            <v>-</v>
          </cell>
          <cell r="D8040" t="str">
            <v>PGIM India Aggressive Hybrid Equity Fund - Growth Option</v>
          </cell>
          <cell r="E8040">
            <v>129.28</v>
          </cell>
        </row>
        <row r="8041">
          <cell r="B8041" t="str">
            <v>INF663L01ZA0</v>
          </cell>
          <cell r="C8041" t="str">
            <v>INF663L01ZB8</v>
          </cell>
          <cell r="D8041" t="str">
            <v>PGIM India Aggressive Hybrid Equity Fund - Regular Plan - Annual Dividend Option</v>
          </cell>
          <cell r="E8041">
            <v>12.98</v>
          </cell>
        </row>
        <row r="8042">
          <cell r="B8042" t="str">
            <v>INF223J01309</v>
          </cell>
          <cell r="C8042" t="str">
            <v>-</v>
          </cell>
          <cell r="D8042" t="str">
            <v>PGIM India Aggressive Hybrid Equity Fund Wealth Plan- Dividend Option</v>
          </cell>
          <cell r="E8042">
            <v>16.48</v>
          </cell>
        </row>
        <row r="8043">
          <cell r="B8043" t="str">
            <v>INF223J01325</v>
          </cell>
          <cell r="C8043" t="str">
            <v>-</v>
          </cell>
          <cell r="D8043" t="str">
            <v>PGIM India Aggressive Hybrid Equity Fund Wealth Plan- Growth Option</v>
          </cell>
          <cell r="E8043">
            <v>30.02</v>
          </cell>
        </row>
        <row r="8044">
          <cell r="B8044" t="str">
            <v>INF663L01OA4</v>
          </cell>
          <cell r="C8044" t="str">
            <v>INF663L01OB2</v>
          </cell>
          <cell r="D8044" t="str">
            <v>PGIM India Aggressive Hybrid Equity Fund-Direct Plan-Monthly Dividend Option</v>
          </cell>
          <cell r="E8044">
            <v>25.02</v>
          </cell>
        </row>
        <row r="8045">
          <cell r="B8045" t="str">
            <v>INF663L01OE6</v>
          </cell>
          <cell r="C8045" t="str">
            <v>INF663L01OF3</v>
          </cell>
          <cell r="D8045" t="str">
            <v>PGIM India Aggressive Hybrid Equity Fund-Direct Plan-Quarterly Divdend Option</v>
          </cell>
          <cell r="E8045">
            <v>21.55</v>
          </cell>
        </row>
        <row r="8046">
          <cell r="B8046" t="str">
            <v>INF663L01NY6</v>
          </cell>
          <cell r="C8046" t="str">
            <v>INF663L01NZ3</v>
          </cell>
          <cell r="D8046" t="str">
            <v>PGIM India Aggressive Hybrid Equity Fund-Monthly Dividend Option</v>
          </cell>
          <cell r="E8046">
            <v>22.11</v>
          </cell>
        </row>
        <row r="8047">
          <cell r="B8047" t="str">
            <v>INF663L01OC0</v>
          </cell>
          <cell r="C8047" t="str">
            <v>INF663L01OD8</v>
          </cell>
          <cell r="D8047" t="str">
            <v>PGIM India Aggressive Hybrid Equity Fund-Quarterly Dividend Option</v>
          </cell>
          <cell r="E8047">
            <v>20.99</v>
          </cell>
        </row>
        <row r="8048">
          <cell r="B8048" t="str">
            <v/>
          </cell>
          <cell r="C8048" t="str">
            <v/>
          </cell>
          <cell r="D8048" t="str">
            <v/>
          </cell>
        </row>
        <row r="8049">
          <cell r="B8049" t="str">
            <v/>
          </cell>
          <cell r="C8049" t="str">
            <v/>
          </cell>
          <cell r="D8049" t="str">
            <v/>
          </cell>
        </row>
        <row r="8050">
          <cell r="B8050" t="str">
            <v/>
          </cell>
          <cell r="C8050" t="str">
            <v/>
          </cell>
          <cell r="D8050" t="str">
            <v/>
          </cell>
        </row>
        <row r="8051">
          <cell r="B8051" t="str">
            <v>INF966L01267</v>
          </cell>
          <cell r="C8051" t="str">
            <v>-</v>
          </cell>
          <cell r="D8051" t="str">
            <v>quant Aggressive Hybrid Fund - Growth Option - Regular Plan</v>
          </cell>
          <cell r="E8051">
            <v>470.64359999999999</v>
          </cell>
        </row>
        <row r="8052">
          <cell r="B8052" t="str">
            <v>INF966L01556</v>
          </cell>
          <cell r="C8052" t="str">
            <v>-</v>
          </cell>
          <cell r="D8052" t="str">
            <v>quant Aggressive Hybrid Fund-Growth Option-Direct Plan</v>
          </cell>
          <cell r="E8052">
            <v>519.36659999999995</v>
          </cell>
        </row>
        <row r="8053">
          <cell r="B8053" t="str">
            <v>INF966L01242</v>
          </cell>
          <cell r="C8053" t="str">
            <v>INF966L01259</v>
          </cell>
          <cell r="D8053" t="str">
            <v>quant Aggressive Hybrid Fund-IDCW Option - Regular Plan</v>
          </cell>
          <cell r="E8053">
            <v>64.9148</v>
          </cell>
        </row>
        <row r="8054">
          <cell r="B8054" t="str">
            <v>INF966L01531</v>
          </cell>
          <cell r="C8054" t="str">
            <v>INF966L01549</v>
          </cell>
          <cell r="D8054" t="str">
            <v>quant Aggressive Hybrid Fund-IDCW Option-Direct Plan</v>
          </cell>
          <cell r="E8054">
            <v>71.934100000000001</v>
          </cell>
        </row>
        <row r="8055">
          <cell r="B8055" t="str">
            <v/>
          </cell>
          <cell r="C8055" t="str">
            <v/>
          </cell>
          <cell r="D8055" t="str">
            <v/>
          </cell>
        </row>
        <row r="8056">
          <cell r="B8056" t="str">
            <v/>
          </cell>
          <cell r="C8056" t="str">
            <v/>
          </cell>
          <cell r="D8056" t="str">
            <v/>
          </cell>
        </row>
        <row r="8057">
          <cell r="B8057" t="str">
            <v/>
          </cell>
          <cell r="C8057" t="str">
            <v/>
          </cell>
          <cell r="D8057" t="str">
            <v/>
          </cell>
        </row>
        <row r="8058">
          <cell r="B8058" t="str">
            <v>INF200K01RY0</v>
          </cell>
          <cell r="C8058" t="str">
            <v>-</v>
          </cell>
          <cell r="D8058" t="str">
            <v>SBI EQUITY HYBRID FUND - DIRECT PLAN - Growth</v>
          </cell>
          <cell r="E8058">
            <v>350.70699999999999</v>
          </cell>
        </row>
        <row r="8059">
          <cell r="B8059" t="str">
            <v>INF200K01RW4</v>
          </cell>
          <cell r="C8059" t="str">
            <v>INF200K01RX2</v>
          </cell>
          <cell r="D8059" t="str">
            <v>SBI Equity Hybrid Fund - Direct Plan - Income Distribution cum Capital Withdrawal Option (IDCW)</v>
          </cell>
          <cell r="E8059">
            <v>102.6236</v>
          </cell>
        </row>
        <row r="8060">
          <cell r="B8060" t="str">
            <v>INF200K01115</v>
          </cell>
          <cell r="C8060" t="str">
            <v>INF200K01123</v>
          </cell>
          <cell r="D8060" t="str">
            <v>SBI Equity Hybrid Fund - Regular Plan - Income Distribution cum Capital Withdrawal Option (IDCW)</v>
          </cell>
          <cell r="E8060">
            <v>66.838399999999993</v>
          </cell>
        </row>
        <row r="8061">
          <cell r="B8061" t="str">
            <v>INF200K01107</v>
          </cell>
          <cell r="C8061" t="str">
            <v>-</v>
          </cell>
          <cell r="D8061" t="str">
            <v>SBI EQUITY HYBRID FUND - REGULAR PLAN -Growth</v>
          </cell>
          <cell r="E8061">
            <v>315.416</v>
          </cell>
        </row>
        <row r="8062">
          <cell r="B8062" t="str">
            <v/>
          </cell>
          <cell r="C8062" t="str">
            <v/>
          </cell>
          <cell r="D8062" t="str">
            <v/>
          </cell>
        </row>
        <row r="8063">
          <cell r="B8063" t="str">
            <v/>
          </cell>
          <cell r="C8063" t="str">
            <v/>
          </cell>
          <cell r="D8063" t="str">
            <v/>
          </cell>
        </row>
        <row r="8064">
          <cell r="B8064" t="str">
            <v/>
          </cell>
          <cell r="C8064" t="str">
            <v/>
          </cell>
          <cell r="D8064" t="str">
            <v/>
          </cell>
        </row>
        <row r="8065">
          <cell r="B8065" t="str">
            <v>INF680P01042</v>
          </cell>
          <cell r="C8065" t="str">
            <v>-</v>
          </cell>
          <cell r="D8065" t="str">
            <v>Shriram Aggressive Hybrid Fund- Direct Growth</v>
          </cell>
          <cell r="E8065">
            <v>36.8367</v>
          </cell>
        </row>
        <row r="8066">
          <cell r="B8066" t="str">
            <v>INF680P01059</v>
          </cell>
          <cell r="C8066" t="str">
            <v>INF680P01067</v>
          </cell>
          <cell r="D8066" t="str">
            <v>Shriram Aggressive Hybrid Fund- Direct- IDCW</v>
          </cell>
          <cell r="E8066">
            <v>29.018000000000001</v>
          </cell>
        </row>
        <row r="8067">
          <cell r="B8067" t="str">
            <v>INF680P01018</v>
          </cell>
          <cell r="C8067" t="str">
            <v>-</v>
          </cell>
          <cell r="D8067" t="str">
            <v>Shriram Aggressive Hybrid Fund- Regular Growth</v>
          </cell>
          <cell r="E8067">
            <v>31.642900000000001</v>
          </cell>
        </row>
        <row r="8068">
          <cell r="B8068" t="str">
            <v>INF680P01026</v>
          </cell>
          <cell r="C8068" t="str">
            <v>INF680P01034</v>
          </cell>
          <cell r="D8068" t="str">
            <v>Shriram Aggressive Hybrid Fund- Regular-IDCW</v>
          </cell>
          <cell r="E8068">
            <v>25.300699999999999</v>
          </cell>
        </row>
        <row r="8069">
          <cell r="B8069" t="str">
            <v/>
          </cell>
          <cell r="C8069" t="str">
            <v/>
          </cell>
          <cell r="D8069" t="str">
            <v/>
          </cell>
        </row>
        <row r="8070">
          <cell r="B8070" t="str">
            <v/>
          </cell>
          <cell r="C8070" t="str">
            <v/>
          </cell>
          <cell r="D8070" t="str">
            <v/>
          </cell>
        </row>
        <row r="8071">
          <cell r="B8071" t="str">
            <v/>
          </cell>
          <cell r="C8071" t="str">
            <v/>
          </cell>
          <cell r="D8071" t="str">
            <v/>
          </cell>
        </row>
        <row r="8072">
          <cell r="B8072" t="str">
            <v>INF173K01FE6</v>
          </cell>
          <cell r="C8072" t="str">
            <v>-</v>
          </cell>
          <cell r="D8072" t="str">
            <v>Sundaram Aggressive Hybrid Fund (Formerly Known as Principal Hybrid Equity Fund)- Direct Plan - Growth Option</v>
          </cell>
          <cell r="E8072">
            <v>183.30719999999999</v>
          </cell>
        </row>
        <row r="8073">
          <cell r="B8073" t="str">
            <v>INF173K01CI4</v>
          </cell>
          <cell r="C8073" t="str">
            <v>INF173K01CJ2</v>
          </cell>
          <cell r="D8073" t="str">
            <v>Sundaram Aggressive Hybrid Fund (Formerly Known as Principal Hybrid Equity Fund)- Monthly Income Distribution CUM Capital Withdrawal</v>
          </cell>
          <cell r="E8073">
            <v>24.4847</v>
          </cell>
        </row>
        <row r="8074">
          <cell r="B8074" t="str">
            <v>INF173K01CL8</v>
          </cell>
          <cell r="C8074" t="str">
            <v>-</v>
          </cell>
          <cell r="D8074" t="str">
            <v>Sundaram Aggressive Hybrid Fund (Formerly Known as Principal Hybrid Equity Fund)-Growth</v>
          </cell>
          <cell r="E8074">
            <v>158.21700000000001</v>
          </cell>
        </row>
        <row r="8075">
          <cell r="B8075" t="str">
            <v>INF173K01FB2</v>
          </cell>
          <cell r="C8075" t="str">
            <v>INF173K01FC0</v>
          </cell>
          <cell r="D8075" t="str">
            <v>Sundaram Aggressive Hybrid Fund(Formerly Known as Principal Hybrid Equity Fund)-Direct Plan - Monthly Income Distribution CUM Capital Withdrawal Option</v>
          </cell>
          <cell r="E8075">
            <v>38.436999999999998</v>
          </cell>
        </row>
        <row r="8076">
          <cell r="B8076" t="str">
            <v/>
          </cell>
          <cell r="C8076" t="str">
            <v/>
          </cell>
          <cell r="D8076" t="str">
            <v/>
          </cell>
        </row>
        <row r="8077">
          <cell r="B8077" t="str">
            <v/>
          </cell>
          <cell r="C8077" t="str">
            <v/>
          </cell>
          <cell r="D8077" t="str">
            <v/>
          </cell>
        </row>
        <row r="8078">
          <cell r="B8078" t="str">
            <v/>
          </cell>
          <cell r="C8078" t="str">
            <v/>
          </cell>
          <cell r="D8078" t="str">
            <v/>
          </cell>
        </row>
        <row r="8079">
          <cell r="B8079" t="str">
            <v>INF277K01MN2</v>
          </cell>
          <cell r="C8079" t="str">
            <v>-</v>
          </cell>
          <cell r="D8079" t="str">
            <v>Tata Aggressive Hybrid Fund -Direct Plan- Growth Option</v>
          </cell>
          <cell r="E8079">
            <v>496.37490000000003</v>
          </cell>
        </row>
        <row r="8080">
          <cell r="B8080" t="str">
            <v>INF277K01MO0</v>
          </cell>
          <cell r="C8080" t="str">
            <v>INF277K01MP7</v>
          </cell>
          <cell r="D8080" t="str">
            <v>Tata Aggressive Hybrid Fund- Direct Plan - Monthly Payout of IDCW Option</v>
          </cell>
          <cell r="E8080">
            <v>98.723200000000006</v>
          </cell>
        </row>
        <row r="8081">
          <cell r="B8081" t="str">
            <v>INF277K01ML6</v>
          </cell>
          <cell r="C8081" t="str">
            <v>INF277K01MM4</v>
          </cell>
          <cell r="D8081" t="str">
            <v>Tata Aggressive Hybrid Fund- Direct Plan - Periodic Payout of IDCW Option</v>
          </cell>
          <cell r="E8081">
            <v>97.453500000000005</v>
          </cell>
        </row>
        <row r="8082">
          <cell r="B8082" t="str">
            <v>INF277K01303</v>
          </cell>
          <cell r="C8082" t="str">
            <v>-</v>
          </cell>
          <cell r="D8082" t="str">
            <v>Tata Aggressive Hybrid Fund- Regular Plan - Growth Option</v>
          </cell>
          <cell r="E8082">
            <v>437.95350000000002</v>
          </cell>
        </row>
        <row r="8083">
          <cell r="B8083" t="str">
            <v>INF277K01CS2</v>
          </cell>
          <cell r="C8083" t="str">
            <v>INF277K01CW4</v>
          </cell>
          <cell r="D8083" t="str">
            <v>Tata Aggressive Hybrid Fund- Regular Plan - Monthly Payout of IDCW Option</v>
          </cell>
          <cell r="E8083">
            <v>81.668700000000001</v>
          </cell>
        </row>
        <row r="8084">
          <cell r="B8084" t="str">
            <v>INF277K01DB6</v>
          </cell>
          <cell r="C8084" t="str">
            <v>INF277K01295</v>
          </cell>
          <cell r="D8084" t="str">
            <v>Tata Aggressive Hybrid Fund- Regular Plan - Periodic Payout of IDCW Option</v>
          </cell>
          <cell r="E8084">
            <v>77.983199999999997</v>
          </cell>
        </row>
        <row r="8085">
          <cell r="B8085" t="str">
            <v/>
          </cell>
          <cell r="C8085" t="str">
            <v/>
          </cell>
          <cell r="D8085" t="str">
            <v/>
          </cell>
        </row>
        <row r="8086">
          <cell r="B8086" t="str">
            <v/>
          </cell>
          <cell r="C8086" t="str">
            <v/>
          </cell>
          <cell r="D8086" t="str">
            <v/>
          </cell>
        </row>
        <row r="8087">
          <cell r="B8087" t="str">
            <v/>
          </cell>
          <cell r="C8087" t="str">
            <v/>
          </cell>
          <cell r="D8087" t="str">
            <v/>
          </cell>
        </row>
        <row r="8088">
          <cell r="B8088" t="str">
            <v>INF582M01GY0</v>
          </cell>
          <cell r="C8088" t="str">
            <v>-</v>
          </cell>
          <cell r="D8088" t="str">
            <v>Union Aggressive Hybrid Fund - Direct Plan - Growth Option</v>
          </cell>
          <cell r="E8088">
            <v>19.670000000000002</v>
          </cell>
        </row>
        <row r="8089">
          <cell r="B8089" t="str">
            <v>INF582M01HA8</v>
          </cell>
          <cell r="C8089" t="str">
            <v>INF582M01GZ7</v>
          </cell>
          <cell r="D8089" t="str">
            <v>Union Aggressive Hybrid Fund - Direct Plan - IDCW Option</v>
          </cell>
          <cell r="E8089">
            <v>18.149999999999999</v>
          </cell>
        </row>
        <row r="8090">
          <cell r="B8090" t="str">
            <v>INF582M01HC4</v>
          </cell>
          <cell r="C8090" t="str">
            <v>-</v>
          </cell>
          <cell r="D8090" t="str">
            <v>Union Aggressive Hybrid Fund - Regular Plan - Growth Option</v>
          </cell>
          <cell r="E8090">
            <v>18.45</v>
          </cell>
        </row>
        <row r="8091">
          <cell r="B8091" t="str">
            <v>INF582M01HE0</v>
          </cell>
          <cell r="C8091" t="str">
            <v>INF582M01HD2</v>
          </cell>
          <cell r="D8091" t="str">
            <v>Union Aggressive Hybrid Fund - Regular Plan - IDCW Option</v>
          </cell>
          <cell r="E8091">
            <v>16.940000000000001</v>
          </cell>
        </row>
        <row r="8092">
          <cell r="B8092" t="str">
            <v/>
          </cell>
          <cell r="C8092" t="str">
            <v/>
          </cell>
          <cell r="D8092" t="str">
            <v/>
          </cell>
        </row>
        <row r="8093">
          <cell r="B8093" t="str">
            <v/>
          </cell>
          <cell r="C8093" t="str">
            <v/>
          </cell>
          <cell r="D8093" t="str">
            <v/>
          </cell>
        </row>
        <row r="8094">
          <cell r="B8094" t="str">
            <v/>
          </cell>
          <cell r="C8094" t="str">
            <v/>
          </cell>
          <cell r="D8094" t="str">
            <v/>
          </cell>
        </row>
        <row r="8095">
          <cell r="B8095" t="str">
            <v>INF789F01SI3</v>
          </cell>
          <cell r="C8095" t="str">
            <v>INF789F01SJ1</v>
          </cell>
          <cell r="D8095" t="str">
            <v>UTI Aggressive Hybrid Fund - Direct Plan - IDCW</v>
          </cell>
          <cell r="E8095">
            <v>45.089399999999998</v>
          </cell>
        </row>
        <row r="8096">
          <cell r="B8096" t="str">
            <v>INF789F01323</v>
          </cell>
          <cell r="C8096" t="str">
            <v>-</v>
          </cell>
          <cell r="D8096" t="str">
            <v>UTI Aggressive Hybrid Fund - Regular Plan - Growth</v>
          </cell>
          <cell r="E8096">
            <v>404.9248</v>
          </cell>
        </row>
        <row r="8097">
          <cell r="B8097" t="str">
            <v>INF789F01307</v>
          </cell>
          <cell r="C8097" t="str">
            <v>INF789F01315</v>
          </cell>
          <cell r="D8097" t="str">
            <v>UTI Aggressive Hybrid Fund - Regular Plan - IDCW</v>
          </cell>
          <cell r="E8097">
            <v>39.699599999999997</v>
          </cell>
        </row>
        <row r="8098">
          <cell r="B8098" t="str">
            <v>INF789F01SK9</v>
          </cell>
          <cell r="C8098" t="str">
            <v>-</v>
          </cell>
          <cell r="D8098" t="str">
            <v>UTI Aggressive Hybrid Fund -Direct Plan - Growth</v>
          </cell>
          <cell r="E8098">
            <v>438.33199999999999</v>
          </cell>
        </row>
        <row r="8099">
          <cell r="B8099" t="str">
            <v/>
          </cell>
          <cell r="C8099" t="str">
            <v/>
          </cell>
          <cell r="D8099" t="str">
            <v/>
          </cell>
        </row>
        <row r="8100">
          <cell r="B8100" t="str">
            <v/>
          </cell>
          <cell r="C8100" t="str">
            <v/>
          </cell>
          <cell r="D8100" t="str">
            <v/>
          </cell>
        </row>
        <row r="8101">
          <cell r="B8101" t="str">
            <v/>
          </cell>
          <cell r="C8101" t="str">
            <v/>
          </cell>
          <cell r="D8101" t="str">
            <v/>
          </cell>
        </row>
        <row r="8102">
          <cell r="B8102" t="str">
            <v/>
          </cell>
          <cell r="C8102" t="str">
            <v/>
          </cell>
          <cell r="D8102" t="str">
            <v/>
          </cell>
        </row>
        <row r="8103">
          <cell r="B8103" t="str">
            <v/>
          </cell>
          <cell r="C8103" t="str">
            <v/>
          </cell>
          <cell r="D8103" t="str">
            <v/>
          </cell>
        </row>
        <row r="8104">
          <cell r="B8104" t="str">
            <v>INF209K01VP1</v>
          </cell>
          <cell r="C8104" t="str">
            <v>-</v>
          </cell>
          <cell r="D8104" t="str">
            <v>Aditya Birla Sun Life Arbitrage Fund - Growth - Direct Plan</v>
          </cell>
          <cell r="E8104">
            <v>30.666599999999999</v>
          </cell>
        </row>
        <row r="8105">
          <cell r="B8105" t="str">
            <v>INF209K01264</v>
          </cell>
          <cell r="C8105" t="str">
            <v>-</v>
          </cell>
          <cell r="D8105" t="str">
            <v>Aditya BIRLA SUN LIFE ARBITRAGE FUND - REGULAR PLAN - GROWTH</v>
          </cell>
          <cell r="E8105">
            <v>28.235900000000001</v>
          </cell>
        </row>
        <row r="8106">
          <cell r="B8106" t="str">
            <v>INF209K01P80</v>
          </cell>
          <cell r="C8106" t="str">
            <v>INF209K01VQ9</v>
          </cell>
          <cell r="D8106" t="str">
            <v>Aditya Birla Sun Life Arbitrage Fund-DIRECT - IDCW</v>
          </cell>
          <cell r="E8106">
            <v>11.5321</v>
          </cell>
        </row>
        <row r="8107">
          <cell r="B8107" t="str">
            <v>INF209K01256</v>
          </cell>
          <cell r="C8107" t="str">
            <v>INF209K01CI6</v>
          </cell>
          <cell r="D8107" t="str">
            <v>Aditya Birla Sun Life Arbitrage Fund-Regular - IDCW</v>
          </cell>
          <cell r="E8107">
            <v>11.0908</v>
          </cell>
        </row>
        <row r="8108">
          <cell r="B8108" t="str">
            <v/>
          </cell>
          <cell r="C8108" t="str">
            <v/>
          </cell>
          <cell r="D8108" t="str">
            <v/>
          </cell>
        </row>
        <row r="8109">
          <cell r="B8109" t="str">
            <v/>
          </cell>
          <cell r="C8109" t="str">
            <v/>
          </cell>
          <cell r="D8109" t="str">
            <v/>
          </cell>
        </row>
        <row r="8110">
          <cell r="B8110" t="str">
            <v/>
          </cell>
          <cell r="C8110" t="str">
            <v/>
          </cell>
          <cell r="D8110" t="str">
            <v/>
          </cell>
        </row>
        <row r="8111">
          <cell r="B8111" t="str">
            <v>INF846K01PZ1</v>
          </cell>
          <cell r="C8111" t="str">
            <v>-</v>
          </cell>
          <cell r="D8111" t="str">
            <v>Axis Arbitrage Fund - Direct Plan - Growth</v>
          </cell>
          <cell r="E8111">
            <v>21.7316</v>
          </cell>
        </row>
        <row r="8112">
          <cell r="B8112" t="str">
            <v>INF846K01QA2</v>
          </cell>
          <cell r="C8112" t="str">
            <v>INF846K01QB0</v>
          </cell>
          <cell r="D8112" t="str">
            <v>Axis Arbitrage Fund - Direct Plan - Monthly IDCW</v>
          </cell>
          <cell r="E8112">
            <v>12.398300000000001</v>
          </cell>
        </row>
        <row r="8113">
          <cell r="B8113" t="str">
            <v>INF846K01QC8</v>
          </cell>
          <cell r="C8113" t="str">
            <v>-</v>
          </cell>
          <cell r="D8113" t="str">
            <v>Axis Arbitrage Fund - Regular Plan - Growth</v>
          </cell>
          <cell r="E8113">
            <v>19.862100000000002</v>
          </cell>
        </row>
        <row r="8114">
          <cell r="B8114" t="str">
            <v>INF846K01QD6</v>
          </cell>
          <cell r="C8114" t="str">
            <v>INF846K01QE4</v>
          </cell>
          <cell r="D8114" t="str">
            <v>Axis Arbitrage Fund - Regular Plan - Monthly IDCW</v>
          </cell>
          <cell r="E8114">
            <v>11.2021</v>
          </cell>
        </row>
        <row r="8115">
          <cell r="B8115" t="str">
            <v/>
          </cell>
          <cell r="C8115" t="str">
            <v/>
          </cell>
          <cell r="D8115" t="str">
            <v/>
          </cell>
        </row>
        <row r="8116">
          <cell r="B8116" t="str">
            <v/>
          </cell>
          <cell r="C8116" t="str">
            <v/>
          </cell>
          <cell r="D8116" t="str">
            <v/>
          </cell>
        </row>
        <row r="8117">
          <cell r="B8117" t="str">
            <v/>
          </cell>
          <cell r="C8117" t="str">
            <v/>
          </cell>
          <cell r="D8117" t="str">
            <v/>
          </cell>
        </row>
        <row r="8118">
          <cell r="B8118" t="str">
            <v>INF0QA701532</v>
          </cell>
          <cell r="C8118" t="str">
            <v>INF0QA701540</v>
          </cell>
          <cell r="D8118" t="str">
            <v>Bajaj Finserv Arbitrage Fund- Direct Plan-IDCW</v>
          </cell>
          <cell r="E8118">
            <v>12.159000000000001</v>
          </cell>
        </row>
        <row r="8119">
          <cell r="B8119" t="str">
            <v>INF0QA701490</v>
          </cell>
          <cell r="C8119" t="str">
            <v>-</v>
          </cell>
          <cell r="D8119" t="str">
            <v>Bajaj Finserv Arbitrage Fund- Regular Plan-Growth</v>
          </cell>
          <cell r="E8119">
            <v>11.919</v>
          </cell>
        </row>
        <row r="8120">
          <cell r="B8120" t="str">
            <v>INF0QA701524</v>
          </cell>
          <cell r="C8120" t="str">
            <v>-</v>
          </cell>
          <cell r="D8120" t="str">
            <v>Bajaj Finserv Arbitrage Fund-Direct Plan-Growth</v>
          </cell>
          <cell r="E8120">
            <v>12.159000000000001</v>
          </cell>
        </row>
        <row r="8121">
          <cell r="B8121" t="str">
            <v>INF0QA701508</v>
          </cell>
          <cell r="C8121" t="str">
            <v>INF0QA701516</v>
          </cell>
          <cell r="D8121" t="str">
            <v>Bajaj Finserv Arbitrage Fund-Regular Plan-IDCW</v>
          </cell>
          <cell r="E8121">
            <v>11.919</v>
          </cell>
        </row>
        <row r="8122">
          <cell r="B8122" t="str">
            <v/>
          </cell>
          <cell r="C8122" t="str">
            <v/>
          </cell>
          <cell r="D8122" t="str">
            <v/>
          </cell>
        </row>
        <row r="8123">
          <cell r="B8123" t="str">
            <v/>
          </cell>
          <cell r="C8123" t="str">
            <v/>
          </cell>
          <cell r="D8123" t="str">
            <v/>
          </cell>
        </row>
        <row r="8124">
          <cell r="B8124" t="str">
            <v/>
          </cell>
          <cell r="C8124" t="str">
            <v/>
          </cell>
          <cell r="D8124" t="str">
            <v/>
          </cell>
        </row>
        <row r="8125">
          <cell r="B8125" t="str">
            <v>INF194K01623</v>
          </cell>
          <cell r="C8125" t="str">
            <v>INF194K01631</v>
          </cell>
          <cell r="D8125" t="str">
            <v>BANDHAN Arbitrage Fund - Plan B - Dividend</v>
          </cell>
          <cell r="E8125">
            <v>14.86269632</v>
          </cell>
        </row>
        <row r="8126">
          <cell r="B8126" t="str">
            <v>INF194K01615</v>
          </cell>
          <cell r="C8126" t="str">
            <v>-</v>
          </cell>
          <cell r="D8126" t="str">
            <v>BANDHAN Arbitrage Fund - Plan B - Growth</v>
          </cell>
          <cell r="E8126">
            <v>21.251676440000001</v>
          </cell>
        </row>
        <row r="8127">
          <cell r="B8127" t="str">
            <v>INF194KA1YD2</v>
          </cell>
          <cell r="C8127" t="str">
            <v>INF194KA1YE0</v>
          </cell>
          <cell r="D8127" t="str">
            <v>BANDHAN Arbitrage Fund - Regular Plan - Annual IDCW</v>
          </cell>
          <cell r="E8127">
            <v>10.866</v>
          </cell>
        </row>
        <row r="8128">
          <cell r="B8128" t="str">
            <v>INF194K01649</v>
          </cell>
          <cell r="C8128" t="str">
            <v>-</v>
          </cell>
          <cell r="D8128" t="str">
            <v>BANDHAN Arbitrage Fund - Regular Plan - Growth</v>
          </cell>
          <cell r="E8128">
            <v>34.3979</v>
          </cell>
        </row>
        <row r="8129">
          <cell r="B8129" t="str">
            <v>INF194K01656</v>
          </cell>
          <cell r="C8129" t="str">
            <v>INF194K01664</v>
          </cell>
          <cell r="D8129" t="str">
            <v>BANDHAN Arbitrage Fund - Regular Plan - Monthly IDCW</v>
          </cell>
          <cell r="E8129">
            <v>10.7379</v>
          </cell>
        </row>
        <row r="8130">
          <cell r="B8130" t="str">
            <v>INF194K01Y60</v>
          </cell>
          <cell r="C8130" t="str">
            <v>-</v>
          </cell>
          <cell r="D8130" t="str">
            <v>BANDHAN Arbitrage Fund-Direct Plan- Growth</v>
          </cell>
          <cell r="E8130">
            <v>37.514099999999999</v>
          </cell>
        </row>
        <row r="8131">
          <cell r="B8131" t="str">
            <v>INF194KA1YG5</v>
          </cell>
          <cell r="C8131" t="str">
            <v>INF194KA1YH3</v>
          </cell>
          <cell r="D8131" t="str">
            <v>BANDHAN Arbitrage Fund-Direct Plan-Annual IDCW</v>
          </cell>
          <cell r="E8131">
            <v>12.605</v>
          </cell>
        </row>
        <row r="8132">
          <cell r="B8132" t="str">
            <v>INF194K01Y78</v>
          </cell>
          <cell r="C8132" t="str">
            <v>INF194K01Y86</v>
          </cell>
          <cell r="D8132" t="str">
            <v>BANDHAN Arbitrage Fund-Direct Plan-Monthly IDCW</v>
          </cell>
          <cell r="E8132">
            <v>10.7905</v>
          </cell>
        </row>
        <row r="8133">
          <cell r="B8133" t="str">
            <v/>
          </cell>
          <cell r="C8133" t="str">
            <v/>
          </cell>
          <cell r="D8133" t="str">
            <v/>
          </cell>
        </row>
        <row r="8134">
          <cell r="B8134" t="str">
            <v/>
          </cell>
          <cell r="C8134" t="str">
            <v/>
          </cell>
          <cell r="D8134" t="str">
            <v/>
          </cell>
        </row>
        <row r="8135">
          <cell r="B8135" t="str">
            <v/>
          </cell>
          <cell r="C8135" t="str">
            <v/>
          </cell>
          <cell r="D8135" t="str">
            <v/>
          </cell>
        </row>
        <row r="8136">
          <cell r="B8136" t="str">
            <v>INF761K01EI2</v>
          </cell>
          <cell r="C8136" t="str">
            <v>INF761K01EJ0</v>
          </cell>
          <cell r="D8136" t="str">
            <v>BANK OF INDIA Arbitrage Fund Direct Plan Annual IDCW</v>
          </cell>
          <cell r="E8136">
            <v>13.845599999999999</v>
          </cell>
        </row>
        <row r="8137">
          <cell r="B8137" t="str">
            <v>INF761K01ED3</v>
          </cell>
          <cell r="C8137" t="str">
            <v>-</v>
          </cell>
          <cell r="D8137" t="str">
            <v>BANK OF INDIA Arbitrage Fund Direct Plan Growth</v>
          </cell>
          <cell r="E8137">
            <v>15.3195</v>
          </cell>
        </row>
        <row r="8138">
          <cell r="B8138" t="str">
            <v>INF761K01EE1</v>
          </cell>
          <cell r="C8138" t="str">
            <v>INF761K01EF8</v>
          </cell>
          <cell r="D8138" t="str">
            <v>BANK OF INDIA Arbitrage Fund Direct Plan Monthly IDCW</v>
          </cell>
          <cell r="E8138">
            <v>13.802899999999999</v>
          </cell>
        </row>
        <row r="8139">
          <cell r="B8139" t="str">
            <v>INF761K01EG6</v>
          </cell>
          <cell r="C8139" t="str">
            <v>INF761K01EH4</v>
          </cell>
          <cell r="D8139" t="str">
            <v>BANK OF INDIA Arbitrage Fund Direct Plan Quarterly IDCW</v>
          </cell>
          <cell r="E8139">
            <v>14.5526</v>
          </cell>
        </row>
        <row r="8140">
          <cell r="B8140" t="str">
            <v>INF761K01DW5</v>
          </cell>
          <cell r="C8140" t="str">
            <v>-</v>
          </cell>
          <cell r="D8140" t="str">
            <v>BANK OF INDIA Arbitrage Fund Regular Growth</v>
          </cell>
          <cell r="E8140">
            <v>14.597099999999999</v>
          </cell>
        </row>
        <row r="8141">
          <cell r="B8141" t="str">
            <v>INF761K01EB7</v>
          </cell>
          <cell r="C8141" t="str">
            <v>INF761K01EC5</v>
          </cell>
          <cell r="D8141" t="str">
            <v>BANK OF INDIA Arbitrage Fund Regular Plan IDCW Annual IDCW</v>
          </cell>
          <cell r="E8141">
            <v>13.4885</v>
          </cell>
        </row>
        <row r="8142">
          <cell r="B8142" t="str">
            <v>INF761K01DX3</v>
          </cell>
          <cell r="C8142" t="str">
            <v>INF761K01DY1</v>
          </cell>
          <cell r="D8142" t="str">
            <v>BANK OF INDIA Arbitrage Fund Regular Plan IDCW Monthly IDCW</v>
          </cell>
          <cell r="E8142">
            <v>13.228999999999999</v>
          </cell>
        </row>
        <row r="8143">
          <cell r="B8143" t="str">
            <v>INF761K01DZ8</v>
          </cell>
          <cell r="C8143" t="str">
            <v>INF761K01EA9</v>
          </cell>
          <cell r="D8143" t="str">
            <v>BANK OF INDIA Arbitrage Fund Regular Plan IDCW Quarterly IDCW</v>
          </cell>
          <cell r="E8143">
            <v>13.9656</v>
          </cell>
        </row>
        <row r="8144">
          <cell r="B8144" t="str">
            <v/>
          </cell>
          <cell r="C8144" t="str">
            <v/>
          </cell>
          <cell r="D8144" t="str">
            <v/>
          </cell>
        </row>
        <row r="8145">
          <cell r="B8145" t="str">
            <v/>
          </cell>
          <cell r="C8145" t="str">
            <v/>
          </cell>
          <cell r="D8145" t="str">
            <v/>
          </cell>
        </row>
        <row r="8146">
          <cell r="B8146" t="str">
            <v/>
          </cell>
          <cell r="C8146" t="str">
            <v/>
          </cell>
          <cell r="D8146" t="str">
            <v/>
          </cell>
        </row>
        <row r="8147">
          <cell r="B8147" t="str">
            <v>INF251K01OV6</v>
          </cell>
          <cell r="C8147" t="str">
            <v>INF251K01OU8</v>
          </cell>
          <cell r="D8147" t="str">
            <v>BARODA BNP PARIBAS ARBITRAGE FUND -DIRECT PLAN - ADHOC IDCW OPTION</v>
          </cell>
          <cell r="E8147">
            <v>11.5816</v>
          </cell>
        </row>
        <row r="8148">
          <cell r="B8148" t="str">
            <v>INF251K01PF6</v>
          </cell>
          <cell r="C8148" t="str">
            <v>INF251K01PE9</v>
          </cell>
          <cell r="D8148" t="str">
            <v>BARODA BNP PARIBAS ARBITRAGE FUND DIRECT PLAN MONTHLY IDCW Option</v>
          </cell>
          <cell r="E8148">
            <v>10.8184</v>
          </cell>
        </row>
        <row r="8149">
          <cell r="B8149" t="str">
            <v>INF251K01PJ8</v>
          </cell>
          <cell r="C8149" t="str">
            <v>INF251K01PI0</v>
          </cell>
          <cell r="D8149" t="str">
            <v>BARODA BNP PARIBAS ARBITRAGE FUND DIRECT PLAN QUARTERLY IDCW Option</v>
          </cell>
          <cell r="E8149">
            <v>10.9513</v>
          </cell>
        </row>
        <row r="8150">
          <cell r="B8150" t="str">
            <v>INF251K01PD1</v>
          </cell>
          <cell r="C8150" t="str">
            <v>INF251K01PC3</v>
          </cell>
          <cell r="D8150" t="str">
            <v>BARODA BNP PARIBAS ARBITRAGE FUND REGULAR PLAN MONTHLY IDCW Option</v>
          </cell>
          <cell r="E8150">
            <v>10.6082</v>
          </cell>
        </row>
        <row r="8151">
          <cell r="B8151" t="str">
            <v>INF251K01PH2</v>
          </cell>
          <cell r="C8151" t="str">
            <v>INF251K01PG4</v>
          </cell>
          <cell r="D8151" t="str">
            <v>BARODA BNP PARIBAS ARBITRAGE FUND REGULAR PLAN QUARTERLY IDCW Option</v>
          </cell>
          <cell r="E8151">
            <v>10.784000000000001</v>
          </cell>
        </row>
        <row r="8152">
          <cell r="B8152" t="str">
            <v>INF251K01ON3</v>
          </cell>
          <cell r="C8152" t="str">
            <v>-</v>
          </cell>
          <cell r="D8152" t="str">
            <v>BARODA BNP PARIBAS ARBITRAGE FUND- REGULAR PLAN- GROWTH OPTION</v>
          </cell>
          <cell r="E8152">
            <v>17.0154</v>
          </cell>
        </row>
        <row r="8153">
          <cell r="B8153" t="str">
            <v>INF251K01OT0</v>
          </cell>
          <cell r="C8153" t="str">
            <v>-</v>
          </cell>
          <cell r="D8153" t="str">
            <v>BARODA BNP PARIBAS ARBITRAGE FUND-DIRECT PLAN-GROWTH OPTION</v>
          </cell>
          <cell r="E8153">
            <v>18.124700000000001</v>
          </cell>
        </row>
        <row r="8154">
          <cell r="B8154" t="str">
            <v>INF251K01OP8</v>
          </cell>
          <cell r="C8154" t="str">
            <v>INF251K01OO1</v>
          </cell>
          <cell r="D8154" t="str">
            <v>BARODA BNP PARIBAS ARBITRAGE FUND-REGULAR PLAN- ADHOC IDCW OPTION</v>
          </cell>
          <cell r="E8154">
            <v>11.104699999999999</v>
          </cell>
        </row>
        <row r="8155">
          <cell r="B8155" t="str">
            <v/>
          </cell>
          <cell r="C8155" t="str">
            <v/>
          </cell>
          <cell r="D8155" t="str">
            <v/>
          </cell>
        </row>
        <row r="8156">
          <cell r="B8156" t="str">
            <v/>
          </cell>
          <cell r="C8156" t="str">
            <v/>
          </cell>
          <cell r="D8156" t="str">
            <v/>
          </cell>
        </row>
        <row r="8157">
          <cell r="B8157" t="str">
            <v/>
          </cell>
          <cell r="C8157" t="str">
            <v/>
          </cell>
          <cell r="D8157" t="str">
            <v/>
          </cell>
        </row>
        <row r="8158">
          <cell r="B8158" t="str">
            <v>INF226401117</v>
          </cell>
          <cell r="C8158" t="str">
            <v>-</v>
          </cell>
          <cell r="D8158" t="str">
            <v>Capitalmind Arbitrage Fund-Direct-Growth</v>
          </cell>
          <cell r="E8158">
            <v>10.217700000000001</v>
          </cell>
        </row>
        <row r="8159">
          <cell r="B8159" t="str">
            <v>INF226401125</v>
          </cell>
          <cell r="C8159" t="str">
            <v>INF226401133</v>
          </cell>
          <cell r="D8159" t="str">
            <v>Capitalmind Arbitrage Fund-Direct-IDCW</v>
          </cell>
          <cell r="E8159">
            <v>10.2178</v>
          </cell>
        </row>
        <row r="8160">
          <cell r="B8160" t="str">
            <v>INF226401141</v>
          </cell>
          <cell r="C8160" t="str">
            <v>-</v>
          </cell>
          <cell r="D8160" t="str">
            <v>Capitalmind Arbitrage Fund-regular-Growth</v>
          </cell>
          <cell r="E8160">
            <v>10.189399999999999</v>
          </cell>
        </row>
        <row r="8161">
          <cell r="B8161" t="str">
            <v>INF226401158</v>
          </cell>
          <cell r="C8161" t="str">
            <v>INF226401166</v>
          </cell>
          <cell r="D8161" t="str">
            <v>Capitalmind Arbitrage Fund-Regular-IDCW</v>
          </cell>
          <cell r="E8161">
            <v>10.189500000000001</v>
          </cell>
        </row>
        <row r="8162">
          <cell r="B8162" t="str">
            <v/>
          </cell>
          <cell r="C8162" t="str">
            <v/>
          </cell>
          <cell r="D8162" t="str">
            <v/>
          </cell>
        </row>
        <row r="8163">
          <cell r="B8163" t="str">
            <v/>
          </cell>
          <cell r="C8163" t="str">
            <v/>
          </cell>
          <cell r="D8163" t="str">
            <v/>
          </cell>
        </row>
        <row r="8164">
          <cell r="B8164" t="str">
            <v/>
          </cell>
          <cell r="C8164" t="str">
            <v/>
          </cell>
          <cell r="D8164" t="str">
            <v/>
          </cell>
        </row>
        <row r="8165">
          <cell r="B8165" t="str">
            <v>INF740KA1DN4</v>
          </cell>
          <cell r="C8165" t="str">
            <v>-</v>
          </cell>
          <cell r="D8165" t="str">
            <v>DSP Arbitrage Fund - Direct - Growth</v>
          </cell>
          <cell r="E8165">
            <v>16.716999999999999</v>
          </cell>
        </row>
        <row r="8166">
          <cell r="B8166" t="str">
            <v>INF740KA1DO2</v>
          </cell>
          <cell r="C8166" t="str">
            <v>INF740KA1DP9</v>
          </cell>
          <cell r="D8166" t="str">
            <v>DSP Arbitrage Fund - Direct - IDCW</v>
          </cell>
          <cell r="E8166">
            <v>12.618</v>
          </cell>
        </row>
        <row r="8167">
          <cell r="B8167" t="str">
            <v>INF740KA1DQ7</v>
          </cell>
          <cell r="C8167" t="str">
            <v>INF740KA1DR5</v>
          </cell>
          <cell r="D8167" t="str">
            <v>DSP Arbitrage Fund - Direct - IDCW - Monthly</v>
          </cell>
          <cell r="E8167">
            <v>13.27</v>
          </cell>
        </row>
        <row r="8168">
          <cell r="B8168" t="str">
            <v>INF740KA1DI4</v>
          </cell>
          <cell r="C8168" t="str">
            <v>-</v>
          </cell>
          <cell r="D8168" t="str">
            <v>DSP Arbitrage Fund - Regular - Growth</v>
          </cell>
          <cell r="E8168">
            <v>15.859</v>
          </cell>
        </row>
        <row r="8169">
          <cell r="B8169" t="str">
            <v>INF740KA1DJ2</v>
          </cell>
          <cell r="C8169" t="str">
            <v>INF740KA1DK0</v>
          </cell>
          <cell r="D8169" t="str">
            <v>DSP Arbitrage Fund - Regular - IDCW</v>
          </cell>
          <cell r="E8169">
            <v>11.99</v>
          </cell>
        </row>
        <row r="8170">
          <cell r="B8170" t="str">
            <v>INF740KA1DL8</v>
          </cell>
          <cell r="C8170" t="str">
            <v>INF740KA1DM6</v>
          </cell>
          <cell r="D8170" t="str">
            <v>DSP Arbitrage Fund - Regular - IDCW - Monthly</v>
          </cell>
          <cell r="E8170">
            <v>11.881</v>
          </cell>
        </row>
        <row r="8171">
          <cell r="B8171" t="str">
            <v/>
          </cell>
          <cell r="C8171" t="str">
            <v/>
          </cell>
          <cell r="D8171" t="str">
            <v/>
          </cell>
        </row>
        <row r="8172">
          <cell r="B8172" t="str">
            <v/>
          </cell>
          <cell r="C8172" t="str">
            <v/>
          </cell>
          <cell r="D8172" t="str">
            <v/>
          </cell>
        </row>
        <row r="8173">
          <cell r="B8173" t="str">
            <v/>
          </cell>
          <cell r="C8173" t="str">
            <v/>
          </cell>
          <cell r="D8173" t="str">
            <v/>
          </cell>
        </row>
        <row r="8174">
          <cell r="B8174" t="str">
            <v>INF754K01EB2</v>
          </cell>
          <cell r="C8174" t="str">
            <v>INF754K01EC0</v>
          </cell>
          <cell r="D8174" t="str">
            <v>Edelweiss Arbitrage Fund - Direct Plan - IDCW Option</v>
          </cell>
          <cell r="E8174">
            <v>15.919499999999999</v>
          </cell>
        </row>
        <row r="8175">
          <cell r="B8175" t="str">
            <v>INF754K01HW1</v>
          </cell>
          <cell r="C8175" t="str">
            <v>INF754K01HX9</v>
          </cell>
          <cell r="D8175" t="str">
            <v>Edelweiss Arbitrage Fund - Monthly  Direct Plan - IDCW Option</v>
          </cell>
          <cell r="E8175">
            <v>18.293399999999998</v>
          </cell>
        </row>
        <row r="8176">
          <cell r="B8176" t="str">
            <v>INF754K01HT7</v>
          </cell>
          <cell r="C8176" t="str">
            <v>INF754K01HU5</v>
          </cell>
          <cell r="D8176" t="str">
            <v>Edelweiss Arbitrage Fund - Monthly  Regular Plan - IDCW Option</v>
          </cell>
          <cell r="E8176">
            <v>16.832999999999998</v>
          </cell>
        </row>
        <row r="8177">
          <cell r="B8177" t="str">
            <v>INF754K01EG1</v>
          </cell>
          <cell r="C8177" t="str">
            <v>INF754K01EH9</v>
          </cell>
          <cell r="D8177" t="str">
            <v>Edelweiss Arbitrage Fund - Regular Plan - IDCW Option</v>
          </cell>
          <cell r="E8177">
            <v>15.1195</v>
          </cell>
        </row>
        <row r="8178">
          <cell r="B8178" t="str">
            <v>INF754K01EA4</v>
          </cell>
          <cell r="C8178" t="str">
            <v>-</v>
          </cell>
          <cell r="D8178" t="str">
            <v>Edelweiss Arbitrage Fund- Direct Plan- Growth Option</v>
          </cell>
          <cell r="E8178">
            <v>22.267800000000001</v>
          </cell>
        </row>
        <row r="8179">
          <cell r="B8179" t="str">
            <v>INF754K01EJ5</v>
          </cell>
          <cell r="C8179" t="str">
            <v>-</v>
          </cell>
          <cell r="D8179" t="str">
            <v>Edelweiss Arbitrage Fund- Regular Plan -Bonus Option</v>
          </cell>
          <cell r="E8179">
            <v>20.685600000000001</v>
          </cell>
        </row>
        <row r="8180">
          <cell r="B8180" t="str">
            <v>INF754K01EF3</v>
          </cell>
          <cell r="C8180" t="str">
            <v>-</v>
          </cell>
          <cell r="D8180" t="str">
            <v>Edelweiss Arbitrage Fund- Regular Plan- Growth Option</v>
          </cell>
          <cell r="E8180">
            <v>20.603200000000001</v>
          </cell>
        </row>
        <row r="8181">
          <cell r="B8181" t="str">
            <v/>
          </cell>
          <cell r="C8181" t="str">
            <v/>
          </cell>
          <cell r="D8181" t="str">
            <v/>
          </cell>
        </row>
        <row r="8182">
          <cell r="B8182" t="str">
            <v/>
          </cell>
          <cell r="C8182" t="str">
            <v/>
          </cell>
          <cell r="D8182" t="str">
            <v/>
          </cell>
        </row>
        <row r="8183">
          <cell r="B8183" t="str">
            <v/>
          </cell>
          <cell r="C8183" t="str">
            <v/>
          </cell>
          <cell r="D8183" t="str">
            <v/>
          </cell>
        </row>
        <row r="8184">
          <cell r="B8184" t="str">
            <v>INF090I01XS9</v>
          </cell>
          <cell r="C8184" t="str">
            <v>-</v>
          </cell>
          <cell r="D8184" t="str">
            <v>Franklin India Arbitrage Fund - Direct - Growth</v>
          </cell>
          <cell r="E8184">
            <v>11.212199999999999</v>
          </cell>
        </row>
        <row r="8185">
          <cell r="B8185" t="str">
            <v>INF090I01XU5</v>
          </cell>
          <cell r="C8185" t="str">
            <v>INF090I01XT7</v>
          </cell>
          <cell r="D8185" t="str">
            <v>Franklin India Arbitrage Fund - Direct - IDCW</v>
          </cell>
          <cell r="E8185">
            <v>11.212199999999999</v>
          </cell>
        </row>
        <row r="8186">
          <cell r="B8186" t="str">
            <v>INF090I01XP5</v>
          </cell>
          <cell r="C8186" t="str">
            <v>-</v>
          </cell>
          <cell r="D8186" t="str">
            <v>Franklin India Arbitrage Fund - Growth</v>
          </cell>
          <cell r="E8186">
            <v>11.078200000000001</v>
          </cell>
        </row>
        <row r="8187">
          <cell r="B8187" t="str">
            <v>INF090I01XR1</v>
          </cell>
          <cell r="C8187" t="str">
            <v>INF090I01XQ3</v>
          </cell>
          <cell r="D8187" t="str">
            <v>Franklin India Arbitrage Fund - IDCW</v>
          </cell>
          <cell r="E8187">
            <v>11.078200000000001</v>
          </cell>
        </row>
        <row r="8188">
          <cell r="B8188" t="str">
            <v/>
          </cell>
          <cell r="C8188" t="str">
            <v/>
          </cell>
          <cell r="D8188" t="str">
            <v/>
          </cell>
        </row>
        <row r="8189">
          <cell r="B8189" t="str">
            <v/>
          </cell>
          <cell r="C8189" t="str">
            <v/>
          </cell>
          <cell r="D8189" t="str">
            <v/>
          </cell>
        </row>
        <row r="8190">
          <cell r="B8190" t="str">
            <v/>
          </cell>
          <cell r="C8190" t="str">
            <v/>
          </cell>
          <cell r="D8190" t="str">
            <v/>
          </cell>
        </row>
        <row r="8191">
          <cell r="B8191" t="str">
            <v>INF666M01ON8</v>
          </cell>
          <cell r="C8191" t="str">
            <v>-</v>
          </cell>
          <cell r="D8191" t="str">
            <v>Groww Arbitrage Fund Direct Growth</v>
          </cell>
          <cell r="E8191">
            <v>10.148999999999999</v>
          </cell>
        </row>
        <row r="8192">
          <cell r="B8192" t="str">
            <v>INF666M01OO6</v>
          </cell>
          <cell r="C8192" t="str">
            <v>INF666M01OP3</v>
          </cell>
          <cell r="D8192" t="str">
            <v>Groww Arbitrage Fund Direct IDCW</v>
          </cell>
          <cell r="E8192">
            <v>10.148999999999999</v>
          </cell>
        </row>
        <row r="8193">
          <cell r="B8193" t="str">
            <v>INF666M01OQ1</v>
          </cell>
          <cell r="C8193" t="str">
            <v>-</v>
          </cell>
          <cell r="D8193" t="str">
            <v>Groww Arbitrage Fund Regular Growth</v>
          </cell>
          <cell r="E8193">
            <v>10.131500000000001</v>
          </cell>
        </row>
        <row r="8194">
          <cell r="B8194" t="str">
            <v>INF666M01OR9</v>
          </cell>
          <cell r="C8194" t="str">
            <v>INF666M01OS7</v>
          </cell>
          <cell r="D8194" t="str">
            <v>Groww Arbitrage Fund Regular IDCW</v>
          </cell>
          <cell r="E8194">
            <v>10.131500000000001</v>
          </cell>
        </row>
        <row r="8195">
          <cell r="B8195" t="str">
            <v/>
          </cell>
          <cell r="C8195" t="str">
            <v/>
          </cell>
          <cell r="D8195" t="str">
            <v/>
          </cell>
        </row>
        <row r="8196">
          <cell r="B8196" t="str">
            <v/>
          </cell>
          <cell r="C8196" t="str">
            <v/>
          </cell>
          <cell r="D8196" t="str">
            <v/>
          </cell>
        </row>
        <row r="8197">
          <cell r="B8197" t="str">
            <v/>
          </cell>
          <cell r="C8197" t="str">
            <v/>
          </cell>
          <cell r="D8197" t="str">
            <v/>
          </cell>
        </row>
        <row r="8198">
          <cell r="B8198" t="str">
            <v>INF179KA1KS8</v>
          </cell>
          <cell r="C8198" t="str">
            <v>INF179KA1KR0</v>
          </cell>
          <cell r="D8198" t="str">
            <v>HDFC ARBITRAGE FUND - Monthly IDCW - Direct Plan</v>
          </cell>
          <cell r="E8198">
            <v>11.305</v>
          </cell>
        </row>
        <row r="8199">
          <cell r="B8199" t="str">
            <v>INF179KA1KO7</v>
          </cell>
          <cell r="C8199" t="str">
            <v>INF179KA1KN9</v>
          </cell>
          <cell r="D8199" t="str">
            <v>HDFC ARBITRAGE FUND - Regular Plan - Monthly IDCW Option</v>
          </cell>
          <cell r="E8199">
            <v>11.407999999999999</v>
          </cell>
        </row>
        <row r="8200">
          <cell r="B8200" t="str">
            <v>INF179K01343</v>
          </cell>
          <cell r="C8200" t="str">
            <v>-</v>
          </cell>
          <cell r="D8200" t="str">
            <v>HDFC ARBITRAGE FUND - Regular Plan -Growth Option</v>
          </cell>
          <cell r="E8200">
            <v>32.585999999999999</v>
          </cell>
        </row>
        <row r="8201">
          <cell r="B8201" t="str">
            <v>INF179KA1KT6</v>
          </cell>
          <cell r="C8201" t="str">
            <v>-</v>
          </cell>
          <cell r="D8201" t="str">
            <v>HDFC ARBITRAGE FUND -Direct Plan - Growth Option</v>
          </cell>
          <cell r="E8201">
            <v>21.571999999999999</v>
          </cell>
        </row>
        <row r="8202">
          <cell r="B8202" t="str">
            <v/>
          </cell>
          <cell r="C8202" t="str">
            <v/>
          </cell>
          <cell r="D8202" t="str">
            <v/>
          </cell>
        </row>
        <row r="8203">
          <cell r="B8203" t="str">
            <v/>
          </cell>
          <cell r="C8203" t="str">
            <v/>
          </cell>
          <cell r="D8203" t="str">
            <v/>
          </cell>
        </row>
        <row r="8204">
          <cell r="B8204" t="str">
            <v/>
          </cell>
          <cell r="C8204" t="str">
            <v/>
          </cell>
          <cell r="D8204" t="str">
            <v/>
          </cell>
        </row>
        <row r="8205">
          <cell r="B8205" t="str">
            <v>INF0R8701442</v>
          </cell>
          <cell r="C8205" t="str">
            <v>-</v>
          </cell>
          <cell r="D8205" t="str">
            <v>Helios Arbitrage Fund - Direct Growth</v>
          </cell>
          <cell r="E8205">
            <v>10.210000000000001</v>
          </cell>
        </row>
        <row r="8206">
          <cell r="B8206" t="str">
            <v>INF0R8701459</v>
          </cell>
          <cell r="C8206" t="str">
            <v>INF0R8701467</v>
          </cell>
          <cell r="D8206" t="str">
            <v>Helios Arbitrage Fund - Direct IDCW</v>
          </cell>
          <cell r="E8206">
            <v>10.199999999999999</v>
          </cell>
        </row>
        <row r="8207">
          <cell r="B8207" t="str">
            <v>INF0R8701418</v>
          </cell>
          <cell r="C8207" t="str">
            <v>-</v>
          </cell>
          <cell r="D8207" t="str">
            <v>Helios Arbitrage Fund - Regular Growth</v>
          </cell>
          <cell r="E8207">
            <v>10.18</v>
          </cell>
        </row>
        <row r="8208">
          <cell r="B8208" t="str">
            <v>INF0R8701426</v>
          </cell>
          <cell r="C8208" t="str">
            <v>INF0R8701434</v>
          </cell>
          <cell r="D8208" t="str">
            <v>Helios Arbitrage Fund - Regular IDCW</v>
          </cell>
          <cell r="E8208">
            <v>10.18</v>
          </cell>
        </row>
        <row r="8209">
          <cell r="B8209" t="str">
            <v/>
          </cell>
          <cell r="C8209" t="str">
            <v/>
          </cell>
          <cell r="D8209" t="str">
            <v/>
          </cell>
        </row>
        <row r="8210">
          <cell r="B8210" t="str">
            <v/>
          </cell>
          <cell r="C8210" t="str">
            <v/>
          </cell>
          <cell r="D8210" t="str">
            <v/>
          </cell>
        </row>
        <row r="8211">
          <cell r="B8211" t="str">
            <v/>
          </cell>
          <cell r="C8211" t="str">
            <v/>
          </cell>
          <cell r="D8211" t="str">
            <v/>
          </cell>
        </row>
        <row r="8212">
          <cell r="B8212" t="str">
            <v>INF917K01QR5</v>
          </cell>
          <cell r="C8212" t="str">
            <v>-</v>
          </cell>
          <cell r="D8212" t="str">
            <v>HSBC Arbitrage Fund - Direct Growth</v>
          </cell>
          <cell r="E8212">
            <v>21.731999999999999</v>
          </cell>
        </row>
        <row r="8213">
          <cell r="B8213" t="str">
            <v>INF917K01QT1</v>
          </cell>
          <cell r="C8213" t="str">
            <v>INF917K01QS3</v>
          </cell>
          <cell r="D8213" t="str">
            <v>HSBC Arbitrage Fund - Direct Monthly IDCW</v>
          </cell>
          <cell r="E8213">
            <v>10.271699999999999</v>
          </cell>
        </row>
        <row r="8214">
          <cell r="B8214" t="str">
            <v>INF917K01QV7</v>
          </cell>
          <cell r="C8214" t="str">
            <v>INF917K01QU9</v>
          </cell>
          <cell r="D8214" t="str">
            <v>HSBC Arbitrage Fund - Direct Quarterly IDCW</v>
          </cell>
          <cell r="E8214">
            <v>10.801</v>
          </cell>
        </row>
        <row r="8215">
          <cell r="B8215" t="str">
            <v>INF917K01QL8</v>
          </cell>
          <cell r="C8215" t="str">
            <v>-</v>
          </cell>
          <cell r="D8215" t="str">
            <v>HSBC Arbitrage Fund - Regular Growth</v>
          </cell>
          <cell r="E8215">
            <v>20.181000000000001</v>
          </cell>
        </row>
        <row r="8216">
          <cell r="B8216" t="str">
            <v>INF917K01QN4</v>
          </cell>
          <cell r="C8216" t="str">
            <v>INF917K01QM6</v>
          </cell>
          <cell r="D8216" t="str">
            <v>HSBC Arbitrage Fund - Regular Monthly IDCW</v>
          </cell>
          <cell r="E8216">
            <v>10.2873</v>
          </cell>
        </row>
        <row r="8217">
          <cell r="B8217" t="str">
            <v>INF917K01QP9</v>
          </cell>
          <cell r="C8217" t="str">
            <v>INF917K01QO2</v>
          </cell>
          <cell r="D8217" t="str">
            <v>HSBC Arbitrage Fund - Regular Quarterly IDCW</v>
          </cell>
          <cell r="E8217">
            <v>10.6717</v>
          </cell>
        </row>
        <row r="8218">
          <cell r="B8218" t="str">
            <v/>
          </cell>
          <cell r="C8218" t="str">
            <v/>
          </cell>
          <cell r="D8218" t="str">
            <v/>
          </cell>
        </row>
        <row r="8219">
          <cell r="B8219" t="str">
            <v/>
          </cell>
          <cell r="C8219" t="str">
            <v/>
          </cell>
          <cell r="D8219" t="str">
            <v/>
          </cell>
        </row>
        <row r="8220">
          <cell r="B8220" t="str">
            <v/>
          </cell>
          <cell r="C8220" t="str">
            <v/>
          </cell>
          <cell r="D8220" t="str">
            <v/>
          </cell>
        </row>
        <row r="8221">
          <cell r="B8221" t="str">
            <v>INF109K016O4</v>
          </cell>
          <cell r="C8221" t="str">
            <v>-</v>
          </cell>
          <cell r="D8221" t="str">
            <v>ICICI Prudential Arbitrage Fund - Direct Plan - Growth</v>
          </cell>
          <cell r="E8221">
            <v>39.350299999999997</v>
          </cell>
        </row>
        <row r="8222">
          <cell r="B8222" t="str">
            <v>INF109K017O2</v>
          </cell>
          <cell r="C8222" t="str">
            <v>INF109K015O6</v>
          </cell>
          <cell r="D8222" t="str">
            <v>ICICI Prudential Arbitrage Fund - Direct Plan - IDCW</v>
          </cell>
          <cell r="E8222">
            <v>17.834399999999999</v>
          </cell>
        </row>
        <row r="8223">
          <cell r="B8223" t="str">
            <v>INF109K01BF6</v>
          </cell>
          <cell r="C8223" t="str">
            <v>-</v>
          </cell>
          <cell r="D8223" t="str">
            <v>ICICI Prudential Arbitrage Fund - Growth</v>
          </cell>
          <cell r="E8223">
            <v>36.494999999999997</v>
          </cell>
        </row>
        <row r="8224">
          <cell r="B8224" t="str">
            <v>INF109K01EF0</v>
          </cell>
          <cell r="C8224" t="str">
            <v>INF109K01BE9</v>
          </cell>
          <cell r="D8224" t="str">
            <v>ICICI Prudential Arbitrage Fund - IDCW</v>
          </cell>
          <cell r="E8224">
            <v>15.4207</v>
          </cell>
        </row>
        <row r="8225">
          <cell r="B8225" t="str">
            <v>INF109K01BD1</v>
          </cell>
          <cell r="C8225" t="str">
            <v>-</v>
          </cell>
          <cell r="D8225" t="str">
            <v>ICICI Prudential Equity - Arbitrage Fund-Institutional Growth Option</v>
          </cell>
          <cell r="E8225">
            <v>26.334299999999999</v>
          </cell>
        </row>
        <row r="8226">
          <cell r="B8226" t="str">
            <v>INF109KA1C15</v>
          </cell>
          <cell r="C8226" t="str">
            <v>-</v>
          </cell>
          <cell r="D8226" t="str">
            <v>ICICI Prudential Equity Arbitrage Fund - Bonus</v>
          </cell>
          <cell r="E8226">
            <v>11.808</v>
          </cell>
        </row>
        <row r="8227">
          <cell r="B8227" t="str">
            <v>INF109KA1C07</v>
          </cell>
          <cell r="C8227" t="str">
            <v>-</v>
          </cell>
          <cell r="D8227" t="str">
            <v>ICICI Prudential Equity Arbitrage Fund - Direct Plan Bonus</v>
          </cell>
          <cell r="E8227">
            <v>14.7363</v>
          </cell>
        </row>
        <row r="8228">
          <cell r="B8228" t="str">
            <v/>
          </cell>
          <cell r="C8228" t="str">
            <v/>
          </cell>
          <cell r="D8228" t="str">
            <v/>
          </cell>
        </row>
        <row r="8229">
          <cell r="B8229" t="str">
            <v/>
          </cell>
          <cell r="C8229" t="str">
            <v/>
          </cell>
          <cell r="D8229" t="str">
            <v/>
          </cell>
        </row>
        <row r="8230">
          <cell r="B8230" t="str">
            <v/>
          </cell>
          <cell r="C8230" t="str">
            <v/>
          </cell>
          <cell r="D8230" t="str">
            <v/>
          </cell>
        </row>
        <row r="8231">
          <cell r="B8231" t="str">
            <v>INF205K01P68</v>
          </cell>
          <cell r="C8231" t="str">
            <v>-</v>
          </cell>
          <cell r="D8231" t="str">
            <v>Invesco India Arbitrage Fund - Direct Plan - Annual Bonus</v>
          </cell>
          <cell r="E8231">
            <v>36.959099999999999</v>
          </cell>
        </row>
        <row r="8232">
          <cell r="B8232" t="str">
            <v>INF205K01KR8</v>
          </cell>
          <cell r="C8232" t="str">
            <v>-</v>
          </cell>
          <cell r="D8232" t="str">
            <v>Invesco India Arbitrage Fund - Direct Plan - Growth Option</v>
          </cell>
          <cell r="E8232">
            <v>36.975200000000001</v>
          </cell>
        </row>
        <row r="8233">
          <cell r="B8233" t="str">
            <v>INF205K01KP2</v>
          </cell>
          <cell r="C8233" t="str">
            <v>INF205K01KQ0</v>
          </cell>
          <cell r="D8233" t="str">
            <v>Invesco India Arbitrage Fund - Direct Plan - IDCW (Payout / Reinvestment)</v>
          </cell>
          <cell r="E8233">
            <v>20.078099999999999</v>
          </cell>
        </row>
        <row r="8234">
          <cell r="B8234" t="str">
            <v>INF205K01122</v>
          </cell>
          <cell r="C8234" t="str">
            <v>-</v>
          </cell>
          <cell r="D8234" t="str">
            <v>Invesco India Arbitrage Fund - Regular Plan - Growth Option</v>
          </cell>
          <cell r="E8234">
            <v>33.952399999999997</v>
          </cell>
        </row>
        <row r="8235">
          <cell r="B8235" t="str">
            <v>INF205K01148</v>
          </cell>
          <cell r="C8235" t="str">
            <v>INF205K01130</v>
          </cell>
          <cell r="D8235" t="str">
            <v>Invesco India Arbitrage Fund - Regular Plan - IDCW (Payout / Reinvestment)</v>
          </cell>
          <cell r="E8235">
            <v>18.119900000000001</v>
          </cell>
        </row>
        <row r="8236">
          <cell r="B8236" t="str">
            <v/>
          </cell>
          <cell r="C8236" t="str">
            <v/>
          </cell>
          <cell r="D8236" t="str">
            <v/>
          </cell>
        </row>
        <row r="8237">
          <cell r="B8237" t="str">
            <v/>
          </cell>
          <cell r="C8237" t="str">
            <v/>
          </cell>
          <cell r="D8237" t="str">
            <v/>
          </cell>
        </row>
        <row r="8238">
          <cell r="B8238" t="str">
            <v/>
          </cell>
          <cell r="C8238" t="str">
            <v/>
          </cell>
          <cell r="D8238" t="str">
            <v/>
          </cell>
        </row>
        <row r="8239">
          <cell r="B8239" t="str">
            <v>INF00XX01440</v>
          </cell>
          <cell r="C8239" t="str">
            <v>-</v>
          </cell>
          <cell r="D8239" t="str">
            <v>ITI Arbitrage Fund - Direct Plan - Growth Option</v>
          </cell>
          <cell r="E8239">
            <v>14.4693</v>
          </cell>
        </row>
        <row r="8240">
          <cell r="B8240" t="str">
            <v>INF00XX01457</v>
          </cell>
          <cell r="C8240" t="str">
            <v>INF00XX01465</v>
          </cell>
          <cell r="D8240" t="str">
            <v>ITI Arbitrage Fund - Direct Plan - IDCW Option</v>
          </cell>
          <cell r="E8240">
            <v>14.4693</v>
          </cell>
        </row>
        <row r="8241">
          <cell r="B8241" t="str">
            <v>INF00XX01416</v>
          </cell>
          <cell r="C8241" t="str">
            <v>-</v>
          </cell>
          <cell r="D8241" t="str">
            <v>ITI Arbitrage Fund - Regular Plan - Growth Option</v>
          </cell>
          <cell r="E8241">
            <v>13.750999999999999</v>
          </cell>
        </row>
        <row r="8242">
          <cell r="B8242" t="str">
            <v>INF00XX01424</v>
          </cell>
          <cell r="C8242" t="str">
            <v>INF00XX01432</v>
          </cell>
          <cell r="D8242" t="str">
            <v>ITI Arbitrage Fund - Regular Plan - IDCW Option</v>
          </cell>
          <cell r="E8242">
            <v>13.750999999999999</v>
          </cell>
        </row>
        <row r="8243">
          <cell r="B8243" t="str">
            <v/>
          </cell>
          <cell r="C8243" t="str">
            <v/>
          </cell>
          <cell r="D8243" t="str">
            <v/>
          </cell>
        </row>
        <row r="8244">
          <cell r="B8244" t="str">
            <v/>
          </cell>
          <cell r="C8244" t="str">
            <v/>
          </cell>
          <cell r="D8244" t="str">
            <v/>
          </cell>
        </row>
        <row r="8245">
          <cell r="B8245" t="str">
            <v/>
          </cell>
          <cell r="C8245" t="str">
            <v/>
          </cell>
          <cell r="D8245" t="str">
            <v/>
          </cell>
        </row>
        <row r="8246">
          <cell r="B8246" t="str">
            <v>INF22M001101</v>
          </cell>
          <cell r="C8246" t="str">
            <v>-</v>
          </cell>
          <cell r="D8246" t="str">
            <v>JioBlackRock Arbitrage Fund - Direct Plan - Growth Option</v>
          </cell>
          <cell r="E8246">
            <v>10.4231</v>
          </cell>
        </row>
        <row r="8247">
          <cell r="B8247" t="str">
            <v/>
          </cell>
          <cell r="C8247" t="str">
            <v/>
          </cell>
          <cell r="D8247" t="str">
            <v/>
          </cell>
        </row>
        <row r="8248">
          <cell r="B8248" t="str">
            <v/>
          </cell>
          <cell r="C8248" t="str">
            <v/>
          </cell>
          <cell r="D8248" t="str">
            <v/>
          </cell>
        </row>
        <row r="8249">
          <cell r="B8249" t="str">
            <v/>
          </cell>
          <cell r="C8249" t="str">
            <v/>
          </cell>
          <cell r="D8249" t="str">
            <v/>
          </cell>
        </row>
        <row r="8250">
          <cell r="B8250" t="str">
            <v>INF192K01GX4</v>
          </cell>
          <cell r="C8250" t="str">
            <v>-</v>
          </cell>
          <cell r="D8250" t="str">
            <v>JM Arbitrage Fund (Direct) - Annual Bonus Option - Principal Units</v>
          </cell>
          <cell r="E8250">
            <v>19.055599999999998</v>
          </cell>
        </row>
        <row r="8251">
          <cell r="B8251" t="str">
            <v>INF192K01KY4</v>
          </cell>
          <cell r="C8251" t="str">
            <v>INF192K01KZ1</v>
          </cell>
          <cell r="D8251" t="str">
            <v>JM Arbitrage Fund (Direct) - Annual IDCW</v>
          </cell>
          <cell r="E8251">
            <v>16.8825</v>
          </cell>
        </row>
        <row r="8252">
          <cell r="B8252" t="str">
            <v>INF192K01GL9</v>
          </cell>
          <cell r="C8252" t="str">
            <v>-</v>
          </cell>
          <cell r="D8252" t="str">
            <v>JM Arbitrage Fund (Direct) - Bonus Option - Principal Units</v>
          </cell>
          <cell r="E8252">
            <v>19.8537</v>
          </cell>
        </row>
        <row r="8253">
          <cell r="B8253" t="str">
            <v>INF192K01BN6</v>
          </cell>
          <cell r="C8253" t="str">
            <v>-</v>
          </cell>
          <cell r="D8253" t="str">
            <v>JM Arbitrage Fund (Direct) - Growth Option</v>
          </cell>
          <cell r="E8253">
            <v>37.099400000000003</v>
          </cell>
        </row>
        <row r="8254">
          <cell r="B8254" t="str">
            <v>INF192K01ID2</v>
          </cell>
          <cell r="C8254" t="str">
            <v>-</v>
          </cell>
          <cell r="D8254" t="str">
            <v>JM Arbitrage Fund (Direct) - Half Yearly Bonus Option - Principal Units</v>
          </cell>
          <cell r="E8254">
            <v>33.871699999999997</v>
          </cell>
        </row>
        <row r="8255">
          <cell r="B8255" t="str">
            <v>INF192K01KU2</v>
          </cell>
          <cell r="C8255" t="str">
            <v>INF192K01KV0</v>
          </cell>
          <cell r="D8255" t="str">
            <v>JM Arbitrage Fund (Direct) - Half Yearly IDCW</v>
          </cell>
          <cell r="E8255">
            <v>17.1601</v>
          </cell>
        </row>
        <row r="8256">
          <cell r="B8256" t="str">
            <v>INF192K01KM9</v>
          </cell>
          <cell r="C8256" t="str">
            <v>INF192K01KN7</v>
          </cell>
          <cell r="D8256" t="str">
            <v>JM Arbitrage Fund (Direct) - Monthly IDCW</v>
          </cell>
          <cell r="E8256">
            <v>14.981199999999999</v>
          </cell>
        </row>
        <row r="8257">
          <cell r="B8257" t="str">
            <v>INF192K01IH3</v>
          </cell>
          <cell r="C8257" t="str">
            <v>-</v>
          </cell>
          <cell r="D8257" t="str">
            <v>JM Arbitrage Fund (Direct) - Quarterly Bonus Option - Principal Units</v>
          </cell>
          <cell r="E8257">
            <v>33.881599999999999</v>
          </cell>
        </row>
        <row r="8258">
          <cell r="B8258" t="str">
            <v>INF192K01KQ0</v>
          </cell>
          <cell r="C8258" t="str">
            <v>INF192K01KR8</v>
          </cell>
          <cell r="D8258" t="str">
            <v>JM Arbitrage Fund (Direct) - Quarterly IDCW</v>
          </cell>
          <cell r="E8258">
            <v>17.629100000000001</v>
          </cell>
        </row>
        <row r="8259">
          <cell r="B8259" t="str">
            <v>INF192K01BL0</v>
          </cell>
          <cell r="C8259" t="str">
            <v>INF192K01BM8</v>
          </cell>
          <cell r="D8259" t="str">
            <v>JM Arbitrage Fund (Direct)- IDCW</v>
          </cell>
          <cell r="E8259">
            <v>17.482600000000001</v>
          </cell>
        </row>
        <row r="8260">
          <cell r="B8260" t="str">
            <v>INF192K01GV8</v>
          </cell>
          <cell r="C8260" t="str">
            <v>-</v>
          </cell>
          <cell r="D8260" t="str">
            <v>JM Arbitrage Fund (Regular) - Annual Bonus Option - Principal Units</v>
          </cell>
          <cell r="E8260">
            <v>32.106000000000002</v>
          </cell>
        </row>
        <row r="8261">
          <cell r="B8261" t="str">
            <v>INF192K01KW8</v>
          </cell>
          <cell r="C8261" t="str">
            <v>INF192K01KX6</v>
          </cell>
          <cell r="D8261" t="str">
            <v>JM Arbitrage Fund (Regular) - Annual IDCW</v>
          </cell>
          <cell r="E8261">
            <v>15.260300000000001</v>
          </cell>
        </row>
        <row r="8262">
          <cell r="B8262" t="str">
            <v>INF192K01GJ3</v>
          </cell>
          <cell r="C8262" t="str">
            <v>-</v>
          </cell>
          <cell r="D8262" t="str">
            <v>JM Arbitrage Fund (Regular) - Bonus Option - Principal Units</v>
          </cell>
          <cell r="E8262">
            <v>18.778199999999998</v>
          </cell>
        </row>
        <row r="8263">
          <cell r="B8263" t="str">
            <v>INF192K01510</v>
          </cell>
          <cell r="C8263" t="str">
            <v>-</v>
          </cell>
          <cell r="D8263" t="str">
            <v>JM Arbitrage Fund (Regular) - Growth Option</v>
          </cell>
          <cell r="E8263">
            <v>34.5411</v>
          </cell>
        </row>
        <row r="8264">
          <cell r="B8264" t="str">
            <v>INF192K01IB6</v>
          </cell>
          <cell r="C8264" t="str">
            <v>-</v>
          </cell>
          <cell r="D8264" t="str">
            <v>JM Arbitrage Fund (Regular) - Half Yearly Bonus Option - Principal Units</v>
          </cell>
          <cell r="E8264">
            <v>32.160899999999998</v>
          </cell>
        </row>
        <row r="8265">
          <cell r="B8265" t="str">
            <v>INF192K01KS6</v>
          </cell>
          <cell r="C8265" t="str">
            <v>INF192K01KT4</v>
          </cell>
          <cell r="D8265" t="str">
            <v>JM Arbitrage Fund (Regular) - Half Yearly IDCW</v>
          </cell>
          <cell r="E8265">
            <v>15.3711</v>
          </cell>
        </row>
        <row r="8266">
          <cell r="B8266" t="str">
            <v>INF192K01494</v>
          </cell>
          <cell r="C8266" t="str">
            <v>INF192K01502</v>
          </cell>
          <cell r="D8266" t="str">
            <v xml:space="preserve">JM Arbitrage Fund (Regular) - IDCW </v>
          </cell>
          <cell r="E8266">
            <v>16.0318</v>
          </cell>
        </row>
        <row r="8267">
          <cell r="B8267" t="str">
            <v>INF192K01KK3</v>
          </cell>
          <cell r="C8267" t="str">
            <v>INF192K01KL1</v>
          </cell>
          <cell r="D8267" t="str">
            <v>JM Arbitrage Fund (Regular) - Monthly IDCW</v>
          </cell>
          <cell r="E8267">
            <v>13.5802</v>
          </cell>
        </row>
        <row r="8268">
          <cell r="B8268" t="str">
            <v>INF192K01IF7</v>
          </cell>
          <cell r="C8268" t="str">
            <v>-</v>
          </cell>
          <cell r="D8268" t="str">
            <v>JM Arbitrage Fund (Regular) - Quarterly Bonus Option - Principal Units</v>
          </cell>
          <cell r="E8268">
            <v>32.160899999999998</v>
          </cell>
        </row>
        <row r="8269">
          <cell r="B8269" t="str">
            <v>INF192K01KO5</v>
          </cell>
          <cell r="C8269" t="str">
            <v>INF192K01KP2</v>
          </cell>
          <cell r="D8269" t="str">
            <v>JM Arbitrage Fund (Regular) - Quarterly IDCW</v>
          </cell>
          <cell r="E8269">
            <v>15.598800000000001</v>
          </cell>
        </row>
        <row r="8270">
          <cell r="B8270" t="str">
            <v/>
          </cell>
          <cell r="C8270" t="str">
            <v/>
          </cell>
          <cell r="D8270" t="str">
            <v/>
          </cell>
        </row>
        <row r="8271">
          <cell r="B8271" t="str">
            <v/>
          </cell>
          <cell r="C8271" t="str">
            <v/>
          </cell>
          <cell r="D8271" t="str">
            <v/>
          </cell>
        </row>
        <row r="8272">
          <cell r="B8272" t="str">
            <v/>
          </cell>
          <cell r="C8272" t="str">
            <v/>
          </cell>
          <cell r="D8272" t="str">
            <v/>
          </cell>
        </row>
        <row r="8273">
          <cell r="B8273" t="str">
            <v>INF174K01LE2</v>
          </cell>
          <cell r="C8273" t="str">
            <v>INF174K01LD4</v>
          </cell>
          <cell r="D8273" t="str">
            <v>Kotak  Arbitrage Fund - Direct Plan - IDCW -Payout &amp;  Reinvestment of Income Distribution cum capital withdrawal option</v>
          </cell>
          <cell r="E8273">
            <v>11.246700000000001</v>
          </cell>
        </row>
        <row r="8274">
          <cell r="B8274" t="str">
            <v>INF174K01LC6</v>
          </cell>
          <cell r="C8274" t="str">
            <v>-</v>
          </cell>
          <cell r="D8274" t="str">
            <v>Kotak Arbitrage Fund - Direct Plan - Growth</v>
          </cell>
          <cell r="E8274">
            <v>42.879199999999997</v>
          </cell>
        </row>
        <row r="8275">
          <cell r="B8275" t="str">
            <v>INF174K01302</v>
          </cell>
          <cell r="C8275" t="str">
            <v>-</v>
          </cell>
          <cell r="D8275" t="str">
            <v>Kotak Arbitrage Fund - Regular Plan - Growth</v>
          </cell>
          <cell r="E8275">
            <v>39.868699999999997</v>
          </cell>
        </row>
        <row r="8276">
          <cell r="B8276" t="str">
            <v>INF174K01328</v>
          </cell>
          <cell r="C8276" t="str">
            <v>INF174K01310</v>
          </cell>
          <cell r="D8276" t="str">
            <v>Kotak Arbitrage Fund - Regular Plan - IDCW - Payout &amp; Re-investment of Income Distribution cum capital withdrawal option</v>
          </cell>
          <cell r="E8276">
            <v>10.759</v>
          </cell>
        </row>
        <row r="8277">
          <cell r="B8277" t="str">
            <v/>
          </cell>
          <cell r="C8277" t="str">
            <v/>
          </cell>
          <cell r="D8277" t="str">
            <v/>
          </cell>
        </row>
        <row r="8278">
          <cell r="B8278" t="str">
            <v/>
          </cell>
          <cell r="C8278" t="str">
            <v/>
          </cell>
          <cell r="D8278" t="str">
            <v/>
          </cell>
        </row>
        <row r="8279">
          <cell r="B8279" t="str">
            <v/>
          </cell>
          <cell r="C8279" t="str">
            <v/>
          </cell>
          <cell r="D8279" t="str">
            <v/>
          </cell>
        </row>
        <row r="8280">
          <cell r="B8280" t="str">
            <v>INF767K01PP0</v>
          </cell>
          <cell r="C8280" t="str">
            <v>-</v>
          </cell>
          <cell r="D8280" t="str">
            <v>LIC MF Arbitrage Fund-Direct Plan-Growth</v>
          </cell>
          <cell r="E8280">
            <v>15.445399999999999</v>
          </cell>
        </row>
        <row r="8281">
          <cell r="B8281" t="str">
            <v>INF767K01PR6</v>
          </cell>
          <cell r="C8281" t="str">
            <v>INF767K01PS4</v>
          </cell>
          <cell r="D8281" t="str">
            <v>LIC MF Arbitrage Fund-Direct Plan-Monthly IDCW</v>
          </cell>
          <cell r="E8281">
            <v>13.9818</v>
          </cell>
        </row>
        <row r="8282">
          <cell r="B8282" t="str">
            <v>-</v>
          </cell>
          <cell r="C8282" t="str">
            <v>INF767K01PQ8</v>
          </cell>
          <cell r="D8282" t="str">
            <v>LIC MF Arbitrage Fund-Direct Plan-Weekly IDCW</v>
          </cell>
          <cell r="E8282">
            <v>14.513999999999999</v>
          </cell>
        </row>
        <row r="8283">
          <cell r="B8283" t="str">
            <v>INF767K01PL9</v>
          </cell>
          <cell r="C8283" t="str">
            <v>-</v>
          </cell>
          <cell r="D8283" t="str">
            <v>LIC MF Arbitrage Fund-Regular Plan-Growth</v>
          </cell>
          <cell r="E8283">
            <v>14.6724</v>
          </cell>
        </row>
        <row r="8284">
          <cell r="B8284" t="str">
            <v>INF767K01PN5</v>
          </cell>
          <cell r="C8284" t="str">
            <v>INF767K01PO3</v>
          </cell>
          <cell r="D8284" t="str">
            <v>LIC MF Arbitrage Fund-Regular Plan-Monthly IDCW</v>
          </cell>
          <cell r="E8284">
            <v>14.334899999999999</v>
          </cell>
        </row>
        <row r="8285">
          <cell r="B8285" t="str">
            <v>-</v>
          </cell>
          <cell r="C8285" t="str">
            <v>INF767K01PM7</v>
          </cell>
          <cell r="D8285" t="str">
            <v>LIC MF Arbitrage Fund-Regular Plan-Weekly IDCW</v>
          </cell>
          <cell r="E8285">
            <v>14.243600000000001</v>
          </cell>
        </row>
        <row r="8286">
          <cell r="B8286" t="str">
            <v/>
          </cell>
          <cell r="C8286" t="str">
            <v/>
          </cell>
          <cell r="D8286" t="str">
            <v/>
          </cell>
        </row>
        <row r="8287">
          <cell r="B8287" t="str">
            <v/>
          </cell>
          <cell r="C8287" t="str">
            <v/>
          </cell>
          <cell r="D8287" t="str">
            <v/>
          </cell>
        </row>
        <row r="8288">
          <cell r="B8288" t="str">
            <v/>
          </cell>
          <cell r="C8288" t="str">
            <v/>
          </cell>
          <cell r="D8288" t="str">
            <v/>
          </cell>
        </row>
        <row r="8289">
          <cell r="B8289" t="str">
            <v>INF174V01AC6</v>
          </cell>
          <cell r="C8289" t="str">
            <v>INF174V01AB8</v>
          </cell>
          <cell r="D8289" t="str">
            <v>Mahindra Manulife Arbitrage Fund - Direct Plan - IDCW</v>
          </cell>
          <cell r="E8289">
            <v>13.0791</v>
          </cell>
        </row>
        <row r="8290">
          <cell r="B8290" t="str">
            <v>INF174V01AA0</v>
          </cell>
          <cell r="C8290" t="str">
            <v>-</v>
          </cell>
          <cell r="D8290" t="str">
            <v>Mahindra Manulife Arbitrage Fund - Direct Plan -Growth</v>
          </cell>
          <cell r="E8290">
            <v>13.6791</v>
          </cell>
        </row>
        <row r="8291">
          <cell r="B8291" t="str">
            <v>INF174V01978</v>
          </cell>
          <cell r="C8291" t="str">
            <v>-</v>
          </cell>
          <cell r="D8291" t="str">
            <v>Mahindra Manulife Arbitrage Fund - Regular Plan - Growth</v>
          </cell>
          <cell r="E8291">
            <v>13.035500000000001</v>
          </cell>
        </row>
        <row r="8292">
          <cell r="B8292" t="str">
            <v>INF174V01994</v>
          </cell>
          <cell r="C8292" t="str">
            <v>INF174V01986</v>
          </cell>
          <cell r="D8292" t="str">
            <v>Mahindra Manulife Arbitrage Fund - Regular Plan - IDCW</v>
          </cell>
          <cell r="E8292">
            <v>12.435499999999999</v>
          </cell>
        </row>
        <row r="8293">
          <cell r="B8293" t="str">
            <v/>
          </cell>
          <cell r="C8293" t="str">
            <v/>
          </cell>
          <cell r="D8293" t="str">
            <v/>
          </cell>
        </row>
        <row r="8294">
          <cell r="B8294" t="str">
            <v/>
          </cell>
          <cell r="C8294" t="str">
            <v/>
          </cell>
          <cell r="D8294" t="str">
            <v/>
          </cell>
        </row>
        <row r="8295">
          <cell r="B8295" t="str">
            <v/>
          </cell>
          <cell r="C8295" t="str">
            <v/>
          </cell>
          <cell r="D8295" t="str">
            <v/>
          </cell>
        </row>
        <row r="8296">
          <cell r="B8296" t="str">
            <v>INF769K01FS1</v>
          </cell>
          <cell r="C8296" t="str">
            <v>-</v>
          </cell>
          <cell r="D8296" t="str">
            <v>Mirae Asset Arbitrage Fund Direct Growth</v>
          </cell>
          <cell r="E8296">
            <v>14.465</v>
          </cell>
        </row>
        <row r="8297">
          <cell r="B8297" t="str">
            <v>INF769K01FR3</v>
          </cell>
          <cell r="C8297" t="str">
            <v>INF769K01FT9</v>
          </cell>
          <cell r="D8297" t="str">
            <v>Mirae Asset Arbitrage Fund Direct IDCW</v>
          </cell>
          <cell r="E8297">
            <v>14.445</v>
          </cell>
        </row>
        <row r="8298">
          <cell r="B8298" t="str">
            <v>INF769K01FP7</v>
          </cell>
          <cell r="C8298" t="str">
            <v>-</v>
          </cell>
          <cell r="D8298" t="str">
            <v>Mirae Asset Arbitrage Fund Regular Growth</v>
          </cell>
          <cell r="E8298">
            <v>13.827</v>
          </cell>
        </row>
        <row r="8299">
          <cell r="B8299" t="str">
            <v>INF769K01FO0</v>
          </cell>
          <cell r="C8299" t="str">
            <v>INF769K01FQ5</v>
          </cell>
          <cell r="D8299" t="str">
            <v>Mirae Asset Arbitrage Fund Regular IDCW</v>
          </cell>
          <cell r="E8299">
            <v>13.827</v>
          </cell>
        </row>
        <row r="8300">
          <cell r="B8300" t="str">
            <v/>
          </cell>
          <cell r="C8300" t="str">
            <v/>
          </cell>
          <cell r="D8300" t="str">
            <v/>
          </cell>
        </row>
        <row r="8301">
          <cell r="B8301" t="str">
            <v/>
          </cell>
          <cell r="C8301" t="str">
            <v/>
          </cell>
          <cell r="D8301" t="str">
            <v/>
          </cell>
        </row>
        <row r="8302">
          <cell r="B8302" t="str">
            <v/>
          </cell>
          <cell r="C8302" t="str">
            <v/>
          </cell>
          <cell r="D8302" t="str">
            <v/>
          </cell>
        </row>
        <row r="8303">
          <cell r="B8303" t="str">
            <v>INF247L01ED1</v>
          </cell>
          <cell r="C8303" t="str">
            <v>-</v>
          </cell>
          <cell r="D8303" t="str">
            <v>Motilal Oswal Arbitrage Fund-Direct Plan-Growth</v>
          </cell>
          <cell r="E8303">
            <v>11.1775</v>
          </cell>
        </row>
        <row r="8304">
          <cell r="B8304" t="str">
            <v>INF247L01EE9</v>
          </cell>
          <cell r="C8304" t="str">
            <v>INF247L01EF6</v>
          </cell>
          <cell r="D8304" t="str">
            <v>Motilal Oswal Arbitrage Fund-Direct Plan-IDCW</v>
          </cell>
          <cell r="E8304">
            <v>11.014099999999999</v>
          </cell>
        </row>
        <row r="8305">
          <cell r="B8305" t="str">
            <v>INF247L01EG4</v>
          </cell>
          <cell r="C8305" t="str">
            <v>-</v>
          </cell>
          <cell r="D8305" t="str">
            <v>Motilal Oswal Arbitrage Fund-Regular Plan-Growth</v>
          </cell>
          <cell r="E8305">
            <v>11.014799999999999</v>
          </cell>
        </row>
        <row r="8306">
          <cell r="B8306" t="str">
            <v>INF247L01EH2</v>
          </cell>
          <cell r="C8306" t="str">
            <v>INF247L01EI0</v>
          </cell>
          <cell r="D8306" t="str">
            <v>Motilal Oswal Arbitrage Fund-Regular Plan-IDCW</v>
          </cell>
          <cell r="E8306">
            <v>10.851900000000001</v>
          </cell>
        </row>
        <row r="8307">
          <cell r="B8307" t="str">
            <v/>
          </cell>
          <cell r="C8307" t="str">
            <v/>
          </cell>
          <cell r="D8307" t="str">
            <v/>
          </cell>
        </row>
        <row r="8308">
          <cell r="B8308" t="str">
            <v/>
          </cell>
          <cell r="C8308" t="str">
            <v/>
          </cell>
          <cell r="D8308" t="str">
            <v/>
          </cell>
        </row>
        <row r="8309">
          <cell r="B8309" t="str">
            <v/>
          </cell>
          <cell r="C8309" t="str">
            <v/>
          </cell>
          <cell r="D8309" t="str">
            <v/>
          </cell>
        </row>
        <row r="8310">
          <cell r="B8310" t="str">
            <v>INF204K01YA8</v>
          </cell>
          <cell r="C8310" t="str">
            <v>INF204K01YB6</v>
          </cell>
          <cell r="D8310" t="str">
            <v>NIPPON INDIA ARBITRAGE FUND - DIRECT Plan - IDCW Option</v>
          </cell>
          <cell r="E8310">
            <v>18.903400000000001</v>
          </cell>
        </row>
        <row r="8311">
          <cell r="B8311" t="str">
            <v>INF204KA1MV7</v>
          </cell>
          <cell r="C8311" t="str">
            <v>INF204KA1MW5</v>
          </cell>
          <cell r="D8311" t="str">
            <v>NIPPON INDIA ARBITRAGE FUND - DIRECT Plan - MONTHLY IDCW Option</v>
          </cell>
          <cell r="E8311">
            <v>16.069099999999999</v>
          </cell>
        </row>
        <row r="8312">
          <cell r="B8312" t="str">
            <v>INF204K01XZ7</v>
          </cell>
          <cell r="C8312" t="str">
            <v>-</v>
          </cell>
          <cell r="D8312" t="str">
            <v>Nippon India Arbitrage Fund - Direct Plan Growth Plan - Growth Option</v>
          </cell>
          <cell r="E8312">
            <v>30.7013</v>
          </cell>
        </row>
        <row r="8313">
          <cell r="B8313" t="str">
            <v>INF204K01IY1</v>
          </cell>
          <cell r="C8313" t="str">
            <v>-</v>
          </cell>
          <cell r="D8313" t="str">
            <v>Nippon India Arbitrage Fund - Growth Plan - Growth Option</v>
          </cell>
          <cell r="E8313">
            <v>28.206</v>
          </cell>
        </row>
        <row r="8314">
          <cell r="B8314" t="str">
            <v>INF204K01IZ8</v>
          </cell>
          <cell r="C8314" t="str">
            <v>INF204K01JA9</v>
          </cell>
          <cell r="D8314" t="str">
            <v>NIPPON INDIA ARBITRAGE FUND - IDCW Option</v>
          </cell>
          <cell r="E8314">
            <v>16.903700000000001</v>
          </cell>
        </row>
        <row r="8315">
          <cell r="B8315" t="str">
            <v>INF204KA1MT1</v>
          </cell>
          <cell r="C8315" t="str">
            <v>INF204KA1MU9</v>
          </cell>
          <cell r="D8315" t="str">
            <v>NIPPON INDIA ARBITRAGE FUND - MONTHLY IDCW Option</v>
          </cell>
          <cell r="E8315">
            <v>14.702199999999999</v>
          </cell>
        </row>
        <row r="8316">
          <cell r="B8316" t="str">
            <v/>
          </cell>
          <cell r="C8316" t="str">
            <v/>
          </cell>
          <cell r="D8316" t="str">
            <v/>
          </cell>
        </row>
        <row r="8317">
          <cell r="B8317" t="str">
            <v/>
          </cell>
          <cell r="C8317" t="str">
            <v/>
          </cell>
          <cell r="D8317" t="str">
            <v/>
          </cell>
        </row>
        <row r="8318">
          <cell r="B8318" t="str">
            <v/>
          </cell>
          <cell r="C8318" t="str">
            <v/>
          </cell>
          <cell r="D8318" t="str">
            <v/>
          </cell>
        </row>
        <row r="8319">
          <cell r="B8319" t="str">
            <v>INF0J8L01065</v>
          </cell>
          <cell r="C8319" t="str">
            <v>-</v>
          </cell>
          <cell r="D8319" t="str">
            <v>NJ Arbitrage Fund - Direct Plan - Growth Option</v>
          </cell>
          <cell r="E8319">
            <v>13.041600000000001</v>
          </cell>
        </row>
        <row r="8320">
          <cell r="B8320" t="str">
            <v>INF0J8L01057</v>
          </cell>
          <cell r="C8320" t="str">
            <v>-</v>
          </cell>
          <cell r="D8320" t="str">
            <v>NJ Arbitrage Fund - Regular Plan - Growth Option</v>
          </cell>
          <cell r="E8320">
            <v>12.683</v>
          </cell>
        </row>
        <row r="8321">
          <cell r="B8321" t="str">
            <v/>
          </cell>
          <cell r="C8321" t="str">
            <v/>
          </cell>
          <cell r="D8321" t="str">
            <v/>
          </cell>
        </row>
        <row r="8322">
          <cell r="B8322" t="str">
            <v/>
          </cell>
          <cell r="C8322" t="str">
            <v/>
          </cell>
          <cell r="D8322" t="str">
            <v/>
          </cell>
        </row>
        <row r="8323">
          <cell r="B8323" t="str">
            <v/>
          </cell>
          <cell r="C8323" t="str">
            <v/>
          </cell>
          <cell r="D8323" t="str">
            <v/>
          </cell>
        </row>
        <row r="8324">
          <cell r="B8324" t="str">
            <v>INF0S5R01075</v>
          </cell>
          <cell r="C8324" t="str">
            <v>INF0S5R01083</v>
          </cell>
          <cell r="D8324" t="str">
            <v>Old Bridge Arbitrage Fund - Direct - IDCW</v>
          </cell>
          <cell r="E8324">
            <v>10.4506</v>
          </cell>
        </row>
        <row r="8325">
          <cell r="B8325" t="str">
            <v>INF0S5R01125</v>
          </cell>
          <cell r="C8325" t="str">
            <v>-</v>
          </cell>
          <cell r="D8325" t="str">
            <v>Old Bridge Arbitrage Fund Direct Growth</v>
          </cell>
          <cell r="E8325">
            <v>10.4506</v>
          </cell>
        </row>
        <row r="8326">
          <cell r="B8326" t="str">
            <v>INF0S5R01091</v>
          </cell>
          <cell r="C8326" t="str">
            <v>-</v>
          </cell>
          <cell r="D8326" t="str">
            <v>Old Bridge Arbitrage Fund Regular Growth</v>
          </cell>
          <cell r="E8326">
            <v>10.389200000000001</v>
          </cell>
        </row>
        <row r="8327">
          <cell r="B8327" t="str">
            <v>INF0S5R01109</v>
          </cell>
          <cell r="C8327" t="str">
            <v>INF0S5R01117</v>
          </cell>
          <cell r="D8327" t="str">
            <v>Old Bridge Arbitrage Fund Regular IDCW</v>
          </cell>
          <cell r="E8327">
            <v>10.389200000000001</v>
          </cell>
        </row>
        <row r="8328">
          <cell r="B8328" t="str">
            <v/>
          </cell>
          <cell r="C8328" t="str">
            <v/>
          </cell>
          <cell r="D8328" t="str">
            <v/>
          </cell>
        </row>
        <row r="8329">
          <cell r="B8329" t="str">
            <v/>
          </cell>
          <cell r="C8329" t="str">
            <v/>
          </cell>
          <cell r="D8329" t="str">
            <v/>
          </cell>
        </row>
        <row r="8330">
          <cell r="B8330" t="str">
            <v/>
          </cell>
          <cell r="C8330" t="str">
            <v/>
          </cell>
          <cell r="D8330" t="str">
            <v/>
          </cell>
        </row>
        <row r="8331">
          <cell r="B8331" t="str">
            <v>INF223J012N9</v>
          </cell>
          <cell r="C8331" t="str">
            <v>-</v>
          </cell>
          <cell r="D8331" t="str">
            <v>PGIM India Arbitrage Fund - Direct Plan - Annual Dividend</v>
          </cell>
          <cell r="E8331">
            <v>11.7225</v>
          </cell>
        </row>
        <row r="8332">
          <cell r="B8332" t="str">
            <v>INF223J013N7</v>
          </cell>
          <cell r="C8332" t="str">
            <v>-</v>
          </cell>
          <cell r="D8332" t="str">
            <v>PGIM India Arbitrage Fund - Direct Plan - Growth</v>
          </cell>
          <cell r="E8332">
            <v>20.942799999999998</v>
          </cell>
        </row>
        <row r="8333">
          <cell r="B8333" t="str">
            <v>INF663L01YU1</v>
          </cell>
          <cell r="C8333" t="str">
            <v>INF663L01YV9</v>
          </cell>
          <cell r="D8333" t="str">
            <v>PGIM India Arbitrage Fund - Direct Plan - Half yearly Dividend Option</v>
          </cell>
          <cell r="E8333">
            <v>11.001099999999999</v>
          </cell>
        </row>
        <row r="8334">
          <cell r="B8334" t="str">
            <v>INF223J011N1</v>
          </cell>
          <cell r="C8334" t="str">
            <v>INF223J016N0</v>
          </cell>
          <cell r="D8334" t="str">
            <v>PGIM India Arbitrage Fund - Direct Plan - Monthly Dividend</v>
          </cell>
          <cell r="E8334">
            <v>11.4925</v>
          </cell>
        </row>
        <row r="8335">
          <cell r="B8335" t="str">
            <v>INF223J010N3</v>
          </cell>
          <cell r="C8335" t="str">
            <v>INF223J015N2</v>
          </cell>
          <cell r="D8335" t="str">
            <v>PGIM India Arbitrage Fund - Direct Plan - Quarterly Dividend</v>
          </cell>
          <cell r="E8335">
            <v>10.9435</v>
          </cell>
        </row>
        <row r="8336">
          <cell r="B8336" t="str">
            <v>INF223J019M6</v>
          </cell>
          <cell r="C8336" t="str">
            <v>INF223J014N5</v>
          </cell>
          <cell r="D8336" t="str">
            <v>PGIM India Arbitrage Fund - Direct Plan - Regular Dividend</v>
          </cell>
          <cell r="E8336">
            <v>12.4595</v>
          </cell>
        </row>
        <row r="8337">
          <cell r="B8337" t="str">
            <v>INF223J012M1</v>
          </cell>
          <cell r="C8337" t="str">
            <v>INF223J016M2</v>
          </cell>
          <cell r="D8337" t="str">
            <v>PGIM India Arbitrage Fund - Regular Plan - Annual Dividend</v>
          </cell>
          <cell r="E8337">
            <v>11.4278</v>
          </cell>
        </row>
        <row r="8338">
          <cell r="B8338" t="str">
            <v>INF223J019N4</v>
          </cell>
          <cell r="C8338" t="str">
            <v>-</v>
          </cell>
          <cell r="D8338" t="str">
            <v>PGIM India Arbitrage Fund - Regular Plan - Growth</v>
          </cell>
          <cell r="E8338">
            <v>19.455200000000001</v>
          </cell>
        </row>
        <row r="8339">
          <cell r="B8339" t="str">
            <v>INF223J011M3</v>
          </cell>
          <cell r="C8339" t="str">
            <v>INF223J015M4</v>
          </cell>
          <cell r="D8339" t="str">
            <v>PGIM India Arbitrage Fund - Regular Plan - Monthly Dividend</v>
          </cell>
          <cell r="E8339">
            <v>11.2651</v>
          </cell>
        </row>
        <row r="8340">
          <cell r="B8340" t="str">
            <v>INF223J010M5</v>
          </cell>
          <cell r="C8340" t="str">
            <v>INF223J014M7</v>
          </cell>
          <cell r="D8340" t="str">
            <v>PGIM India Arbitrage Fund - Regular Plan - Quarterly Dividend</v>
          </cell>
          <cell r="E8340">
            <v>10.754099999999999</v>
          </cell>
        </row>
        <row r="8341">
          <cell r="B8341" t="str">
            <v>INF223J019L8</v>
          </cell>
          <cell r="C8341" t="str">
            <v>INF223J013M9</v>
          </cell>
          <cell r="D8341" t="str">
            <v>PGIM India Arbitrage Fund - Regular Plan - Regular Dividend</v>
          </cell>
          <cell r="E8341">
            <v>11.6972</v>
          </cell>
        </row>
        <row r="8342">
          <cell r="B8342" t="str">
            <v/>
          </cell>
          <cell r="C8342" t="str">
            <v/>
          </cell>
          <cell r="D8342" t="str">
            <v/>
          </cell>
        </row>
        <row r="8343">
          <cell r="B8343" t="str">
            <v/>
          </cell>
          <cell r="C8343" t="str">
            <v/>
          </cell>
          <cell r="D8343" t="str">
            <v/>
          </cell>
        </row>
        <row r="8344">
          <cell r="B8344" t="str">
            <v/>
          </cell>
          <cell r="C8344" t="str">
            <v/>
          </cell>
          <cell r="D8344" t="str">
            <v/>
          </cell>
        </row>
        <row r="8345">
          <cell r="B8345" t="str">
            <v>INF879O01225</v>
          </cell>
          <cell r="C8345" t="str">
            <v>-</v>
          </cell>
          <cell r="D8345" t="str">
            <v>Parag Parikh Arbitrage Fund - Direct Plan Growth</v>
          </cell>
          <cell r="E8345">
            <v>12.041499999999999</v>
          </cell>
        </row>
        <row r="8346">
          <cell r="B8346" t="str">
            <v>INF879O01217</v>
          </cell>
          <cell r="C8346" t="str">
            <v>-</v>
          </cell>
          <cell r="D8346" t="str">
            <v>Parag Parikh Arbitrage Fund - Regular Plan Growth</v>
          </cell>
          <cell r="E8346">
            <v>11.9261</v>
          </cell>
        </row>
        <row r="8347">
          <cell r="B8347" t="str">
            <v/>
          </cell>
          <cell r="C8347" t="str">
            <v/>
          </cell>
          <cell r="D8347" t="str">
            <v/>
          </cell>
        </row>
        <row r="8348">
          <cell r="B8348" t="str">
            <v/>
          </cell>
          <cell r="C8348" t="str">
            <v/>
          </cell>
          <cell r="D8348" t="str">
            <v/>
          </cell>
        </row>
        <row r="8349">
          <cell r="B8349" t="str">
            <v/>
          </cell>
          <cell r="C8349" t="str">
            <v/>
          </cell>
          <cell r="D8349" t="str">
            <v/>
          </cell>
        </row>
        <row r="8350">
          <cell r="B8350" t="str">
            <v>INF966L01DW8</v>
          </cell>
          <cell r="C8350" t="str">
            <v>-</v>
          </cell>
          <cell r="D8350" t="str">
            <v>quant Arbitrage Fund - Growth Option - Direct Plan</v>
          </cell>
          <cell r="E8350">
            <v>10.9855</v>
          </cell>
        </row>
        <row r="8351">
          <cell r="B8351" t="str">
            <v>INF966L01DZ1</v>
          </cell>
          <cell r="C8351" t="str">
            <v>-</v>
          </cell>
          <cell r="D8351" t="str">
            <v>quant Arbitrage Fund - Growth Option - Regular Plan</v>
          </cell>
          <cell r="E8351">
            <v>10.9008</v>
          </cell>
        </row>
        <row r="8352">
          <cell r="B8352" t="str">
            <v>INF966L01DX6</v>
          </cell>
          <cell r="C8352" t="str">
            <v>INF966L01DY4</v>
          </cell>
          <cell r="D8352" t="str">
            <v>quant Arbitrage Fund - IDCW Option - Direct Plan</v>
          </cell>
          <cell r="E8352">
            <v>10.975199999999999</v>
          </cell>
        </row>
        <row r="8353">
          <cell r="B8353" t="str">
            <v>INF966L01EA2</v>
          </cell>
          <cell r="C8353" t="str">
            <v>INF966L01EB0</v>
          </cell>
          <cell r="D8353" t="str">
            <v>quant Arbitrage Fund - IDCW Option - Regular Plan</v>
          </cell>
          <cell r="E8353">
            <v>10.901199999999999</v>
          </cell>
        </row>
        <row r="8354">
          <cell r="B8354" t="str">
            <v/>
          </cell>
          <cell r="C8354" t="str">
            <v/>
          </cell>
          <cell r="D8354" t="str">
            <v/>
          </cell>
        </row>
        <row r="8355">
          <cell r="B8355" t="str">
            <v/>
          </cell>
          <cell r="C8355" t="str">
            <v/>
          </cell>
          <cell r="D8355" t="str">
            <v/>
          </cell>
        </row>
        <row r="8356">
          <cell r="B8356" t="str">
            <v/>
          </cell>
          <cell r="C8356" t="str">
            <v/>
          </cell>
          <cell r="D8356" t="str">
            <v/>
          </cell>
        </row>
        <row r="8357">
          <cell r="B8357" t="str">
            <v>INF0K1H01214</v>
          </cell>
          <cell r="C8357" t="str">
            <v>-</v>
          </cell>
          <cell r="D8357" t="str">
            <v>Samco Arbitrage Fund - Direct Plan - Growth</v>
          </cell>
          <cell r="E8357">
            <v>10.9</v>
          </cell>
        </row>
        <row r="8358">
          <cell r="B8358" t="str">
            <v>INF0K1H01222</v>
          </cell>
          <cell r="C8358" t="str">
            <v>-</v>
          </cell>
          <cell r="D8358" t="str">
            <v>Samco Arbitrage Fund - Regular Plan - Growth</v>
          </cell>
          <cell r="E8358">
            <v>10.7</v>
          </cell>
        </row>
        <row r="8359">
          <cell r="B8359" t="str">
            <v/>
          </cell>
          <cell r="C8359" t="str">
            <v/>
          </cell>
          <cell r="D8359" t="str">
            <v/>
          </cell>
        </row>
        <row r="8360">
          <cell r="B8360" t="str">
            <v/>
          </cell>
          <cell r="C8360" t="str">
            <v/>
          </cell>
          <cell r="D8360" t="str">
            <v/>
          </cell>
        </row>
        <row r="8361">
          <cell r="B8361" t="str">
            <v/>
          </cell>
          <cell r="C8361" t="str">
            <v/>
          </cell>
          <cell r="D8361" t="str">
            <v/>
          </cell>
        </row>
        <row r="8362">
          <cell r="B8362" t="str">
            <v>INF200K01QU0</v>
          </cell>
          <cell r="C8362" t="str">
            <v>-</v>
          </cell>
          <cell r="D8362" t="str">
            <v>SBI Arbitrage Opportunities Fund - Direct Plan - Gr</v>
          </cell>
          <cell r="E8362">
            <v>38.440199999999997</v>
          </cell>
        </row>
        <row r="8363">
          <cell r="B8363" t="str">
            <v>INF200K01QS4</v>
          </cell>
          <cell r="C8363" t="str">
            <v>INF200K01QT2</v>
          </cell>
          <cell r="D8363" t="str">
            <v>SBI Arbitrage Opportunities Fund - Direct Plan - Income Distribution cum Capital Withdrawal Option (IDCW)</v>
          </cell>
          <cell r="E8363">
            <v>20.7697</v>
          </cell>
        </row>
        <row r="8364">
          <cell r="B8364" t="str">
            <v>INF200K01156</v>
          </cell>
          <cell r="C8364" t="str">
            <v>-</v>
          </cell>
          <cell r="D8364" t="str">
            <v>SBI Arbitrage Opportunities Fund - Regular Plan - Gr</v>
          </cell>
          <cell r="E8364">
            <v>35.964799999999997</v>
          </cell>
        </row>
        <row r="8365">
          <cell r="B8365" t="str">
            <v>INF200K01131</v>
          </cell>
          <cell r="C8365" t="str">
            <v>INF200K01149</v>
          </cell>
          <cell r="D8365" t="str">
            <v>SBI Arbitrage Opportunities Fund - Regular Plan - Income Distribution cum Capital Withdrawal Option (IDCW)</v>
          </cell>
          <cell r="E8365">
            <v>18.913499999999999</v>
          </cell>
        </row>
        <row r="8366">
          <cell r="B8366" t="str">
            <v/>
          </cell>
          <cell r="C8366" t="str">
            <v/>
          </cell>
          <cell r="D8366" t="str">
            <v/>
          </cell>
        </row>
        <row r="8367">
          <cell r="B8367" t="str">
            <v/>
          </cell>
          <cell r="C8367" t="str">
            <v/>
          </cell>
          <cell r="D8367" t="str">
            <v/>
          </cell>
        </row>
        <row r="8368">
          <cell r="B8368" t="str">
            <v/>
          </cell>
          <cell r="C8368" t="str">
            <v/>
          </cell>
          <cell r="D8368" t="str">
            <v/>
          </cell>
        </row>
        <row r="8369">
          <cell r="B8369" t="str">
            <v>INF173K01NB6</v>
          </cell>
          <cell r="C8369" t="str">
            <v>-</v>
          </cell>
          <cell r="D8369" t="str">
            <v>Sundaram Arbitrage Fund (Formerly Know as Principal Arbitrage Fund) - Regular Plan - Growth</v>
          </cell>
          <cell r="E8369">
            <v>15.3552</v>
          </cell>
        </row>
        <row r="8370">
          <cell r="B8370" t="str">
            <v>INF173K01MY0</v>
          </cell>
          <cell r="C8370" t="str">
            <v>INF173K01NA8</v>
          </cell>
          <cell r="D8370" t="str">
            <v>Sundaram Arbitrage Fund (Formerly Known as Principal Arbitrage Fund)- Regular Plan - Monthly Income Distribution CUM Capital Withdrawal</v>
          </cell>
          <cell r="E8370">
            <v>12.694100000000001</v>
          </cell>
        </row>
        <row r="8371">
          <cell r="B8371" t="str">
            <v>INF173K01NF7</v>
          </cell>
          <cell r="C8371" t="str">
            <v>-</v>
          </cell>
          <cell r="D8371" t="str">
            <v>Sundaram Arbitrage Fund (Formerly Known as Prinicpal Arbitrage Fund) - Direct Plan - Growth</v>
          </cell>
          <cell r="E8371">
            <v>16.3323</v>
          </cell>
        </row>
        <row r="8372">
          <cell r="B8372" t="str">
            <v>INF173K01NC4</v>
          </cell>
          <cell r="C8372" t="str">
            <v>INF173K01NE0</v>
          </cell>
          <cell r="D8372" t="str">
            <v>Sundaram Arbitrage Fund( Formerly Known as Principal Arbitrage Fund) - Direct Plan- Monthly Income Distribution CUM Capital Withdrawal</v>
          </cell>
          <cell r="E8372">
            <v>13.2782</v>
          </cell>
        </row>
        <row r="8373">
          <cell r="B8373" t="str">
            <v/>
          </cell>
          <cell r="C8373" t="str">
            <v/>
          </cell>
          <cell r="D8373" t="str">
            <v/>
          </cell>
        </row>
        <row r="8374">
          <cell r="B8374" t="str">
            <v/>
          </cell>
          <cell r="C8374" t="str">
            <v/>
          </cell>
          <cell r="D8374" t="str">
            <v/>
          </cell>
        </row>
        <row r="8375">
          <cell r="B8375" t="str">
            <v/>
          </cell>
          <cell r="C8375" t="str">
            <v/>
          </cell>
          <cell r="D8375" t="str">
            <v/>
          </cell>
        </row>
        <row r="8376">
          <cell r="B8376" t="str">
            <v>INF277K018Q1</v>
          </cell>
          <cell r="C8376" t="str">
            <v>-</v>
          </cell>
          <cell r="D8376" t="str">
            <v xml:space="preserve">TATA Arbitrage Fund Direct Plan - Monthly Payout of Income Distribution cum capital withdrawal option </v>
          </cell>
          <cell r="E8376">
            <v>15.5573</v>
          </cell>
        </row>
        <row r="8377">
          <cell r="B8377" t="str">
            <v>-</v>
          </cell>
          <cell r="C8377" t="str">
            <v>INF277K019Q9</v>
          </cell>
          <cell r="D8377" t="str">
            <v>TATA Arbitrage Fund Direct Plan - Monthly Reinvestment of Income Distribution cum capital withdrawal option</v>
          </cell>
          <cell r="E8377">
            <v>15.5573</v>
          </cell>
        </row>
        <row r="8378">
          <cell r="B8378" t="str">
            <v>INF277K016Q5</v>
          </cell>
          <cell r="C8378" t="str">
            <v>-</v>
          </cell>
          <cell r="D8378" t="str">
            <v xml:space="preserve">TATA Arbitrage Fund Regular Plan - Monthly Payout of Income Distribution cum capital withdrawal option </v>
          </cell>
          <cell r="E8378">
            <v>14.595499999999999</v>
          </cell>
        </row>
        <row r="8379">
          <cell r="B8379" t="str">
            <v>-</v>
          </cell>
          <cell r="C8379" t="str">
            <v>INF277K010R6</v>
          </cell>
          <cell r="D8379" t="str">
            <v xml:space="preserve">TATA Arbitrage Fund Regular Plan - Monthly Reinvestment of Income Distribution cum capital withdrawal option </v>
          </cell>
          <cell r="E8379">
            <v>14.595499999999999</v>
          </cell>
        </row>
        <row r="8380">
          <cell r="B8380" t="str">
            <v>INF277K017Q3</v>
          </cell>
          <cell r="C8380" t="str">
            <v>-</v>
          </cell>
          <cell r="D8380" t="str">
            <v>Tata Arbitrage Fund-Direct Plan-Growth</v>
          </cell>
          <cell r="E8380">
            <v>16.1938</v>
          </cell>
        </row>
        <row r="8381">
          <cell r="B8381" t="str">
            <v>INF277K015Q7</v>
          </cell>
          <cell r="C8381" t="str">
            <v>-</v>
          </cell>
          <cell r="D8381" t="str">
            <v>Tata Arbitrage Fund-Regular Plan-Growth</v>
          </cell>
          <cell r="E8381">
            <v>15.269</v>
          </cell>
        </row>
        <row r="8382">
          <cell r="B8382" t="str">
            <v/>
          </cell>
          <cell r="C8382" t="str">
            <v/>
          </cell>
          <cell r="D8382" t="str">
            <v/>
          </cell>
        </row>
        <row r="8383">
          <cell r="B8383" t="str">
            <v/>
          </cell>
          <cell r="C8383" t="str">
            <v/>
          </cell>
          <cell r="D8383" t="str">
            <v/>
          </cell>
        </row>
        <row r="8384">
          <cell r="B8384" t="str">
            <v/>
          </cell>
          <cell r="C8384" t="str">
            <v/>
          </cell>
          <cell r="D8384" t="str">
            <v/>
          </cell>
        </row>
        <row r="8385">
          <cell r="B8385" t="str">
            <v>INF2F0001271</v>
          </cell>
          <cell r="C8385" t="str">
            <v>-</v>
          </cell>
          <cell r="D8385" t="str">
            <v>THE WEALTH COMPANY ARBITRAGE FUND DIRECT GROWTH</v>
          </cell>
          <cell r="E8385">
            <v>10.5082</v>
          </cell>
        </row>
        <row r="8386">
          <cell r="B8386" t="str">
            <v>INF2F0001263</v>
          </cell>
          <cell r="C8386" t="str">
            <v>INF2F0001255</v>
          </cell>
          <cell r="D8386" t="str">
            <v>THE WEALTH COMPANY ARBITRAGE FUND DIRECT IDCW</v>
          </cell>
          <cell r="E8386">
            <v>10.507</v>
          </cell>
        </row>
        <row r="8387">
          <cell r="B8387" t="str">
            <v>INF2F0001305</v>
          </cell>
          <cell r="C8387" t="str">
            <v>-</v>
          </cell>
          <cell r="D8387" t="str">
            <v>THE WEALTH COMPANY ARBITRAGE FUND REGULAR GROWTH</v>
          </cell>
          <cell r="E8387">
            <v>10.454700000000001</v>
          </cell>
        </row>
        <row r="8388">
          <cell r="B8388" t="str">
            <v>INF2F0001289</v>
          </cell>
          <cell r="C8388" t="str">
            <v>INF2F0001297</v>
          </cell>
          <cell r="D8388" t="str">
            <v>THE WEALTH COMPANY ARITRAGE FUND REGULAR IDCW</v>
          </cell>
          <cell r="E8388">
            <v>10.454499999999999</v>
          </cell>
        </row>
        <row r="8389">
          <cell r="B8389" t="str">
            <v/>
          </cell>
          <cell r="C8389" t="str">
            <v/>
          </cell>
          <cell r="D8389" t="str">
            <v/>
          </cell>
        </row>
        <row r="8390">
          <cell r="B8390" t="str">
            <v/>
          </cell>
          <cell r="C8390" t="str">
            <v/>
          </cell>
          <cell r="D8390" t="str">
            <v/>
          </cell>
        </row>
        <row r="8391">
          <cell r="B8391" t="str">
            <v/>
          </cell>
          <cell r="C8391" t="str">
            <v/>
          </cell>
          <cell r="D8391" t="str">
            <v/>
          </cell>
        </row>
        <row r="8392">
          <cell r="B8392" t="str">
            <v>INF0GCD01859</v>
          </cell>
          <cell r="C8392" t="str">
            <v>-</v>
          </cell>
          <cell r="D8392" t="str">
            <v>TRUSTMF ARBITRAGE FUND -DIRECT PLAN-GROWTH</v>
          </cell>
          <cell r="E8392">
            <v>10.5799</v>
          </cell>
        </row>
        <row r="8393">
          <cell r="B8393" t="str">
            <v>INF0GCD01867</v>
          </cell>
          <cell r="C8393" t="str">
            <v>-</v>
          </cell>
          <cell r="D8393" t="str">
            <v>TRUSTMF ARBITRAGE FUND -REGULAR PLAN-GROWTH</v>
          </cell>
          <cell r="E8393">
            <v>10.5046</v>
          </cell>
        </row>
        <row r="8394">
          <cell r="B8394" t="str">
            <v/>
          </cell>
          <cell r="C8394" t="str">
            <v/>
          </cell>
          <cell r="D8394" t="str">
            <v/>
          </cell>
        </row>
        <row r="8395">
          <cell r="B8395" t="str">
            <v/>
          </cell>
          <cell r="C8395" t="str">
            <v/>
          </cell>
          <cell r="D8395" t="str">
            <v/>
          </cell>
        </row>
        <row r="8396">
          <cell r="B8396" t="str">
            <v/>
          </cell>
          <cell r="C8396" t="str">
            <v/>
          </cell>
          <cell r="D8396" t="str">
            <v/>
          </cell>
        </row>
        <row r="8397">
          <cell r="B8397" t="str">
            <v>INF582M01ES7</v>
          </cell>
          <cell r="C8397" t="str">
            <v>-</v>
          </cell>
          <cell r="D8397" t="str">
            <v>Union Arbitrage Fund - Direct Plan - Growth Option</v>
          </cell>
          <cell r="E8397">
            <v>15.5097</v>
          </cell>
        </row>
        <row r="8398">
          <cell r="B8398" t="str">
            <v>INF582M01EU3</v>
          </cell>
          <cell r="C8398" t="str">
            <v>INF582M01ET5</v>
          </cell>
          <cell r="D8398" t="str">
            <v>Union Arbitrage Fund - Direct Plan - IDCW Option</v>
          </cell>
          <cell r="E8398">
            <v>15.1416</v>
          </cell>
        </row>
        <row r="8399">
          <cell r="B8399" t="str">
            <v>INF582M01EW9</v>
          </cell>
          <cell r="C8399" t="str">
            <v>-</v>
          </cell>
          <cell r="D8399" t="str">
            <v>Union Arbitrage Fund - Regular Plan - Growth Option</v>
          </cell>
          <cell r="E8399">
            <v>14.891999999999999</v>
          </cell>
        </row>
        <row r="8400">
          <cell r="B8400" t="str">
            <v>INF582M01EY5</v>
          </cell>
          <cell r="C8400" t="str">
            <v>INF582M01EX7</v>
          </cell>
          <cell r="D8400" t="str">
            <v>Union Arbitrage Fund - Regular Plan - IDCW Option</v>
          </cell>
          <cell r="E8400">
            <v>14.541</v>
          </cell>
        </row>
        <row r="8401">
          <cell r="B8401" t="str">
            <v/>
          </cell>
          <cell r="C8401" t="str">
            <v/>
          </cell>
          <cell r="D8401" t="str">
            <v/>
          </cell>
        </row>
        <row r="8402">
          <cell r="B8402" t="str">
            <v/>
          </cell>
          <cell r="C8402" t="str">
            <v/>
          </cell>
          <cell r="D8402" t="str">
            <v/>
          </cell>
        </row>
        <row r="8403">
          <cell r="B8403" t="str">
            <v/>
          </cell>
          <cell r="C8403" t="str">
            <v/>
          </cell>
          <cell r="D8403" t="str">
            <v/>
          </cell>
        </row>
        <row r="8404">
          <cell r="B8404" t="str">
            <v>INF789FB1RG6</v>
          </cell>
          <cell r="C8404" t="str">
            <v>-</v>
          </cell>
          <cell r="D8404" t="str">
            <v>UTI Arbitrage Fund - Direct Plan - Growth Option</v>
          </cell>
          <cell r="E8404">
            <v>39.889899999999997</v>
          </cell>
        </row>
        <row r="8405">
          <cell r="B8405" t="str">
            <v>INF789FB1RE1</v>
          </cell>
          <cell r="C8405" t="str">
            <v>INF789FB1RF8</v>
          </cell>
          <cell r="D8405" t="str">
            <v>UTI Arbitrage Fund - Direct Plan - IDCW</v>
          </cell>
          <cell r="E8405">
            <v>23.3339</v>
          </cell>
        </row>
        <row r="8406">
          <cell r="B8406" t="str">
            <v>INF789FB1RJ0</v>
          </cell>
          <cell r="C8406" t="str">
            <v>-</v>
          </cell>
          <cell r="D8406" t="str">
            <v>UTI Arbitrage Fund - Regular Plan - Growth Option</v>
          </cell>
          <cell r="E8406">
            <v>37.277500000000003</v>
          </cell>
        </row>
        <row r="8407">
          <cell r="B8407" t="str">
            <v>INF789FB1RH4</v>
          </cell>
          <cell r="C8407" t="str">
            <v>INF789FB1RI2</v>
          </cell>
          <cell r="D8407" t="str">
            <v>UTI Arbitrage Fund - Regular Plan - IDCW</v>
          </cell>
          <cell r="E8407">
            <v>21.059100000000001</v>
          </cell>
        </row>
        <row r="8408">
          <cell r="B8408" t="str">
            <v/>
          </cell>
          <cell r="C8408" t="str">
            <v/>
          </cell>
          <cell r="D8408" t="str">
            <v/>
          </cell>
        </row>
        <row r="8409">
          <cell r="B8409" t="str">
            <v/>
          </cell>
          <cell r="C8409" t="str">
            <v/>
          </cell>
          <cell r="D8409" t="str">
            <v/>
          </cell>
        </row>
        <row r="8410">
          <cell r="B8410" t="str">
            <v/>
          </cell>
          <cell r="C8410" t="str">
            <v/>
          </cell>
          <cell r="D8410" t="str">
            <v/>
          </cell>
        </row>
        <row r="8411">
          <cell r="B8411" t="str">
            <v>INF03VN01910</v>
          </cell>
          <cell r="C8411" t="str">
            <v>-</v>
          </cell>
          <cell r="D8411" t="str">
            <v>WhiteOak Capital Arbitrage Fund Direct Plan Growth</v>
          </cell>
          <cell r="E8411">
            <v>11.416</v>
          </cell>
        </row>
        <row r="8412">
          <cell r="B8412" t="str">
            <v>INF03VN01928</v>
          </cell>
          <cell r="C8412" t="str">
            <v>-</v>
          </cell>
          <cell r="D8412" t="str">
            <v>WhiteOak Capital Arbitrage Fund Regular Plan Growth</v>
          </cell>
          <cell r="E8412">
            <v>11.257999999999999</v>
          </cell>
        </row>
        <row r="8413">
          <cell r="B8413" t="str">
            <v/>
          </cell>
          <cell r="C8413" t="str">
            <v/>
          </cell>
          <cell r="D8413" t="str">
            <v/>
          </cell>
        </row>
        <row r="8414">
          <cell r="B8414" t="str">
            <v/>
          </cell>
          <cell r="C8414" t="str">
            <v/>
          </cell>
          <cell r="D8414" t="str">
            <v/>
          </cell>
        </row>
        <row r="8415">
          <cell r="B8415" t="str">
            <v/>
          </cell>
          <cell r="C8415" t="str">
            <v/>
          </cell>
          <cell r="D8415" t="str">
            <v/>
          </cell>
        </row>
        <row r="8416">
          <cell r="B8416" t="str">
            <v/>
          </cell>
          <cell r="C8416" t="str">
            <v/>
          </cell>
          <cell r="D8416" t="str">
            <v/>
          </cell>
        </row>
        <row r="8417">
          <cell r="B8417" t="str">
            <v/>
          </cell>
          <cell r="C8417" t="str">
            <v/>
          </cell>
          <cell r="D8417" t="str">
            <v/>
          </cell>
        </row>
        <row r="8418">
          <cell r="B8418" t="str">
            <v>INF579M01AZ6</v>
          </cell>
          <cell r="C8418" t="str">
            <v>INF579M01BA7</v>
          </cell>
          <cell r="D8418" t="str">
            <v>360 ONE Balanced Hybrid Fund - Direct Plan - IDCW</v>
          </cell>
          <cell r="E8418">
            <v>13.7059</v>
          </cell>
        </row>
        <row r="8419">
          <cell r="B8419" t="str">
            <v>INF579M01AV5</v>
          </cell>
          <cell r="C8419" t="str">
            <v>-</v>
          </cell>
          <cell r="D8419" t="str">
            <v>360 ONE Balanced Hybrid Fund - Regular Plan - Growth</v>
          </cell>
          <cell r="E8419">
            <v>13.1381</v>
          </cell>
        </row>
        <row r="8420">
          <cell r="B8420" t="str">
            <v>INF579M01AY9</v>
          </cell>
          <cell r="C8420" t="str">
            <v>-</v>
          </cell>
          <cell r="D8420" t="str">
            <v>360 ONE Balanced Hybrid Fund- Direct Plan - Growth</v>
          </cell>
          <cell r="E8420">
            <v>13.7059</v>
          </cell>
        </row>
        <row r="8421">
          <cell r="B8421" t="str">
            <v>INF579M01AW3</v>
          </cell>
          <cell r="C8421" t="str">
            <v>INF579M01AX1</v>
          </cell>
          <cell r="D8421" t="str">
            <v>360 ONE Balanced Hyrbrid fund - Regular Plan - IDCW</v>
          </cell>
          <cell r="E8421">
            <v>13.1381</v>
          </cell>
        </row>
        <row r="8422">
          <cell r="B8422" t="str">
            <v/>
          </cell>
          <cell r="C8422" t="str">
            <v/>
          </cell>
          <cell r="D8422" t="str">
            <v/>
          </cell>
        </row>
        <row r="8423">
          <cell r="B8423" t="str">
            <v/>
          </cell>
          <cell r="C8423" t="str">
            <v/>
          </cell>
          <cell r="D8423" t="str">
            <v/>
          </cell>
        </row>
        <row r="8424">
          <cell r="B8424" t="str">
            <v/>
          </cell>
          <cell r="C8424" t="str">
            <v/>
          </cell>
          <cell r="D8424" t="str">
            <v/>
          </cell>
        </row>
        <row r="8425">
          <cell r="B8425" t="str">
            <v>INF109K1A518</v>
          </cell>
          <cell r="C8425" t="str">
            <v>-</v>
          </cell>
          <cell r="D8425" t="str">
            <v>ICICI Prudential Balanced Hybrid Fund - Direct Plan - Growth</v>
          </cell>
          <cell r="E8425">
            <v>9.9700000000000006</v>
          </cell>
        </row>
        <row r="8426">
          <cell r="B8426" t="str">
            <v>INF109K1A534</v>
          </cell>
          <cell r="C8426" t="str">
            <v>INF109K1A526</v>
          </cell>
          <cell r="D8426" t="str">
            <v>ICICI Prudential Balanced Hybrid Fund - Direct Plan - IDCW</v>
          </cell>
          <cell r="E8426">
            <v>9.9700000000000006</v>
          </cell>
        </row>
        <row r="8427">
          <cell r="B8427" t="str">
            <v>INF109K1A484</v>
          </cell>
          <cell r="C8427" t="str">
            <v>-</v>
          </cell>
          <cell r="D8427" t="str">
            <v>ICICI Prudential Balanced Hybrid Fund - Growth</v>
          </cell>
          <cell r="E8427">
            <v>9.9700000000000006</v>
          </cell>
        </row>
        <row r="8428">
          <cell r="B8428" t="str">
            <v>INF109K1A500</v>
          </cell>
          <cell r="C8428" t="str">
            <v>INF109K1A492</v>
          </cell>
          <cell r="D8428" t="str">
            <v>ICICI Prudential Balanced Hybrid Fund - IDCW</v>
          </cell>
          <cell r="E8428">
            <v>9.9700000000000006</v>
          </cell>
        </row>
        <row r="8429">
          <cell r="B8429" t="str">
            <v/>
          </cell>
          <cell r="C8429" t="str">
            <v/>
          </cell>
          <cell r="D8429" t="str">
            <v/>
          </cell>
        </row>
        <row r="8430">
          <cell r="B8430" t="str">
            <v/>
          </cell>
          <cell r="C8430" t="str">
            <v/>
          </cell>
          <cell r="D8430" t="str">
            <v/>
          </cell>
        </row>
        <row r="8431">
          <cell r="B8431" t="str">
            <v/>
          </cell>
          <cell r="C8431" t="str">
            <v/>
          </cell>
          <cell r="D8431" t="str">
            <v/>
          </cell>
        </row>
        <row r="8432">
          <cell r="B8432" t="str">
            <v>INF03VN01829</v>
          </cell>
          <cell r="C8432" t="str">
            <v>-</v>
          </cell>
          <cell r="D8432" t="str">
            <v>WhiteOak Capital Balanced Hybrid Fund Direct Plan Growth</v>
          </cell>
          <cell r="E8432">
            <v>13.79</v>
          </cell>
        </row>
        <row r="8433">
          <cell r="B8433" t="str">
            <v>INF03VN01811</v>
          </cell>
          <cell r="C8433" t="str">
            <v>-</v>
          </cell>
          <cell r="D8433" t="str">
            <v>WhiteOak Capital Balanced Hybrid Fund Regular Plan Growth</v>
          </cell>
          <cell r="E8433">
            <v>13.234</v>
          </cell>
        </row>
        <row r="8434">
          <cell r="B8434" t="str">
            <v/>
          </cell>
          <cell r="C8434" t="str">
            <v/>
          </cell>
          <cell r="D8434" t="str">
            <v/>
          </cell>
        </row>
        <row r="8435">
          <cell r="B8435" t="str">
            <v/>
          </cell>
          <cell r="C8435" t="str">
            <v/>
          </cell>
          <cell r="D8435" t="str">
            <v/>
          </cell>
        </row>
        <row r="8436">
          <cell r="B8436" t="str">
            <v/>
          </cell>
          <cell r="C8436" t="str">
            <v/>
          </cell>
          <cell r="D8436" t="str">
            <v/>
          </cell>
        </row>
        <row r="8437">
          <cell r="B8437" t="str">
            <v/>
          </cell>
          <cell r="C8437" t="str">
            <v/>
          </cell>
          <cell r="D8437" t="str">
            <v/>
          </cell>
        </row>
        <row r="8438">
          <cell r="B8438" t="str">
            <v/>
          </cell>
          <cell r="C8438" t="str">
            <v/>
          </cell>
          <cell r="D8438" t="str">
            <v/>
          </cell>
        </row>
        <row r="8439">
          <cell r="B8439" t="str">
            <v>INF209K01R47</v>
          </cell>
          <cell r="C8439" t="str">
            <v>INF209K01XI2</v>
          </cell>
          <cell r="D8439" t="str">
            <v>Aditya Birla Sun Life Regular Savings Fund - DIRECT - MONTHLY IDCW</v>
          </cell>
          <cell r="E8439">
            <v>27.183700000000002</v>
          </cell>
        </row>
        <row r="8440">
          <cell r="B8440" t="str">
            <v>INF209K01XH4</v>
          </cell>
          <cell r="C8440" t="str">
            <v>-</v>
          </cell>
          <cell r="D8440" t="str">
            <v>Aditya Birla Sun Life Regular Savings Fund - Growth / Payment - Direct Plan</v>
          </cell>
          <cell r="E8440">
            <v>79.062600000000003</v>
          </cell>
        </row>
        <row r="8441">
          <cell r="B8441" t="str">
            <v>INF209K01751</v>
          </cell>
          <cell r="C8441" t="str">
            <v>-</v>
          </cell>
          <cell r="D8441" t="str">
            <v>Aditya Birla Sun Life Regular Savings Fund - Growth / Payment - Regular Plan</v>
          </cell>
          <cell r="E8441">
            <v>70.125600000000006</v>
          </cell>
        </row>
        <row r="8442">
          <cell r="B8442" t="str">
            <v>INF209K01769</v>
          </cell>
          <cell r="C8442" t="str">
            <v>INF209K01DF0</v>
          </cell>
          <cell r="D8442" t="str">
            <v>Aditya Birla Sun Life Regular Savings Fund - REGULAR - MONTHLY IDCW</v>
          </cell>
          <cell r="E8442">
            <v>16.498000000000001</v>
          </cell>
        </row>
        <row r="8443">
          <cell r="B8443" t="str">
            <v/>
          </cell>
          <cell r="C8443" t="str">
            <v/>
          </cell>
          <cell r="D8443" t="str">
            <v/>
          </cell>
        </row>
        <row r="8444">
          <cell r="B8444" t="str">
            <v/>
          </cell>
          <cell r="C8444" t="str">
            <v/>
          </cell>
          <cell r="D8444" t="str">
            <v/>
          </cell>
        </row>
        <row r="8445">
          <cell r="B8445" t="str">
            <v/>
          </cell>
          <cell r="C8445" t="str">
            <v/>
          </cell>
          <cell r="D8445" t="str">
            <v/>
          </cell>
        </row>
        <row r="8446">
          <cell r="B8446" t="str">
            <v>INF846K01DY0</v>
          </cell>
          <cell r="C8446" t="str">
            <v>INF846K01DZ7</v>
          </cell>
          <cell r="D8446" t="str">
            <v>Axis Conservative Hybrid Fund - Direct Plan - Annual IDCW</v>
          </cell>
          <cell r="E8446">
            <v>16.429400000000001</v>
          </cell>
        </row>
        <row r="8447">
          <cell r="B8447" t="str">
            <v>INF846K01EA8</v>
          </cell>
          <cell r="C8447" t="str">
            <v>-</v>
          </cell>
          <cell r="D8447" t="str">
            <v>Axis Conservative Hybrid Fund - Direct Plan - Growth Option</v>
          </cell>
          <cell r="E8447">
            <v>36.068899999999999</v>
          </cell>
        </row>
        <row r="8448">
          <cell r="B8448" t="str">
            <v>INF846K01EB6</v>
          </cell>
          <cell r="C8448" t="str">
            <v>INF846K01EC4</v>
          </cell>
          <cell r="D8448" t="str">
            <v>Axis Conservative Hybrid Fund - Direct Plan - Half Yearly</v>
          </cell>
          <cell r="E8448">
            <v>13.4262</v>
          </cell>
        </row>
        <row r="8449">
          <cell r="B8449" t="str">
            <v>INF846K01ED2</v>
          </cell>
          <cell r="C8449" t="str">
            <v>INF846K01EE0</v>
          </cell>
          <cell r="D8449" t="str">
            <v>Axis Conservative Hybrid Fund - Direct Plan - Quarterly</v>
          </cell>
          <cell r="E8449">
            <v>12.7943</v>
          </cell>
        </row>
        <row r="8450">
          <cell r="B8450" t="str">
            <v>INF846K01743</v>
          </cell>
          <cell r="C8450" t="str">
            <v>INF846K01750</v>
          </cell>
          <cell r="D8450" t="str">
            <v>Axis Conservative Hybrid Fund - Regular Plan - Annual IDCW</v>
          </cell>
          <cell r="E8450">
            <v>13.7057</v>
          </cell>
        </row>
        <row r="8451">
          <cell r="B8451" t="str">
            <v>INF846K01693</v>
          </cell>
          <cell r="C8451" t="str">
            <v>-</v>
          </cell>
          <cell r="D8451" t="str">
            <v>Axis Conservative Hybrid Fund - Regular Plan - Growth Option</v>
          </cell>
          <cell r="E8451">
            <v>30.487300000000001</v>
          </cell>
        </row>
        <row r="8452">
          <cell r="B8452" t="str">
            <v>INF846K01727</v>
          </cell>
          <cell r="C8452" t="str">
            <v>INF846K01735</v>
          </cell>
          <cell r="D8452" t="str">
            <v>Axis Conservative Hybrid Fund - Regular Plan - Half Yearly IDCW</v>
          </cell>
          <cell r="E8452">
            <v>12.7476</v>
          </cell>
        </row>
        <row r="8453">
          <cell r="B8453" t="str">
            <v>INF846K01701</v>
          </cell>
          <cell r="C8453" t="str">
            <v>INF846K01719</v>
          </cell>
          <cell r="D8453" t="str">
            <v>Axis Conservative Hybrid Fund - Regular Plan - Quarterly IDCW</v>
          </cell>
          <cell r="E8453">
            <v>10.3924</v>
          </cell>
        </row>
        <row r="8454">
          <cell r="B8454" t="str">
            <v/>
          </cell>
          <cell r="C8454" t="str">
            <v/>
          </cell>
          <cell r="D8454" t="str">
            <v/>
          </cell>
        </row>
        <row r="8455">
          <cell r="B8455" t="str">
            <v/>
          </cell>
          <cell r="C8455" t="str">
            <v/>
          </cell>
          <cell r="D8455" t="str">
            <v/>
          </cell>
        </row>
        <row r="8456">
          <cell r="B8456" t="str">
            <v/>
          </cell>
          <cell r="C8456" t="str">
            <v/>
          </cell>
          <cell r="D8456" t="str">
            <v/>
          </cell>
        </row>
        <row r="8457">
          <cell r="B8457" t="str">
            <v>INF194K01RW9</v>
          </cell>
          <cell r="C8457" t="str">
            <v>-</v>
          </cell>
          <cell r="D8457" t="str">
            <v>BANDHAN Conservative Hybrid Fund - Regular Plan - Growth</v>
          </cell>
          <cell r="E8457">
            <v>32.798400000000001</v>
          </cell>
        </row>
        <row r="8458">
          <cell r="B8458" t="str">
            <v>INF194K01RY5</v>
          </cell>
          <cell r="C8458" t="str">
            <v>INF194K01RX7</v>
          </cell>
          <cell r="D8458" t="str">
            <v>BANDHAN Conservative Hybrid Fund - Regular Plan - IDCW</v>
          </cell>
          <cell r="E8458">
            <v>11.226599999999999</v>
          </cell>
        </row>
        <row r="8459">
          <cell r="B8459" t="str">
            <v>INF194K01SB1</v>
          </cell>
          <cell r="C8459" t="str">
            <v>INF194K01SA3</v>
          </cell>
          <cell r="D8459" t="str">
            <v>BANDHAN Conservative Hybrid Fund - Regular Plan - Quarterly IDCW</v>
          </cell>
          <cell r="E8459">
            <v>13.482799999999999</v>
          </cell>
        </row>
        <row r="8460">
          <cell r="B8460" t="str">
            <v>INF194K015B9</v>
          </cell>
          <cell r="C8460" t="str">
            <v>-</v>
          </cell>
          <cell r="D8460" t="str">
            <v>BANDHAN Conservative Hybrid Fund-Direct Plan-Growth</v>
          </cell>
          <cell r="E8460">
            <v>37.078200000000002</v>
          </cell>
        </row>
        <row r="8461">
          <cell r="B8461" t="str">
            <v>INF194K017B5</v>
          </cell>
          <cell r="C8461" t="str">
            <v>INF194K016B7</v>
          </cell>
          <cell r="D8461" t="str">
            <v>BANDHAN Conservative Hybrid Fund-Direct Plan-IDCW</v>
          </cell>
          <cell r="E8461">
            <v>13.257400000000001</v>
          </cell>
        </row>
        <row r="8462">
          <cell r="B8462" t="str">
            <v>INF194K010C8</v>
          </cell>
          <cell r="C8462" t="str">
            <v>INF194K019B1</v>
          </cell>
          <cell r="D8462" t="str">
            <v>BANDHAN Conservative Hybrid Fund-Direct Plan-Quarterly IDCW</v>
          </cell>
          <cell r="E8462">
            <v>16.194500000000001</v>
          </cell>
        </row>
        <row r="8463">
          <cell r="B8463" t="str">
            <v/>
          </cell>
          <cell r="C8463" t="str">
            <v/>
          </cell>
          <cell r="D8463" t="str">
            <v/>
          </cell>
        </row>
        <row r="8464">
          <cell r="B8464" t="str">
            <v/>
          </cell>
          <cell r="C8464" t="str">
            <v/>
          </cell>
          <cell r="D8464" t="str">
            <v/>
          </cell>
        </row>
        <row r="8465">
          <cell r="B8465" t="str">
            <v/>
          </cell>
          <cell r="C8465" t="str">
            <v/>
          </cell>
          <cell r="D8465" t="str">
            <v/>
          </cell>
        </row>
        <row r="8466">
          <cell r="B8466" t="str">
            <v>INF251K01HR8</v>
          </cell>
          <cell r="C8466" t="str">
            <v>-</v>
          </cell>
          <cell r="D8466" t="str">
            <v>BARODA BNP PARIBAS Conservative Hybrid Fund - Direct Plan - Growth Option</v>
          </cell>
          <cell r="E8466">
            <v>57.367800000000003</v>
          </cell>
        </row>
        <row r="8467">
          <cell r="B8467" t="str">
            <v>INF251K01HS6</v>
          </cell>
          <cell r="C8467" t="str">
            <v>INF251K01HT4</v>
          </cell>
          <cell r="D8467" t="str">
            <v>BARODA BNP PARIBAS Conservative Hybrid Fund - Direct Plan - Monthly IDCW Option</v>
          </cell>
          <cell r="E8467">
            <v>13.166399999999999</v>
          </cell>
        </row>
        <row r="8468">
          <cell r="B8468" t="str">
            <v>INF251K01HU2</v>
          </cell>
          <cell r="C8468" t="str">
            <v>INF251K01HV0</v>
          </cell>
          <cell r="D8468" t="str">
            <v>BARODA BNP PARIBAS Conservative Hybrid Fund - Direct Plan - Quarterly IDCW Option</v>
          </cell>
          <cell r="E8468">
            <v>12.6822</v>
          </cell>
        </row>
        <row r="8469">
          <cell r="B8469" t="str">
            <v>INF251K01845</v>
          </cell>
          <cell r="C8469" t="str">
            <v>-</v>
          </cell>
          <cell r="D8469" t="str">
            <v>BARODA BNP PARIBAS Conservative Hybrid Fund-Regular Plan-Growth Option</v>
          </cell>
          <cell r="E8469">
            <v>46.356299999999997</v>
          </cell>
        </row>
        <row r="8470">
          <cell r="B8470" t="str">
            <v>INF251K01852</v>
          </cell>
          <cell r="C8470" t="str">
            <v>INF251K01860</v>
          </cell>
          <cell r="D8470" t="str">
            <v>BARODA BNP PARIBAS Conservative hybrid Fund-Regular Plan-Monthly IDCW Option</v>
          </cell>
          <cell r="E8470">
            <v>10.668900000000001</v>
          </cell>
        </row>
        <row r="8471">
          <cell r="B8471" t="str">
            <v>INF251K01878</v>
          </cell>
          <cell r="C8471" t="str">
            <v>INF251K01886</v>
          </cell>
          <cell r="D8471" t="str">
            <v>BARODA BNP PARIBAS Conservative Hybrid Fund-Regular Plan-Quarterly IDCW Option</v>
          </cell>
          <cell r="E8471">
            <v>10.776999999999999</v>
          </cell>
        </row>
        <row r="8472">
          <cell r="B8472" t="str">
            <v/>
          </cell>
          <cell r="C8472" t="str">
            <v/>
          </cell>
          <cell r="D8472" t="str">
            <v/>
          </cell>
        </row>
        <row r="8473">
          <cell r="B8473" t="str">
            <v/>
          </cell>
          <cell r="C8473" t="str">
            <v/>
          </cell>
          <cell r="D8473" t="str">
            <v/>
          </cell>
        </row>
        <row r="8474">
          <cell r="B8474" t="str">
            <v/>
          </cell>
          <cell r="C8474" t="str">
            <v/>
          </cell>
          <cell r="D8474" t="str">
            <v/>
          </cell>
        </row>
        <row r="8475">
          <cell r="B8475" t="str">
            <v>INF760K01GB4</v>
          </cell>
          <cell r="C8475" t="str">
            <v>-</v>
          </cell>
          <cell r="D8475" t="str">
            <v>CANARA ROBECO CONSERVATIVE HYBRID FUND - DIRECT PLAN - GROWTH OPTION</v>
          </cell>
          <cell r="E8475">
            <v>115.20350000000001</v>
          </cell>
        </row>
        <row r="8476">
          <cell r="B8476" t="str">
            <v>INF760K01FZ5</v>
          </cell>
          <cell r="C8476" t="str">
            <v>INF760K01GA6</v>
          </cell>
          <cell r="D8476" t="str">
            <v>CANARA ROBECO CONSERVATIVE HYBRID FUND - DIRECT PLAN - MONTHLY IDCW (Payout/Reinvestment)</v>
          </cell>
          <cell r="E8476">
            <v>16.083200000000001</v>
          </cell>
        </row>
        <row r="8477">
          <cell r="B8477" t="str">
            <v>INF760K01GC2</v>
          </cell>
          <cell r="C8477" t="str">
            <v>INF760K01GD0</v>
          </cell>
          <cell r="D8477" t="str">
            <v>CANARA ROBECO CONSERVATIVE HYBRID FUND - DIRECT PLAN - QUARTERLY IDCW (Payout/Reinvestment)</v>
          </cell>
          <cell r="E8477">
            <v>16.136800000000001</v>
          </cell>
        </row>
        <row r="8478">
          <cell r="B8478" t="str">
            <v>INF760K01282</v>
          </cell>
          <cell r="C8478" t="str">
            <v>-</v>
          </cell>
          <cell r="D8478" t="str">
            <v>CANARA ROBECO CONSERVATIVE HYBRID FUND - REGULAR PLAN - GROWTH OPTION</v>
          </cell>
          <cell r="E8478">
            <v>99.236599999999996</v>
          </cell>
        </row>
        <row r="8479">
          <cell r="B8479" t="str">
            <v>INF760K01308</v>
          </cell>
          <cell r="C8479" t="str">
            <v>INF760K01316</v>
          </cell>
          <cell r="D8479" t="str">
            <v>CANARA ROBECO CONSERVATIVE HYBRID FUND - REGULAR PLAN - MONTHLY IDCW (Payout/Reinvestment)</v>
          </cell>
          <cell r="E8479">
            <v>12.376200000000001</v>
          </cell>
        </row>
        <row r="8480">
          <cell r="B8480" t="str">
            <v>INF760K01AP7</v>
          </cell>
          <cell r="C8480" t="str">
            <v>INF760K01AQ5</v>
          </cell>
          <cell r="D8480" t="str">
            <v>CANARA ROBECO CONSERVATIVE HYBRID FUND - REGULAR PLAN - QUARTERLY IDCW (Payout/Reinvestment)</v>
          </cell>
          <cell r="E8480">
            <v>13.4377</v>
          </cell>
        </row>
        <row r="8481">
          <cell r="B8481" t="str">
            <v/>
          </cell>
          <cell r="C8481" t="str">
            <v/>
          </cell>
          <cell r="D8481" t="str">
            <v/>
          </cell>
        </row>
        <row r="8482">
          <cell r="B8482" t="str">
            <v/>
          </cell>
          <cell r="C8482" t="str">
            <v/>
          </cell>
          <cell r="D8482" t="str">
            <v/>
          </cell>
        </row>
        <row r="8483">
          <cell r="B8483" t="str">
            <v/>
          </cell>
          <cell r="C8483" t="str">
            <v/>
          </cell>
          <cell r="D8483" t="str">
            <v/>
          </cell>
        </row>
        <row r="8484">
          <cell r="B8484" t="str">
            <v>INF740K01NO5</v>
          </cell>
          <cell r="C8484" t="str">
            <v>-</v>
          </cell>
          <cell r="D8484" t="str">
            <v>DSP Regular Savings Fund - Direct Plan - Growth</v>
          </cell>
          <cell r="E8484">
            <v>68.962500000000006</v>
          </cell>
        </row>
        <row r="8485">
          <cell r="B8485" t="str">
            <v>INF740K01NP2</v>
          </cell>
          <cell r="C8485" t="str">
            <v>INF740K01NR8</v>
          </cell>
          <cell r="D8485" t="str">
            <v>DSP Regular Savings Fund - Direct Plan - IDCW - Monthly</v>
          </cell>
          <cell r="E8485">
            <v>14.173500000000001</v>
          </cell>
        </row>
        <row r="8486">
          <cell r="B8486" t="str">
            <v>INF740K01NQ0</v>
          </cell>
          <cell r="C8486" t="str">
            <v>INF740K01NS6</v>
          </cell>
          <cell r="D8486" t="str">
            <v xml:space="preserve">DSP Regular Savings Fund - Direct Plan - IDCW - Quarterly </v>
          </cell>
          <cell r="E8486">
            <v>13.9299</v>
          </cell>
        </row>
        <row r="8487">
          <cell r="B8487" t="str">
            <v>INF740K01458</v>
          </cell>
          <cell r="C8487" t="str">
            <v>INF740K01466</v>
          </cell>
          <cell r="D8487" t="str">
            <v>DSP Regular Savings Fund - Regular Plan - IDCW - Monthly</v>
          </cell>
          <cell r="E8487">
            <v>11.002800000000001</v>
          </cell>
        </row>
        <row r="8488">
          <cell r="B8488" t="str">
            <v>INF740K01474</v>
          </cell>
          <cell r="C8488" t="str">
            <v>INF740K01482</v>
          </cell>
          <cell r="D8488" t="str">
            <v xml:space="preserve">DSP Regular Savings Fund - Regular Plan - IDCW - Quarterly </v>
          </cell>
          <cell r="E8488">
            <v>11.2568</v>
          </cell>
        </row>
        <row r="8489">
          <cell r="B8489" t="str">
            <v>INF740K01441</v>
          </cell>
          <cell r="C8489" t="str">
            <v>-</v>
          </cell>
          <cell r="D8489" t="str">
            <v>DSP Regular Savings Fund- Regular Plan - Growth</v>
          </cell>
          <cell r="E8489">
            <v>60.8279</v>
          </cell>
        </row>
        <row r="8490">
          <cell r="B8490" t="str">
            <v/>
          </cell>
          <cell r="C8490" t="str">
            <v/>
          </cell>
          <cell r="D8490" t="str">
            <v/>
          </cell>
        </row>
        <row r="8491">
          <cell r="B8491" t="str">
            <v/>
          </cell>
          <cell r="C8491" t="str">
            <v/>
          </cell>
          <cell r="D8491" t="str">
            <v/>
          </cell>
        </row>
        <row r="8492">
          <cell r="B8492" t="str">
            <v/>
          </cell>
          <cell r="C8492" t="str">
            <v/>
          </cell>
          <cell r="D8492" t="str">
            <v/>
          </cell>
        </row>
        <row r="8493">
          <cell r="B8493" t="str">
            <v>INF090I01GF1</v>
          </cell>
          <cell r="C8493" t="str">
            <v>-</v>
          </cell>
          <cell r="D8493" t="str">
            <v>Franklin India Conservative Hybrid Fund - Direct - GROWTH</v>
          </cell>
          <cell r="E8493">
            <v>102.0406</v>
          </cell>
        </row>
        <row r="8494">
          <cell r="B8494" t="str">
            <v>INF090I01EA7</v>
          </cell>
          <cell r="C8494" t="str">
            <v>-</v>
          </cell>
          <cell r="D8494" t="str">
            <v>Franklin India Conservative Hybrid Fund - Growth</v>
          </cell>
          <cell r="E8494">
            <v>92.238</v>
          </cell>
        </row>
        <row r="8495">
          <cell r="B8495" t="str">
            <v>INF090I01GG9</v>
          </cell>
          <cell r="C8495" t="str">
            <v>INF090I01GH7</v>
          </cell>
          <cell r="D8495" t="str">
            <v>Franklin India Conservative Hybrid Fund - Plan A - Direct - Monthly - IDCW</v>
          </cell>
          <cell r="E8495">
            <v>14.361499999999999</v>
          </cell>
        </row>
        <row r="8496">
          <cell r="B8496" t="str">
            <v>INF090I01GI5</v>
          </cell>
          <cell r="C8496" t="str">
            <v>INF090I01GJ3</v>
          </cell>
          <cell r="D8496" t="str">
            <v>Franklin India Conservative Hybrid Fund - Plan A - Direct - Quarterly - IDCW</v>
          </cell>
          <cell r="E8496">
            <v>13.4719</v>
          </cell>
        </row>
        <row r="8497">
          <cell r="B8497" t="str">
            <v>INF090I01EB5</v>
          </cell>
          <cell r="C8497" t="str">
            <v>INF090I01EC3</v>
          </cell>
          <cell r="D8497" t="str">
            <v>Franklin India Conservative Hybrid Fund - Plan A - Monthly - IDCW</v>
          </cell>
          <cell r="E8497">
            <v>12.6066</v>
          </cell>
        </row>
        <row r="8498">
          <cell r="B8498" t="str">
            <v>INF090I01ED1</v>
          </cell>
          <cell r="C8498" t="str">
            <v>INF090I01EE9</v>
          </cell>
          <cell r="D8498" t="str">
            <v>Franklin India Conservative Hybrid Fund - Plan A - Quarterly - IDCW</v>
          </cell>
          <cell r="E8498">
            <v>11.628299999999999</v>
          </cell>
        </row>
        <row r="8499">
          <cell r="B8499" t="str">
            <v>INF090I01WH4</v>
          </cell>
          <cell r="C8499" t="str">
            <v>-</v>
          </cell>
          <cell r="D8499" t="str">
            <v>Franklin India Conservative Hybrid Fund - Segregated Portfolio 1 (10.25% Yes Bank ltd CO 05Mar20) - Direct Growth Plan</v>
          </cell>
          <cell r="E8499">
            <v>0</v>
          </cell>
        </row>
        <row r="8500">
          <cell r="B8500" t="str">
            <v>INF090I01WI2</v>
          </cell>
          <cell r="C8500" t="str">
            <v>-</v>
          </cell>
          <cell r="D8500" t="str">
            <v>Franklin India Conservative Hybrid Fund - Segregated Portfolio 1 (10.25% Yes Bank Ltd CO 05Mar20) - Direct Quarterly Dividend Plan</v>
          </cell>
          <cell r="E8500">
            <v>0</v>
          </cell>
        </row>
        <row r="8501">
          <cell r="B8501" t="str">
            <v>INF090I01WE1</v>
          </cell>
          <cell r="C8501" t="str">
            <v>-</v>
          </cell>
          <cell r="D8501" t="str">
            <v>Franklin India Conservative Hybrid Fund - Segregated Portfolio 1 (10.25% Yes bank Ltd CO 05Mar20) - Growth Plan</v>
          </cell>
          <cell r="E8501">
            <v>0</v>
          </cell>
        </row>
        <row r="8502">
          <cell r="B8502" t="str">
            <v>INF090I01WG6</v>
          </cell>
          <cell r="C8502" t="str">
            <v>-</v>
          </cell>
          <cell r="D8502" t="str">
            <v>Franklin India Conservative Hybrid Fund - Segregated Portfolio 1 (10.25% Yes Bank Ltd CO 05Mar20) - Monthly Dividend Plan</v>
          </cell>
          <cell r="E8502">
            <v>0</v>
          </cell>
        </row>
        <row r="8503">
          <cell r="B8503" t="str">
            <v>INF090I01WF8</v>
          </cell>
          <cell r="C8503" t="str">
            <v>-</v>
          </cell>
          <cell r="D8503" t="str">
            <v>Franklin India Conservative Hybrid Fund - Segregated Portfolio 1 (10.25% Yes Bank Ltd CO 05Mar20) - Quarterly Dividend Plan</v>
          </cell>
          <cell r="E8503">
            <v>0</v>
          </cell>
        </row>
        <row r="8504">
          <cell r="B8504" t="str">
            <v>INF090I01WJ0</v>
          </cell>
          <cell r="C8504" t="str">
            <v>-</v>
          </cell>
          <cell r="D8504" t="str">
            <v>Franklin India Conservative Hybrid Fund - Segregated Portfolio 1 (10.25% Yes Bank Ltd CO05Mar20) - Direct Monthly Dividend Plan</v>
          </cell>
          <cell r="E8504">
            <v>0</v>
          </cell>
        </row>
        <row r="8505">
          <cell r="B8505" t="str">
            <v/>
          </cell>
          <cell r="C8505" t="str">
            <v/>
          </cell>
          <cell r="D8505" t="str">
            <v/>
          </cell>
        </row>
        <row r="8506">
          <cell r="B8506" t="str">
            <v/>
          </cell>
          <cell r="C8506" t="str">
            <v/>
          </cell>
          <cell r="D8506" t="str">
            <v/>
          </cell>
        </row>
        <row r="8507">
          <cell r="B8507" t="str">
            <v/>
          </cell>
          <cell r="C8507" t="str">
            <v/>
          </cell>
          <cell r="D8507" t="str">
            <v/>
          </cell>
        </row>
        <row r="8508">
          <cell r="B8508" t="str">
            <v>INF179K01XE6</v>
          </cell>
          <cell r="C8508" t="str">
            <v>-</v>
          </cell>
          <cell r="D8508" t="str">
            <v>HDFC Hybrid Debt Fund - Growth Option - Direct Plan</v>
          </cell>
          <cell r="E8508">
            <v>89.7226</v>
          </cell>
        </row>
        <row r="8509">
          <cell r="B8509" t="str">
            <v>INF179K01AE4</v>
          </cell>
          <cell r="C8509" t="str">
            <v>-</v>
          </cell>
          <cell r="D8509" t="str">
            <v>HDFC Hybrid Debt Fund - Growth Plan</v>
          </cell>
          <cell r="E8509">
            <v>83.858900000000006</v>
          </cell>
        </row>
        <row r="8510">
          <cell r="B8510" t="str">
            <v>INF179K01AA2</v>
          </cell>
          <cell r="C8510" t="str">
            <v>INF179K01AB0</v>
          </cell>
          <cell r="D8510" t="str">
            <v>HDFC Hybrid Debt Fund - IDCW Monthly</v>
          </cell>
          <cell r="E8510">
            <v>13.4763</v>
          </cell>
        </row>
        <row r="8511">
          <cell r="B8511" t="str">
            <v>INF179K01XF3</v>
          </cell>
          <cell r="C8511" t="str">
            <v>INF179K01XG1</v>
          </cell>
          <cell r="D8511" t="str">
            <v>HDFC Hybrid Debt Fund - IDCW Monthly - Direct Plan</v>
          </cell>
          <cell r="E8511">
            <v>15.213900000000001</v>
          </cell>
        </row>
        <row r="8512">
          <cell r="B8512" t="str">
            <v>INF179K01AC8</v>
          </cell>
          <cell r="C8512" t="str">
            <v>INF179K01AD6</v>
          </cell>
          <cell r="D8512" t="str">
            <v>HDFC Hybrid Debt Fund - IDCW Quarterly</v>
          </cell>
          <cell r="E8512">
            <v>14.175599999999999</v>
          </cell>
        </row>
        <row r="8513">
          <cell r="B8513" t="str">
            <v>INF179K01XH9</v>
          </cell>
          <cell r="C8513" t="str">
            <v>INF179K01XI7</v>
          </cell>
          <cell r="D8513" t="str">
            <v>HDFC Hybrid Debt Fund - IDCW Quarterly - Direct Plan</v>
          </cell>
          <cell r="E8513">
            <v>16.008600000000001</v>
          </cell>
        </row>
        <row r="8514">
          <cell r="B8514" t="str">
            <v/>
          </cell>
          <cell r="C8514" t="str">
            <v/>
          </cell>
          <cell r="D8514" t="str">
            <v/>
          </cell>
        </row>
        <row r="8515">
          <cell r="B8515" t="str">
            <v/>
          </cell>
          <cell r="C8515" t="str">
            <v/>
          </cell>
          <cell r="D8515" t="str">
            <v/>
          </cell>
        </row>
        <row r="8516">
          <cell r="B8516" t="str">
            <v/>
          </cell>
          <cell r="C8516" t="str">
            <v/>
          </cell>
          <cell r="D8516" t="str">
            <v/>
          </cell>
        </row>
        <row r="8517">
          <cell r="B8517" t="str">
            <v>INF336L01DW4</v>
          </cell>
          <cell r="C8517" t="str">
            <v>-</v>
          </cell>
          <cell r="D8517" t="str">
            <v>HSBC Conservative Hybrid Fund - Direct Growth</v>
          </cell>
          <cell r="E8517">
            <v>71.862899999999996</v>
          </cell>
        </row>
        <row r="8518">
          <cell r="B8518" t="str">
            <v>INF336L01DX2</v>
          </cell>
          <cell r="C8518" t="str">
            <v>INF336L01DY0</v>
          </cell>
          <cell r="D8518" t="str">
            <v>HSBC Conservative Hybrid Fund - Direct Monthly IDCW</v>
          </cell>
          <cell r="E8518">
            <v>17.417100000000001</v>
          </cell>
        </row>
        <row r="8519">
          <cell r="B8519" t="str">
            <v>INF336L01DZ7</v>
          </cell>
          <cell r="C8519" t="str">
            <v>INF336L01EA8</v>
          </cell>
          <cell r="D8519" t="str">
            <v>HSBC Conservative Hybrid Fund - Direct Quarterly IDCW</v>
          </cell>
          <cell r="E8519">
            <v>14.9917</v>
          </cell>
        </row>
        <row r="8520">
          <cell r="B8520" t="str">
            <v>INF336L01099</v>
          </cell>
          <cell r="C8520" t="str">
            <v>-</v>
          </cell>
          <cell r="D8520" t="str">
            <v>HSBC Conservative Hybrid Fund - Regular Growth</v>
          </cell>
          <cell r="E8520">
            <v>63.595199999999998</v>
          </cell>
        </row>
        <row r="8521">
          <cell r="B8521" t="str">
            <v>INF336L01107</v>
          </cell>
          <cell r="C8521" t="str">
            <v>INF336L01115</v>
          </cell>
          <cell r="D8521" t="str">
            <v>HSBC Conservative Hybrid Fund - Regular Monthly IDCW</v>
          </cell>
          <cell r="E8521">
            <v>12.922599999999999</v>
          </cell>
        </row>
        <row r="8522">
          <cell r="B8522" t="str">
            <v>INF336L01123</v>
          </cell>
          <cell r="C8522" t="str">
            <v>INF336L01131</v>
          </cell>
          <cell r="D8522" t="str">
            <v>HSBC Conservative Hybrid Fund - Regular Quarterly IDCW</v>
          </cell>
          <cell r="E8522">
            <v>16.9284</v>
          </cell>
        </row>
        <row r="8523">
          <cell r="B8523" t="str">
            <v/>
          </cell>
          <cell r="C8523" t="str">
            <v/>
          </cell>
          <cell r="D8523" t="str">
            <v/>
          </cell>
        </row>
        <row r="8524">
          <cell r="B8524" t="str">
            <v/>
          </cell>
          <cell r="C8524" t="str">
            <v/>
          </cell>
          <cell r="D8524" t="str">
            <v/>
          </cell>
        </row>
        <row r="8525">
          <cell r="B8525" t="str">
            <v/>
          </cell>
          <cell r="C8525" t="str">
            <v/>
          </cell>
          <cell r="D8525" t="str">
            <v/>
          </cell>
        </row>
        <row r="8526">
          <cell r="B8526" t="str">
            <v>INF109KA1301</v>
          </cell>
          <cell r="C8526" t="str">
            <v>-</v>
          </cell>
          <cell r="D8526" t="str">
            <v>ICICI Prudential Regular Savings Fund - Direct Plan - Bonus</v>
          </cell>
          <cell r="E8526">
            <v>46.392400000000002</v>
          </cell>
        </row>
        <row r="8527">
          <cell r="B8527" t="str">
            <v>INF109K01S39</v>
          </cell>
          <cell r="C8527" t="str">
            <v>-</v>
          </cell>
          <cell r="D8527" t="str">
            <v>ICICI Prudential Regular Savings Fund - Direct Plan - Growth</v>
          </cell>
          <cell r="E8527">
            <v>87.57</v>
          </cell>
        </row>
        <row r="8528">
          <cell r="B8528" t="str">
            <v>INF109K01S47</v>
          </cell>
          <cell r="C8528" t="str">
            <v>INF109K01S54</v>
          </cell>
          <cell r="D8528" t="str">
            <v>ICICI Prudential Regular Savings Fund - Direct Plan - Half Yearly IDCW</v>
          </cell>
          <cell r="E8528">
            <v>16.845500000000001</v>
          </cell>
        </row>
        <row r="8529">
          <cell r="B8529" t="str">
            <v>INF109K01S62</v>
          </cell>
          <cell r="C8529" t="str">
            <v>INF109K01S70</v>
          </cell>
          <cell r="D8529" t="str">
            <v>ICICI Prudential Regular Savings Fund - Direct Plan - Monthly IDCW</v>
          </cell>
          <cell r="E8529">
            <v>16.309100000000001</v>
          </cell>
        </row>
        <row r="8530">
          <cell r="B8530" t="str">
            <v>INF109K01S88</v>
          </cell>
          <cell r="C8530" t="str">
            <v>INF109K01S96</v>
          </cell>
          <cell r="D8530" t="str">
            <v>ICICI Prudential Regular Savings Fund - Direct Plan - Quarterly IDCW</v>
          </cell>
          <cell r="E8530">
            <v>15.041700000000001</v>
          </cell>
        </row>
        <row r="8531">
          <cell r="B8531" t="str">
            <v>INF109KA1319</v>
          </cell>
          <cell r="C8531" t="str">
            <v>-</v>
          </cell>
          <cell r="D8531" t="str">
            <v>ICICI Prudential Regular Savings Fund - Plan - Bonus</v>
          </cell>
          <cell r="E8531">
            <v>18.355399999999999</v>
          </cell>
        </row>
        <row r="8532">
          <cell r="B8532" t="str">
            <v>INF109K01902</v>
          </cell>
          <cell r="C8532" t="str">
            <v>-</v>
          </cell>
          <cell r="D8532" t="str">
            <v>ICICI Prudential Regular Savings Fund - Plan - Growth</v>
          </cell>
          <cell r="E8532">
            <v>78.994299999999996</v>
          </cell>
        </row>
        <row r="8533">
          <cell r="B8533" t="str">
            <v>INF109K01IW6</v>
          </cell>
          <cell r="C8533" t="str">
            <v>INF109K01WX5</v>
          </cell>
          <cell r="D8533" t="str">
            <v>ICICI Prudential Regular Savings Fund - Plan - Half Yearly IDCW</v>
          </cell>
          <cell r="E8533">
            <v>13.1168</v>
          </cell>
        </row>
        <row r="8534">
          <cell r="B8534" t="str">
            <v>INF109K01ER5</v>
          </cell>
          <cell r="C8534" t="str">
            <v>INF109K01894</v>
          </cell>
          <cell r="D8534" t="str">
            <v>ICICI Prudential Regular Savings Fund - Plan - Monthly IDCW</v>
          </cell>
          <cell r="E8534">
            <v>13.7782</v>
          </cell>
        </row>
        <row r="8535">
          <cell r="B8535" t="str">
            <v>INF109K01IX4</v>
          </cell>
          <cell r="C8535" t="str">
            <v>INF109K01WY3</v>
          </cell>
          <cell r="D8535" t="str">
            <v>ICICI Prudential Regular Savings Fund - Plan - Quarterly IDCW</v>
          </cell>
          <cell r="E8535">
            <v>12.1915</v>
          </cell>
        </row>
        <row r="8536">
          <cell r="B8536" t="str">
            <v/>
          </cell>
          <cell r="C8536" t="str">
            <v/>
          </cell>
          <cell r="D8536" t="str">
            <v/>
          </cell>
        </row>
        <row r="8537">
          <cell r="B8537" t="str">
            <v/>
          </cell>
          <cell r="C8537" t="str">
            <v/>
          </cell>
          <cell r="D8537" t="str">
            <v/>
          </cell>
        </row>
        <row r="8538">
          <cell r="B8538" t="str">
            <v/>
          </cell>
          <cell r="C8538" t="str">
            <v/>
          </cell>
          <cell r="D8538" t="str">
            <v/>
          </cell>
        </row>
        <row r="8539">
          <cell r="B8539" t="str">
            <v>INF174K01393</v>
          </cell>
          <cell r="C8539" t="str">
            <v>-</v>
          </cell>
          <cell r="D8539" t="str">
            <v>Kotak Debt Hybrid - Growth</v>
          </cell>
          <cell r="E8539">
            <v>59.665500000000002</v>
          </cell>
        </row>
        <row r="8540">
          <cell r="B8540" t="str">
            <v>INF174K01JZ1</v>
          </cell>
          <cell r="C8540" t="str">
            <v>-</v>
          </cell>
          <cell r="D8540" t="str">
            <v>Kotak Debt Hybrid - Growth - Direct</v>
          </cell>
          <cell r="E8540">
            <v>69.721999999999994</v>
          </cell>
        </row>
        <row r="8541">
          <cell r="B8541" t="str">
            <v>INF174K01419</v>
          </cell>
          <cell r="C8541" t="str">
            <v>INF174K01401</v>
          </cell>
          <cell r="D8541" t="str">
            <v>Kotak Debt Hybrid - Monthly Payout of Income Distribution cum capital withdrawal option</v>
          </cell>
          <cell r="E8541">
            <v>12.2156</v>
          </cell>
        </row>
        <row r="8542">
          <cell r="B8542" t="str">
            <v>INF174K01KA2</v>
          </cell>
          <cell r="C8542" t="str">
            <v>INF174K01KB0</v>
          </cell>
          <cell r="D8542" t="str">
            <v>Kotak Debt Hybrid - Monthly Payout of Income Distribution cum capital withdrawal option - Direct</v>
          </cell>
          <cell r="E8542">
            <v>13.435600000000001</v>
          </cell>
        </row>
        <row r="8543">
          <cell r="B8543" t="str">
            <v/>
          </cell>
          <cell r="C8543" t="str">
            <v/>
          </cell>
          <cell r="D8543" t="str">
            <v/>
          </cell>
        </row>
        <row r="8544">
          <cell r="B8544" t="str">
            <v/>
          </cell>
          <cell r="C8544" t="str">
            <v/>
          </cell>
          <cell r="D8544" t="str">
            <v/>
          </cell>
        </row>
        <row r="8545">
          <cell r="B8545" t="str">
            <v/>
          </cell>
          <cell r="C8545" t="str">
            <v/>
          </cell>
          <cell r="D8545" t="str">
            <v/>
          </cell>
        </row>
        <row r="8546">
          <cell r="B8546" t="str">
            <v>INF767K01EO7</v>
          </cell>
          <cell r="C8546" t="str">
            <v>-</v>
          </cell>
          <cell r="D8546" t="str">
            <v>LIC MF Conservative Hybrid Fund-Direct Plan-Growth</v>
          </cell>
          <cell r="E8546">
            <v>94.439800000000005</v>
          </cell>
        </row>
        <row r="8547">
          <cell r="B8547" t="str">
            <v>INF767K01EP4</v>
          </cell>
          <cell r="C8547" t="str">
            <v>INF767K01ES8</v>
          </cell>
          <cell r="D8547" t="str">
            <v>LIC MF Conservative Hybrid Fund-Direct Plan-Monthly IDCW</v>
          </cell>
          <cell r="E8547">
            <v>13.265700000000001</v>
          </cell>
        </row>
        <row r="8548">
          <cell r="B8548" t="str">
            <v>INF767K01EQ2</v>
          </cell>
          <cell r="C8548" t="str">
            <v>INF767K01ET6</v>
          </cell>
          <cell r="D8548" t="str">
            <v>LIC MF Conservative Hybrid Fund-Direct Plan-Quarterly IDCW</v>
          </cell>
          <cell r="E8548">
            <v>18.802299999999999</v>
          </cell>
        </row>
        <row r="8549">
          <cell r="B8549" t="str">
            <v>INF767K01ER0</v>
          </cell>
          <cell r="C8549" t="str">
            <v>INF767K01EU4</v>
          </cell>
          <cell r="D8549" t="str">
            <v>LIC MF Conservative Hybrid Fund-Direct Plan-Yearly IDCW</v>
          </cell>
          <cell r="E8549">
            <v>14.3963</v>
          </cell>
        </row>
        <row r="8550">
          <cell r="B8550" t="str">
            <v>INF767K01808</v>
          </cell>
          <cell r="C8550" t="str">
            <v>-</v>
          </cell>
          <cell r="D8550" t="str">
            <v>LIC MF Conservative Hybrid Fund-Regular Plan-Growth</v>
          </cell>
          <cell r="E8550">
            <v>84.343699999999998</v>
          </cell>
        </row>
        <row r="8551">
          <cell r="B8551" t="str">
            <v>INF767K01816</v>
          </cell>
          <cell r="C8551" t="str">
            <v>INF767K01824</v>
          </cell>
          <cell r="D8551" t="str">
            <v>LIC MF Conservative Hybrid Fund-Regular Plan-Monthly IDCW</v>
          </cell>
          <cell r="E8551">
            <v>12.802199999999999</v>
          </cell>
        </row>
        <row r="8552">
          <cell r="B8552" t="str">
            <v>INF767K01832</v>
          </cell>
          <cell r="C8552" t="str">
            <v>INF767K01840</v>
          </cell>
          <cell r="D8552" t="str">
            <v>LIC MF Conservative Hybrid Fund-Regular Plan-Quarterly IDCW</v>
          </cell>
          <cell r="E8552">
            <v>14.6347</v>
          </cell>
        </row>
        <row r="8553">
          <cell r="B8553" t="str">
            <v>INF767K01857</v>
          </cell>
          <cell r="C8553" t="str">
            <v>INF767K01865</v>
          </cell>
          <cell r="D8553" t="str">
            <v>LIC MF Conservative Hybrid Fund-Regular Plan-Yearly IDCW</v>
          </cell>
          <cell r="E8553">
            <v>11.9222</v>
          </cell>
        </row>
        <row r="8554">
          <cell r="B8554" t="str">
            <v/>
          </cell>
          <cell r="C8554" t="str">
            <v/>
          </cell>
          <cell r="D8554" t="str">
            <v/>
          </cell>
        </row>
        <row r="8555">
          <cell r="B8555" t="str">
            <v/>
          </cell>
          <cell r="C8555" t="str">
            <v/>
          </cell>
          <cell r="D8555" t="str">
            <v/>
          </cell>
        </row>
        <row r="8556">
          <cell r="B8556" t="str">
            <v/>
          </cell>
          <cell r="C8556" t="str">
            <v/>
          </cell>
          <cell r="D8556" t="str">
            <v/>
          </cell>
        </row>
        <row r="8557">
          <cell r="B8557" t="str">
            <v>INF204KB15O7</v>
          </cell>
          <cell r="C8557" t="str">
            <v>INF204KB16O5</v>
          </cell>
          <cell r="D8557" t="str">
            <v>NIPPON INDIA CONSERVATIVE HYBRID  FUND -  SEGREGATED PORTFOLIO 2 - DIRECT Plan - MONTHLY IDCW Option</v>
          </cell>
          <cell r="E8557">
            <v>0</v>
          </cell>
        </row>
        <row r="8558">
          <cell r="B8558" t="str">
            <v>INF204KB10P5</v>
          </cell>
          <cell r="C8558" t="str">
            <v>INF204KB11P3</v>
          </cell>
          <cell r="D8558" t="str">
            <v>NIPPON INDIA CONSERVATIVE HYBRID  FUND -  SEGREGATED PORTFOLIO 2 - MONTHLY IDCW Option</v>
          </cell>
          <cell r="E8558">
            <v>0</v>
          </cell>
        </row>
        <row r="8559">
          <cell r="B8559" t="str">
            <v>INF204KB12P1</v>
          </cell>
          <cell r="C8559" t="str">
            <v>INF204KB13P9</v>
          </cell>
          <cell r="D8559" t="str">
            <v>NIPPON INDIA CONSERVATIVE HYBRID  FUND -  SEGREGATED PORTFOLIO 2 - QUARTERLY IDCW Option</v>
          </cell>
          <cell r="E8559">
            <v>0</v>
          </cell>
        </row>
        <row r="8560">
          <cell r="B8560" t="str">
            <v>INF204K01YW2</v>
          </cell>
          <cell r="C8560" t="str">
            <v>INF204K01YX0</v>
          </cell>
          <cell r="D8560" t="str">
            <v>NIPPON INDIA CONSERVATIVE HYBRID  FUND - DIRECT Plan - MONTHLY IDCW Option</v>
          </cell>
          <cell r="E8560">
            <v>11.6869</v>
          </cell>
        </row>
        <row r="8561">
          <cell r="B8561" t="str">
            <v>INF204K01YY8</v>
          </cell>
          <cell r="C8561" t="str">
            <v>INF204K01YZ5</v>
          </cell>
          <cell r="D8561" t="str">
            <v>NIPPON INDIA CONSERVATIVE HYBRID  FUND - DIRECT Plan - QUARTERLY IDCW Option</v>
          </cell>
          <cell r="E8561">
            <v>12.920999999999999</v>
          </cell>
        </row>
        <row r="8562">
          <cell r="B8562" t="str">
            <v>INF204K01YV4</v>
          </cell>
          <cell r="C8562" t="str">
            <v>-</v>
          </cell>
          <cell r="D8562" t="str">
            <v>Nippon India Conservative Hybrid  Fund - Direct Plan Growth Plan - Growth Option</v>
          </cell>
          <cell r="E8562">
            <v>68.682500000000005</v>
          </cell>
        </row>
        <row r="8563">
          <cell r="B8563" t="str">
            <v>INF204K01FE9</v>
          </cell>
          <cell r="C8563" t="str">
            <v>INF204K01FF6</v>
          </cell>
          <cell r="D8563" t="str">
            <v>NIPPON INDIA CONSERVATIVE HYBRID  FUND - MONTHLY IDCW Option</v>
          </cell>
          <cell r="E8563">
            <v>11.247</v>
          </cell>
        </row>
        <row r="8564">
          <cell r="B8564" t="str">
            <v>INF204K01FG4</v>
          </cell>
          <cell r="C8564" t="str">
            <v>INF204K01FH2</v>
          </cell>
          <cell r="D8564" t="str">
            <v>NIPPON INDIA CONSERVATIVE HYBRID  FUND - QUARTERLY IDCW Option</v>
          </cell>
          <cell r="E8564">
            <v>12.269500000000001</v>
          </cell>
        </row>
        <row r="8565">
          <cell r="B8565" t="str">
            <v>INF204KB12K2</v>
          </cell>
          <cell r="C8565" t="str">
            <v>-</v>
          </cell>
          <cell r="D8565" t="str">
            <v>Nippon India Conservative Hybrid  Fund - Segregated Portfolio 1 - Direct Plan Growth Plan - Growth Option</v>
          </cell>
          <cell r="E8565">
            <v>4.0808</v>
          </cell>
        </row>
        <row r="8566">
          <cell r="B8566" t="str">
            <v>INF204KB14K8</v>
          </cell>
          <cell r="C8566" t="str">
            <v>INF204KB13K0</v>
          </cell>
          <cell r="D8566" t="str">
            <v>Nippon India Conservative Hybrid  Fund - Segregated Portfolio 1 - Direct Plan Monthly Dividend Plan</v>
          </cell>
          <cell r="E8566">
            <v>1.0786</v>
          </cell>
        </row>
        <row r="8567">
          <cell r="B8567" t="str">
            <v>INF204KB17K1</v>
          </cell>
          <cell r="C8567" t="str">
            <v>-</v>
          </cell>
          <cell r="D8567" t="str">
            <v>Nippon India Conservative Hybrid  Fund - Segregated Portfolio 1 - Growth Plan</v>
          </cell>
          <cell r="E8567">
            <v>3.8397999999999999</v>
          </cell>
        </row>
        <row r="8568">
          <cell r="B8568" t="str">
            <v>INF204KB18K9</v>
          </cell>
          <cell r="C8568" t="str">
            <v>INF204KB19K7</v>
          </cell>
          <cell r="D8568" t="str">
            <v>Nippon India Conservative Hybrid  Fund - Segregated Portfolio 1 - Monthly Dividend Plan</v>
          </cell>
          <cell r="E8568">
            <v>0.99690000000000001</v>
          </cell>
        </row>
        <row r="8569">
          <cell r="B8569" t="str">
            <v>INF204KB10L4</v>
          </cell>
          <cell r="C8569" t="str">
            <v>INF204KB11L2</v>
          </cell>
          <cell r="D8569" t="str">
            <v>Nippon India Conservative Hybrid  Fund - Segregated Portfolio 1 - Quarterly Dividend Plan</v>
          </cell>
          <cell r="E8569">
            <v>1.0492999999999999</v>
          </cell>
        </row>
        <row r="8570">
          <cell r="B8570" t="str">
            <v>INF204KB14O0</v>
          </cell>
          <cell r="C8570" t="str">
            <v>-</v>
          </cell>
          <cell r="D8570" t="str">
            <v>Nippon India Conservative Hybrid  Fund - Segregated Portfolio 2 - Direct Plan - Growth Plan - Growth Option</v>
          </cell>
          <cell r="E8570">
            <v>0</v>
          </cell>
        </row>
        <row r="8571">
          <cell r="B8571" t="str">
            <v>INF204KB19O9</v>
          </cell>
          <cell r="C8571" t="str">
            <v>-</v>
          </cell>
          <cell r="D8571" t="str">
            <v>Nippon India Conservative Hybrid  Fund - Segregated Portfolio 2 - Growth Plan</v>
          </cell>
          <cell r="E8571">
            <v>0</v>
          </cell>
        </row>
        <row r="8572">
          <cell r="B8572" t="str">
            <v>INF204K01FD1</v>
          </cell>
          <cell r="C8572" t="str">
            <v>-</v>
          </cell>
          <cell r="D8572" t="str">
            <v>Nippon India Conservative Hybrid  Fund-Growth Plan</v>
          </cell>
          <cell r="E8572">
            <v>61.730800000000002</v>
          </cell>
        </row>
        <row r="8573">
          <cell r="B8573" t="str">
            <v>INF204KB17O3</v>
          </cell>
          <cell r="C8573" t="str">
            <v>INF204KB18O1</v>
          </cell>
          <cell r="D8573" t="str">
            <v>NIPPON INDIA CONSERVATIVE HYBRID FUND -  SEGREGATED PORTFOLIO 2 - DIRECT Plan - QUARTERLY IDCW Option</v>
          </cell>
          <cell r="E8573">
            <v>0</v>
          </cell>
        </row>
        <row r="8574">
          <cell r="B8574" t="str">
            <v>INF204KB15K5</v>
          </cell>
          <cell r="C8574" t="str">
            <v>INF204KB16K3</v>
          </cell>
          <cell r="D8574" t="str">
            <v>Nippon India Conservative Hybrid Fund - Segregated Portfolio 1 - Direct Plan Quarterly Dividend Plan</v>
          </cell>
          <cell r="E8574">
            <v>1.0860000000000001</v>
          </cell>
        </row>
        <row r="8575">
          <cell r="B8575" t="str">
            <v/>
          </cell>
          <cell r="C8575" t="str">
            <v/>
          </cell>
          <cell r="D8575" t="str">
            <v/>
          </cell>
        </row>
        <row r="8576">
          <cell r="B8576" t="str">
            <v/>
          </cell>
          <cell r="C8576" t="str">
            <v/>
          </cell>
          <cell r="D8576" t="str">
            <v/>
          </cell>
        </row>
        <row r="8577">
          <cell r="B8577" t="str">
            <v/>
          </cell>
          <cell r="C8577" t="str">
            <v/>
          </cell>
          <cell r="D8577" t="str">
            <v/>
          </cell>
        </row>
        <row r="8578">
          <cell r="B8578" t="str">
            <v>INF879O01175</v>
          </cell>
          <cell r="C8578" t="str">
            <v>-</v>
          </cell>
          <cell r="D8578" t="str">
            <v>Parag Parikh Conservative Hybrid Fund - Direct Plan - Growth</v>
          </cell>
          <cell r="E8578">
            <v>16.144300000000001</v>
          </cell>
        </row>
        <row r="8579">
          <cell r="B8579" t="str">
            <v>INF879O01167</v>
          </cell>
          <cell r="C8579" t="str">
            <v>INF879O01159</v>
          </cell>
          <cell r="D8579" t="str">
            <v>Parag Parikh Conservative Hybrid Fund - Direct Plan - Monthly IDCW</v>
          </cell>
          <cell r="E8579">
            <v>11.0501</v>
          </cell>
        </row>
        <row r="8580">
          <cell r="B8580" t="str">
            <v>INF879O01209</v>
          </cell>
          <cell r="C8580" t="str">
            <v>-</v>
          </cell>
          <cell r="D8580" t="str">
            <v>Parag Parikh Conservative Hybrid Fund - Regular Plan - Growth</v>
          </cell>
          <cell r="E8580">
            <v>15.895099999999999</v>
          </cell>
        </row>
        <row r="8581">
          <cell r="B8581" t="str">
            <v>INF879O01191</v>
          </cell>
          <cell r="C8581" t="str">
            <v>INF879O01183</v>
          </cell>
          <cell r="D8581" t="str">
            <v>Parag Parikh Conservative Hybrid Fund - Regular Plan - Monthly IDCW</v>
          </cell>
          <cell r="E8581">
            <v>10.803599999999999</v>
          </cell>
        </row>
        <row r="8582">
          <cell r="B8582" t="str">
            <v/>
          </cell>
          <cell r="C8582" t="str">
            <v/>
          </cell>
          <cell r="D8582" t="str">
            <v/>
          </cell>
        </row>
        <row r="8583">
          <cell r="B8583" t="str">
            <v/>
          </cell>
          <cell r="C8583" t="str">
            <v/>
          </cell>
          <cell r="D8583" t="str">
            <v/>
          </cell>
        </row>
        <row r="8584">
          <cell r="B8584" t="str">
            <v/>
          </cell>
          <cell r="C8584" t="str">
            <v/>
          </cell>
          <cell r="D8584" t="str">
            <v/>
          </cell>
        </row>
        <row r="8585">
          <cell r="B8585" t="str">
            <v>INF200K01TV2</v>
          </cell>
          <cell r="C8585" t="str">
            <v>INF200K01TW0</v>
          </cell>
          <cell r="D8585" t="str">
            <v>SBI Conservative Hybrid Fund  - Direct Plan - Quarterly Income Distribution cum Capital Withdrawal Option (IDCW)</v>
          </cell>
          <cell r="E8585">
            <v>25.596599999999999</v>
          </cell>
        </row>
        <row r="8586">
          <cell r="B8586" t="str">
            <v>INF200K01TQ2</v>
          </cell>
          <cell r="C8586" t="str">
            <v>INF200K01TR0</v>
          </cell>
          <cell r="D8586" t="str">
            <v>SBI Conservative Hybrid Fund - Direct Plan - Annual Income Distribution cum Capital Withdrawal Option (IDCW)</v>
          </cell>
          <cell r="E8586">
            <v>33.4084</v>
          </cell>
        </row>
        <row r="8587">
          <cell r="B8587" t="str">
            <v>INF200K01TS8</v>
          </cell>
          <cell r="C8587" t="str">
            <v>-</v>
          </cell>
          <cell r="D8587" t="str">
            <v>SBI Conservative Hybrid Fund - Direct Plan - Growth</v>
          </cell>
          <cell r="E8587">
            <v>83.775899999999993</v>
          </cell>
        </row>
        <row r="8588">
          <cell r="B8588" t="str">
            <v>INF200K01TT6</v>
          </cell>
          <cell r="C8588" t="str">
            <v>INF200K01TU4</v>
          </cell>
          <cell r="D8588" t="str">
            <v>SBI Conservative Hybrid Fund - Direct Plan - Monthly Income Distribution cum Capital Withdrawal Option (IDCW)</v>
          </cell>
          <cell r="E8588">
            <v>28.112100000000002</v>
          </cell>
        </row>
        <row r="8589">
          <cell r="B8589" t="str">
            <v>INF200K01909</v>
          </cell>
          <cell r="C8589" t="str">
            <v>INF200K01917</v>
          </cell>
          <cell r="D8589" t="str">
            <v>SBI Conservative Hybrid Fund - Regular Plan - Annual Income Distribution cum Capital Withdrawal Option (IDCW)</v>
          </cell>
          <cell r="E8589">
            <v>26.919699999999999</v>
          </cell>
        </row>
        <row r="8590">
          <cell r="B8590" t="str">
            <v>INF200K01859</v>
          </cell>
          <cell r="C8590" t="str">
            <v>-</v>
          </cell>
          <cell r="D8590" t="str">
            <v>SBI Conservative Hybrid Fund - Regular Plan - Growth</v>
          </cell>
          <cell r="E8590">
            <v>76.316800000000001</v>
          </cell>
        </row>
        <row r="8591">
          <cell r="B8591" t="str">
            <v>INF200K01867</v>
          </cell>
          <cell r="C8591" t="str">
            <v>INF200K01875</v>
          </cell>
          <cell r="D8591" t="str">
            <v>SBI Conservative Hybrid Fund - Regular Plan - Monthly Income Distribution cum Capital Withdrawal Option (IDCW)</v>
          </cell>
          <cell r="E8591">
            <v>21.430399999999999</v>
          </cell>
        </row>
        <row r="8592">
          <cell r="B8592" t="str">
            <v>INF200K01883</v>
          </cell>
          <cell r="C8592" t="str">
            <v>INF200K01891</v>
          </cell>
          <cell r="D8592" t="str">
            <v>SBI Conservative Hybrid Fund - Regular Plan - Quarterly Income Distribution cum Capital Withdrawal Option (IDCW)</v>
          </cell>
          <cell r="E8592">
            <v>22.0107</v>
          </cell>
        </row>
        <row r="8593">
          <cell r="B8593" t="str">
            <v/>
          </cell>
          <cell r="C8593" t="str">
            <v/>
          </cell>
          <cell r="D8593" t="str">
            <v/>
          </cell>
        </row>
        <row r="8594">
          <cell r="B8594" t="str">
            <v/>
          </cell>
          <cell r="C8594" t="str">
            <v/>
          </cell>
          <cell r="D8594" t="str">
            <v/>
          </cell>
        </row>
        <row r="8595">
          <cell r="B8595" t="str">
            <v/>
          </cell>
          <cell r="C8595" t="str">
            <v/>
          </cell>
          <cell r="D8595" t="str">
            <v/>
          </cell>
        </row>
        <row r="8596">
          <cell r="B8596" t="str">
            <v>INF903J01OP6</v>
          </cell>
          <cell r="C8596" t="str">
            <v>-</v>
          </cell>
          <cell r="D8596" t="str">
            <v>Sundaram Conservative Hybrid Fund (Formerly Known as Sundaram Debt Oriented Hybrid Fund) Direct Plan - Growth</v>
          </cell>
          <cell r="E8596">
            <v>32.678899999999999</v>
          </cell>
        </row>
        <row r="8597">
          <cell r="B8597" t="str">
            <v>INF903J01OQ4</v>
          </cell>
          <cell r="C8597" t="str">
            <v>INF903J01OT8</v>
          </cell>
          <cell r="D8597" t="str">
            <v>Sundaram Conservative Hybrid Fund (Formerly Known as Sundaram Debt Oriented Hybrid Fund) Direct Plan - IDCW</v>
          </cell>
          <cell r="E8597">
            <v>13.6387</v>
          </cell>
        </row>
        <row r="8598">
          <cell r="B8598" t="str">
            <v>INF903J01OS0</v>
          </cell>
          <cell r="C8598" t="str">
            <v>INF903J01OV4</v>
          </cell>
          <cell r="D8598" t="str">
            <v>Sundaram Conservative Hybrid Fund (Formerly Known as Sundaram Debt Oriented Hybrid Fund) Direct Plan - Income Distribution cum Capital Withdrawal (IDCW)</v>
          </cell>
          <cell r="E8598">
            <v>21.457799999999999</v>
          </cell>
        </row>
        <row r="8599">
          <cell r="B8599" t="str">
            <v>INF903J01OR2</v>
          </cell>
          <cell r="C8599" t="str">
            <v>INF903J01OU6</v>
          </cell>
          <cell r="D8599" t="str">
            <v>Sundaram Conservative Hybrid Fund (Formerly Known as Sundaram Debt Oriented Hybrid Fund) Direct Plan -Income Distribution cum Capital Withdrawal (IDCW)</v>
          </cell>
          <cell r="E8599">
            <v>20.530799999999999</v>
          </cell>
        </row>
        <row r="8600">
          <cell r="B8600" t="str">
            <v>INF903J01HB0</v>
          </cell>
          <cell r="C8600" t="str">
            <v>-</v>
          </cell>
          <cell r="D8600" t="str">
            <v>Sundaram Conservative Hybrid Fund (Formerly Known as Sundaram Debt Oriented Hybrid Fund) Regular Plan - Growth</v>
          </cell>
          <cell r="E8600">
            <v>29.411100000000001</v>
          </cell>
        </row>
        <row r="8601">
          <cell r="B8601" t="str">
            <v>INF903J01HC8</v>
          </cell>
          <cell r="C8601" t="str">
            <v>INF903J01HF1</v>
          </cell>
          <cell r="D8601" t="str">
            <v>Sundaram Conservative Hybrid Fund (Formerly Known as Sundaram Debt Oriented Hybrid Fund) Regular Plan - Income Distribution cum Capital Withdrawal (IDCW)</v>
          </cell>
          <cell r="E8601">
            <v>13.475199999999999</v>
          </cell>
        </row>
        <row r="8602">
          <cell r="B8602" t="str">
            <v>INF903J01HD6</v>
          </cell>
          <cell r="C8602" t="str">
            <v>INF903J01HG9</v>
          </cell>
          <cell r="D8602" t="str">
            <v>Sundaram Conservative Hybrid Fund (Formerly Known as Sundaram Debt Oriented Hybrid Fund) Regular Plan -Income Distribution cum Capital Withdrawal (IDCW)</v>
          </cell>
          <cell r="E8602">
            <v>18.366599999999998</v>
          </cell>
        </row>
        <row r="8603">
          <cell r="B8603" t="str">
            <v>INF903J01HE4</v>
          </cell>
          <cell r="C8603" t="str">
            <v>INF903J01HH7</v>
          </cell>
          <cell r="D8603" t="str">
            <v>Sundaram Conservative Hybrid Fund (Formerly Known as Sundaram Debt Oriented Hybrid Fund) Regular Plan- Income Distribution cum Capital Withdrawal (IDCW)</v>
          </cell>
          <cell r="E8603">
            <v>19.2742</v>
          </cell>
        </row>
        <row r="8604">
          <cell r="B8604" t="str">
            <v/>
          </cell>
          <cell r="C8604" t="str">
            <v/>
          </cell>
          <cell r="D8604" t="str">
            <v/>
          </cell>
        </row>
        <row r="8605">
          <cell r="B8605" t="str">
            <v/>
          </cell>
          <cell r="C8605" t="str">
            <v/>
          </cell>
          <cell r="D8605" t="str">
            <v/>
          </cell>
        </row>
        <row r="8606">
          <cell r="B8606" t="str">
            <v/>
          </cell>
          <cell r="C8606" t="str">
            <v/>
          </cell>
          <cell r="D8606" t="str">
            <v/>
          </cell>
        </row>
        <row r="8607">
          <cell r="B8607" t="str">
            <v>INF789F1AQP1</v>
          </cell>
          <cell r="C8607" t="str">
            <v>-</v>
          </cell>
          <cell r="D8607" t="str">
            <v>UTI - Regular Saving Fund (Segregated - 17022020) - Direct Plan - Growth Option</v>
          </cell>
          <cell r="E8607">
            <v>4.08</v>
          </cell>
        </row>
        <row r="8608">
          <cell r="B8608" t="str">
            <v>INF789F1AQM8</v>
          </cell>
          <cell r="C8608" t="str">
            <v>-</v>
          </cell>
          <cell r="D8608" t="str">
            <v>UTI - Regular Saving Fund (Segregated - 17022020) - Direct Plan - Monthly Payment Option</v>
          </cell>
          <cell r="E8608">
            <v>4.0130999999999997</v>
          </cell>
        </row>
        <row r="8609">
          <cell r="B8609" t="str">
            <v>INF789F1AQJ4</v>
          </cell>
          <cell r="C8609" t="str">
            <v>-</v>
          </cell>
          <cell r="D8609" t="str">
            <v>UTI - Regular Saving Fund (Segregated - 17022020) - Regular Plan - Growth Option</v>
          </cell>
          <cell r="E8609">
            <v>3.8395999999999999</v>
          </cell>
        </row>
        <row r="8610">
          <cell r="B8610" t="str">
            <v>INF789F1AQG0</v>
          </cell>
          <cell r="C8610" t="str">
            <v>-</v>
          </cell>
          <cell r="D8610" t="str">
            <v>UTI - Regular Saving Fund (Segregated - 17022020) - Regular Plan - Monthly Payment Option</v>
          </cell>
          <cell r="E8610">
            <v>3.8416000000000001</v>
          </cell>
        </row>
        <row r="8611">
          <cell r="B8611" t="str">
            <v>INF789F1AQQ9</v>
          </cell>
          <cell r="C8611" t="str">
            <v>INF789F1AQR7</v>
          </cell>
          <cell r="D8611" t="str">
            <v>UTI Regular Saving Fund ( Segregated - 17022020) - Direct Plan - Flexi IDCW</v>
          </cell>
          <cell r="E8611">
            <v>3.4135</v>
          </cell>
        </row>
        <row r="8612">
          <cell r="B8612" t="str">
            <v>INF789F1AQN6</v>
          </cell>
          <cell r="C8612" t="str">
            <v>INF789F1AQO4</v>
          </cell>
          <cell r="D8612" t="str">
            <v>UTI Regular Saving Fund ( Segregated - 17022020) - Direct Plan - Monthly IDCW</v>
          </cell>
          <cell r="E8612">
            <v>1.4527000000000001</v>
          </cell>
        </row>
        <row r="8613">
          <cell r="B8613" t="str">
            <v>INF789F1AQK2</v>
          </cell>
          <cell r="C8613" t="str">
            <v>INF789F1AQL0</v>
          </cell>
          <cell r="D8613" t="str">
            <v>UTI Regular Saving Fund ( Segregated - 17022020) - Regular Plan - Flexi IDCW</v>
          </cell>
          <cell r="E8613">
            <v>3.1928000000000001</v>
          </cell>
        </row>
        <row r="8614">
          <cell r="B8614" t="str">
            <v>INF789F1AQH8</v>
          </cell>
          <cell r="C8614" t="str">
            <v>INF789F1AQI6</v>
          </cell>
          <cell r="D8614" t="str">
            <v>UTI Regular Saving Fund ( Segregated - 17022020) - Regular Plan - Monthly IDCW</v>
          </cell>
          <cell r="E8614">
            <v>1.3512</v>
          </cell>
        </row>
        <row r="8615">
          <cell r="B8615" t="str">
            <v>INF789F01927</v>
          </cell>
          <cell r="C8615" t="str">
            <v>-</v>
          </cell>
          <cell r="D8615" t="str">
            <v>UTI Conservative Hybrd Fund - Regular Plan - Monthly Payment Option</v>
          </cell>
          <cell r="E8615">
            <v>70.828400000000002</v>
          </cell>
        </row>
        <row r="8616">
          <cell r="B8616" t="str">
            <v>INF789F01UH1</v>
          </cell>
          <cell r="C8616" t="str">
            <v>INF789F01UI9</v>
          </cell>
          <cell r="D8616" t="str">
            <v>UTI Conservative Hybrid Fund - Direct Plan - Flexi IDCW</v>
          </cell>
          <cell r="E8616">
            <v>50.068199999999997</v>
          </cell>
        </row>
        <row r="8617">
          <cell r="B8617" t="str">
            <v>INF789F01UJ7</v>
          </cell>
          <cell r="C8617" t="str">
            <v>-</v>
          </cell>
          <cell r="D8617" t="str">
            <v>UTI Conservative Hybrid Fund - Direct Plan - Growth Option</v>
          </cell>
          <cell r="E8617">
            <v>77.073999999999998</v>
          </cell>
        </row>
        <row r="8618">
          <cell r="B8618" t="str">
            <v>INF789F01UK5</v>
          </cell>
          <cell r="C8618" t="str">
            <v>INF789F01UL3</v>
          </cell>
          <cell r="D8618" t="str">
            <v>UTI Conservative Hybrid Fund - Direct Plan - Monthly IDCW</v>
          </cell>
          <cell r="E8618">
            <v>19.3019</v>
          </cell>
        </row>
        <row r="8619">
          <cell r="B8619" t="str">
            <v>INF789F01UM1</v>
          </cell>
          <cell r="C8619" t="str">
            <v>-</v>
          </cell>
          <cell r="D8619" t="str">
            <v>UTI Conservative Hybrid Fund - Direct Plan - Monthly Payment Option</v>
          </cell>
          <cell r="E8619">
            <v>75.817899999999995</v>
          </cell>
        </row>
        <row r="8620">
          <cell r="B8620" t="str">
            <v>INF789F01877</v>
          </cell>
          <cell r="C8620" t="str">
            <v>INF789F01885</v>
          </cell>
          <cell r="D8620" t="str">
            <v>UTI Conservative Hybrid Fund - Regular Plan - Flexi IDCW</v>
          </cell>
          <cell r="E8620">
            <v>44.777500000000003</v>
          </cell>
        </row>
        <row r="8621">
          <cell r="B8621" t="str">
            <v>INF789F01893</v>
          </cell>
          <cell r="C8621" t="str">
            <v>-</v>
          </cell>
          <cell r="D8621" t="str">
            <v>UTI Conservative Hybrid Fund - Regular Plan - Growth Option</v>
          </cell>
          <cell r="E8621">
            <v>70.792199999999994</v>
          </cell>
        </row>
        <row r="8622">
          <cell r="B8622" t="str">
            <v>INF789F01901</v>
          </cell>
          <cell r="C8622" t="str">
            <v>INF789F01919</v>
          </cell>
          <cell r="D8622" t="str">
            <v>UTI Conservative Hybrid Fund - Regular Plan - Monthly IDCW</v>
          </cell>
          <cell r="E8622">
            <v>16.942299999999999</v>
          </cell>
        </row>
        <row r="8623">
          <cell r="B8623" t="str">
            <v/>
          </cell>
          <cell r="C8623" t="str">
            <v/>
          </cell>
          <cell r="D8623" t="str">
            <v/>
          </cell>
        </row>
        <row r="8624">
          <cell r="B8624" t="str">
            <v/>
          </cell>
          <cell r="C8624" t="str">
            <v/>
          </cell>
          <cell r="D8624" t="str">
            <v/>
          </cell>
        </row>
        <row r="8625">
          <cell r="B8625" t="str">
            <v/>
          </cell>
          <cell r="C8625" t="str">
            <v/>
          </cell>
          <cell r="D8625" t="str">
            <v/>
          </cell>
        </row>
        <row r="8626">
          <cell r="B8626" t="str">
            <v/>
          </cell>
          <cell r="C8626" t="str">
            <v/>
          </cell>
          <cell r="D8626" t="str">
            <v/>
          </cell>
        </row>
        <row r="8627">
          <cell r="B8627" t="str">
            <v/>
          </cell>
          <cell r="C8627" t="str">
            <v/>
          </cell>
          <cell r="D8627" t="str">
            <v/>
          </cell>
        </row>
        <row r="8628">
          <cell r="B8628" t="str">
            <v>INF084M01DJ5</v>
          </cell>
          <cell r="C8628" t="str">
            <v>-</v>
          </cell>
          <cell r="D8628" t="str">
            <v>Aditya Birla Sun Life Balanced Advantage Fund - Direct Plan - Growth Option</v>
          </cell>
          <cell r="E8628">
            <v>128.78</v>
          </cell>
        </row>
        <row r="8629">
          <cell r="B8629" t="str">
            <v>INF084M01AB8</v>
          </cell>
          <cell r="C8629" t="str">
            <v>-</v>
          </cell>
          <cell r="D8629" t="str">
            <v>Aditya Birla Sun Life Balanced Advantage Fund - Regular Plan - Growth Option</v>
          </cell>
          <cell r="E8629">
            <v>112.2</v>
          </cell>
        </row>
        <row r="8630">
          <cell r="B8630" t="str">
            <v>INF084M01DK3</v>
          </cell>
          <cell r="C8630" t="str">
            <v>INF084M01DL1</v>
          </cell>
          <cell r="D8630" t="str">
            <v>Aditya Birla Sun Life Balanced Advantage Fund -DIRECT - IDCW</v>
          </cell>
          <cell r="E8630">
            <v>30.34</v>
          </cell>
        </row>
        <row r="8631">
          <cell r="B8631" t="str">
            <v>INF084M01AC6</v>
          </cell>
          <cell r="C8631" t="str">
            <v>INF084M01AD4</v>
          </cell>
          <cell r="D8631" t="str">
            <v>Aditya Birla Sun Life Balanced Advantage Fund -REGULAR - IDCW</v>
          </cell>
          <cell r="E8631">
            <v>26.39</v>
          </cell>
        </row>
        <row r="8632">
          <cell r="B8632" t="str">
            <v/>
          </cell>
          <cell r="C8632" t="str">
            <v/>
          </cell>
          <cell r="D8632" t="str">
            <v/>
          </cell>
        </row>
        <row r="8633">
          <cell r="B8633" t="str">
            <v/>
          </cell>
          <cell r="C8633" t="str">
            <v/>
          </cell>
          <cell r="D8633" t="str">
            <v/>
          </cell>
        </row>
        <row r="8634">
          <cell r="B8634" t="str">
            <v/>
          </cell>
          <cell r="C8634" t="str">
            <v/>
          </cell>
          <cell r="D8634" t="str">
            <v/>
          </cell>
        </row>
        <row r="8635">
          <cell r="B8635" t="str">
            <v>INF846K01A29</v>
          </cell>
          <cell r="C8635" t="str">
            <v>-</v>
          </cell>
          <cell r="D8635" t="str">
            <v>Axis Balanced Advantage Fund - Direct Plan - Growth</v>
          </cell>
          <cell r="E8635">
            <v>24.11</v>
          </cell>
        </row>
        <row r="8636">
          <cell r="B8636" t="str">
            <v>INF846K01A37</v>
          </cell>
          <cell r="C8636" t="str">
            <v>INF846K01A45</v>
          </cell>
          <cell r="D8636" t="str">
            <v>Axis Balanced Advantage Fund - Direct Plan - IDCW</v>
          </cell>
          <cell r="E8636">
            <v>14.06</v>
          </cell>
        </row>
        <row r="8637">
          <cell r="B8637" t="str">
            <v>INF846K01A52</v>
          </cell>
          <cell r="C8637" t="str">
            <v>-</v>
          </cell>
          <cell r="D8637" t="str">
            <v>Axis Balanced Advantage Fund - Regular Plan - Growth</v>
          </cell>
          <cell r="E8637">
            <v>21.39</v>
          </cell>
        </row>
        <row r="8638">
          <cell r="B8638" t="str">
            <v>INF846K01A60</v>
          </cell>
          <cell r="C8638" t="str">
            <v>INF846K01A78</v>
          </cell>
          <cell r="D8638" t="str">
            <v>Axis Balanced Advantage Fund - Regular Plan - IDCW</v>
          </cell>
          <cell r="E8638">
            <v>12.88</v>
          </cell>
        </row>
        <row r="8639">
          <cell r="B8639" t="str">
            <v/>
          </cell>
          <cell r="C8639" t="str">
            <v/>
          </cell>
          <cell r="D8639" t="str">
            <v/>
          </cell>
        </row>
        <row r="8640">
          <cell r="B8640" t="str">
            <v/>
          </cell>
          <cell r="C8640" t="str">
            <v/>
          </cell>
          <cell r="D8640" t="str">
            <v/>
          </cell>
        </row>
        <row r="8641">
          <cell r="B8641" t="str">
            <v/>
          </cell>
          <cell r="C8641" t="str">
            <v/>
          </cell>
          <cell r="D8641" t="str">
            <v/>
          </cell>
        </row>
        <row r="8642">
          <cell r="B8642" t="str">
            <v>INF0QA701656</v>
          </cell>
          <cell r="C8642" t="str">
            <v>-</v>
          </cell>
          <cell r="D8642" t="str">
            <v>Bajaj Finserv Balanced Advantage Fund-Direct Plan-Growth</v>
          </cell>
          <cell r="E8642">
            <v>12.086</v>
          </cell>
        </row>
        <row r="8643">
          <cell r="B8643" t="str">
            <v>INF0QA701664</v>
          </cell>
          <cell r="C8643" t="str">
            <v>INF0QA701672</v>
          </cell>
          <cell r="D8643" t="str">
            <v>Bajaj Finserv Balanced Advantage Fund-Direct Plan-IDCW</v>
          </cell>
          <cell r="E8643">
            <v>12.086</v>
          </cell>
        </row>
        <row r="8644">
          <cell r="B8644" t="str">
            <v>INF0QA701680</v>
          </cell>
          <cell r="C8644" t="str">
            <v>-</v>
          </cell>
          <cell r="D8644" t="str">
            <v>Bajaj Finserv Balanced Advantage Fund-Regular Plan-Growth</v>
          </cell>
          <cell r="E8644">
            <v>11.61</v>
          </cell>
        </row>
        <row r="8645">
          <cell r="B8645" t="str">
            <v>INF0QA701698</v>
          </cell>
          <cell r="C8645" t="str">
            <v>INF0QA701706</v>
          </cell>
          <cell r="D8645" t="str">
            <v>Bajaj Finserv Balanced Advantage Fund-Regular Plan-IDCW</v>
          </cell>
          <cell r="E8645">
            <v>11.61</v>
          </cell>
        </row>
        <row r="8646">
          <cell r="B8646" t="str">
            <v/>
          </cell>
          <cell r="C8646" t="str">
            <v/>
          </cell>
          <cell r="D8646" t="str">
            <v/>
          </cell>
        </row>
        <row r="8647">
          <cell r="B8647" t="str">
            <v/>
          </cell>
          <cell r="C8647" t="str">
            <v/>
          </cell>
          <cell r="D8647" t="str">
            <v/>
          </cell>
        </row>
        <row r="8648">
          <cell r="B8648" t="str">
            <v/>
          </cell>
          <cell r="C8648" t="str">
            <v/>
          </cell>
          <cell r="D8648" t="str">
            <v/>
          </cell>
        </row>
        <row r="8649">
          <cell r="B8649" t="str">
            <v>INF194KA1UH1</v>
          </cell>
          <cell r="C8649" t="str">
            <v>-</v>
          </cell>
          <cell r="D8649" t="str">
            <v>BANDHAN Balanced Advantage Fund Direct Plan Growth</v>
          </cell>
          <cell r="E8649">
            <v>29.344000000000001</v>
          </cell>
        </row>
        <row r="8650">
          <cell r="B8650" t="str">
            <v>INF194KA1UI9</v>
          </cell>
          <cell r="C8650" t="str">
            <v>INF194KA1UJ7</v>
          </cell>
          <cell r="D8650" t="str">
            <v>BANDHAN Balanced Advantage Fund Direct Plan IDCW</v>
          </cell>
          <cell r="E8650">
            <v>16.259</v>
          </cell>
        </row>
        <row r="8651">
          <cell r="B8651" t="str">
            <v>INF194KA1UE8</v>
          </cell>
          <cell r="C8651" t="str">
            <v>-</v>
          </cell>
          <cell r="D8651" t="str">
            <v>BANDHAN Balanced Advantage Fund Regular Plan Growth</v>
          </cell>
          <cell r="E8651">
            <v>25.056000000000001</v>
          </cell>
        </row>
        <row r="8652">
          <cell r="B8652" t="str">
            <v>INF194KA1UF5</v>
          </cell>
          <cell r="C8652" t="str">
            <v>INF194KA1UG3</v>
          </cell>
          <cell r="D8652" t="str">
            <v>BANDHAN Balanced Advantage Fund Regular Plan IDCW</v>
          </cell>
          <cell r="E8652">
            <v>13.972</v>
          </cell>
        </row>
        <row r="8653">
          <cell r="B8653" t="str">
            <v/>
          </cell>
          <cell r="C8653" t="str">
            <v/>
          </cell>
          <cell r="D8653" t="str">
            <v/>
          </cell>
        </row>
        <row r="8654">
          <cell r="B8654" t="str">
            <v/>
          </cell>
          <cell r="C8654" t="str">
            <v/>
          </cell>
          <cell r="D8654" t="str">
            <v/>
          </cell>
        </row>
        <row r="8655">
          <cell r="B8655" t="str">
            <v/>
          </cell>
          <cell r="C8655" t="str">
            <v/>
          </cell>
          <cell r="D8655" t="str">
            <v/>
          </cell>
        </row>
        <row r="8656">
          <cell r="B8656" t="str">
            <v>INF761K01BM0</v>
          </cell>
          <cell r="C8656" t="str">
            <v>INF761K01BN8</v>
          </cell>
          <cell r="D8656" t="str">
            <v>BANK OF INDIA BALANCED ADVANTAGE FUND  DIRECT PLAN IDCW</v>
          </cell>
          <cell r="E8656">
            <v>17.1844</v>
          </cell>
        </row>
        <row r="8657">
          <cell r="B8657" t="str">
            <v>INF761K01BP3</v>
          </cell>
          <cell r="C8657" t="str">
            <v>INF761K01BQ1</v>
          </cell>
          <cell r="D8657" t="str">
            <v>BANK OF INDIA BALANCED ADVANTAGE FUND  REGULAR PLAN IDCW</v>
          </cell>
          <cell r="E8657">
            <v>18.174399999999999</v>
          </cell>
        </row>
        <row r="8658">
          <cell r="B8658" t="str">
            <v>INF761K01BO6</v>
          </cell>
          <cell r="C8658" t="str">
            <v>-</v>
          </cell>
          <cell r="D8658" t="str">
            <v>BANK OF INDIA BALANCED ADVANTAGE FUND DIRECT PLAN  GROWTH</v>
          </cell>
          <cell r="E8658">
            <v>28.480599999999999</v>
          </cell>
        </row>
        <row r="8659">
          <cell r="B8659" t="str">
            <v>INF761K01BR9</v>
          </cell>
          <cell r="C8659" t="str">
            <v>-</v>
          </cell>
          <cell r="D8659" t="str">
            <v>BANK OF INDIA BALANCED ADVANTAGE FUND REGULAR PLAN  GROWTH</v>
          </cell>
          <cell r="E8659">
            <v>26.049499999999998</v>
          </cell>
        </row>
        <row r="8660">
          <cell r="B8660" t="str">
            <v/>
          </cell>
          <cell r="C8660" t="str">
            <v/>
          </cell>
          <cell r="D8660" t="str">
            <v/>
          </cell>
        </row>
        <row r="8661">
          <cell r="B8661" t="str">
            <v/>
          </cell>
          <cell r="C8661" t="str">
            <v/>
          </cell>
          <cell r="D8661" t="str">
            <v/>
          </cell>
        </row>
        <row r="8662">
          <cell r="B8662" t="str">
            <v/>
          </cell>
          <cell r="C8662" t="str">
            <v/>
          </cell>
          <cell r="D8662" t="str">
            <v/>
          </cell>
        </row>
        <row r="8663">
          <cell r="B8663" t="str">
            <v>INF955L01HF7</v>
          </cell>
          <cell r="C8663" t="str">
            <v>-</v>
          </cell>
          <cell r="D8663" t="str">
            <v>Baroda BNP Paribas Balanced Advantage Fund-Direct Plan-Growth Option</v>
          </cell>
          <cell r="E8663">
            <v>28.399799999999999</v>
          </cell>
        </row>
        <row r="8664">
          <cell r="B8664" t="str">
            <v>INF955L01HG5</v>
          </cell>
          <cell r="C8664" t="str">
            <v>INF955L01HH3</v>
          </cell>
          <cell r="D8664" t="str">
            <v>Baroda BNP Paribas Balanced Advantage Fund-Direct Plan-IDCW Option</v>
          </cell>
          <cell r="E8664">
            <v>17.795400000000001</v>
          </cell>
        </row>
        <row r="8665">
          <cell r="B8665" t="str">
            <v>INF955L01HC4</v>
          </cell>
          <cell r="C8665" t="str">
            <v>-</v>
          </cell>
          <cell r="D8665" t="str">
            <v>Baroda BNP Paribas Balanced Advantage Fund-Regular Plan -Growth Option</v>
          </cell>
          <cell r="E8665">
            <v>25.694400000000002</v>
          </cell>
        </row>
        <row r="8666">
          <cell r="B8666" t="str">
            <v>INF955L01HD2</v>
          </cell>
          <cell r="C8666" t="str">
            <v>INF955L01HE0</v>
          </cell>
          <cell r="D8666" t="str">
            <v>Baroda BNP Paribas Balanced Advantage Fund-Regular Plan-IDCW Option</v>
          </cell>
          <cell r="E8666">
            <v>16.065899999999999</v>
          </cell>
        </row>
        <row r="8667">
          <cell r="B8667" t="str">
            <v/>
          </cell>
          <cell r="C8667" t="str">
            <v/>
          </cell>
          <cell r="D8667" t="str">
            <v/>
          </cell>
        </row>
        <row r="8668">
          <cell r="B8668" t="str">
            <v/>
          </cell>
          <cell r="C8668" t="str">
            <v/>
          </cell>
          <cell r="D8668" t="str">
            <v/>
          </cell>
        </row>
        <row r="8669">
          <cell r="B8669" t="str">
            <v/>
          </cell>
          <cell r="C8669" t="str">
            <v/>
          </cell>
          <cell r="D8669" t="str">
            <v/>
          </cell>
        </row>
        <row r="8670">
          <cell r="B8670" t="str">
            <v>INF760K01LD0</v>
          </cell>
          <cell r="C8670" t="str">
            <v>-</v>
          </cell>
          <cell r="D8670" t="str">
            <v>Canara Robeco Balanced Advantage Fund - Direct Plan - Growth Option</v>
          </cell>
          <cell r="E8670">
            <v>10.45</v>
          </cell>
        </row>
        <row r="8671">
          <cell r="B8671" t="str">
            <v>INF760K01LE8</v>
          </cell>
          <cell r="C8671" t="str">
            <v>INF760K01LF5</v>
          </cell>
          <cell r="D8671" t="str">
            <v>Canara Robeco Balanced Advantage Fund - Direct Plan - IDCW Option</v>
          </cell>
          <cell r="E8671">
            <v>10.35</v>
          </cell>
        </row>
        <row r="8672">
          <cell r="B8672" t="str">
            <v>INF760K01LA6</v>
          </cell>
          <cell r="C8672" t="str">
            <v>-</v>
          </cell>
          <cell r="D8672" t="str">
            <v>Canara Robeco Balanced Advantage Fund - Regular Plan - Growth Option</v>
          </cell>
          <cell r="E8672">
            <v>10.16</v>
          </cell>
        </row>
        <row r="8673">
          <cell r="B8673" t="str">
            <v>INF760K01LB4</v>
          </cell>
          <cell r="C8673" t="str">
            <v>INF760K01LC2</v>
          </cell>
          <cell r="D8673" t="str">
            <v>Canara Robeco Balanced Advantage Fund - Regular Plan - IDCW Option</v>
          </cell>
          <cell r="E8673">
            <v>10.06</v>
          </cell>
        </row>
        <row r="8674">
          <cell r="B8674" t="str">
            <v/>
          </cell>
          <cell r="C8674" t="str">
            <v/>
          </cell>
          <cell r="D8674" t="str">
            <v/>
          </cell>
        </row>
        <row r="8675">
          <cell r="B8675" t="str">
            <v/>
          </cell>
          <cell r="C8675" t="str">
            <v/>
          </cell>
          <cell r="D8675" t="str">
            <v/>
          </cell>
        </row>
        <row r="8676">
          <cell r="B8676" t="str">
            <v/>
          </cell>
          <cell r="C8676" t="str">
            <v/>
          </cell>
          <cell r="D8676" t="str">
            <v/>
          </cell>
        </row>
        <row r="8677">
          <cell r="B8677" t="str">
            <v>INF740K01K81</v>
          </cell>
          <cell r="C8677" t="str">
            <v>-</v>
          </cell>
          <cell r="D8677" t="str">
            <v>DSP Dynamic Asset Allocation Fund - Direct Plan - Growth</v>
          </cell>
          <cell r="E8677">
            <v>33.204999999999998</v>
          </cell>
        </row>
        <row r="8678">
          <cell r="B8678" t="str">
            <v>INF740K01K99</v>
          </cell>
          <cell r="C8678" t="str">
            <v>INF740K01L07</v>
          </cell>
          <cell r="D8678" t="str">
            <v>DSP Dynamic Asset Allocation Fund - Direct Plan - IDCW - Monthly</v>
          </cell>
          <cell r="E8678">
            <v>16.850000000000001</v>
          </cell>
        </row>
        <row r="8679">
          <cell r="B8679" t="str">
            <v>INF740K01K57</v>
          </cell>
          <cell r="C8679" t="str">
            <v>-</v>
          </cell>
          <cell r="D8679" t="str">
            <v>DSP Dynamic Asset Allocation Fund - Regular Plan - Growth</v>
          </cell>
          <cell r="E8679">
            <v>28.622</v>
          </cell>
        </row>
        <row r="8680">
          <cell r="B8680" t="str">
            <v>INF740K01K65</v>
          </cell>
          <cell r="C8680" t="str">
            <v>INF740K01K73</v>
          </cell>
          <cell r="D8680" t="str">
            <v>DSP Dynamic Asset Allocation Fund - Regular Plan - IDCW - Monthly</v>
          </cell>
          <cell r="E8680">
            <v>14.074</v>
          </cell>
        </row>
        <row r="8681">
          <cell r="B8681" t="str">
            <v/>
          </cell>
          <cell r="C8681" t="str">
            <v/>
          </cell>
          <cell r="D8681" t="str">
            <v/>
          </cell>
        </row>
        <row r="8682">
          <cell r="B8682" t="str">
            <v/>
          </cell>
          <cell r="C8682" t="str">
            <v/>
          </cell>
          <cell r="D8682" t="str">
            <v/>
          </cell>
        </row>
        <row r="8683">
          <cell r="B8683" t="str">
            <v/>
          </cell>
          <cell r="C8683" t="str">
            <v/>
          </cell>
          <cell r="D8683" t="str">
            <v/>
          </cell>
        </row>
        <row r="8684">
          <cell r="B8684" t="str">
            <v>INF754K01IH0</v>
          </cell>
          <cell r="C8684" t="str">
            <v>INF754K01II8</v>
          </cell>
          <cell r="D8684" t="str">
            <v>Edelweiss Balanced Advantage Fund - Direct Plan - Monthly - IDCW Option</v>
          </cell>
          <cell r="E8684">
            <v>26.11</v>
          </cell>
        </row>
        <row r="8685">
          <cell r="B8685" t="str">
            <v>INF754K01BP8</v>
          </cell>
          <cell r="C8685" t="str">
            <v>INF754K01BQ6</v>
          </cell>
          <cell r="D8685" t="str">
            <v>Edelweiss Balanced Advantage Fund - Direct Plan - Quarterly - IDCW Option</v>
          </cell>
          <cell r="E8685">
            <v>28.97</v>
          </cell>
        </row>
        <row r="8686">
          <cell r="B8686" t="str">
            <v>INF754K01285</v>
          </cell>
          <cell r="C8686" t="str">
            <v>-</v>
          </cell>
          <cell r="D8686" t="str">
            <v>Edelweiss Balanced Advantage Fund - Regular Plan - Growth Option</v>
          </cell>
          <cell r="E8686">
            <v>52.47</v>
          </cell>
        </row>
        <row r="8687">
          <cell r="B8687" t="str">
            <v>INF754K01IK4</v>
          </cell>
          <cell r="C8687" t="str">
            <v>INF754K01IL2</v>
          </cell>
          <cell r="D8687" t="str">
            <v>Edelweiss Balanced Advantage Fund - Regular Plan - Monthly - IDCW Option</v>
          </cell>
          <cell r="E8687">
            <v>20.56</v>
          </cell>
        </row>
        <row r="8688">
          <cell r="B8688" t="str">
            <v>INF754K01251</v>
          </cell>
          <cell r="C8688" t="str">
            <v>INF754K01269</v>
          </cell>
          <cell r="D8688" t="str">
            <v>Edelweiss Balanced Advantage Fund - Regular Plan - Quarterly - IDCW Option</v>
          </cell>
          <cell r="E8688">
            <v>21.08</v>
          </cell>
        </row>
        <row r="8689">
          <cell r="B8689" t="str">
            <v>INF754K01BS2</v>
          </cell>
          <cell r="C8689" t="str">
            <v>-</v>
          </cell>
          <cell r="D8689" t="str">
            <v>Edelweiss Balanced Advantage Fund -Direct Plan-Growth Option</v>
          </cell>
          <cell r="E8689">
            <v>60.36</v>
          </cell>
        </row>
        <row r="8690">
          <cell r="B8690" t="str">
            <v/>
          </cell>
          <cell r="C8690" t="str">
            <v/>
          </cell>
          <cell r="D8690" t="str">
            <v/>
          </cell>
        </row>
        <row r="8691">
          <cell r="B8691" t="str">
            <v/>
          </cell>
          <cell r="C8691" t="str">
            <v/>
          </cell>
          <cell r="D8691" t="str">
            <v/>
          </cell>
        </row>
        <row r="8692">
          <cell r="B8692" t="str">
            <v/>
          </cell>
          <cell r="C8692" t="str">
            <v/>
          </cell>
          <cell r="D8692" t="str">
            <v/>
          </cell>
        </row>
        <row r="8693">
          <cell r="B8693" t="str">
            <v>INF090I01WN2</v>
          </cell>
          <cell r="C8693" t="str">
            <v>-</v>
          </cell>
          <cell r="D8693" t="str">
            <v>Franklin India Balanced Advantage Fund- Growth</v>
          </cell>
          <cell r="E8693">
            <v>14.357699999999999</v>
          </cell>
        </row>
        <row r="8694">
          <cell r="B8694" t="str">
            <v>INF090I01WQ5</v>
          </cell>
          <cell r="C8694" t="str">
            <v>-</v>
          </cell>
          <cell r="D8694" t="str">
            <v>Franklin India Balanced Advantage Fund- Growth- Direct</v>
          </cell>
          <cell r="E8694">
            <v>15.2826</v>
          </cell>
        </row>
        <row r="8695">
          <cell r="B8695" t="str">
            <v>INF090I01WO0</v>
          </cell>
          <cell r="C8695" t="str">
            <v>INF090I01WP7</v>
          </cell>
          <cell r="D8695" t="str">
            <v>Franklin India Balanced Advantage Fund- IDCW</v>
          </cell>
          <cell r="E8695">
            <v>13.353300000000001</v>
          </cell>
        </row>
        <row r="8696">
          <cell r="B8696" t="str">
            <v>INF090I01WR3</v>
          </cell>
          <cell r="C8696" t="str">
            <v>INF090I01WS1</v>
          </cell>
          <cell r="D8696" t="str">
            <v>Franklin India Balanced Advantage Fund- IDCW- Direct</v>
          </cell>
          <cell r="E8696">
            <v>13.6418</v>
          </cell>
        </row>
        <row r="8697">
          <cell r="B8697" t="str">
            <v/>
          </cell>
          <cell r="C8697" t="str">
            <v/>
          </cell>
          <cell r="D8697" t="str">
            <v/>
          </cell>
        </row>
        <row r="8698">
          <cell r="B8698" t="str">
            <v/>
          </cell>
          <cell r="C8698" t="str">
            <v/>
          </cell>
          <cell r="D8698" t="str">
            <v/>
          </cell>
        </row>
        <row r="8699">
          <cell r="B8699" t="str">
            <v/>
          </cell>
          <cell r="C8699" t="str">
            <v/>
          </cell>
          <cell r="D8699" t="str">
            <v/>
          </cell>
        </row>
        <row r="8700">
          <cell r="B8700" t="str">
            <v>INF179K01830</v>
          </cell>
          <cell r="C8700" t="str">
            <v>-</v>
          </cell>
          <cell r="D8700" t="str">
            <v>HDFC Balanced Advantage Fund - Growth Plan</v>
          </cell>
          <cell r="E8700">
            <v>519.89</v>
          </cell>
        </row>
        <row r="8701">
          <cell r="B8701" t="str">
            <v>INF179K01WA6</v>
          </cell>
          <cell r="C8701" t="str">
            <v>-</v>
          </cell>
          <cell r="D8701" t="str">
            <v>HDFC Balanced Advantage Fund - Growth Plan - Direct Plan</v>
          </cell>
          <cell r="E8701">
            <v>565.19500000000005</v>
          </cell>
        </row>
        <row r="8702">
          <cell r="B8702" t="str">
            <v>INF179K01814</v>
          </cell>
          <cell r="C8702" t="str">
            <v>INF179K01822</v>
          </cell>
          <cell r="D8702" t="str">
            <v>HDFC Balanced Advantage Fund - IDCW Plan</v>
          </cell>
          <cell r="E8702">
            <v>36.305999999999997</v>
          </cell>
        </row>
        <row r="8703">
          <cell r="B8703" t="str">
            <v>INF179K01VY8</v>
          </cell>
          <cell r="C8703" t="str">
            <v>INF179K01VZ5</v>
          </cell>
          <cell r="D8703" t="str">
            <v>HDFC Balanced Advantage Fund - IDCW Plan - Direct Plan</v>
          </cell>
          <cell r="E8703">
            <v>43.143000000000001</v>
          </cell>
        </row>
        <row r="8704">
          <cell r="B8704" t="str">
            <v/>
          </cell>
          <cell r="C8704" t="str">
            <v/>
          </cell>
          <cell r="D8704" t="str">
            <v/>
          </cell>
        </row>
        <row r="8705">
          <cell r="B8705" t="str">
            <v/>
          </cell>
          <cell r="C8705" t="str">
            <v/>
          </cell>
          <cell r="D8705" t="str">
            <v/>
          </cell>
        </row>
        <row r="8706">
          <cell r="B8706" t="str">
            <v/>
          </cell>
          <cell r="C8706" t="str">
            <v/>
          </cell>
          <cell r="D8706" t="str">
            <v/>
          </cell>
        </row>
        <row r="8707">
          <cell r="B8707" t="str">
            <v>INF917K01IN1</v>
          </cell>
          <cell r="C8707" t="str">
            <v>-</v>
          </cell>
          <cell r="D8707" t="str">
            <v>HSBC Balanced Advantage Fund - Direct Growth</v>
          </cell>
          <cell r="E8707">
            <v>51.292099999999998</v>
          </cell>
        </row>
        <row r="8708">
          <cell r="B8708" t="str">
            <v>INF917K01IM3</v>
          </cell>
          <cell r="C8708" t="str">
            <v>INF917K01IL5</v>
          </cell>
          <cell r="D8708" t="str">
            <v>HSBC Balanced Advantage Fund - Direct IDCW</v>
          </cell>
          <cell r="E8708">
            <v>21.999700000000001</v>
          </cell>
        </row>
        <row r="8709">
          <cell r="B8709" t="str">
            <v>INF917K01KY4</v>
          </cell>
          <cell r="C8709" t="str">
            <v>-</v>
          </cell>
          <cell r="D8709" t="str">
            <v>HSBC Balanced Advantage Fund - Regular Growth</v>
          </cell>
          <cell r="E8709">
            <v>43.696800000000003</v>
          </cell>
        </row>
        <row r="8710">
          <cell r="B8710" t="str">
            <v>INF917K01KW8</v>
          </cell>
          <cell r="C8710" t="str">
            <v>INF917K01KX6</v>
          </cell>
          <cell r="D8710" t="str">
            <v>HSBC Balanced Advantage Fund - Regular IDCW</v>
          </cell>
          <cell r="E8710">
            <v>18.280100000000001</v>
          </cell>
        </row>
        <row r="8711">
          <cell r="B8711" t="str">
            <v/>
          </cell>
          <cell r="C8711" t="str">
            <v/>
          </cell>
          <cell r="D8711" t="str">
            <v/>
          </cell>
        </row>
        <row r="8712">
          <cell r="B8712" t="str">
            <v/>
          </cell>
          <cell r="C8712" t="str">
            <v/>
          </cell>
          <cell r="D8712" t="str">
            <v/>
          </cell>
        </row>
        <row r="8713">
          <cell r="B8713" t="str">
            <v/>
          </cell>
          <cell r="C8713" t="str">
            <v/>
          </cell>
          <cell r="D8713" t="str">
            <v/>
          </cell>
        </row>
        <row r="8714">
          <cell r="B8714" t="str">
            <v>INF109K012B0</v>
          </cell>
          <cell r="C8714" t="str">
            <v>-</v>
          </cell>
          <cell r="D8714" t="str">
            <v>ICICI Prudential Balanced Advantage Fund - Direct Plan -  Growth</v>
          </cell>
          <cell r="E8714">
            <v>87.31</v>
          </cell>
        </row>
        <row r="8715">
          <cell r="B8715" t="str">
            <v>INF109K010B4</v>
          </cell>
          <cell r="C8715" t="str">
            <v>INF109K011B2</v>
          </cell>
          <cell r="D8715" t="str">
            <v>ICICI Prudential Balanced Advantage Fund - Direct Plan -  IDCW</v>
          </cell>
          <cell r="E8715">
            <v>29.64</v>
          </cell>
        </row>
        <row r="8716">
          <cell r="B8716" t="str">
            <v>INF109K016W7</v>
          </cell>
          <cell r="C8716" t="str">
            <v>INF109K015W9</v>
          </cell>
          <cell r="D8716" t="str">
            <v>ICICI Prudential Balanced Advantage Fund - Direct Plan - Monthly IDCW</v>
          </cell>
          <cell r="E8716">
            <v>27.19</v>
          </cell>
        </row>
        <row r="8717">
          <cell r="B8717" t="str">
            <v>INF109KA1Y50</v>
          </cell>
          <cell r="C8717" t="str">
            <v>INF109KA1Y43</v>
          </cell>
          <cell r="D8717" t="str">
            <v>ICICI Prudential Balanced Advantage Fund - Direct Plan - Quarterly IDCW</v>
          </cell>
          <cell r="E8717">
            <v>18.079999999999998</v>
          </cell>
        </row>
        <row r="8718">
          <cell r="B8718" t="str">
            <v>INF109K01BH2</v>
          </cell>
          <cell r="C8718" t="str">
            <v>-</v>
          </cell>
          <cell r="D8718" t="str">
            <v>ICICI Prudential Balanced Advantage Fund - Growth</v>
          </cell>
          <cell r="E8718">
            <v>77.819999999999993</v>
          </cell>
        </row>
        <row r="8719">
          <cell r="B8719" t="str">
            <v>INF109K01EG8</v>
          </cell>
          <cell r="C8719" t="str">
            <v>INF109K01BG4</v>
          </cell>
          <cell r="D8719" t="str">
            <v>ICICI Prudential Balanced Advantage Fund - IDCW</v>
          </cell>
          <cell r="E8719">
            <v>18.16</v>
          </cell>
        </row>
        <row r="8720">
          <cell r="B8720" t="str">
            <v>INF109K018W3</v>
          </cell>
          <cell r="C8720" t="str">
            <v>INF109K017W5</v>
          </cell>
          <cell r="D8720" t="str">
            <v>ICICI Prudential Balanced Advantage Fund - Monthly IDCW</v>
          </cell>
          <cell r="E8720">
            <v>22.52</v>
          </cell>
        </row>
        <row r="8721">
          <cell r="B8721" t="str">
            <v>INF109KA1Y35</v>
          </cell>
          <cell r="C8721" t="str">
            <v>INF109KA1Y27</v>
          </cell>
          <cell r="D8721" t="str">
            <v>ICICI Prudential Balanced Advantage Fund - Quarterly IDCW</v>
          </cell>
          <cell r="E8721">
            <v>16.38</v>
          </cell>
        </row>
        <row r="8722">
          <cell r="B8722" t="str">
            <v/>
          </cell>
          <cell r="C8722" t="str">
            <v/>
          </cell>
          <cell r="D8722" t="str">
            <v/>
          </cell>
        </row>
        <row r="8723">
          <cell r="B8723" t="str">
            <v/>
          </cell>
          <cell r="C8723" t="str">
            <v/>
          </cell>
          <cell r="D8723" t="str">
            <v/>
          </cell>
        </row>
        <row r="8724">
          <cell r="B8724" t="str">
            <v/>
          </cell>
          <cell r="C8724" t="str">
            <v/>
          </cell>
          <cell r="D8724" t="str">
            <v/>
          </cell>
        </row>
        <row r="8725">
          <cell r="B8725" t="str">
            <v>INF205K01LN5</v>
          </cell>
          <cell r="C8725" t="str">
            <v>-</v>
          </cell>
          <cell r="D8725" t="str">
            <v>Invesco India Balanced Advantage Fund - Direct Plan - Growth</v>
          </cell>
          <cell r="E8725">
            <v>62.6</v>
          </cell>
        </row>
        <row r="8726">
          <cell r="B8726" t="str">
            <v>INF205K01LL9</v>
          </cell>
          <cell r="C8726" t="str">
            <v>INF205K01LM7</v>
          </cell>
          <cell r="D8726" t="str">
            <v>Invesco India Balanced Advantage Fund - Direct Plan - IDCW (Payout / Reinvestment)</v>
          </cell>
          <cell r="E8726">
            <v>21.74</v>
          </cell>
        </row>
        <row r="8727">
          <cell r="B8727" t="str">
            <v>INF205K01213</v>
          </cell>
          <cell r="C8727" t="str">
            <v>-</v>
          </cell>
          <cell r="D8727" t="str">
            <v>Invesco India Balanced Advantage Fund - Regular Plan - Growth</v>
          </cell>
          <cell r="E8727">
            <v>52.13</v>
          </cell>
        </row>
        <row r="8728">
          <cell r="B8728" t="str">
            <v>INF205K01239</v>
          </cell>
          <cell r="C8728" t="str">
            <v>INF205K01221</v>
          </cell>
          <cell r="D8728" t="str">
            <v>Invesco India Balanced Advantage Fund - Regular Plan - IDCW (Payout / Reinvestment)</v>
          </cell>
          <cell r="E8728">
            <v>17.239999999999998</v>
          </cell>
        </row>
        <row r="8729">
          <cell r="B8729" t="str">
            <v/>
          </cell>
          <cell r="C8729" t="str">
            <v/>
          </cell>
          <cell r="D8729" t="str">
            <v/>
          </cell>
        </row>
        <row r="8730">
          <cell r="B8730" t="str">
            <v/>
          </cell>
          <cell r="C8730" t="str">
            <v/>
          </cell>
          <cell r="D8730" t="str">
            <v/>
          </cell>
        </row>
        <row r="8731">
          <cell r="B8731" t="str">
            <v/>
          </cell>
          <cell r="C8731" t="str">
            <v/>
          </cell>
          <cell r="D8731" t="str">
            <v/>
          </cell>
        </row>
        <row r="8732">
          <cell r="B8732" t="str">
            <v>INF00XX01689</v>
          </cell>
          <cell r="C8732" t="str">
            <v>-</v>
          </cell>
          <cell r="D8732" t="str">
            <v>ITI Balanced Advantage Fund - Direct Plan - Growth Option</v>
          </cell>
          <cell r="E8732">
            <v>16.055299999999999</v>
          </cell>
        </row>
        <row r="8733">
          <cell r="B8733" t="str">
            <v>INF00XX01697</v>
          </cell>
          <cell r="C8733" t="str">
            <v>INF00XX01705</v>
          </cell>
          <cell r="D8733" t="str">
            <v>ITI Balanced Advantage Fund - Direct Plan - IDCW Option</v>
          </cell>
          <cell r="E8733">
            <v>13.6882</v>
          </cell>
        </row>
        <row r="8734">
          <cell r="B8734" t="str">
            <v>INF00XX01655</v>
          </cell>
          <cell r="C8734" t="str">
            <v>-</v>
          </cell>
          <cell r="D8734" t="str">
            <v>ITI Balanced Advantage Fund - Regular Plan - Growth Option</v>
          </cell>
          <cell r="E8734">
            <v>14.1424</v>
          </cell>
        </row>
        <row r="8735">
          <cell r="B8735" t="str">
            <v>INF00XX01663</v>
          </cell>
          <cell r="C8735" t="str">
            <v>INF00XX01671</v>
          </cell>
          <cell r="D8735" t="str">
            <v>ITI Balanced Advantage Fund - Regular Plan - IDCW Option</v>
          </cell>
          <cell r="E8735">
            <v>11.839700000000001</v>
          </cell>
        </row>
        <row r="8736">
          <cell r="B8736" t="str">
            <v/>
          </cell>
          <cell r="C8736" t="str">
            <v/>
          </cell>
          <cell r="D8736" t="str">
            <v/>
          </cell>
        </row>
        <row r="8737">
          <cell r="B8737" t="str">
            <v/>
          </cell>
          <cell r="C8737" t="str">
            <v/>
          </cell>
          <cell r="D8737" t="str">
            <v/>
          </cell>
        </row>
        <row r="8738">
          <cell r="B8738" t="str">
            <v/>
          </cell>
          <cell r="C8738" t="str">
            <v/>
          </cell>
          <cell r="D8738" t="str">
            <v/>
          </cell>
        </row>
        <row r="8739">
          <cell r="B8739" t="str">
            <v>INF174KA1210</v>
          </cell>
          <cell r="C8739" t="str">
            <v>-</v>
          </cell>
          <cell r="D8739" t="str">
            <v>Kotak Balanced Advantage Fund  - Direct Plan -Growth Option</v>
          </cell>
          <cell r="E8739">
            <v>23.033999999999999</v>
          </cell>
        </row>
        <row r="8740">
          <cell r="B8740" t="str">
            <v>INF174KA1160</v>
          </cell>
          <cell r="C8740" t="str">
            <v>INF174KA1178</v>
          </cell>
          <cell r="D8740" t="str">
            <v>Kotak Balanced Advantage Fund - Regular Plan - Payout of Income Distribution cum capital withdrawal option Option</v>
          </cell>
          <cell r="E8740">
            <v>20.998999999999999</v>
          </cell>
        </row>
        <row r="8741">
          <cell r="B8741" t="str">
            <v>INF174KA1194</v>
          </cell>
          <cell r="C8741" t="str">
            <v>INF174KA1202</v>
          </cell>
          <cell r="D8741" t="str">
            <v>Kotak Balanced Advantage Fund -Direct Plan  -Payout of Income Distribution cum capital withdrawal option</v>
          </cell>
          <cell r="E8741">
            <v>23.033999999999999</v>
          </cell>
        </row>
        <row r="8742">
          <cell r="B8742" t="str">
            <v>INF174KA1186</v>
          </cell>
          <cell r="C8742" t="str">
            <v>-</v>
          </cell>
          <cell r="D8742" t="str">
            <v>Kotak Balanced Advantage Fund -Regular Plan - Growth Option</v>
          </cell>
          <cell r="E8742">
            <v>20.998999999999999</v>
          </cell>
        </row>
        <row r="8743">
          <cell r="B8743" t="str">
            <v/>
          </cell>
          <cell r="C8743" t="str">
            <v/>
          </cell>
          <cell r="D8743" t="str">
            <v/>
          </cell>
        </row>
        <row r="8744">
          <cell r="B8744" t="str">
            <v/>
          </cell>
          <cell r="C8744" t="str">
            <v/>
          </cell>
          <cell r="D8744" t="str">
            <v/>
          </cell>
        </row>
        <row r="8745">
          <cell r="B8745" t="str">
            <v/>
          </cell>
          <cell r="C8745" t="str">
            <v/>
          </cell>
          <cell r="D8745" t="str">
            <v/>
          </cell>
        </row>
        <row r="8746">
          <cell r="B8746" t="str">
            <v>INF767K01QY0</v>
          </cell>
          <cell r="C8746" t="str">
            <v>-</v>
          </cell>
          <cell r="D8746" t="str">
            <v>LIC MF Balanced Advantage Fund-Direct Plan-Growth</v>
          </cell>
          <cell r="E8746">
            <v>14.6471</v>
          </cell>
        </row>
        <row r="8747">
          <cell r="B8747" t="str">
            <v>INF767K01QZ7</v>
          </cell>
          <cell r="C8747" t="str">
            <v>INF767K01RA8</v>
          </cell>
          <cell r="D8747" t="str">
            <v>LIC MF Balanced Advantage Fund-Direct Plan-IDCW</v>
          </cell>
          <cell r="E8747">
            <v>12.574299999999999</v>
          </cell>
        </row>
        <row r="8748">
          <cell r="B8748" t="str">
            <v>INF767K01QV6</v>
          </cell>
          <cell r="C8748" t="str">
            <v>-</v>
          </cell>
          <cell r="D8748" t="str">
            <v>LIC MF Balanced Advantage Fund-Regular Plan-Growth</v>
          </cell>
          <cell r="E8748">
            <v>13.567600000000001</v>
          </cell>
        </row>
        <row r="8749">
          <cell r="B8749" t="str">
            <v>INF767K01QW4</v>
          </cell>
          <cell r="C8749" t="str">
            <v>INF767K01QX2</v>
          </cell>
          <cell r="D8749" t="str">
            <v>LIC MF Balanced Advantage Fund-Regular Plan-IDCW</v>
          </cell>
          <cell r="E8749">
            <v>11.770799999999999</v>
          </cell>
        </row>
        <row r="8750">
          <cell r="B8750" t="str">
            <v/>
          </cell>
          <cell r="C8750" t="str">
            <v/>
          </cell>
          <cell r="D8750" t="str">
            <v/>
          </cell>
        </row>
        <row r="8751">
          <cell r="B8751" t="str">
            <v/>
          </cell>
          <cell r="C8751" t="str">
            <v/>
          </cell>
          <cell r="D8751" t="str">
            <v/>
          </cell>
        </row>
        <row r="8752">
          <cell r="B8752" t="str">
            <v/>
          </cell>
          <cell r="C8752" t="str">
            <v/>
          </cell>
          <cell r="D8752" t="str">
            <v/>
          </cell>
        </row>
        <row r="8753">
          <cell r="B8753" t="str">
            <v>INF769K01IN6</v>
          </cell>
          <cell r="C8753" t="str">
            <v>-</v>
          </cell>
          <cell r="D8753" t="str">
            <v>Mirae Asset Balanced Advantage Fund Direct Plan- Growth</v>
          </cell>
          <cell r="E8753">
            <v>15.395</v>
          </cell>
        </row>
        <row r="8754">
          <cell r="B8754" t="str">
            <v>INF769K01IM8</v>
          </cell>
          <cell r="C8754" t="str">
            <v>INF769K01IO4</v>
          </cell>
          <cell r="D8754" t="str">
            <v>Mirae Asset Balanced Advantage Fund Direct Plan- IDCW</v>
          </cell>
          <cell r="E8754">
            <v>14.173999999999999</v>
          </cell>
        </row>
        <row r="8755">
          <cell r="B8755" t="str">
            <v>INF769K01IJ4</v>
          </cell>
          <cell r="C8755" t="str">
            <v>INF769K01IL0</v>
          </cell>
          <cell r="D8755" t="str">
            <v>Mirae Asset Balanced Advantage Fund Regular Plan IDCW</v>
          </cell>
          <cell r="E8755">
            <v>13.425000000000001</v>
          </cell>
        </row>
        <row r="8756">
          <cell r="B8756" t="str">
            <v>INF769K01IK2</v>
          </cell>
          <cell r="C8756" t="str">
            <v>-</v>
          </cell>
          <cell r="D8756" t="str">
            <v>Mirae Asset Balanced Advantage Fund Regular Plan- Growth</v>
          </cell>
          <cell r="E8756">
            <v>14.571</v>
          </cell>
        </row>
        <row r="8757">
          <cell r="B8757" t="str">
            <v/>
          </cell>
          <cell r="C8757" t="str">
            <v/>
          </cell>
          <cell r="D8757" t="str">
            <v/>
          </cell>
        </row>
        <row r="8758">
          <cell r="B8758" t="str">
            <v/>
          </cell>
          <cell r="C8758" t="str">
            <v/>
          </cell>
          <cell r="D8758" t="str">
            <v/>
          </cell>
        </row>
        <row r="8759">
          <cell r="B8759" t="str">
            <v/>
          </cell>
          <cell r="C8759" t="str">
            <v/>
          </cell>
          <cell r="D8759" t="str">
            <v/>
          </cell>
        </row>
        <row r="8760">
          <cell r="B8760" t="str">
            <v>INF247L01635</v>
          </cell>
          <cell r="C8760" t="str">
            <v>-</v>
          </cell>
          <cell r="D8760" t="str">
            <v>Motilal Oswal Balanced Advantage Fund  (MOFDYNAMIC) - Direct Plan - Growth Option</v>
          </cell>
          <cell r="E8760">
            <v>21.014800000000001</v>
          </cell>
        </row>
        <row r="8761">
          <cell r="B8761" t="str">
            <v>INF247L01601</v>
          </cell>
          <cell r="C8761" t="str">
            <v>INF247L01627</v>
          </cell>
          <cell r="D8761" t="str">
            <v>Motilal Oswal Balanced Advantage Fund (MOFDYNAMIC) - Regular Plan - Annual Dividend Payout Option</v>
          </cell>
          <cell r="E8761">
            <v>12.5799</v>
          </cell>
        </row>
        <row r="8762">
          <cell r="B8762" t="str">
            <v>INF247L01585</v>
          </cell>
          <cell r="C8762" t="str">
            <v>-</v>
          </cell>
          <cell r="D8762" t="str">
            <v>Motilal Oswal Balanced Advantage Fund (MOFDYNAMIC) - Regular Plan - Growth Option</v>
          </cell>
          <cell r="E8762">
            <v>18.6587</v>
          </cell>
        </row>
        <row r="8763">
          <cell r="B8763" t="str">
            <v>INF247L01650</v>
          </cell>
          <cell r="C8763" t="str">
            <v>INF247L01676</v>
          </cell>
          <cell r="D8763" t="str">
            <v>Motilal Oswal Balanced Advantage Fund Direct - Annual IDCW Payout/Reinvestment</v>
          </cell>
          <cell r="E8763">
            <v>13.4453</v>
          </cell>
        </row>
        <row r="8764">
          <cell r="B8764" t="str">
            <v>INF247L01643</v>
          </cell>
          <cell r="C8764" t="str">
            <v>INF247L01668</v>
          </cell>
          <cell r="D8764" t="str">
            <v>Motilal Oswal Balanced Advantage Fund Direct - Quarterly IDCW Payout/Reinvestment</v>
          </cell>
          <cell r="E8764">
            <v>11.8878</v>
          </cell>
        </row>
        <row r="8765">
          <cell r="B8765" t="str">
            <v>INF247L01593</v>
          </cell>
          <cell r="C8765" t="str">
            <v>INF247L01619</v>
          </cell>
          <cell r="D8765" t="str">
            <v>Motilal Oswal Balanced Advantage Fund Regular - Quarterly IDCW Payout/Reinvestment</v>
          </cell>
          <cell r="E8765">
            <v>10.975300000000001</v>
          </cell>
        </row>
        <row r="8766">
          <cell r="B8766" t="str">
            <v/>
          </cell>
          <cell r="C8766" t="str">
            <v/>
          </cell>
          <cell r="D8766" t="str">
            <v/>
          </cell>
        </row>
        <row r="8767">
          <cell r="B8767" t="str">
            <v/>
          </cell>
          <cell r="C8767" t="str">
            <v/>
          </cell>
          <cell r="D8767" t="str">
            <v/>
          </cell>
        </row>
        <row r="8768">
          <cell r="B8768" t="str">
            <v/>
          </cell>
          <cell r="C8768" t="str">
            <v/>
          </cell>
          <cell r="D8768" t="str">
            <v/>
          </cell>
        </row>
        <row r="8769">
          <cell r="B8769" t="str">
            <v>INF204K01G78</v>
          </cell>
          <cell r="C8769" t="str">
            <v>INF204K01G86</v>
          </cell>
          <cell r="D8769" t="str">
            <v>NIPPON INDIA BALANCED ADVANTAGE FUND - DIRECT Plan - IDCW Option</v>
          </cell>
          <cell r="E8769">
            <v>45.716700000000003</v>
          </cell>
        </row>
        <row r="8770">
          <cell r="B8770" t="str">
            <v>INF204K01G60</v>
          </cell>
          <cell r="C8770" t="str">
            <v>-</v>
          </cell>
          <cell r="D8770" t="str">
            <v>Nippon India Balanced Advantage Fund - Direct Plan Growth Plan - Bonus Option</v>
          </cell>
          <cell r="E8770">
            <v>9.6826000000000008</v>
          </cell>
        </row>
        <row r="8771">
          <cell r="B8771" t="str">
            <v>INF204K01G94</v>
          </cell>
          <cell r="C8771" t="str">
            <v>-</v>
          </cell>
          <cell r="D8771" t="str">
            <v>Nippon India Balanced Advantage Fund - Direct Plan Growth Plan - Growth Option</v>
          </cell>
          <cell r="E8771">
            <v>208.81620000000001</v>
          </cell>
        </row>
        <row r="8772">
          <cell r="B8772" t="str">
            <v>INF204K01570</v>
          </cell>
          <cell r="C8772" t="str">
            <v>INF204K01588</v>
          </cell>
          <cell r="D8772" t="str">
            <v>NIPPON INDIA BALANCED ADVANTAGE FUND - IDCW Option</v>
          </cell>
          <cell r="E8772">
            <v>31.4758</v>
          </cell>
        </row>
        <row r="8773">
          <cell r="B8773" t="str">
            <v>INF204K01596</v>
          </cell>
          <cell r="C8773" t="str">
            <v>-</v>
          </cell>
          <cell r="D8773" t="str">
            <v>Nippon India Balanced Advantage Fund-Growth Plan-Bonus Option</v>
          </cell>
          <cell r="E8773">
            <v>182.2028</v>
          </cell>
        </row>
        <row r="8774">
          <cell r="B8774" t="str">
            <v>INF204K01604</v>
          </cell>
          <cell r="C8774" t="str">
            <v>-</v>
          </cell>
          <cell r="D8774" t="str">
            <v>Nippon India Balanced Advantage Fund-Growth Plan-Growth Option</v>
          </cell>
          <cell r="E8774">
            <v>182.2028</v>
          </cell>
        </row>
        <row r="8775">
          <cell r="B8775" t="str">
            <v/>
          </cell>
          <cell r="C8775" t="str">
            <v/>
          </cell>
          <cell r="D8775" t="str">
            <v/>
          </cell>
        </row>
        <row r="8776">
          <cell r="B8776" t="str">
            <v/>
          </cell>
          <cell r="C8776" t="str">
            <v/>
          </cell>
          <cell r="D8776" t="str">
            <v/>
          </cell>
        </row>
        <row r="8777">
          <cell r="B8777" t="str">
            <v/>
          </cell>
          <cell r="C8777" t="str">
            <v/>
          </cell>
          <cell r="D8777" t="str">
            <v/>
          </cell>
        </row>
        <row r="8778">
          <cell r="B8778" t="str">
            <v>INF0J8L01040</v>
          </cell>
          <cell r="C8778" t="str">
            <v>-</v>
          </cell>
          <cell r="D8778" t="str">
            <v>NJ Balanced Advantage Fund - Direct Plan - Growth Option</v>
          </cell>
          <cell r="E8778">
            <v>14.53</v>
          </cell>
        </row>
        <row r="8779">
          <cell r="B8779" t="str">
            <v>INF0J8L01032</v>
          </cell>
          <cell r="C8779" t="str">
            <v>-</v>
          </cell>
          <cell r="D8779" t="str">
            <v>NJ Balanced Advantage Fund - Direct Plan - IDCW Payout Option</v>
          </cell>
          <cell r="E8779">
            <v>14.53</v>
          </cell>
        </row>
        <row r="8780">
          <cell r="B8780" t="str">
            <v>INF0J8L01024</v>
          </cell>
          <cell r="C8780" t="str">
            <v>-</v>
          </cell>
          <cell r="D8780" t="str">
            <v>NJ Balanced Advantage Fund - Regular Plan - Growth Option</v>
          </cell>
          <cell r="E8780">
            <v>13.66</v>
          </cell>
        </row>
        <row r="8781">
          <cell r="B8781" t="str">
            <v>INF0J8L01016</v>
          </cell>
          <cell r="C8781" t="str">
            <v>-</v>
          </cell>
          <cell r="D8781" t="str">
            <v>NJ Balanced Advantage Fund - Regular Plan - IDCW Payout Option</v>
          </cell>
          <cell r="E8781">
            <v>13.66</v>
          </cell>
        </row>
        <row r="8782">
          <cell r="B8782" t="str">
            <v/>
          </cell>
          <cell r="C8782" t="str">
            <v/>
          </cell>
          <cell r="D8782" t="str">
            <v/>
          </cell>
        </row>
        <row r="8783">
          <cell r="B8783" t="str">
            <v/>
          </cell>
          <cell r="C8783" t="str">
            <v/>
          </cell>
          <cell r="D8783" t="str">
            <v/>
          </cell>
        </row>
        <row r="8784">
          <cell r="B8784" t="str">
            <v/>
          </cell>
          <cell r="C8784" t="str">
            <v/>
          </cell>
          <cell r="D8784" t="str">
            <v/>
          </cell>
        </row>
        <row r="8785">
          <cell r="B8785" t="str">
            <v>INF663L01V49</v>
          </cell>
          <cell r="C8785" t="str">
            <v>-</v>
          </cell>
          <cell r="D8785" t="str">
            <v>PGIM India Balanced Advantage Fund -  Direct Plan - Growth Option</v>
          </cell>
          <cell r="E8785">
            <v>16.59</v>
          </cell>
        </row>
        <row r="8786">
          <cell r="B8786" t="str">
            <v>INF663L01V56</v>
          </cell>
          <cell r="C8786" t="str">
            <v>INF663L01V64</v>
          </cell>
          <cell r="D8786" t="str">
            <v>PGIM India Balanced Advantage Fund - Direct Plan - Dividend Option</v>
          </cell>
          <cell r="E8786">
            <v>10.93</v>
          </cell>
        </row>
        <row r="8787">
          <cell r="B8787" t="str">
            <v>INF663L01V80</v>
          </cell>
          <cell r="C8787" t="str">
            <v>INF663L01V98</v>
          </cell>
          <cell r="D8787" t="str">
            <v>PGIM India Balanced Advantage Fund - Regular Plan - Dividend Option</v>
          </cell>
          <cell r="E8787">
            <v>10.74</v>
          </cell>
        </row>
        <row r="8788">
          <cell r="B8788" t="str">
            <v>INF663L01V72</v>
          </cell>
          <cell r="C8788" t="str">
            <v>-</v>
          </cell>
          <cell r="D8788" t="str">
            <v>PGIM India Balanced Advantage Fund - Regular Plan - Growth Option</v>
          </cell>
          <cell r="E8788">
            <v>15.09</v>
          </cell>
        </row>
        <row r="8789">
          <cell r="B8789" t="str">
            <v/>
          </cell>
          <cell r="C8789" t="str">
            <v/>
          </cell>
          <cell r="D8789" t="str">
            <v/>
          </cell>
        </row>
        <row r="8790">
          <cell r="B8790" t="str">
            <v/>
          </cell>
          <cell r="C8790" t="str">
            <v/>
          </cell>
          <cell r="D8790" t="str">
            <v/>
          </cell>
        </row>
        <row r="8791">
          <cell r="B8791" t="str">
            <v/>
          </cell>
          <cell r="C8791" t="str">
            <v/>
          </cell>
          <cell r="D8791" t="str">
            <v/>
          </cell>
        </row>
        <row r="8792">
          <cell r="B8792" t="str">
            <v>-</v>
          </cell>
          <cell r="C8792" t="str">
            <v>INF879O01282</v>
          </cell>
          <cell r="D8792" t="str">
            <v>Parag Parikh Dynamic Asset Allocation Fund - Direct Plan - Monthly IDCW Reinvestment</v>
          </cell>
          <cell r="E8792">
            <v>10.354900000000001</v>
          </cell>
        </row>
        <row r="8793">
          <cell r="B8793" t="str">
            <v>INF879O01266</v>
          </cell>
          <cell r="C8793" t="str">
            <v>-</v>
          </cell>
          <cell r="D8793" t="str">
            <v>Parag Parikh Dynamic Asset Allocation Fund - Direct Plan Growth</v>
          </cell>
          <cell r="E8793">
            <v>11.8643</v>
          </cell>
        </row>
        <row r="8794">
          <cell r="B8794" t="str">
            <v>-</v>
          </cell>
          <cell r="C8794" t="str">
            <v>INF879O01258</v>
          </cell>
          <cell r="D8794" t="str">
            <v>Parag Parikh Dynamic Asset Allocation Fund - Regular Plan - Monthly IDCW Reinvestment</v>
          </cell>
          <cell r="E8794">
            <v>10.100300000000001</v>
          </cell>
        </row>
        <row r="8795">
          <cell r="B8795" t="str">
            <v>INF879O01233</v>
          </cell>
          <cell r="C8795" t="str">
            <v>-</v>
          </cell>
          <cell r="D8795" t="str">
            <v>Parag Parikh Dynamic Asset Allocation Fund - Regular Plan Growth</v>
          </cell>
          <cell r="E8795">
            <v>11.7766</v>
          </cell>
        </row>
        <row r="8796">
          <cell r="B8796" t="str">
            <v/>
          </cell>
          <cell r="C8796" t="str">
            <v/>
          </cell>
          <cell r="D8796" t="str">
            <v/>
          </cell>
        </row>
        <row r="8797">
          <cell r="B8797" t="str">
            <v/>
          </cell>
          <cell r="C8797" t="str">
            <v/>
          </cell>
          <cell r="D8797" t="str">
            <v/>
          </cell>
        </row>
        <row r="8798">
          <cell r="B8798" t="str">
            <v/>
          </cell>
          <cell r="C8798" t="str">
            <v/>
          </cell>
          <cell r="D8798" t="str">
            <v/>
          </cell>
        </row>
        <row r="8799">
          <cell r="B8799" t="str">
            <v>INF966L01BL5</v>
          </cell>
          <cell r="C8799" t="str">
            <v>-</v>
          </cell>
          <cell r="D8799" t="str">
            <v>quant Dynamic Asset Allocation Fund - Growth Option - Direct Plan</v>
          </cell>
          <cell r="E8799">
            <v>17.4147</v>
          </cell>
        </row>
        <row r="8800">
          <cell r="B8800" t="str">
            <v>INF966L01BO9</v>
          </cell>
          <cell r="C8800" t="str">
            <v>-</v>
          </cell>
          <cell r="D8800" t="str">
            <v>quant Dynamic Asset Allocation Fund - Growth Option - Regular Plan</v>
          </cell>
          <cell r="E8800">
            <v>16.575900000000001</v>
          </cell>
        </row>
        <row r="8801">
          <cell r="B8801" t="str">
            <v>INF966L01BM3</v>
          </cell>
          <cell r="C8801" t="str">
            <v>INF966L01BN1</v>
          </cell>
          <cell r="D8801" t="str">
            <v>quant Dynamic Asset Allocation Fund - IDCW Option - Direct Plan</v>
          </cell>
          <cell r="E8801">
            <v>17.4086</v>
          </cell>
        </row>
        <row r="8802">
          <cell r="B8802" t="str">
            <v>INF966L01BP6</v>
          </cell>
          <cell r="C8802" t="str">
            <v>INF966L01BQ4</v>
          </cell>
          <cell r="D8802" t="str">
            <v>quant Dynamic Asset Allocation Fund - IDCW Option - Regular Plan</v>
          </cell>
          <cell r="E8802">
            <v>16.577400000000001</v>
          </cell>
        </row>
        <row r="8803">
          <cell r="B8803" t="str">
            <v/>
          </cell>
          <cell r="C8803" t="str">
            <v/>
          </cell>
          <cell r="D8803" t="str">
            <v/>
          </cell>
        </row>
        <row r="8804">
          <cell r="B8804" t="str">
            <v/>
          </cell>
          <cell r="C8804" t="str">
            <v/>
          </cell>
          <cell r="D8804" t="str">
            <v/>
          </cell>
        </row>
        <row r="8805">
          <cell r="B8805" t="str">
            <v/>
          </cell>
          <cell r="C8805" t="str">
            <v/>
          </cell>
          <cell r="D8805" t="str">
            <v/>
          </cell>
        </row>
        <row r="8806">
          <cell r="B8806" t="str">
            <v>INF0K1H01131</v>
          </cell>
          <cell r="C8806" t="str">
            <v>-</v>
          </cell>
          <cell r="D8806" t="str">
            <v>Samco Dynamic Asset Allocation Fund - Direct Plan - Growth Option</v>
          </cell>
          <cell r="E8806">
            <v>10.67</v>
          </cell>
        </row>
        <row r="8807">
          <cell r="B8807" t="str">
            <v>INF0K1H01149</v>
          </cell>
          <cell r="C8807" t="str">
            <v>INF0K1H01156</v>
          </cell>
          <cell r="D8807" t="str">
            <v>Samco Dynamic Asset Allocation Fund - Direct Plan - IDCW Option</v>
          </cell>
          <cell r="E8807">
            <v>10.66</v>
          </cell>
        </row>
        <row r="8808">
          <cell r="B8808" t="str">
            <v>INF0K1H01099</v>
          </cell>
          <cell r="C8808" t="str">
            <v>-</v>
          </cell>
          <cell r="D8808" t="str">
            <v>Samco Dynamic Asset Allocation Fund - Regular Plan - Growth Option</v>
          </cell>
          <cell r="E8808">
            <v>10.24</v>
          </cell>
        </row>
        <row r="8809">
          <cell r="B8809" t="str">
            <v>INF0K1H01107</v>
          </cell>
          <cell r="C8809" t="str">
            <v>INF0K1H01115</v>
          </cell>
          <cell r="D8809" t="str">
            <v>Samco Dynamic Asset Allocation Fund - Regular Plan - IDCW Option</v>
          </cell>
          <cell r="E8809">
            <v>10.23</v>
          </cell>
        </row>
        <row r="8810">
          <cell r="B8810" t="str">
            <v/>
          </cell>
          <cell r="C8810" t="str">
            <v/>
          </cell>
          <cell r="D8810" t="str">
            <v/>
          </cell>
        </row>
        <row r="8811">
          <cell r="B8811" t="str">
            <v/>
          </cell>
          <cell r="C8811" t="str">
            <v/>
          </cell>
          <cell r="D8811" t="str">
            <v/>
          </cell>
        </row>
        <row r="8812">
          <cell r="B8812" t="str">
            <v/>
          </cell>
          <cell r="C8812" t="str">
            <v/>
          </cell>
          <cell r="D8812" t="str">
            <v/>
          </cell>
        </row>
        <row r="8813">
          <cell r="B8813" t="str">
            <v>INF200KA1Y73</v>
          </cell>
          <cell r="C8813" t="str">
            <v>-</v>
          </cell>
          <cell r="D8813" t="str">
            <v>SBI Balanced Advantage Fund - Direct Plan - Growth</v>
          </cell>
          <cell r="E8813">
            <v>16.623999999999999</v>
          </cell>
        </row>
        <row r="8814">
          <cell r="B8814" t="str">
            <v>INF200KA1Y81</v>
          </cell>
          <cell r="C8814" t="str">
            <v>INF200KA1Y99</v>
          </cell>
          <cell r="D8814" t="str">
            <v>SBI Balanced Advantage Fund - Direct Plan - Income Distribution cum Capital Withdrawal Option (IDCW)</v>
          </cell>
          <cell r="E8814">
            <v>16.624400000000001</v>
          </cell>
        </row>
        <row r="8815">
          <cell r="B8815" t="str">
            <v>INF200KA1Y40</v>
          </cell>
          <cell r="C8815" t="str">
            <v>-</v>
          </cell>
          <cell r="D8815" t="str">
            <v>SBI Balanced Advantage Fund - Regular Plan - Growth</v>
          </cell>
          <cell r="E8815">
            <v>15.8681</v>
          </cell>
        </row>
        <row r="8816">
          <cell r="B8816" t="str">
            <v>INF200KA1Y57</v>
          </cell>
          <cell r="C8816" t="str">
            <v>INF200KA1Y65</v>
          </cell>
          <cell r="D8816" t="str">
            <v>SBI Balanced Advantage Fund - Regular Plan - Income Distribution cum Capital Withdrawal Option (IDCW)</v>
          </cell>
          <cell r="E8816">
            <v>15.8683</v>
          </cell>
        </row>
        <row r="8817">
          <cell r="B8817" t="str">
            <v/>
          </cell>
          <cell r="C8817" t="str">
            <v/>
          </cell>
          <cell r="D8817" t="str">
            <v/>
          </cell>
        </row>
        <row r="8818">
          <cell r="B8818" t="str">
            <v/>
          </cell>
          <cell r="C8818" t="str">
            <v/>
          </cell>
          <cell r="D8818" t="str">
            <v/>
          </cell>
        </row>
        <row r="8819">
          <cell r="B8819" t="str">
            <v/>
          </cell>
          <cell r="C8819" t="str">
            <v/>
          </cell>
          <cell r="D8819" t="str">
            <v/>
          </cell>
        </row>
        <row r="8820">
          <cell r="B8820" t="str">
            <v>INF680P01208</v>
          </cell>
          <cell r="C8820" t="str">
            <v>-</v>
          </cell>
          <cell r="D8820" t="str">
            <v>Shriram Balanced Advantage Fund - Direct Growth</v>
          </cell>
          <cell r="E8820">
            <v>18.804300000000001</v>
          </cell>
        </row>
        <row r="8821">
          <cell r="B8821" t="str">
            <v>INF680P01216</v>
          </cell>
          <cell r="C8821" t="str">
            <v>INF680P01224</v>
          </cell>
          <cell r="D8821" t="str">
            <v>Shriram Balanced Advantage Fund - Direct- IDCW</v>
          </cell>
          <cell r="E8821">
            <v>18.6418</v>
          </cell>
        </row>
        <row r="8822">
          <cell r="B8822" t="str">
            <v>INF680P01174</v>
          </cell>
          <cell r="C8822" t="str">
            <v>-</v>
          </cell>
          <cell r="D8822" t="str">
            <v>Shriram Balanced Advantage Fund - Regular Growth</v>
          </cell>
          <cell r="E8822">
            <v>16.4955</v>
          </cell>
        </row>
        <row r="8823">
          <cell r="B8823" t="str">
            <v>INF680P01182</v>
          </cell>
          <cell r="C8823" t="str">
            <v>INF680P01190</v>
          </cell>
          <cell r="D8823" t="str">
            <v>Shriram Balanced Advantage Fund - Regular-IDCW</v>
          </cell>
          <cell r="E8823">
            <v>16.5182</v>
          </cell>
        </row>
        <row r="8824">
          <cell r="B8824" t="str">
            <v/>
          </cell>
          <cell r="C8824" t="str">
            <v/>
          </cell>
          <cell r="D8824" t="str">
            <v/>
          </cell>
        </row>
        <row r="8825">
          <cell r="B8825" t="str">
            <v/>
          </cell>
          <cell r="C8825" t="str">
            <v/>
          </cell>
          <cell r="D8825" t="str">
            <v/>
          </cell>
        </row>
        <row r="8826">
          <cell r="B8826" t="str">
            <v/>
          </cell>
          <cell r="C8826" t="str">
            <v/>
          </cell>
          <cell r="D8826" t="str">
            <v/>
          </cell>
        </row>
        <row r="8827">
          <cell r="B8827" t="str">
            <v>INF173K01FI7</v>
          </cell>
          <cell r="C8827" t="str">
            <v>-</v>
          </cell>
          <cell r="D8827" t="str">
            <v>Sundaram Balanced Advantage Fund ( Formerly Known as Principal Balanced Advantage Fund) - Direct Plan - Growth Option</v>
          </cell>
          <cell r="E8827">
            <v>41.524799999999999</v>
          </cell>
        </row>
        <row r="8828">
          <cell r="B8828" t="str">
            <v>INF173K01FF3</v>
          </cell>
          <cell r="C8828" t="str">
            <v>INF173K01FG1</v>
          </cell>
          <cell r="D8828" t="str">
            <v>Sundaram Balanced Advantage Fund (Formerly Known as Principal Balanced Advantage Fund) - Direct Plan - Monthly Income Distribution CUM Capital Withdrawal Option</v>
          </cell>
          <cell r="E8828">
            <v>17.533200000000001</v>
          </cell>
        </row>
        <row r="8829">
          <cell r="B8829" t="str">
            <v>INF173K01585</v>
          </cell>
          <cell r="C8829" t="str">
            <v>-</v>
          </cell>
          <cell r="D8829" t="str">
            <v>Sundaram Balanced Advantage Fund (Formerly Known as Principal Balanced Advantage Fund) - Growth Option</v>
          </cell>
          <cell r="E8829">
            <v>34.884599999999999</v>
          </cell>
        </row>
        <row r="8830">
          <cell r="B8830" t="str">
            <v>INF173K01551</v>
          </cell>
          <cell r="C8830" t="str">
            <v>INF173K01569</v>
          </cell>
          <cell r="D8830" t="str">
            <v>Sundaram Balanced Advantage Fund (Formerly Known as Principal Balanced Advantage Fund) - Monthly Income Distribution CUM Capital Withdrawal Option</v>
          </cell>
          <cell r="E8830">
            <v>14.117900000000001</v>
          </cell>
        </row>
        <row r="8831">
          <cell r="B8831" t="str">
            <v/>
          </cell>
          <cell r="C8831" t="str">
            <v/>
          </cell>
          <cell r="D8831" t="str">
            <v/>
          </cell>
        </row>
        <row r="8832">
          <cell r="B8832" t="str">
            <v/>
          </cell>
          <cell r="C8832" t="str">
            <v/>
          </cell>
          <cell r="D8832" t="str">
            <v/>
          </cell>
        </row>
        <row r="8833">
          <cell r="B8833" t="str">
            <v/>
          </cell>
          <cell r="C8833" t="str">
            <v/>
          </cell>
          <cell r="D8833" t="str">
            <v/>
          </cell>
        </row>
        <row r="8834">
          <cell r="B8834" t="str">
            <v>INF277K014S6</v>
          </cell>
          <cell r="C8834" t="str">
            <v>-</v>
          </cell>
          <cell r="D8834" t="str">
            <v xml:space="preserve">TATA Balanced Advantage Fund Direct Plan - Payout of Income Distribution cum capital withdrawal option </v>
          </cell>
          <cell r="E8834">
            <v>22.830400000000001</v>
          </cell>
        </row>
        <row r="8835">
          <cell r="B8835" t="str">
            <v>-</v>
          </cell>
          <cell r="C8835" t="str">
            <v>INF277K015S3</v>
          </cell>
          <cell r="D8835" t="str">
            <v xml:space="preserve">TATA Balanced Advantage Fund Direct Plan - Reinvestment of Income Distribution cum capital withdrawal option </v>
          </cell>
          <cell r="E8835">
            <v>22.830400000000001</v>
          </cell>
        </row>
        <row r="8836">
          <cell r="B8836" t="str">
            <v>INF277K011S2</v>
          </cell>
          <cell r="C8836" t="str">
            <v>-</v>
          </cell>
          <cell r="D8836" t="str">
            <v xml:space="preserve">TATA Balanced Advantage Fund Regular Plan - Payout of Income Distribution cum capital withdrawal option </v>
          </cell>
          <cell r="E8836">
            <v>20.263100000000001</v>
          </cell>
        </row>
        <row r="8837">
          <cell r="B8837" t="str">
            <v>-</v>
          </cell>
          <cell r="C8837" t="str">
            <v>INF277K012S0</v>
          </cell>
          <cell r="D8837" t="str">
            <v>TATA Balanced Advantage Fund Regular Plan - Reinvestment of Income Distribution cum capital withdrawal option</v>
          </cell>
          <cell r="E8837">
            <v>20.263100000000001</v>
          </cell>
        </row>
        <row r="8838">
          <cell r="B8838" t="str">
            <v>INF277K013S8</v>
          </cell>
          <cell r="C8838" t="str">
            <v>-</v>
          </cell>
          <cell r="D8838" t="str">
            <v>Tata Balanced Advantage Fund-Direct Plan-Growth</v>
          </cell>
          <cell r="E8838">
            <v>23.689599999999999</v>
          </cell>
        </row>
        <row r="8839">
          <cell r="B8839" t="str">
            <v>INF277K010S4</v>
          </cell>
          <cell r="C8839" t="str">
            <v>-</v>
          </cell>
          <cell r="D8839" t="str">
            <v>Tata Balanced Advantage Fund-Regular Plan-Growth</v>
          </cell>
          <cell r="E8839">
            <v>21.120799999999999</v>
          </cell>
        </row>
        <row r="8840">
          <cell r="B8840" t="str">
            <v/>
          </cell>
          <cell r="C8840" t="str">
            <v/>
          </cell>
          <cell r="D8840" t="str">
            <v/>
          </cell>
        </row>
        <row r="8841">
          <cell r="B8841" t="str">
            <v/>
          </cell>
          <cell r="C8841" t="str">
            <v/>
          </cell>
          <cell r="D8841" t="str">
            <v/>
          </cell>
        </row>
        <row r="8842">
          <cell r="B8842" t="str">
            <v/>
          </cell>
          <cell r="C8842" t="str">
            <v/>
          </cell>
          <cell r="D8842" t="str">
            <v/>
          </cell>
        </row>
        <row r="8843">
          <cell r="B8843" t="str">
            <v>INF2F0001479</v>
          </cell>
          <cell r="C8843" t="str">
            <v>-</v>
          </cell>
          <cell r="D8843" t="str">
            <v>The Wealth Company Balanced Advantage Fund - Direct Growth</v>
          </cell>
          <cell r="E8843">
            <v>10.0181</v>
          </cell>
        </row>
        <row r="8844">
          <cell r="B8844" t="str">
            <v>INF2F0001487</v>
          </cell>
          <cell r="C8844" t="str">
            <v>INF2F0001495</v>
          </cell>
          <cell r="D8844" t="str">
            <v>The Wealth Company Balanced Advantage Fund - Direct IDCW</v>
          </cell>
          <cell r="E8844">
            <v>10.0175</v>
          </cell>
        </row>
        <row r="8845">
          <cell r="B8845" t="str">
            <v>INF2F0001446</v>
          </cell>
          <cell r="C8845" t="str">
            <v>-</v>
          </cell>
          <cell r="D8845" t="str">
            <v>The Wealth Company Balanced Advantage Fund - Regular Growth</v>
          </cell>
          <cell r="E8845">
            <v>9.9319000000000006</v>
          </cell>
        </row>
        <row r="8846">
          <cell r="B8846" t="str">
            <v>INF2F0001453</v>
          </cell>
          <cell r="C8846" t="str">
            <v>INF2F0001461</v>
          </cell>
          <cell r="D8846" t="str">
            <v>The Wealth Company Balanced Advantage Fund - Regular IDCW</v>
          </cell>
          <cell r="E8846">
            <v>9.9306999999999999</v>
          </cell>
        </row>
        <row r="8847">
          <cell r="B8847" t="str">
            <v/>
          </cell>
          <cell r="C8847" t="str">
            <v/>
          </cell>
          <cell r="D8847" t="str">
            <v/>
          </cell>
        </row>
        <row r="8848">
          <cell r="B8848" t="str">
            <v/>
          </cell>
          <cell r="C8848" t="str">
            <v/>
          </cell>
          <cell r="D8848" t="str">
            <v/>
          </cell>
        </row>
        <row r="8849">
          <cell r="B8849" t="str">
            <v/>
          </cell>
          <cell r="C8849" t="str">
            <v/>
          </cell>
          <cell r="D8849" t="str">
            <v/>
          </cell>
        </row>
        <row r="8850">
          <cell r="B8850" t="str">
            <v>INF1MIY01015</v>
          </cell>
          <cell r="C8850" t="str">
            <v>-</v>
          </cell>
          <cell r="D8850" t="str">
            <v>Unifi Dynamic Asset Allocation Fund - Direct Growth</v>
          </cell>
          <cell r="E8850">
            <v>11.143800000000001</v>
          </cell>
        </row>
        <row r="8851">
          <cell r="B8851" t="str">
            <v>INF1MIY01023</v>
          </cell>
          <cell r="C8851" t="str">
            <v>-</v>
          </cell>
          <cell r="D8851" t="str">
            <v>Unifi Dynamic Asset Allocation Fund - Regular Growth</v>
          </cell>
          <cell r="E8851">
            <v>11.054399999999999</v>
          </cell>
        </row>
        <row r="8852">
          <cell r="B8852" t="str">
            <v/>
          </cell>
          <cell r="C8852" t="str">
            <v/>
          </cell>
          <cell r="D8852" t="str">
            <v/>
          </cell>
        </row>
        <row r="8853">
          <cell r="B8853" t="str">
            <v/>
          </cell>
          <cell r="C8853" t="str">
            <v/>
          </cell>
          <cell r="D8853" t="str">
            <v/>
          </cell>
        </row>
        <row r="8854">
          <cell r="B8854" t="str">
            <v/>
          </cell>
          <cell r="C8854" t="str">
            <v/>
          </cell>
          <cell r="D8854" t="str">
            <v/>
          </cell>
        </row>
        <row r="8855">
          <cell r="B8855" t="str">
            <v>INF582M01DE9</v>
          </cell>
          <cell r="C8855" t="str">
            <v>-</v>
          </cell>
          <cell r="D8855" t="str">
            <v>Union Balanced Advantage Fund - Direct Plan - Growth Option</v>
          </cell>
          <cell r="E8855">
            <v>22.28</v>
          </cell>
        </row>
        <row r="8856">
          <cell r="B8856" t="str">
            <v>INF582M01DG4</v>
          </cell>
          <cell r="C8856" t="str">
            <v>INF582M01DF6</v>
          </cell>
          <cell r="D8856" t="str">
            <v>Union Balanced Advantage Fund - Direct Plan - IDCW Option</v>
          </cell>
          <cell r="E8856">
            <v>20.57</v>
          </cell>
        </row>
        <row r="8857">
          <cell r="B8857" t="str">
            <v>INF582M01DI0</v>
          </cell>
          <cell r="C8857" t="str">
            <v>-</v>
          </cell>
          <cell r="D8857" t="str">
            <v>Union Balanced Advantage Fund - Regular Plan - Growth Option</v>
          </cell>
          <cell r="E8857">
            <v>20.43</v>
          </cell>
        </row>
        <row r="8858">
          <cell r="B8858" t="str">
            <v>INF582M01DK6</v>
          </cell>
          <cell r="C8858" t="str">
            <v>INF582M01DJ8</v>
          </cell>
          <cell r="D8858" t="str">
            <v>Union Balanced Advantage Fund - Regular Plan - IDCW Option</v>
          </cell>
          <cell r="E8858">
            <v>18.73</v>
          </cell>
        </row>
        <row r="8859">
          <cell r="B8859" t="str">
            <v/>
          </cell>
          <cell r="C8859" t="str">
            <v/>
          </cell>
          <cell r="D8859" t="str">
            <v/>
          </cell>
        </row>
        <row r="8860">
          <cell r="B8860" t="str">
            <v/>
          </cell>
          <cell r="C8860" t="str">
            <v/>
          </cell>
          <cell r="D8860" t="str">
            <v/>
          </cell>
        </row>
        <row r="8861">
          <cell r="B8861" t="str">
            <v/>
          </cell>
          <cell r="C8861" t="str">
            <v/>
          </cell>
          <cell r="D8861" t="str">
            <v/>
          </cell>
        </row>
        <row r="8862">
          <cell r="B8862" t="str">
            <v>-</v>
          </cell>
          <cell r="C8862" t="str">
            <v>-</v>
          </cell>
          <cell r="D8862" t="str">
            <v>UTI - Unit Linked Insurance Plan</v>
          </cell>
          <cell r="E8862">
            <v>42.544199999999996</v>
          </cell>
        </row>
        <row r="8863">
          <cell r="B8863" t="str">
            <v>-</v>
          </cell>
          <cell r="C8863" t="str">
            <v>-</v>
          </cell>
          <cell r="D8863" t="str">
            <v>UTI - Unit Linked Insurance Plan- Direct</v>
          </cell>
          <cell r="E8863">
            <v>46.304400000000001</v>
          </cell>
        </row>
        <row r="8864">
          <cell r="B8864" t="str">
            <v>INF789F1AYV3</v>
          </cell>
          <cell r="C8864" t="str">
            <v>-</v>
          </cell>
          <cell r="D8864" t="str">
            <v>UTI Balanced Advantage Fund - Direct Plan - Growth Option</v>
          </cell>
          <cell r="E8864">
            <v>12.9573</v>
          </cell>
        </row>
        <row r="8865">
          <cell r="B8865" t="str">
            <v>INF789F1AYW1</v>
          </cell>
          <cell r="C8865" t="str">
            <v>-</v>
          </cell>
          <cell r="D8865" t="str">
            <v>UTI Balanced Advantage Fund - Direct Plan - Payout of IDCW Option</v>
          </cell>
          <cell r="E8865">
            <v>12.9573</v>
          </cell>
        </row>
        <row r="8866">
          <cell r="B8866" t="str">
            <v>INF789F1AYT7</v>
          </cell>
          <cell r="C8866" t="str">
            <v>-</v>
          </cell>
          <cell r="D8866" t="str">
            <v>UTI Balanced Advantage Fund - Regular Plan - Growth Option</v>
          </cell>
          <cell r="E8866">
            <v>12.444100000000001</v>
          </cell>
        </row>
        <row r="8867">
          <cell r="B8867" t="str">
            <v>INF789F1AYU5</v>
          </cell>
          <cell r="C8867" t="str">
            <v>-</v>
          </cell>
          <cell r="D8867" t="str">
            <v>UTI Balanced Advantage Fund - Regular Plan - Payout of IDCW Option</v>
          </cell>
          <cell r="E8867">
            <v>12.4442</v>
          </cell>
        </row>
        <row r="8868">
          <cell r="B8868" t="str">
            <v/>
          </cell>
          <cell r="C8868" t="str">
            <v/>
          </cell>
          <cell r="D8868" t="str">
            <v/>
          </cell>
        </row>
        <row r="8869">
          <cell r="B8869" t="str">
            <v/>
          </cell>
          <cell r="C8869" t="str">
            <v/>
          </cell>
          <cell r="D8869" t="str">
            <v/>
          </cell>
        </row>
        <row r="8870">
          <cell r="B8870" t="str">
            <v/>
          </cell>
          <cell r="C8870" t="str">
            <v/>
          </cell>
          <cell r="D8870" t="str">
            <v/>
          </cell>
        </row>
        <row r="8871">
          <cell r="B8871" t="str">
            <v>INF03VN01738</v>
          </cell>
          <cell r="C8871" t="str">
            <v>-</v>
          </cell>
          <cell r="D8871" t="str">
            <v>WhiteOak Capital Balanced Advantage Fund Direct Plan Growth</v>
          </cell>
          <cell r="E8871">
            <v>15.478999999999999</v>
          </cell>
        </row>
        <row r="8872">
          <cell r="B8872" t="str">
            <v>INF03VN01720</v>
          </cell>
          <cell r="C8872" t="str">
            <v>-</v>
          </cell>
          <cell r="D8872" t="str">
            <v>WhiteOak Capital Balanced Advantage Fund Regular Plan Growth</v>
          </cell>
          <cell r="E8872">
            <v>14.664999999999999</v>
          </cell>
        </row>
        <row r="8873">
          <cell r="B8873" t="str">
            <v/>
          </cell>
          <cell r="C8873" t="str">
            <v/>
          </cell>
          <cell r="D8873" t="str">
            <v/>
          </cell>
        </row>
        <row r="8874">
          <cell r="B8874" t="str">
            <v/>
          </cell>
          <cell r="C8874" t="str">
            <v/>
          </cell>
          <cell r="D8874" t="str">
            <v/>
          </cell>
        </row>
        <row r="8875">
          <cell r="B8875" t="str">
            <v/>
          </cell>
          <cell r="C8875" t="str">
            <v/>
          </cell>
          <cell r="D8875" t="str">
            <v/>
          </cell>
        </row>
        <row r="8876">
          <cell r="B8876" t="str">
            <v/>
          </cell>
          <cell r="C8876" t="str">
            <v/>
          </cell>
          <cell r="D8876" t="str">
            <v/>
          </cell>
        </row>
        <row r="8877">
          <cell r="B8877" t="str">
            <v/>
          </cell>
          <cell r="C8877" t="str">
            <v/>
          </cell>
          <cell r="D8877" t="str">
            <v/>
          </cell>
        </row>
        <row r="8878">
          <cell r="B8878" t="str">
            <v>INF209KA1TQ7</v>
          </cell>
          <cell r="C8878" t="str">
            <v>INF209KA1TR5</v>
          </cell>
          <cell r="D8878" t="str">
            <v>Aditya Birla Sun Life Equity Savings Fund - Direct - IDCW</v>
          </cell>
          <cell r="E8878">
            <v>15.46</v>
          </cell>
        </row>
        <row r="8879">
          <cell r="B8879" t="str">
            <v>INF209KA1TP9</v>
          </cell>
          <cell r="C8879" t="str">
            <v>-</v>
          </cell>
          <cell r="D8879" t="str">
            <v>Aditya Birla Sun Life Equity Savings Fund - Direct Plan - Growth</v>
          </cell>
          <cell r="E8879">
            <v>25.88</v>
          </cell>
        </row>
        <row r="8880">
          <cell r="B8880" t="str">
            <v>INF209KA1TT1</v>
          </cell>
          <cell r="C8880" t="str">
            <v>INF209KA1TU9</v>
          </cell>
          <cell r="D8880" t="str">
            <v>Aditya Birla Sun Life Equity Savings Fund - Regular - IDCW</v>
          </cell>
          <cell r="E8880">
            <v>13.07</v>
          </cell>
        </row>
        <row r="8881">
          <cell r="B8881" t="str">
            <v>INF209KA1TS3</v>
          </cell>
          <cell r="C8881" t="str">
            <v>-</v>
          </cell>
          <cell r="D8881" t="str">
            <v>Aditya Birla Sun Life Equity Savings Fund - Regular Plan - Growth</v>
          </cell>
          <cell r="E8881">
            <v>23.24</v>
          </cell>
        </row>
        <row r="8882">
          <cell r="B8882" t="str">
            <v/>
          </cell>
          <cell r="C8882" t="str">
            <v/>
          </cell>
          <cell r="D8882" t="str">
            <v/>
          </cell>
        </row>
        <row r="8883">
          <cell r="B8883" t="str">
            <v/>
          </cell>
          <cell r="C8883" t="str">
            <v/>
          </cell>
          <cell r="D8883" t="str">
            <v/>
          </cell>
        </row>
        <row r="8884">
          <cell r="B8884" t="str">
            <v/>
          </cell>
          <cell r="C8884" t="str">
            <v/>
          </cell>
          <cell r="D8884" t="str">
            <v/>
          </cell>
        </row>
        <row r="8885">
          <cell r="B8885" t="str">
            <v>INF846K01VJ3</v>
          </cell>
          <cell r="C8885" t="str">
            <v>-</v>
          </cell>
          <cell r="D8885" t="str">
            <v>Axis Equity Savings Fund - Direct Plan - Growth</v>
          </cell>
          <cell r="E8885">
            <v>26.39</v>
          </cell>
        </row>
        <row r="8886">
          <cell r="B8886" t="str">
            <v>INF846K01VK1</v>
          </cell>
          <cell r="C8886" t="str">
            <v>INF846K01VL9</v>
          </cell>
          <cell r="D8886" t="str">
            <v>Axis Equity Savings Fund - Direct Plan - Monthly IDCW</v>
          </cell>
          <cell r="E8886">
            <v>13.49</v>
          </cell>
        </row>
        <row r="8887">
          <cell r="B8887" t="str">
            <v>INF846K01VM7</v>
          </cell>
          <cell r="C8887" t="str">
            <v>INF846K01VN5</v>
          </cell>
          <cell r="D8887" t="str">
            <v>Axis Equity Savings Fund - Direct Plan - Quarterly IDCW</v>
          </cell>
          <cell r="E8887">
            <v>13.78</v>
          </cell>
        </row>
        <row r="8888">
          <cell r="B8888" t="str">
            <v>INF846K01XP6</v>
          </cell>
          <cell r="C8888" t="str">
            <v>INF846K01XQ4</v>
          </cell>
          <cell r="D8888" t="str">
            <v>Axis Equity Savings Fund - Direct Plan - Regular IDCW</v>
          </cell>
          <cell r="E8888">
            <v>13.1</v>
          </cell>
        </row>
        <row r="8889">
          <cell r="B8889" t="str">
            <v>INF846K01VO3</v>
          </cell>
          <cell r="C8889" t="str">
            <v>-</v>
          </cell>
          <cell r="D8889" t="str">
            <v>Axis Equity Savings Fund - Regular Plan - Growth</v>
          </cell>
          <cell r="E8889">
            <v>23.03</v>
          </cell>
        </row>
        <row r="8890">
          <cell r="B8890" t="str">
            <v>INF846K01VP0</v>
          </cell>
          <cell r="C8890" t="str">
            <v>INF846K01VQ8</v>
          </cell>
          <cell r="D8890" t="str">
            <v>Axis Equity Savings Fund - Regular Plan - Monthly IDCW</v>
          </cell>
          <cell r="E8890">
            <v>11.19</v>
          </cell>
        </row>
        <row r="8891">
          <cell r="B8891" t="str">
            <v>INF846K01VR6</v>
          </cell>
          <cell r="C8891" t="str">
            <v>INF846K01VS4</v>
          </cell>
          <cell r="D8891" t="str">
            <v>Axis Equity Savings Fund - Regular Plan - Quarterly IDCW</v>
          </cell>
          <cell r="E8891">
            <v>11.61</v>
          </cell>
        </row>
        <row r="8892">
          <cell r="B8892" t="str">
            <v>INF846K01XR2</v>
          </cell>
          <cell r="C8892" t="str">
            <v>INF846K01XS0</v>
          </cell>
          <cell r="D8892" t="str">
            <v>Axis Equity Savings Fund - Regular Plan - Regular IDCW</v>
          </cell>
          <cell r="E8892">
            <v>12.19</v>
          </cell>
        </row>
        <row r="8893">
          <cell r="B8893" t="str">
            <v/>
          </cell>
          <cell r="C8893" t="str">
            <v/>
          </cell>
          <cell r="D8893" t="str">
            <v/>
          </cell>
        </row>
        <row r="8894">
          <cell r="B8894" t="str">
            <v/>
          </cell>
          <cell r="C8894" t="str">
            <v/>
          </cell>
          <cell r="D8894" t="str">
            <v/>
          </cell>
        </row>
        <row r="8895">
          <cell r="B8895" t="str">
            <v/>
          </cell>
          <cell r="C8895" t="str">
            <v/>
          </cell>
          <cell r="D8895" t="str">
            <v/>
          </cell>
        </row>
        <row r="8896">
          <cell r="B8896" t="str">
            <v>INF0QA701BU7</v>
          </cell>
          <cell r="C8896" t="str">
            <v>INF0QA701BV5</v>
          </cell>
          <cell r="D8896" t="str">
            <v>BAJAJ FINSERV EQUITY SAVINGS FUND -  DIRECT - IDCW</v>
          </cell>
          <cell r="E8896">
            <v>10.468999999999999</v>
          </cell>
        </row>
        <row r="8897">
          <cell r="B8897" t="str">
            <v>INF0QA701BT9</v>
          </cell>
          <cell r="C8897" t="str">
            <v>-</v>
          </cell>
          <cell r="D8897" t="str">
            <v>BAJAJ FINSERV EQUITY SAVINGS FUND - DIRECT - GROWTH</v>
          </cell>
          <cell r="E8897">
            <v>10.468999999999999</v>
          </cell>
        </row>
        <row r="8898">
          <cell r="B8898" t="str">
            <v>INF0QA701BQ5</v>
          </cell>
          <cell r="C8898" t="str">
            <v>-</v>
          </cell>
          <cell r="D8898" t="str">
            <v>BAJAJ FINSERV EQUITY SAVINGS FUND - REGULAR - GROWTH</v>
          </cell>
          <cell r="E8898">
            <v>10.367000000000001</v>
          </cell>
        </row>
        <row r="8899">
          <cell r="B8899" t="str">
            <v>INF0QA701BR3</v>
          </cell>
          <cell r="C8899" t="str">
            <v>INF0QA701BS1</v>
          </cell>
          <cell r="D8899" t="str">
            <v>BAJAJ FINSERV EQUITY SAVINGS FUND - REGULAR - IDCW</v>
          </cell>
          <cell r="E8899">
            <v>10.367000000000001</v>
          </cell>
        </row>
        <row r="8900">
          <cell r="B8900" t="str">
            <v/>
          </cell>
          <cell r="C8900" t="str">
            <v/>
          </cell>
          <cell r="D8900" t="str">
            <v/>
          </cell>
        </row>
        <row r="8901">
          <cell r="B8901" t="str">
            <v/>
          </cell>
          <cell r="C8901" t="str">
            <v/>
          </cell>
          <cell r="D8901" t="str">
            <v/>
          </cell>
        </row>
        <row r="8902">
          <cell r="B8902" t="str">
            <v/>
          </cell>
          <cell r="C8902" t="str">
            <v/>
          </cell>
          <cell r="D8902" t="str">
            <v/>
          </cell>
        </row>
        <row r="8903">
          <cell r="B8903" t="str">
            <v>INF194K01581</v>
          </cell>
          <cell r="C8903" t="str">
            <v>-</v>
          </cell>
          <cell r="D8903" t="str">
            <v>BANDHAN Equity Savings Fund - Regular Plan - Growth</v>
          </cell>
          <cell r="E8903">
            <v>32.439</v>
          </cell>
        </row>
        <row r="8904">
          <cell r="B8904" t="str">
            <v>INF194K01599</v>
          </cell>
          <cell r="C8904" t="str">
            <v>INF194K01607</v>
          </cell>
          <cell r="D8904" t="str">
            <v>BANDHAN Equity Savings Fund - Regular Plan - Monthly IDCW</v>
          </cell>
          <cell r="E8904">
            <v>10.920999999999999</v>
          </cell>
        </row>
        <row r="8905">
          <cell r="B8905" t="str">
            <v>INF194KA1XX2</v>
          </cell>
          <cell r="C8905" t="str">
            <v>INF194KA1XY0</v>
          </cell>
          <cell r="D8905" t="str">
            <v>BANDHAN Equity Savings Fund - Regular Plan -Annual IDCW</v>
          </cell>
          <cell r="E8905">
            <v>12.574</v>
          </cell>
        </row>
        <row r="8906">
          <cell r="B8906" t="str">
            <v>INF194K01565</v>
          </cell>
          <cell r="C8906" t="str">
            <v>INF194K01573</v>
          </cell>
          <cell r="D8906" t="str">
            <v>BANDHAN Equity Savings Fund -B-DIVIDEND</v>
          </cell>
          <cell r="E8906">
            <v>12.360845319999999</v>
          </cell>
        </row>
        <row r="8907">
          <cell r="B8907" t="str">
            <v>INF194K01557</v>
          </cell>
          <cell r="C8907" t="str">
            <v>-</v>
          </cell>
          <cell r="D8907" t="str">
            <v>BANDHAN Equity Savings Fund -B-GROWTH</v>
          </cell>
          <cell r="E8907">
            <v>16.011399999999998</v>
          </cell>
        </row>
        <row r="8908">
          <cell r="B8908" t="str">
            <v>INF194KA16J0</v>
          </cell>
          <cell r="C8908" t="str">
            <v>INF194KA17J8</v>
          </cell>
          <cell r="D8908" t="str">
            <v>BANDHAN Equity Savings Fund- Regular Plan -Quarterly IDCW</v>
          </cell>
          <cell r="E8908">
            <v>12.718</v>
          </cell>
        </row>
        <row r="8909">
          <cell r="B8909" t="str">
            <v>INF194KA19J4</v>
          </cell>
          <cell r="C8909" t="str">
            <v>INF194KA10K1</v>
          </cell>
          <cell r="D8909" t="str">
            <v>BANDHAN Equity Savings Fund-Direct Plan -Quarterly IDCW</v>
          </cell>
          <cell r="E8909">
            <v>13.331</v>
          </cell>
        </row>
        <row r="8910">
          <cell r="B8910" t="str">
            <v>INF194KA1YA8</v>
          </cell>
          <cell r="C8910" t="str">
            <v>INF194KA1YB6</v>
          </cell>
          <cell r="D8910" t="str">
            <v>BANDHAN Equity Savings Fund-Direct Plan-Annual IDCW</v>
          </cell>
          <cell r="E8910">
            <v>13.999000000000001</v>
          </cell>
        </row>
        <row r="8911">
          <cell r="B8911" t="str">
            <v>INF194K01Z02</v>
          </cell>
          <cell r="C8911" t="str">
            <v>-</v>
          </cell>
          <cell r="D8911" t="str">
            <v>BANDHAN Equity Savings Fund-Direct Plan-Growth</v>
          </cell>
          <cell r="E8911">
            <v>36.343000000000004</v>
          </cell>
        </row>
        <row r="8912">
          <cell r="B8912" t="str">
            <v>INF194K01Z10</v>
          </cell>
          <cell r="C8912" t="str">
            <v>INF194K01Z28</v>
          </cell>
          <cell r="D8912" t="str">
            <v>BANDHAN Equity Savings Fund-Direct Plan-Monthly IDCW</v>
          </cell>
          <cell r="E8912">
            <v>11.576000000000001</v>
          </cell>
        </row>
        <row r="8913">
          <cell r="B8913" t="str">
            <v/>
          </cell>
          <cell r="C8913" t="str">
            <v/>
          </cell>
          <cell r="D8913" t="str">
            <v/>
          </cell>
        </row>
        <row r="8914">
          <cell r="B8914" t="str">
            <v/>
          </cell>
          <cell r="C8914" t="str">
            <v/>
          </cell>
          <cell r="D8914" t="str">
            <v/>
          </cell>
        </row>
        <row r="8915">
          <cell r="B8915" t="str">
            <v/>
          </cell>
          <cell r="C8915" t="str">
            <v/>
          </cell>
          <cell r="D8915" t="str">
            <v/>
          </cell>
        </row>
        <row r="8916">
          <cell r="B8916" t="str">
            <v>INF955L01IL3</v>
          </cell>
          <cell r="C8916" t="str">
            <v>-</v>
          </cell>
          <cell r="D8916" t="str">
            <v>Baroda BNP Paribas Equity Savings Fund - Direct Plan - Growth</v>
          </cell>
          <cell r="E8916">
            <v>18.585799999999999</v>
          </cell>
        </row>
        <row r="8917">
          <cell r="B8917" t="str">
            <v>-</v>
          </cell>
          <cell r="C8917" t="str">
            <v>INF955L01IN9</v>
          </cell>
          <cell r="D8917" t="str">
            <v>Baroda BNP Paribas Equity Savings Fund - Direct Plan - IDCW</v>
          </cell>
          <cell r="E8917">
            <v>13.8506</v>
          </cell>
        </row>
        <row r="8918">
          <cell r="B8918" t="str">
            <v>INF955L01II9</v>
          </cell>
          <cell r="C8918" t="str">
            <v>-</v>
          </cell>
          <cell r="D8918" t="str">
            <v>Baroda BNP Paribas Equity Savings Fund - Regular Plan - Growth</v>
          </cell>
          <cell r="E8918">
            <v>17.2211</v>
          </cell>
        </row>
        <row r="8919">
          <cell r="B8919" t="str">
            <v>-</v>
          </cell>
          <cell r="C8919" t="str">
            <v>INF955L01IK5</v>
          </cell>
          <cell r="D8919" t="str">
            <v>Baroda BNP Paribas Equity Savings Fund - Regular Plan - IDCW</v>
          </cell>
          <cell r="E8919">
            <v>12.834099999999999</v>
          </cell>
        </row>
        <row r="8920">
          <cell r="B8920" t="str">
            <v/>
          </cell>
          <cell r="C8920" t="str">
            <v/>
          </cell>
          <cell r="D8920" t="str">
            <v/>
          </cell>
        </row>
        <row r="8921">
          <cell r="B8921" t="str">
            <v/>
          </cell>
          <cell r="C8921" t="str">
            <v/>
          </cell>
          <cell r="D8921" t="str">
            <v/>
          </cell>
        </row>
        <row r="8922">
          <cell r="B8922" t="str">
            <v/>
          </cell>
          <cell r="C8922" t="str">
            <v/>
          </cell>
          <cell r="D8922" t="str">
            <v/>
          </cell>
        </row>
        <row r="8923">
          <cell r="B8923" t="str">
            <v>INF740KA1504</v>
          </cell>
          <cell r="C8923" t="str">
            <v>-</v>
          </cell>
          <cell r="D8923" t="str">
            <v>DSP Equity Savings Fund - Direct Plan - Growth</v>
          </cell>
          <cell r="E8923">
            <v>25.172000000000001</v>
          </cell>
        </row>
        <row r="8924">
          <cell r="B8924" t="str">
            <v>INF740KA1512</v>
          </cell>
          <cell r="C8924" t="str">
            <v>INF740KA1520</v>
          </cell>
          <cell r="D8924" t="str">
            <v>DSP Equity Savings Fund - Direct Plan - IDCW</v>
          </cell>
          <cell r="E8924">
            <v>13.663</v>
          </cell>
        </row>
        <row r="8925">
          <cell r="B8925" t="str">
            <v>INF740KA1538</v>
          </cell>
          <cell r="C8925" t="str">
            <v>INF740KA1546</v>
          </cell>
          <cell r="D8925" t="str">
            <v>DSP Equity Savings Fund - Direct Plan - IDCW - Monthly</v>
          </cell>
          <cell r="E8925">
            <v>17.286999999999999</v>
          </cell>
        </row>
        <row r="8926">
          <cell r="B8926" t="str">
            <v>INF740KA1553</v>
          </cell>
          <cell r="C8926" t="str">
            <v>INF740KA1561</v>
          </cell>
          <cell r="D8926" t="str">
            <v>DSP Equity Savings Fund - Direct Plan - IDCW - Quarterly</v>
          </cell>
          <cell r="E8926">
            <v>17.138000000000002</v>
          </cell>
        </row>
        <row r="8927">
          <cell r="B8927" t="str">
            <v>INF740KA1439</v>
          </cell>
          <cell r="C8927" t="str">
            <v>-</v>
          </cell>
          <cell r="D8927" t="str">
            <v>DSP Equity Savings Fund - Regular Plan - Growth</v>
          </cell>
          <cell r="E8927">
            <v>22.257999999999999</v>
          </cell>
        </row>
        <row r="8928">
          <cell r="B8928" t="str">
            <v>INF740KA1447</v>
          </cell>
          <cell r="C8928" t="str">
            <v>INF740KA1454</v>
          </cell>
          <cell r="D8928" t="str">
            <v>DSP Equity Savings Fund - Regular Plan - IDCW</v>
          </cell>
          <cell r="E8928">
            <v>12.121</v>
          </cell>
        </row>
        <row r="8929">
          <cell r="B8929" t="str">
            <v>INF740KA1462</v>
          </cell>
          <cell r="C8929" t="str">
            <v>INF740KA1470</v>
          </cell>
          <cell r="D8929" t="str">
            <v>DSP Equity Savings Fund - Regular Plan - IDCW - Monthly</v>
          </cell>
          <cell r="E8929">
            <v>13.525</v>
          </cell>
        </row>
        <row r="8930">
          <cell r="B8930" t="str">
            <v>INF740KA1488</v>
          </cell>
          <cell r="C8930" t="str">
            <v>INF740KA1496</v>
          </cell>
          <cell r="D8930" t="str">
            <v>DSP Equity Savings Fund - Regular Plan - IDCW - Quarterly</v>
          </cell>
          <cell r="E8930">
            <v>13.462999999999999</v>
          </cell>
        </row>
        <row r="8931">
          <cell r="B8931" t="str">
            <v/>
          </cell>
          <cell r="C8931" t="str">
            <v/>
          </cell>
          <cell r="D8931" t="str">
            <v/>
          </cell>
        </row>
        <row r="8932">
          <cell r="B8932" t="str">
            <v/>
          </cell>
          <cell r="C8932" t="str">
            <v/>
          </cell>
          <cell r="D8932" t="str">
            <v/>
          </cell>
        </row>
        <row r="8933">
          <cell r="B8933" t="str">
            <v/>
          </cell>
          <cell r="C8933" t="str">
            <v/>
          </cell>
          <cell r="D8933" t="str">
            <v/>
          </cell>
        </row>
        <row r="8934">
          <cell r="B8934" t="str">
            <v>INF843K01KD6</v>
          </cell>
          <cell r="C8934" t="str">
            <v>-</v>
          </cell>
          <cell r="D8934" t="str">
            <v>Edelweiss Equity Savings Fund - Direct Plan - Bonus Option</v>
          </cell>
          <cell r="E8934">
            <v>30.104700000000001</v>
          </cell>
        </row>
        <row r="8935">
          <cell r="B8935" t="str">
            <v>INF843K01KC8</v>
          </cell>
          <cell r="C8935" t="str">
            <v>-</v>
          </cell>
          <cell r="D8935" t="str">
            <v>Edelweiss Equity Savings Fund - Direct Plan - Growth Option</v>
          </cell>
          <cell r="E8935">
            <v>30.0916</v>
          </cell>
        </row>
        <row r="8936">
          <cell r="B8936" t="str">
            <v>INF843K01KE4</v>
          </cell>
          <cell r="C8936" t="str">
            <v>INF843K01KF1</v>
          </cell>
          <cell r="D8936" t="str">
            <v>Edelweiss Equity Savings Fund - Direct Plan - IDCW Option</v>
          </cell>
          <cell r="E8936">
            <v>21.5717</v>
          </cell>
        </row>
        <row r="8937">
          <cell r="B8937" t="str">
            <v>INF754K01IN8</v>
          </cell>
          <cell r="C8937" t="str">
            <v>INF754K01IO6</v>
          </cell>
          <cell r="D8937" t="str">
            <v>Edelweiss Equity Savings Fund - Direct Plan - Monthly - IDCW Option</v>
          </cell>
          <cell r="E8937">
            <v>16.6951</v>
          </cell>
        </row>
        <row r="8938">
          <cell r="B8938" t="str">
            <v>INF843K01KH7</v>
          </cell>
          <cell r="C8938" t="str">
            <v>-</v>
          </cell>
          <cell r="D8938" t="str">
            <v>Edelweiss Equity Savings Fund - Regular Plan - Bonus Option</v>
          </cell>
          <cell r="E8938">
            <v>23.610199999999999</v>
          </cell>
        </row>
        <row r="8939">
          <cell r="B8939" t="str">
            <v>INF843K01KG9</v>
          </cell>
          <cell r="C8939" t="str">
            <v>-</v>
          </cell>
          <cell r="D8939" t="str">
            <v>Edelweiss Equity Savings Fund - Regular Plan - Growth Option</v>
          </cell>
          <cell r="E8939">
            <v>26.994499999999999</v>
          </cell>
        </row>
        <row r="8940">
          <cell r="B8940" t="str">
            <v>INF843K01KI5</v>
          </cell>
          <cell r="C8940" t="str">
            <v>INF843K01KJ3</v>
          </cell>
          <cell r="D8940" t="str">
            <v>Edelweiss Equity Savings Fund - Regular Plan - IDCW Option</v>
          </cell>
          <cell r="E8940">
            <v>18.354700000000001</v>
          </cell>
        </row>
        <row r="8941">
          <cell r="B8941" t="str">
            <v>INF754K01IP3</v>
          </cell>
          <cell r="C8941" t="str">
            <v>INF754K01IQ1</v>
          </cell>
          <cell r="D8941" t="str">
            <v>Edelweiss Equity Savings Fund - Regular Plan - Monthly - IDCW Option</v>
          </cell>
          <cell r="E8941">
            <v>14.4704</v>
          </cell>
        </row>
        <row r="8942">
          <cell r="B8942" t="str">
            <v/>
          </cell>
          <cell r="C8942" t="str">
            <v/>
          </cell>
          <cell r="D8942" t="str">
            <v/>
          </cell>
        </row>
        <row r="8943">
          <cell r="B8943" t="str">
            <v/>
          </cell>
          <cell r="C8943" t="str">
            <v/>
          </cell>
          <cell r="D8943" t="str">
            <v/>
          </cell>
        </row>
        <row r="8944">
          <cell r="B8944" t="str">
            <v/>
          </cell>
          <cell r="C8944" t="str">
            <v/>
          </cell>
          <cell r="D8944" t="str">
            <v/>
          </cell>
        </row>
        <row r="8945">
          <cell r="B8945" t="str">
            <v>INF090I01PC9</v>
          </cell>
          <cell r="C8945" t="str">
            <v>INF090I01PB1</v>
          </cell>
          <cell r="D8945" t="str">
            <v xml:space="preserve">Franklin India Equity Savings Fund - Direct - IDCW </v>
          </cell>
          <cell r="E8945">
            <v>15.2317</v>
          </cell>
        </row>
        <row r="8946">
          <cell r="B8946" t="str">
            <v>INF090I01PH8</v>
          </cell>
          <cell r="C8946" t="str">
            <v>INF090I01PG0</v>
          </cell>
          <cell r="D8946" t="str">
            <v>Franklin India Equity Savings Fund - Direct - Monthly - IDCW</v>
          </cell>
          <cell r="E8946">
            <v>13.7334</v>
          </cell>
        </row>
        <row r="8947">
          <cell r="B8947" t="str">
            <v>INF090I01PL0</v>
          </cell>
          <cell r="C8947" t="str">
            <v>INF090I01PK2</v>
          </cell>
          <cell r="D8947" t="str">
            <v>Franklin India Equity Savings Fund - Direct - Quarterly - IDCW</v>
          </cell>
          <cell r="E8947">
            <v>13.911899999999999</v>
          </cell>
        </row>
        <row r="8948">
          <cell r="B8948" t="str">
            <v>INF090I01OZ3</v>
          </cell>
          <cell r="C8948" t="str">
            <v>INF090I01OY6</v>
          </cell>
          <cell r="D8948" t="str">
            <v xml:space="preserve">Franklin India Equity Savings Fund - IDCW </v>
          </cell>
          <cell r="E8948">
            <v>13.882</v>
          </cell>
        </row>
        <row r="8949">
          <cell r="B8949" t="str">
            <v>INF090I01PF2</v>
          </cell>
          <cell r="C8949" t="str">
            <v>INF090I01PE5</v>
          </cell>
          <cell r="D8949" t="str">
            <v>Franklin India Equity Savings Fund - Monthly - IDCW</v>
          </cell>
          <cell r="E8949">
            <v>13.214499999999999</v>
          </cell>
        </row>
        <row r="8950">
          <cell r="B8950" t="str">
            <v>INF090I01PJ4</v>
          </cell>
          <cell r="C8950" t="str">
            <v>INF090I01PI6</v>
          </cell>
          <cell r="D8950" t="str">
            <v>Franklin India Equity Savings Fund - Quarterly - IDCW</v>
          </cell>
          <cell r="E8950">
            <v>12.2843</v>
          </cell>
        </row>
        <row r="8951">
          <cell r="B8951" t="str">
            <v>INF090I01PA3</v>
          </cell>
          <cell r="C8951" t="str">
            <v>-</v>
          </cell>
          <cell r="D8951" t="str">
            <v>Franklin India Equity Savings Fund- Growth</v>
          </cell>
          <cell r="E8951">
            <v>16.9377</v>
          </cell>
        </row>
        <row r="8952">
          <cell r="B8952" t="str">
            <v>INF090I01PD7</v>
          </cell>
          <cell r="C8952" t="str">
            <v>-</v>
          </cell>
          <cell r="D8952" t="str">
            <v>Franklin India Equity Savings Fund- Growth Direct</v>
          </cell>
          <cell r="E8952">
            <v>18.6601</v>
          </cell>
        </row>
        <row r="8953">
          <cell r="B8953" t="str">
            <v/>
          </cell>
          <cell r="C8953" t="str">
            <v/>
          </cell>
          <cell r="D8953" t="str">
            <v/>
          </cell>
        </row>
        <row r="8954">
          <cell r="B8954" t="str">
            <v/>
          </cell>
          <cell r="C8954" t="str">
            <v/>
          </cell>
          <cell r="D8954" t="str">
            <v/>
          </cell>
        </row>
        <row r="8955">
          <cell r="B8955" t="str">
            <v/>
          </cell>
          <cell r="C8955" t="str">
            <v/>
          </cell>
          <cell r="D8955" t="str">
            <v/>
          </cell>
        </row>
        <row r="8956">
          <cell r="B8956" t="str">
            <v>INF179K01XT4</v>
          </cell>
          <cell r="C8956" t="str">
            <v>-</v>
          </cell>
          <cell r="D8956" t="str">
            <v>HDFC Equity Savings Fund - Growth Option - Direct Plan</v>
          </cell>
          <cell r="E8956">
            <v>76.257999999999996</v>
          </cell>
        </row>
        <row r="8957">
          <cell r="B8957" t="str">
            <v>INF179K01AM7</v>
          </cell>
          <cell r="C8957" t="str">
            <v>-</v>
          </cell>
          <cell r="D8957" t="str">
            <v>HDFC Equity Savings Fund - GROWTH PLAN</v>
          </cell>
          <cell r="E8957">
            <v>67.48</v>
          </cell>
        </row>
        <row r="8958">
          <cell r="B8958" t="str">
            <v>INF179K01XR8</v>
          </cell>
          <cell r="C8958" t="str">
            <v>INF179K01XS6</v>
          </cell>
          <cell r="D8958" t="str">
            <v>HDFC Equity Savings Fund - IDCW Option - Direct Plan</v>
          </cell>
          <cell r="E8958">
            <v>15.013999999999999</v>
          </cell>
        </row>
        <row r="8959">
          <cell r="B8959" t="str">
            <v>INF179K01AK1</v>
          </cell>
          <cell r="C8959" t="str">
            <v>INF179K01AL9</v>
          </cell>
          <cell r="D8959" t="str">
            <v>HDFC Equity Savings Fund - IDCW PLAN</v>
          </cell>
          <cell r="E8959">
            <v>12.32</v>
          </cell>
        </row>
        <row r="8960">
          <cell r="B8960" t="str">
            <v/>
          </cell>
          <cell r="C8960" t="str">
            <v/>
          </cell>
          <cell r="D8960" t="str">
            <v/>
          </cell>
        </row>
        <row r="8961">
          <cell r="B8961" t="str">
            <v/>
          </cell>
          <cell r="C8961" t="str">
            <v/>
          </cell>
          <cell r="D8961" t="str">
            <v/>
          </cell>
        </row>
        <row r="8962">
          <cell r="B8962" t="str">
            <v/>
          </cell>
          <cell r="C8962" t="str">
            <v/>
          </cell>
          <cell r="D8962" t="str">
            <v/>
          </cell>
        </row>
        <row r="8963">
          <cell r="B8963" t="str">
            <v>INF917K01GE4</v>
          </cell>
          <cell r="C8963" t="str">
            <v>-</v>
          </cell>
          <cell r="D8963" t="str">
            <v>HSBC Equity Savings Fund - Direct Growth</v>
          </cell>
          <cell r="E8963">
            <v>41.04</v>
          </cell>
        </row>
        <row r="8964">
          <cell r="B8964" t="str">
            <v>INF917K01E37</v>
          </cell>
          <cell r="C8964" t="str">
            <v>INF917K01GA2</v>
          </cell>
          <cell r="D8964" t="str">
            <v>HSBC Equity Savings Fund - Direct Monthly IDCW</v>
          </cell>
          <cell r="E8964">
            <v>17.736699999999999</v>
          </cell>
        </row>
        <row r="8965">
          <cell r="B8965" t="str">
            <v>INF917K01GD6</v>
          </cell>
          <cell r="C8965" t="str">
            <v>INF917K01GC8</v>
          </cell>
          <cell r="D8965" t="str">
            <v>HSBC Equity Savings Fund - Direct Quarterly IDCW</v>
          </cell>
          <cell r="E8965">
            <v>18.338999999999999</v>
          </cell>
        </row>
        <row r="8966">
          <cell r="B8966" t="str">
            <v>INF917K01AA5</v>
          </cell>
          <cell r="C8966" t="str">
            <v>-</v>
          </cell>
          <cell r="D8966" t="str">
            <v>HSBC Equity Savings Fund - Regular Growth</v>
          </cell>
          <cell r="E8966">
            <v>36.678899999999999</v>
          </cell>
        </row>
        <row r="8967">
          <cell r="B8967" t="str">
            <v>INF917K01965</v>
          </cell>
          <cell r="C8967" t="str">
            <v>INF917K01973</v>
          </cell>
          <cell r="D8967" t="str">
            <v>HSBC Equity Savings Fund - Regular Monthly IDCW</v>
          </cell>
          <cell r="E8967">
            <v>15.534599999999999</v>
          </cell>
        </row>
        <row r="8968">
          <cell r="B8968" t="str">
            <v>INF917K01981</v>
          </cell>
          <cell r="C8968" t="str">
            <v>INF917K01999</v>
          </cell>
          <cell r="D8968" t="str">
            <v>HSBC Equity Savings Fund - Regular Quarterly IDCW</v>
          </cell>
          <cell r="E8968">
            <v>16.456199999999999</v>
          </cell>
        </row>
        <row r="8969">
          <cell r="B8969" t="str">
            <v/>
          </cell>
          <cell r="C8969" t="str">
            <v/>
          </cell>
          <cell r="D8969" t="str">
            <v/>
          </cell>
        </row>
        <row r="8970">
          <cell r="B8970" t="str">
            <v/>
          </cell>
          <cell r="C8970" t="str">
            <v/>
          </cell>
          <cell r="D8970" t="str">
            <v/>
          </cell>
        </row>
        <row r="8971">
          <cell r="B8971" t="str">
            <v/>
          </cell>
          <cell r="C8971" t="str">
            <v/>
          </cell>
          <cell r="D8971" t="str">
            <v/>
          </cell>
        </row>
        <row r="8972">
          <cell r="B8972" t="str">
            <v>INF109KA14I5</v>
          </cell>
          <cell r="C8972" t="str">
            <v>-</v>
          </cell>
          <cell r="D8972" t="str">
            <v>ICICI Prudential Equity Savings Fund - Cumulative option</v>
          </cell>
          <cell r="E8972">
            <v>23.23</v>
          </cell>
        </row>
        <row r="8973">
          <cell r="B8973" t="str">
            <v>INF109KA11J9</v>
          </cell>
          <cell r="C8973" t="str">
            <v>-</v>
          </cell>
          <cell r="D8973" t="str">
            <v>ICICI Prudential Equity Savings Fund - Direct Plan - Cumulative option</v>
          </cell>
          <cell r="E8973">
            <v>25.06</v>
          </cell>
        </row>
        <row r="8974">
          <cell r="B8974" t="str">
            <v>INF109KA14J3</v>
          </cell>
          <cell r="C8974" t="str">
            <v>INF109KA17J6</v>
          </cell>
          <cell r="D8974" t="str">
            <v>ICICI Prudential Equity Savings Fund - Direct Plan - Half Yearly IDCW</v>
          </cell>
          <cell r="E8974">
            <v>15.6</v>
          </cell>
        </row>
        <row r="8975">
          <cell r="B8975" t="str">
            <v>INF109KA12J7</v>
          </cell>
          <cell r="C8975" t="str">
            <v>INF109KA15J0</v>
          </cell>
          <cell r="D8975" t="str">
            <v>ICICI Prudential Equity Savings Fund - Direct Plan - Monthly IDCW</v>
          </cell>
          <cell r="E8975">
            <v>14.38</v>
          </cell>
        </row>
        <row r="8976">
          <cell r="B8976" t="str">
            <v>INF109KA13J5</v>
          </cell>
          <cell r="C8976" t="str">
            <v>INF109KA16J8</v>
          </cell>
          <cell r="D8976" t="str">
            <v>ICICI Prudential Equity Savings Fund - Direct Plan - Quarterly IDCW</v>
          </cell>
          <cell r="E8976">
            <v>15.67</v>
          </cell>
        </row>
        <row r="8977">
          <cell r="B8977" t="str">
            <v>INF109KA17I8</v>
          </cell>
          <cell r="C8977" t="str">
            <v>INF109KA10J1</v>
          </cell>
          <cell r="D8977" t="str">
            <v>ICICI Prudential Equity Savings Fund - Half Yearly IDCW</v>
          </cell>
          <cell r="E8977">
            <v>14.35</v>
          </cell>
        </row>
        <row r="8978">
          <cell r="B8978" t="str">
            <v>INF109KA15I2</v>
          </cell>
          <cell r="C8978" t="str">
            <v>INF109KA18I6</v>
          </cell>
          <cell r="D8978" t="str">
            <v>ICICI Prudential Equity Savings Fund - Monthly IDCW</v>
          </cell>
          <cell r="E8978">
            <v>12.17</v>
          </cell>
        </row>
        <row r="8979">
          <cell r="B8979" t="str">
            <v>INF109KA16I0</v>
          </cell>
          <cell r="C8979" t="str">
            <v>INF109KA19I4</v>
          </cell>
          <cell r="D8979" t="str">
            <v>ICICI Prudential Equity Savings Fund - Quarterly IDCW</v>
          </cell>
          <cell r="E8979">
            <v>13.13</v>
          </cell>
        </row>
        <row r="8980">
          <cell r="B8980" t="str">
            <v/>
          </cell>
          <cell r="C8980" t="str">
            <v/>
          </cell>
          <cell r="D8980" t="str">
            <v/>
          </cell>
        </row>
        <row r="8981">
          <cell r="B8981" t="str">
            <v/>
          </cell>
          <cell r="C8981" t="str">
            <v/>
          </cell>
          <cell r="D8981" t="str">
            <v/>
          </cell>
        </row>
        <row r="8982">
          <cell r="B8982" t="str">
            <v/>
          </cell>
          <cell r="C8982" t="str">
            <v/>
          </cell>
          <cell r="D8982" t="str">
            <v/>
          </cell>
        </row>
        <row r="8983">
          <cell r="B8983" t="str">
            <v>INF205KA1049</v>
          </cell>
          <cell r="C8983" t="str">
            <v>-</v>
          </cell>
          <cell r="D8983" t="str">
            <v>Invesco India Equity Savings Fund - Direct Plan - Growth</v>
          </cell>
          <cell r="E8983">
            <v>18.784199999999998</v>
          </cell>
        </row>
        <row r="8984">
          <cell r="B8984" t="str">
            <v>INF205KA1064</v>
          </cell>
          <cell r="C8984" t="str">
            <v>INF205KA1031</v>
          </cell>
          <cell r="D8984" t="str">
            <v>Invesco India Equity Savings Fund - Direct Plan - IDCW (Payout / Reinvestment)</v>
          </cell>
          <cell r="E8984">
            <v>18.7286</v>
          </cell>
        </row>
        <row r="8985">
          <cell r="B8985" t="str">
            <v>INF205KA1023</v>
          </cell>
          <cell r="C8985" t="str">
            <v>-</v>
          </cell>
          <cell r="D8985" t="str">
            <v>Invesco India Equity Savings Fund - Regular Plan - Growth</v>
          </cell>
          <cell r="E8985">
            <v>16.623999999999999</v>
          </cell>
        </row>
        <row r="8986">
          <cell r="B8986" t="str">
            <v>INF205KA1015</v>
          </cell>
          <cell r="C8986" t="str">
            <v>INF205KA1056</v>
          </cell>
          <cell r="D8986" t="str">
            <v>Invesco India Equity Savings Fund - Regular Plan - IDCW (Payout / Reinvestment)</v>
          </cell>
          <cell r="E8986">
            <v>16.623000000000001</v>
          </cell>
        </row>
        <row r="8987">
          <cell r="B8987" t="str">
            <v/>
          </cell>
          <cell r="C8987" t="str">
            <v/>
          </cell>
          <cell r="D8987" t="str">
            <v/>
          </cell>
        </row>
        <row r="8988">
          <cell r="B8988" t="str">
            <v/>
          </cell>
          <cell r="C8988" t="str">
            <v/>
          </cell>
          <cell r="D8988" t="str">
            <v/>
          </cell>
        </row>
        <row r="8989">
          <cell r="B8989" t="str">
            <v/>
          </cell>
          <cell r="C8989" t="str">
            <v/>
          </cell>
          <cell r="D8989" t="str">
            <v/>
          </cell>
        </row>
        <row r="8990">
          <cell r="B8990" t="str">
            <v>INF174K01D28</v>
          </cell>
          <cell r="C8990" t="str">
            <v>-</v>
          </cell>
          <cell r="D8990" t="str">
            <v>Kotak Equity Savings Fund - Direct - Growth</v>
          </cell>
          <cell r="E8990">
            <v>30.3553</v>
          </cell>
        </row>
        <row r="8991">
          <cell r="B8991" t="str">
            <v>INF174K01D36</v>
          </cell>
          <cell r="C8991" t="str">
            <v>INF174K01D51</v>
          </cell>
          <cell r="D8991" t="str">
            <v>Kotak Equity Savings Fund - Direct - Monthly Payout of Income Distribution cum capital withdrawal option</v>
          </cell>
          <cell r="E8991">
            <v>21.792200000000001</v>
          </cell>
        </row>
        <row r="8992">
          <cell r="B8992" t="str">
            <v>INF174K01C78</v>
          </cell>
          <cell r="C8992" t="str">
            <v>-</v>
          </cell>
          <cell r="D8992" t="str">
            <v>Kotak Equity Savings Fund - Regular - Growth</v>
          </cell>
          <cell r="E8992">
            <v>27.339400000000001</v>
          </cell>
        </row>
        <row r="8993">
          <cell r="B8993" t="str">
            <v>INF174K01C86</v>
          </cell>
          <cell r="C8993" t="str">
            <v>INF174K01D02</v>
          </cell>
          <cell r="D8993" t="str">
            <v>Kotak Equity Savings Fund - Regular - Monthly Payout of Income Distribution cum capital withdrawal option</v>
          </cell>
          <cell r="E8993">
            <v>20.0169</v>
          </cell>
        </row>
        <row r="8994">
          <cell r="B8994" t="str">
            <v/>
          </cell>
          <cell r="C8994" t="str">
            <v/>
          </cell>
          <cell r="D8994" t="str">
            <v/>
          </cell>
        </row>
        <row r="8995">
          <cell r="B8995" t="str">
            <v/>
          </cell>
          <cell r="C8995" t="str">
            <v/>
          </cell>
          <cell r="D8995" t="str">
            <v/>
          </cell>
        </row>
        <row r="8996">
          <cell r="B8996" t="str">
            <v/>
          </cell>
          <cell r="C8996" t="str">
            <v/>
          </cell>
          <cell r="D8996" t="str">
            <v/>
          </cell>
        </row>
        <row r="8997">
          <cell r="B8997" t="str">
            <v>INF397L01AZ5</v>
          </cell>
          <cell r="C8997" t="str">
            <v>-</v>
          </cell>
          <cell r="D8997" t="str">
            <v>LIC MF Equity Savings Fund-Direct Plan-Growth</v>
          </cell>
          <cell r="E8997">
            <v>32.147500000000001</v>
          </cell>
        </row>
        <row r="8998">
          <cell r="B8998" t="str">
            <v>INF397L01BA6</v>
          </cell>
          <cell r="C8998" t="str">
            <v>INF397L01BB4</v>
          </cell>
          <cell r="D8998" t="str">
            <v>LIC MF Equity Savings Fund-Direct Plan-Monthly IDCW</v>
          </cell>
          <cell r="E8998">
            <v>21.612400000000001</v>
          </cell>
        </row>
        <row r="8999">
          <cell r="B8999" t="str">
            <v>INF397L01BD0</v>
          </cell>
          <cell r="C8999" t="str">
            <v>INF397L01BE8</v>
          </cell>
          <cell r="D8999" t="str">
            <v>LIC MF Equity Savings Fund-Direct Plan-Quarterly IDCW</v>
          </cell>
          <cell r="E8999">
            <v>17.655999999999999</v>
          </cell>
        </row>
        <row r="9000">
          <cell r="B9000" t="str">
            <v>INF397L01315</v>
          </cell>
          <cell r="C9000" t="str">
            <v>-</v>
          </cell>
          <cell r="D9000" t="str">
            <v>LIC MF Equity Savings Fund-Regular Plan-Growth</v>
          </cell>
          <cell r="E9000">
            <v>28.182500000000001</v>
          </cell>
        </row>
        <row r="9001">
          <cell r="B9001" t="str">
            <v>INF397L01257</v>
          </cell>
          <cell r="C9001" t="str">
            <v>INF397L01265</v>
          </cell>
          <cell r="D9001" t="str">
            <v>LIC MF Equity Savings Fund-Regular Plan-Monthly IDCW</v>
          </cell>
          <cell r="E9001">
            <v>22.103100000000001</v>
          </cell>
        </row>
        <row r="9002">
          <cell r="B9002" t="str">
            <v>INF397L01281</v>
          </cell>
          <cell r="C9002" t="str">
            <v>INF397L01299</v>
          </cell>
          <cell r="D9002" t="str">
            <v>LIC MF Equity Savings Fund-Regular Plan-Quarterly IDCW</v>
          </cell>
          <cell r="E9002">
            <v>20.7407</v>
          </cell>
        </row>
        <row r="9003">
          <cell r="B9003" t="str">
            <v/>
          </cell>
          <cell r="C9003" t="str">
            <v/>
          </cell>
          <cell r="D9003" t="str">
            <v/>
          </cell>
        </row>
        <row r="9004">
          <cell r="B9004" t="str">
            <v/>
          </cell>
          <cell r="C9004" t="str">
            <v/>
          </cell>
          <cell r="D9004" t="str">
            <v/>
          </cell>
        </row>
        <row r="9005">
          <cell r="B9005" t="str">
            <v/>
          </cell>
          <cell r="C9005" t="str">
            <v/>
          </cell>
          <cell r="D9005" t="str">
            <v/>
          </cell>
        </row>
        <row r="9006">
          <cell r="B9006" t="str">
            <v>INF174V01184</v>
          </cell>
          <cell r="C9006" t="str">
            <v>-</v>
          </cell>
          <cell r="D9006" t="str">
            <v>Mahindra Manulife Equity Savings Fund - Direct Plan -Growth</v>
          </cell>
          <cell r="E9006">
            <v>25.511900000000001</v>
          </cell>
        </row>
        <row r="9007">
          <cell r="B9007" t="str">
            <v>INF174V01150</v>
          </cell>
          <cell r="C9007" t="str">
            <v>-</v>
          </cell>
          <cell r="D9007" t="str">
            <v>Mahindra Manulife Equity Savings Fund - Regular Plan - Growth</v>
          </cell>
          <cell r="E9007">
            <v>21.506</v>
          </cell>
        </row>
        <row r="9008">
          <cell r="B9008" t="str">
            <v>INF174V01192</v>
          </cell>
          <cell r="C9008" t="str">
            <v>INF174V01200</v>
          </cell>
          <cell r="D9008" t="str">
            <v>Mahindra Manulife Equity Savings Fund -Direct Plan -Quarterly IDCW</v>
          </cell>
          <cell r="E9008">
            <v>17.5305</v>
          </cell>
        </row>
        <row r="9009">
          <cell r="B9009" t="str">
            <v>INF174V01168</v>
          </cell>
          <cell r="C9009" t="str">
            <v>INF174V01176</v>
          </cell>
          <cell r="D9009" t="str">
            <v>Mahindra Manulife Equity Savings Fund -Regular Plan -Quarterly IDCW</v>
          </cell>
          <cell r="E9009">
            <v>14.033899999999999</v>
          </cell>
        </row>
        <row r="9010">
          <cell r="B9010" t="str">
            <v/>
          </cell>
          <cell r="C9010" t="str">
            <v/>
          </cell>
          <cell r="D9010" t="str">
            <v/>
          </cell>
        </row>
        <row r="9011">
          <cell r="B9011" t="str">
            <v/>
          </cell>
          <cell r="C9011" t="str">
            <v/>
          </cell>
          <cell r="D9011" t="str">
            <v/>
          </cell>
        </row>
        <row r="9012">
          <cell r="B9012" t="str">
            <v/>
          </cell>
          <cell r="C9012" t="str">
            <v/>
          </cell>
          <cell r="D9012" t="str">
            <v/>
          </cell>
        </row>
        <row r="9013">
          <cell r="B9013" t="str">
            <v>INF769K01EJ3</v>
          </cell>
          <cell r="C9013" t="str">
            <v>INF769K01EM7</v>
          </cell>
          <cell r="D9013" t="str">
            <v>Mirae Asset Equity Savings Fund Direct IDCW</v>
          </cell>
          <cell r="E9013">
            <v>13.673</v>
          </cell>
        </row>
        <row r="9014">
          <cell r="B9014" t="str">
            <v>INF769K01EH7</v>
          </cell>
          <cell r="C9014" t="str">
            <v>INF769K01EL9</v>
          </cell>
          <cell r="D9014" t="str">
            <v>Mirae Asset Equity Savings Fund Regular IDCW</v>
          </cell>
          <cell r="E9014">
            <v>12.513</v>
          </cell>
        </row>
        <row r="9015">
          <cell r="B9015" t="str">
            <v>INF769K01EK1</v>
          </cell>
          <cell r="C9015" t="str">
            <v>-</v>
          </cell>
          <cell r="D9015" t="str">
            <v>Mirae Asset Equity Savings Fund- Direct Plan- Growth</v>
          </cell>
          <cell r="E9015">
            <v>22.861999999999998</v>
          </cell>
        </row>
        <row r="9016">
          <cell r="B9016" t="str">
            <v>INF769K01EI5</v>
          </cell>
          <cell r="C9016" t="str">
            <v>-</v>
          </cell>
          <cell r="D9016" t="str">
            <v>Mirae Asset Equity Savings Fund- Regular Plan- Growth</v>
          </cell>
          <cell r="E9016">
            <v>21.140999999999998</v>
          </cell>
        </row>
        <row r="9017">
          <cell r="B9017" t="str">
            <v/>
          </cell>
          <cell r="C9017" t="str">
            <v/>
          </cell>
          <cell r="D9017" t="str">
            <v/>
          </cell>
        </row>
        <row r="9018">
          <cell r="B9018" t="str">
            <v/>
          </cell>
          <cell r="C9018" t="str">
            <v/>
          </cell>
          <cell r="D9018" t="str">
            <v/>
          </cell>
        </row>
        <row r="9019">
          <cell r="B9019" t="str">
            <v/>
          </cell>
          <cell r="C9019" t="str">
            <v/>
          </cell>
          <cell r="D9019" t="str">
            <v/>
          </cell>
        </row>
        <row r="9020">
          <cell r="B9020" t="str">
            <v>INF204KB11S7</v>
          </cell>
          <cell r="C9020" t="str">
            <v>INF204KB12S5</v>
          </cell>
          <cell r="D9020" t="str">
            <v>NIPPON INDIA EQUITY SAVINGS FUND -  SEGREGATED PORTFOLIO 2 - Direct Plan - IDCW Option</v>
          </cell>
          <cell r="E9020">
            <v>0</v>
          </cell>
        </row>
        <row r="9021">
          <cell r="B9021" t="str">
            <v>INF204KB13S3</v>
          </cell>
          <cell r="C9021" t="str">
            <v>INF204KB14S1</v>
          </cell>
          <cell r="D9021" t="str">
            <v>NIPPON INDIA EQUITY SAVINGS FUND -  SEGREGATED PORTFOLIO 2 - Direct Plan - MONTHLY IDCW Option</v>
          </cell>
          <cell r="E9021">
            <v>0</v>
          </cell>
        </row>
        <row r="9022">
          <cell r="B9022" t="str">
            <v>INF204KB19R2</v>
          </cell>
          <cell r="C9022" t="str">
            <v>INF204KB10S9</v>
          </cell>
          <cell r="D9022" t="str">
            <v>NIPPON INDIA EQUITY SAVINGS FUND -  SEGREGATED PORTFOLIO 2 - Direct Plan - QUARTERLY IDCW Option</v>
          </cell>
          <cell r="E9022">
            <v>0</v>
          </cell>
        </row>
        <row r="9023">
          <cell r="B9023" t="str">
            <v>INF204KB19S0</v>
          </cell>
          <cell r="C9023" t="str">
            <v>INF204KB10T7</v>
          </cell>
          <cell r="D9023" t="str">
            <v>NIPPON INDIA EQUITY SAVINGS FUND -  SEGREGATED PORTFOLIO 2 - IDCW Option</v>
          </cell>
          <cell r="E9023">
            <v>0</v>
          </cell>
        </row>
        <row r="9024">
          <cell r="B9024" t="str">
            <v>INF204KB11T5</v>
          </cell>
          <cell r="C9024" t="str">
            <v>INF204KB12T3</v>
          </cell>
          <cell r="D9024" t="str">
            <v>NIPPON INDIA EQUITY SAVINGS FUND -  SEGREGATED PORTFOLIO 2 - MONTHLY IDCW Option</v>
          </cell>
          <cell r="E9024">
            <v>0</v>
          </cell>
        </row>
        <row r="9025">
          <cell r="B9025" t="str">
            <v>INF204KB17S4</v>
          </cell>
          <cell r="C9025" t="str">
            <v>INF204KB18S2</v>
          </cell>
          <cell r="D9025" t="str">
            <v>NIPPON INDIA EQUITY SAVINGS FUND -  SEGREGATED PORTFOLIO 2 - QUARTERLY IDCW Option</v>
          </cell>
          <cell r="E9025">
            <v>0</v>
          </cell>
        </row>
        <row r="9026">
          <cell r="B9026" t="str">
            <v>INF204KA1W93</v>
          </cell>
          <cell r="C9026" t="str">
            <v>INF204KA1X01</v>
          </cell>
          <cell r="D9026" t="str">
            <v>NIPPON INDIA EQUITY SAVINGS FUND - Direct Plan - IDCW Option</v>
          </cell>
          <cell r="E9026">
            <v>15.741300000000001</v>
          </cell>
        </row>
        <row r="9027">
          <cell r="B9027" t="str">
            <v>INF204KA1X35</v>
          </cell>
          <cell r="C9027" t="str">
            <v>INF204KA1X43</v>
          </cell>
          <cell r="D9027" t="str">
            <v>NIPPON INDIA EQUITY SAVINGS FUND - Direct Plan - MONTHLY IDCW Option</v>
          </cell>
          <cell r="E9027">
            <v>15.514200000000001</v>
          </cell>
        </row>
        <row r="9028">
          <cell r="B9028" t="str">
            <v>INF204KA1X19</v>
          </cell>
          <cell r="C9028" t="str">
            <v>INF204KA1X27</v>
          </cell>
          <cell r="D9028" t="str">
            <v>NIPPON INDIA EQUITY SAVINGS FUND - Direct Plan - QUARTERLY IDCW Option</v>
          </cell>
          <cell r="E9028">
            <v>15.4992</v>
          </cell>
        </row>
        <row r="9029">
          <cell r="B9029" t="str">
            <v>INF204KA1W10</v>
          </cell>
          <cell r="C9029" t="str">
            <v>INF204KA1W28</v>
          </cell>
          <cell r="D9029" t="str">
            <v>NIPPON INDIA EQUITY SAVINGS FUND - IDCW Option</v>
          </cell>
          <cell r="E9029">
            <v>14.0488</v>
          </cell>
        </row>
        <row r="9030">
          <cell r="B9030" t="str">
            <v>INF204KA1W51</v>
          </cell>
          <cell r="C9030" t="str">
            <v>INF204KA1W69</v>
          </cell>
          <cell r="D9030" t="str">
            <v>NIPPON INDIA EQUITY SAVINGS FUND - MONTHLY IDCW Option</v>
          </cell>
          <cell r="E9030">
            <v>13.857799999999999</v>
          </cell>
        </row>
        <row r="9031">
          <cell r="B9031" t="str">
            <v>INF204KA1W36</v>
          </cell>
          <cell r="C9031" t="str">
            <v>INF204KA1W44</v>
          </cell>
          <cell r="D9031" t="str">
            <v>NIPPON INDIA EQUITY SAVINGS FUND - QUARTERLY IDCW Option</v>
          </cell>
          <cell r="E9031">
            <v>13.8482</v>
          </cell>
        </row>
        <row r="9032">
          <cell r="B9032" t="str">
            <v>INF204KB10E9</v>
          </cell>
          <cell r="C9032" t="str">
            <v>-</v>
          </cell>
          <cell r="D9032" t="str">
            <v>Nippon India Equity Savings Fund - Segregated Portfolio 1 - Direct Plan - Growth Plan - Bonus Option</v>
          </cell>
          <cell r="E9032">
            <v>0.68279999999999996</v>
          </cell>
        </row>
        <row r="9033">
          <cell r="B9033" t="str">
            <v>INF204KB11E7</v>
          </cell>
          <cell r="C9033" t="str">
            <v>-</v>
          </cell>
          <cell r="D9033" t="str">
            <v>Nippon India Equity Savings Fund - Segregated Portfolio 1 - Direct Plan - Growth Plan - Growth Option</v>
          </cell>
          <cell r="E9033">
            <v>0.68279999999999996</v>
          </cell>
        </row>
        <row r="9034">
          <cell r="B9034" t="str">
            <v>INF204KB14E1</v>
          </cell>
          <cell r="C9034" t="str">
            <v>INF204KB15E8</v>
          </cell>
          <cell r="D9034" t="str">
            <v>NIPPON INDIA EQUITY SAVINGS FUND - SEGREGATED PORTFOLIO 1 - Direct Plan - IDCW Option</v>
          </cell>
          <cell r="E9034">
            <v>0.58860000000000001</v>
          </cell>
        </row>
        <row r="9035">
          <cell r="B9035" t="str">
            <v>INF204KB16E6</v>
          </cell>
          <cell r="C9035" t="str">
            <v>INF204KB17E4</v>
          </cell>
          <cell r="D9035" t="str">
            <v>NIPPON INDIA EQUITY SAVINGS FUND - SEGREGATED PORTFOLIO 1 - Direct Plan - MONTHLY IDCW Option</v>
          </cell>
          <cell r="E9035">
            <v>0.58009999999999995</v>
          </cell>
        </row>
        <row r="9036">
          <cell r="B9036" t="str">
            <v>INF204KB12E5</v>
          </cell>
          <cell r="C9036" t="str">
            <v>INF204KB13E3</v>
          </cell>
          <cell r="D9036" t="str">
            <v>NIPPON INDIA EQUITY SAVINGS FUND - SEGREGATED PORTFOLIO 1 - Direct Plan - QUARTERLY IDCW Option</v>
          </cell>
          <cell r="E9036">
            <v>0.57950000000000002</v>
          </cell>
        </row>
        <row r="9037">
          <cell r="B9037" t="str">
            <v>INF204KB18E2</v>
          </cell>
          <cell r="C9037" t="str">
            <v>-</v>
          </cell>
          <cell r="D9037" t="str">
            <v>Nippon India Equity Savings Fund - Segregated Portfolio 1 - Growth Plan - Bonus Option</v>
          </cell>
          <cell r="E9037">
            <v>0.65200000000000002</v>
          </cell>
        </row>
        <row r="9038">
          <cell r="B9038" t="str">
            <v>INF204KB19E0</v>
          </cell>
          <cell r="C9038" t="str">
            <v>-</v>
          </cell>
          <cell r="D9038" t="str">
            <v>Nippon India Equity Savings Fund - Segregated Portfolio 1 - Growth Plan - Growth Option</v>
          </cell>
          <cell r="E9038">
            <v>0.65200000000000002</v>
          </cell>
        </row>
        <row r="9039">
          <cell r="B9039" t="str">
            <v>INF204KB12F2</v>
          </cell>
          <cell r="C9039" t="str">
            <v>INF204KB13F0</v>
          </cell>
          <cell r="D9039" t="str">
            <v>NIPPON INDIA EQUITY SAVINGS FUND - SEGREGATED PORTFOLIO 1 - IDCW Option</v>
          </cell>
          <cell r="E9039">
            <v>0.55859999999999999</v>
          </cell>
        </row>
        <row r="9040">
          <cell r="B9040" t="str">
            <v>INF204KB14F8</v>
          </cell>
          <cell r="C9040" t="str">
            <v>INF204KB15F5</v>
          </cell>
          <cell r="D9040" t="str">
            <v>NIPPON INDIA EQUITY SAVINGS FUND - SEGREGATED PORTFOLIO 1 - MONTHLY IDCW Option</v>
          </cell>
          <cell r="E9040">
            <v>0.55089999999999995</v>
          </cell>
        </row>
        <row r="9041">
          <cell r="B9041" t="str">
            <v>INF204KB10F6</v>
          </cell>
          <cell r="C9041" t="str">
            <v>INF204KB11F4</v>
          </cell>
          <cell r="D9041" t="str">
            <v>NIPPON INDIA EQUITY SAVINGS FUND - SEGREGATED PORTFOLIO 1 - QUARTERLY IDCW Option</v>
          </cell>
          <cell r="E9041">
            <v>0.55049999999999999</v>
          </cell>
        </row>
        <row r="9042">
          <cell r="B9042" t="str">
            <v>INF204KB17R6</v>
          </cell>
          <cell r="C9042" t="str">
            <v>-</v>
          </cell>
          <cell r="D9042" t="str">
            <v>Nippon India Equity Savings Fund - Segregated Portfolio 2 - Direct Plan - Growth Plan - Bonus Option</v>
          </cell>
          <cell r="E9042">
            <v>0</v>
          </cell>
        </row>
        <row r="9043">
          <cell r="B9043" t="str">
            <v>INF204KB18R4</v>
          </cell>
          <cell r="C9043" t="str">
            <v>-</v>
          </cell>
          <cell r="D9043" t="str">
            <v>Nippon India Equity Savings Fund - Segregated Portfolio 2 - Direct Plan - Growth Plan - Growth Option</v>
          </cell>
          <cell r="E9043">
            <v>0</v>
          </cell>
        </row>
        <row r="9044">
          <cell r="B9044" t="str">
            <v>INF204KB15S8</v>
          </cell>
          <cell r="C9044" t="str">
            <v>-</v>
          </cell>
          <cell r="D9044" t="str">
            <v>Nippon India Equity Savings Fund - Segregated Portfolio 2 - Growth Plan - Bonus Option</v>
          </cell>
          <cell r="E9044">
            <v>0</v>
          </cell>
        </row>
        <row r="9045">
          <cell r="B9045" t="str">
            <v>INF204KB16S6</v>
          </cell>
          <cell r="C9045" t="str">
            <v>-</v>
          </cell>
          <cell r="D9045" t="str">
            <v>Nippon India Equity Savings Fund - Segregated Portfolio 2 - Growth Plan - Growth Option</v>
          </cell>
          <cell r="E9045">
            <v>0</v>
          </cell>
        </row>
        <row r="9046">
          <cell r="B9046" t="str">
            <v>INF204KA1W85</v>
          </cell>
          <cell r="C9046" t="str">
            <v>-</v>
          </cell>
          <cell r="D9046" t="str">
            <v>Nippon India Equity Savings Fund- Direct Plan- Growth Plan- Bonus Option</v>
          </cell>
          <cell r="E9046">
            <v>18.261099999999999</v>
          </cell>
        </row>
        <row r="9047">
          <cell r="B9047" t="str">
            <v>INF204KA1W77</v>
          </cell>
          <cell r="C9047" t="str">
            <v>-</v>
          </cell>
          <cell r="D9047" t="str">
            <v>Nippon India Equity Savings Fund- Direct Plan- Growth Plan-Growth Option</v>
          </cell>
          <cell r="E9047">
            <v>18.261099999999999</v>
          </cell>
        </row>
        <row r="9048">
          <cell r="B9048" t="str">
            <v>INF204KA1W02</v>
          </cell>
          <cell r="C9048" t="str">
            <v>-</v>
          </cell>
          <cell r="D9048" t="str">
            <v>Nippon India Equity Savings Fund- Growth Plan- Bonus Option</v>
          </cell>
          <cell r="E9048">
            <v>16.3995</v>
          </cell>
        </row>
        <row r="9049">
          <cell r="B9049" t="str">
            <v>INF204KA1V94</v>
          </cell>
          <cell r="C9049" t="str">
            <v>-</v>
          </cell>
          <cell r="D9049" t="str">
            <v>Nippon India Equity Savings Fund- Growth Plan- Growth Option</v>
          </cell>
          <cell r="E9049">
            <v>16.3995</v>
          </cell>
        </row>
        <row r="9050">
          <cell r="B9050" t="str">
            <v/>
          </cell>
          <cell r="C9050" t="str">
            <v/>
          </cell>
          <cell r="D9050" t="str">
            <v/>
          </cell>
        </row>
        <row r="9051">
          <cell r="B9051" t="str">
            <v/>
          </cell>
          <cell r="C9051" t="str">
            <v/>
          </cell>
          <cell r="D9051" t="str">
            <v/>
          </cell>
        </row>
        <row r="9052">
          <cell r="B9052" t="str">
            <v/>
          </cell>
          <cell r="C9052" t="str">
            <v/>
          </cell>
          <cell r="D9052" t="str">
            <v/>
          </cell>
        </row>
        <row r="9053">
          <cell r="B9053" t="str">
            <v>INF223J01EZ9</v>
          </cell>
          <cell r="C9053" t="str">
            <v>INF223J01FA9</v>
          </cell>
          <cell r="D9053" t="str">
            <v>PGIM India Equity Savings Fund - Annual Dividend option</v>
          </cell>
          <cell r="E9053">
            <v>14.6814</v>
          </cell>
        </row>
        <row r="9054">
          <cell r="B9054" t="str">
            <v>INF223J01QA6</v>
          </cell>
          <cell r="C9054" t="str">
            <v>INF223J01QB4</v>
          </cell>
          <cell r="D9054" t="str">
            <v>PGIM India Equity Savings Fund - Direct Plan - Annual Dividend</v>
          </cell>
          <cell r="E9054">
            <v>15.6778</v>
          </cell>
        </row>
        <row r="9055">
          <cell r="B9055" t="str">
            <v>INF223J01QD0</v>
          </cell>
          <cell r="C9055" t="str">
            <v>-</v>
          </cell>
          <cell r="D9055" t="str">
            <v>PGIM India Equity Savings Fund - Direct Plan - Growth</v>
          </cell>
          <cell r="E9055">
            <v>58.188800000000001</v>
          </cell>
        </row>
        <row r="9056">
          <cell r="B9056" t="str">
            <v>INF663L01YM8</v>
          </cell>
          <cell r="C9056" t="str">
            <v>INF663L01YN6</v>
          </cell>
          <cell r="D9056" t="str">
            <v>PGIM India Equity Savings Fund - Direct Plan - Half yearly Dividend option</v>
          </cell>
          <cell r="E9056">
            <v>12.3735</v>
          </cell>
        </row>
        <row r="9057">
          <cell r="B9057" t="str">
            <v>INF223J01QE8</v>
          </cell>
          <cell r="C9057" t="str">
            <v>INF223J01QF5</v>
          </cell>
          <cell r="D9057" t="str">
            <v>PGIM India Equity Savings Fund - Direct Plan - Monthly Dividend</v>
          </cell>
          <cell r="E9057">
            <v>13.692399999999999</v>
          </cell>
        </row>
        <row r="9058">
          <cell r="B9058" t="str">
            <v>INF223J01QG3</v>
          </cell>
          <cell r="C9058" t="str">
            <v>INF223J01QH1</v>
          </cell>
          <cell r="D9058" t="str">
            <v>PGIM India Equity Savings Fund - Direct Plan - Quarterly Dividend</v>
          </cell>
          <cell r="E9058">
            <v>12.792299999999999</v>
          </cell>
        </row>
        <row r="9059">
          <cell r="B9059" t="str">
            <v>INF663L01YQ9</v>
          </cell>
          <cell r="C9059" t="str">
            <v>INF663L01YR7</v>
          </cell>
          <cell r="D9059" t="str">
            <v>PGIM India Equity Savings Fund - Direct Plan - Regular Dividend Option</v>
          </cell>
          <cell r="E9059">
            <v>12.132899999999999</v>
          </cell>
        </row>
        <row r="9060">
          <cell r="B9060" t="str">
            <v>INF223J01FB7</v>
          </cell>
          <cell r="C9060" t="str">
            <v>-</v>
          </cell>
          <cell r="D9060" t="str">
            <v>PGIM India Equity Savings Fund - Growth Option</v>
          </cell>
          <cell r="E9060">
            <v>50.9923</v>
          </cell>
        </row>
        <row r="9061">
          <cell r="B9061" t="str">
            <v>INF223J01FC5</v>
          </cell>
          <cell r="C9061" t="str">
            <v>INF223J01FD3</v>
          </cell>
          <cell r="D9061" t="str">
            <v>PGIM India Equity Savings Fund - Monthly Dividend option</v>
          </cell>
          <cell r="E9061">
            <v>12.396100000000001</v>
          </cell>
        </row>
        <row r="9062">
          <cell r="B9062" t="str">
            <v>INF223J01FE1</v>
          </cell>
          <cell r="C9062" t="str">
            <v>INF223J01FF8</v>
          </cell>
          <cell r="D9062" t="str">
            <v>PGIM India Equity Savings Fund - Quarterly  Dividend</v>
          </cell>
          <cell r="E9062">
            <v>12.363899999999999</v>
          </cell>
        </row>
        <row r="9063">
          <cell r="B9063" t="str">
            <v>INF663L01YO4</v>
          </cell>
          <cell r="C9063" t="str">
            <v>INF663L01YP1</v>
          </cell>
          <cell r="D9063" t="str">
            <v>PGIM India Equity Savings Fund - Regular Plan - Regular Dividend Option</v>
          </cell>
          <cell r="E9063">
            <v>12.117900000000001</v>
          </cell>
        </row>
        <row r="9064">
          <cell r="B9064" t="str">
            <v/>
          </cell>
          <cell r="C9064" t="str">
            <v/>
          </cell>
          <cell r="D9064" t="str">
            <v/>
          </cell>
        </row>
        <row r="9065">
          <cell r="B9065" t="str">
            <v/>
          </cell>
          <cell r="C9065" t="str">
            <v/>
          </cell>
          <cell r="D9065" t="str">
            <v/>
          </cell>
        </row>
        <row r="9066">
          <cell r="B9066" t="str">
            <v/>
          </cell>
          <cell r="C9066" t="str">
            <v/>
          </cell>
          <cell r="D9066" t="str">
            <v/>
          </cell>
        </row>
        <row r="9067">
          <cell r="B9067" t="str">
            <v>INF966L01EC8</v>
          </cell>
          <cell r="C9067" t="str">
            <v>-</v>
          </cell>
          <cell r="D9067" t="str">
            <v>quant Equity Savings Fund - Growth Option - Direct Plan</v>
          </cell>
          <cell r="E9067">
            <v>10.8294</v>
          </cell>
        </row>
        <row r="9068">
          <cell r="B9068" t="str">
            <v>INF966L01EF1</v>
          </cell>
          <cell r="C9068" t="str">
            <v>-</v>
          </cell>
          <cell r="D9068" t="str">
            <v>quant Equity Savings Fund - Growth Option - Regular Plan</v>
          </cell>
          <cell r="E9068">
            <v>10.6456</v>
          </cell>
        </row>
        <row r="9069">
          <cell r="B9069" t="str">
            <v>INF966L01ED6</v>
          </cell>
          <cell r="C9069" t="str">
            <v>INF966L01EE4</v>
          </cell>
          <cell r="D9069" t="str">
            <v>quant Equity Savings Fund - IDCW Option - Direct Plan</v>
          </cell>
          <cell r="E9069">
            <v>10.802</v>
          </cell>
        </row>
        <row r="9070">
          <cell r="B9070" t="str">
            <v>INF966L01EG9</v>
          </cell>
          <cell r="C9070" t="str">
            <v>INF966L01EH7</v>
          </cell>
          <cell r="D9070" t="str">
            <v>quant Equity Savings Fund - IDCW Option - Regular Plan</v>
          </cell>
          <cell r="E9070">
            <v>10.645099999999999</v>
          </cell>
        </row>
        <row r="9071">
          <cell r="B9071" t="str">
            <v/>
          </cell>
          <cell r="C9071" t="str">
            <v/>
          </cell>
          <cell r="D9071" t="str">
            <v/>
          </cell>
        </row>
        <row r="9072">
          <cell r="B9072" t="str">
            <v/>
          </cell>
          <cell r="C9072" t="str">
            <v/>
          </cell>
          <cell r="D9072" t="str">
            <v/>
          </cell>
        </row>
        <row r="9073">
          <cell r="B9073" t="str">
            <v/>
          </cell>
          <cell r="C9073" t="str">
            <v/>
          </cell>
          <cell r="D9073" t="str">
            <v/>
          </cell>
        </row>
        <row r="9074">
          <cell r="B9074" t="str">
            <v>INF200KA1DF3</v>
          </cell>
          <cell r="C9074" t="str">
            <v>-</v>
          </cell>
          <cell r="D9074" t="str">
            <v>SBI Equity Savings Fund - Direct Plan - Growth</v>
          </cell>
          <cell r="E9074">
            <v>27.252700000000001</v>
          </cell>
        </row>
        <row r="9075">
          <cell r="B9075" t="str">
            <v>INF200KA1DG1</v>
          </cell>
          <cell r="C9075" t="str">
            <v>INF200KA1DH9</v>
          </cell>
          <cell r="D9075" t="str">
            <v>SBI Equity Savings Fund - Direct Plan - Monthly Income Distribution cum Capital Withdrawal Option (IDCW)</v>
          </cell>
          <cell r="E9075">
            <v>24.945499999999999</v>
          </cell>
        </row>
        <row r="9076">
          <cell r="B9076" t="str">
            <v>INF200KA1DI7</v>
          </cell>
          <cell r="C9076" t="str">
            <v>INF200KA1DJ5</v>
          </cell>
          <cell r="D9076" t="str">
            <v>SBI Equity Savings Fund - Direct Plan - Quarterly Income Distribution cum Capital Withdrawal Option (IDCW)</v>
          </cell>
          <cell r="E9076">
            <v>25.807600000000001</v>
          </cell>
        </row>
        <row r="9077">
          <cell r="B9077" t="str">
            <v>INF200KA1DA4</v>
          </cell>
          <cell r="C9077" t="str">
            <v>-</v>
          </cell>
          <cell r="D9077" t="str">
            <v>SBI Equity Savings Fund - Regular Plan - Growth</v>
          </cell>
          <cell r="E9077">
            <v>24.5745</v>
          </cell>
        </row>
        <row r="9078">
          <cell r="B9078" t="str">
            <v>INF200KA1DB2</v>
          </cell>
          <cell r="C9078" t="str">
            <v>INF200KA1DC0</v>
          </cell>
          <cell r="D9078" t="str">
            <v>SBI Equity Savings Fund - Regular Plan - Monthly Income Distribution cum Capital Withdrawal Option (IDCW)</v>
          </cell>
          <cell r="E9078">
            <v>22.783200000000001</v>
          </cell>
        </row>
        <row r="9079">
          <cell r="B9079" t="str">
            <v>INF200KA1DD8</v>
          </cell>
          <cell r="C9079" t="str">
            <v>INF200KA1DE6</v>
          </cell>
          <cell r="D9079" t="str">
            <v>SBI Equity Savings Fund - Regular Plan - Quarterly Income Distribution cum Capital Withdrawal Option (IDCW)</v>
          </cell>
          <cell r="E9079">
            <v>23.238199999999999</v>
          </cell>
        </row>
        <row r="9080">
          <cell r="B9080" t="str">
            <v/>
          </cell>
          <cell r="C9080" t="str">
            <v/>
          </cell>
          <cell r="D9080" t="str">
            <v/>
          </cell>
        </row>
        <row r="9081">
          <cell r="B9081" t="str">
            <v/>
          </cell>
          <cell r="C9081" t="str">
            <v/>
          </cell>
          <cell r="D9081" t="str">
            <v/>
          </cell>
        </row>
        <row r="9082">
          <cell r="B9082" t="str">
            <v/>
          </cell>
          <cell r="C9082" t="str">
            <v/>
          </cell>
          <cell r="D9082" t="str">
            <v/>
          </cell>
        </row>
        <row r="9083">
          <cell r="B9083" t="str">
            <v>INF173K01HC6</v>
          </cell>
          <cell r="C9083" t="str">
            <v>INF173K01HD4</v>
          </cell>
          <cell r="D9083" t="str">
            <v>Sundaram Equity Savings Fund (Formerly Known as  Principal Equity Savings Fund) - Direct Plan - Income Distribution CUM Capital Withdrawal Option (IDCW)</v>
          </cell>
          <cell r="E9083">
            <v>15.471399999999999</v>
          </cell>
        </row>
        <row r="9084">
          <cell r="B9084" t="str">
            <v>INF173K01GZ9</v>
          </cell>
          <cell r="C9084" t="str">
            <v>-</v>
          </cell>
          <cell r="D9084" t="str">
            <v>Sundaram Equity Savings Fund (Formerly Known as Principal Equity Savings Fund) - Direct Plan - Growth Option</v>
          </cell>
          <cell r="E9084">
            <v>83.375699999999995</v>
          </cell>
        </row>
        <row r="9085">
          <cell r="B9085" t="str">
            <v>INF173K01213</v>
          </cell>
          <cell r="C9085" t="str">
            <v>-</v>
          </cell>
          <cell r="D9085" t="str">
            <v>Sundaram Equity Savings Fund (Formerly Known as Principal Equity Savings Fund) - Growth Option</v>
          </cell>
          <cell r="E9085">
            <v>70.755600000000001</v>
          </cell>
        </row>
        <row r="9086">
          <cell r="B9086" t="str">
            <v>INF173K01262</v>
          </cell>
          <cell r="C9086" t="str">
            <v>INF173K01270</v>
          </cell>
          <cell r="D9086" t="str">
            <v>Sundaram Equity Savings Fund (Formerly Known as Principal Equity Savings Fund) - Income Distribution CUM Capital Withdrawal (IDCW)</v>
          </cell>
          <cell r="E9086">
            <v>17.116</v>
          </cell>
        </row>
        <row r="9087">
          <cell r="B9087" t="str">
            <v>INF173K01HF9</v>
          </cell>
          <cell r="C9087" t="str">
            <v>INF173K01HG7</v>
          </cell>
          <cell r="D9087" t="str">
            <v>Sundaram Equity Savings Fund (Formerly Known as Principal Equity Savings Fund)- Direct Plan - Income Distribution CUM Capital Withdrawal Option (IDCW)</v>
          </cell>
          <cell r="E9087">
            <v>24.9648</v>
          </cell>
        </row>
        <row r="9088">
          <cell r="B9088" t="str">
            <v>INF173K01247</v>
          </cell>
          <cell r="C9088" t="str">
            <v>INF173K01254</v>
          </cell>
          <cell r="D9088" t="str">
            <v>Sundaram Equity Savings Fund (Formerly Known as Principal Equity Savings Fund)- Income Distribution CUM Capital Withdrawal (IDCW)</v>
          </cell>
          <cell r="E9088">
            <v>14.196400000000001</v>
          </cell>
        </row>
        <row r="9089">
          <cell r="B9089" t="str">
            <v/>
          </cell>
          <cell r="C9089" t="str">
            <v/>
          </cell>
          <cell r="D9089" t="str">
            <v/>
          </cell>
        </row>
        <row r="9090">
          <cell r="B9090" t="str">
            <v/>
          </cell>
          <cell r="C9090" t="str">
            <v/>
          </cell>
          <cell r="D9090" t="str">
            <v/>
          </cell>
        </row>
        <row r="9091">
          <cell r="B9091" t="str">
            <v/>
          </cell>
          <cell r="C9091" t="str">
            <v/>
          </cell>
          <cell r="D9091" t="str">
            <v/>
          </cell>
        </row>
        <row r="9092">
          <cell r="B9092" t="str">
            <v>INF277K01907</v>
          </cell>
          <cell r="C9092" t="str">
            <v>-</v>
          </cell>
          <cell r="D9092" t="str">
            <v>Tata Equity Savings Fund -Regular Plan-Growth Option</v>
          </cell>
          <cell r="E9092">
            <v>56.3583</v>
          </cell>
        </row>
        <row r="9093">
          <cell r="B9093" t="str">
            <v>INF277K01QH5</v>
          </cell>
          <cell r="C9093" t="str">
            <v>-</v>
          </cell>
          <cell r="D9093" t="str">
            <v>Tata Equity Savings Fund- Direct Plan- Growth Option</v>
          </cell>
          <cell r="E9093">
            <v>63.749299999999998</v>
          </cell>
        </row>
        <row r="9094">
          <cell r="B9094" t="str">
            <v>INF277K01EF5</v>
          </cell>
          <cell r="C9094" t="str">
            <v>INF277K01915</v>
          </cell>
          <cell r="D9094" t="str">
            <v>Tata Equity Savings Fund- Regular Plan - Periodic Payout of IDCW Option</v>
          </cell>
          <cell r="E9094">
            <v>26.999099999999999</v>
          </cell>
        </row>
        <row r="9095">
          <cell r="B9095" t="str">
            <v>INF277K01EE8</v>
          </cell>
          <cell r="C9095" t="str">
            <v>INF277K01899</v>
          </cell>
          <cell r="D9095" t="str">
            <v>TATA Equity Savings Fund- Regular Plan -Monthly Payout of IDCW option</v>
          </cell>
          <cell r="E9095">
            <v>17.571200000000001</v>
          </cell>
        </row>
        <row r="9096">
          <cell r="B9096" t="str">
            <v>INF277K01QI3</v>
          </cell>
          <cell r="C9096" t="str">
            <v>INF277K01QJ1</v>
          </cell>
          <cell r="D9096" t="str">
            <v>Tata Equity Savings Fund-Direct Plan - Monthly Payout of IDCW Option</v>
          </cell>
          <cell r="E9096">
            <v>21.684899999999999</v>
          </cell>
        </row>
        <row r="9097">
          <cell r="B9097" t="str">
            <v>INF277K01QK9</v>
          </cell>
          <cell r="C9097" t="str">
            <v>INF277K01QL7</v>
          </cell>
          <cell r="D9097" t="str">
            <v>Tata Equity Savings Fund-Direct Plan - Periodic Payout of IDCWS Option</v>
          </cell>
          <cell r="E9097">
            <v>31.1493</v>
          </cell>
        </row>
        <row r="9098">
          <cell r="B9098" t="str">
            <v/>
          </cell>
          <cell r="C9098" t="str">
            <v/>
          </cell>
          <cell r="D9098" t="str">
            <v/>
          </cell>
        </row>
        <row r="9099">
          <cell r="B9099" t="str">
            <v/>
          </cell>
          <cell r="C9099" t="str">
            <v/>
          </cell>
          <cell r="D9099" t="str">
            <v/>
          </cell>
        </row>
        <row r="9100">
          <cell r="B9100" t="str">
            <v/>
          </cell>
          <cell r="C9100" t="str">
            <v/>
          </cell>
          <cell r="D9100" t="str">
            <v/>
          </cell>
        </row>
        <row r="9101">
          <cell r="B9101" t="str">
            <v>INF582M01EC1</v>
          </cell>
          <cell r="C9101" t="str">
            <v>-</v>
          </cell>
          <cell r="D9101" t="str">
            <v>Union Equity Savings Fund - Direct Plan - Growth Option</v>
          </cell>
          <cell r="E9101">
            <v>18.11</v>
          </cell>
        </row>
        <row r="9102">
          <cell r="B9102" t="str">
            <v>INF582M01EE7</v>
          </cell>
          <cell r="C9102" t="str">
            <v>INF582M01ED9</v>
          </cell>
          <cell r="D9102" t="str">
            <v>Union Equity Savings Fund - Direct Plan - IDCW Option</v>
          </cell>
          <cell r="E9102">
            <v>18.11</v>
          </cell>
        </row>
        <row r="9103">
          <cell r="B9103" t="str">
            <v>INF582M01EG2</v>
          </cell>
          <cell r="C9103" t="str">
            <v>-</v>
          </cell>
          <cell r="D9103" t="str">
            <v>Union Equity Savings Fund - Regular Plan - Growth Option</v>
          </cell>
          <cell r="E9103">
            <v>17.329999999999998</v>
          </cell>
        </row>
        <row r="9104">
          <cell r="B9104" t="str">
            <v>INF582M01EI8</v>
          </cell>
          <cell r="C9104" t="str">
            <v>INF582M01EH0</v>
          </cell>
          <cell r="D9104" t="str">
            <v>Union Equity Savings Fund - Regular Plan - IDCW Option</v>
          </cell>
          <cell r="E9104">
            <v>17.329999999999998</v>
          </cell>
        </row>
        <row r="9105">
          <cell r="B9105" t="str">
            <v/>
          </cell>
          <cell r="C9105" t="str">
            <v/>
          </cell>
          <cell r="D9105" t="str">
            <v/>
          </cell>
        </row>
        <row r="9106">
          <cell r="B9106" t="str">
            <v/>
          </cell>
          <cell r="C9106" t="str">
            <v/>
          </cell>
          <cell r="D9106" t="str">
            <v/>
          </cell>
        </row>
        <row r="9107">
          <cell r="B9107" t="str">
            <v/>
          </cell>
          <cell r="C9107" t="str">
            <v/>
          </cell>
          <cell r="D9107" t="str">
            <v/>
          </cell>
        </row>
        <row r="9108">
          <cell r="B9108" t="str">
            <v>INF789F1A777</v>
          </cell>
          <cell r="C9108" t="str">
            <v>-</v>
          </cell>
          <cell r="D9108" t="str">
            <v>UTI Equity Savings Fund - Direct Plan - Growth Option</v>
          </cell>
          <cell r="E9108">
            <v>20.2364</v>
          </cell>
        </row>
        <row r="9109">
          <cell r="B9109" t="str">
            <v>INF789F1A769</v>
          </cell>
          <cell r="C9109" t="str">
            <v>INF789F1A751</v>
          </cell>
          <cell r="D9109" t="str">
            <v>UTI Equity Savings Fund - Direct Plan - IDCW</v>
          </cell>
          <cell r="E9109">
            <v>20.2364</v>
          </cell>
        </row>
        <row r="9110">
          <cell r="B9110" t="str">
            <v>INF789F1A819</v>
          </cell>
          <cell r="C9110" t="str">
            <v>INF789F1A801</v>
          </cell>
          <cell r="D9110" t="str">
            <v>UTI Equity Savings Fund - Direct Plan - Monthly IDCW</v>
          </cell>
          <cell r="E9110">
            <v>20.237500000000001</v>
          </cell>
        </row>
        <row r="9111">
          <cell r="B9111" t="str">
            <v>INF789F1A850</v>
          </cell>
          <cell r="C9111" t="str">
            <v>INF789F1A843</v>
          </cell>
          <cell r="D9111" t="str">
            <v>UTI Equity Savings Fund - Direct Plan - Quarterly IDCW</v>
          </cell>
          <cell r="E9111">
            <v>20.2363</v>
          </cell>
        </row>
        <row r="9112">
          <cell r="B9112" t="str">
            <v>INF789F1A744</v>
          </cell>
          <cell r="C9112" t="str">
            <v>-</v>
          </cell>
          <cell r="D9112" t="str">
            <v>UTI Equity Savings Fund - Regular Plan - Growth Option</v>
          </cell>
          <cell r="E9112">
            <v>18.833100000000002</v>
          </cell>
        </row>
        <row r="9113">
          <cell r="B9113" t="str">
            <v>INF789F1A736</v>
          </cell>
          <cell r="C9113" t="str">
            <v>INF789F1A728</v>
          </cell>
          <cell r="D9113" t="str">
            <v>UTI Equity Savings Fund - Regular Plan - IDCW</v>
          </cell>
          <cell r="E9113">
            <v>18.833100000000002</v>
          </cell>
        </row>
        <row r="9114">
          <cell r="B9114" t="str">
            <v>INF789F1A793</v>
          </cell>
          <cell r="C9114" t="str">
            <v>INF789F1A785</v>
          </cell>
          <cell r="D9114" t="str">
            <v>UTI Equity Savings Fund - Regular Plan - Monthly IDCW</v>
          </cell>
          <cell r="E9114">
            <v>18.833200000000001</v>
          </cell>
        </row>
        <row r="9115">
          <cell r="B9115" t="str">
            <v>INF789F1A835</v>
          </cell>
          <cell r="C9115" t="str">
            <v>INF789F1A827</v>
          </cell>
          <cell r="D9115" t="str">
            <v>UTI Equity Savings Fund - Regular Plan - Quarterly IDCW</v>
          </cell>
          <cell r="E9115">
            <v>18.833100000000002</v>
          </cell>
        </row>
        <row r="9116">
          <cell r="B9116" t="str">
            <v/>
          </cell>
          <cell r="C9116" t="str">
            <v/>
          </cell>
          <cell r="D9116" t="str">
            <v/>
          </cell>
        </row>
        <row r="9117">
          <cell r="B9117" t="str">
            <v/>
          </cell>
          <cell r="C9117" t="str">
            <v/>
          </cell>
          <cell r="D9117" t="str">
            <v/>
          </cell>
        </row>
        <row r="9118">
          <cell r="B9118" t="str">
            <v/>
          </cell>
          <cell r="C9118" t="str">
            <v/>
          </cell>
          <cell r="D9118" t="str">
            <v/>
          </cell>
        </row>
        <row r="9119">
          <cell r="B9119" t="str">
            <v>INF03VN01AB7</v>
          </cell>
          <cell r="C9119" t="str">
            <v>-</v>
          </cell>
          <cell r="D9119" t="str">
            <v>WhiteOak Capital Equity Savings Fund Direct Plan Growth</v>
          </cell>
          <cell r="E9119">
            <v>11.717000000000001</v>
          </cell>
        </row>
        <row r="9120">
          <cell r="B9120" t="str">
            <v>INF03VN01AC5</v>
          </cell>
          <cell r="C9120" t="str">
            <v>-</v>
          </cell>
          <cell r="D9120" t="str">
            <v>WhiteOak Capital Equity Savings Fund Regular Plan Growth</v>
          </cell>
          <cell r="E9120">
            <v>11.483000000000001</v>
          </cell>
        </row>
        <row r="9121">
          <cell r="B9121" t="str">
            <v/>
          </cell>
          <cell r="C9121" t="str">
            <v/>
          </cell>
          <cell r="D9121" t="str">
            <v/>
          </cell>
        </row>
        <row r="9122">
          <cell r="B9122" t="str">
            <v/>
          </cell>
          <cell r="C9122" t="str">
            <v/>
          </cell>
          <cell r="D9122" t="str">
            <v/>
          </cell>
        </row>
        <row r="9123">
          <cell r="B9123" t="str">
            <v/>
          </cell>
          <cell r="C9123" t="str">
            <v/>
          </cell>
          <cell r="D9123" t="str">
            <v/>
          </cell>
        </row>
        <row r="9124">
          <cell r="B9124" t="str">
            <v/>
          </cell>
          <cell r="C9124" t="str">
            <v/>
          </cell>
          <cell r="D9124" t="str">
            <v/>
          </cell>
        </row>
        <row r="9125">
          <cell r="B9125" t="str">
            <v/>
          </cell>
          <cell r="C9125" t="str">
            <v/>
          </cell>
          <cell r="D9125" t="str">
            <v/>
          </cell>
        </row>
        <row r="9126">
          <cell r="B9126" t="str">
            <v>INF579M01BM2</v>
          </cell>
          <cell r="C9126" t="str">
            <v>-</v>
          </cell>
          <cell r="D9126" t="str">
            <v>360 ONE Multi Asset Allocation Fund - Direct Plan - Growth</v>
          </cell>
          <cell r="E9126">
            <v>12.239800000000001</v>
          </cell>
        </row>
        <row r="9127">
          <cell r="B9127" t="str">
            <v>INF579M01BN0</v>
          </cell>
          <cell r="C9127" t="str">
            <v>INF579M01BO8</v>
          </cell>
          <cell r="D9127" t="str">
            <v>360 ONE Multi Asset Allocation Fund - Direct Plan - IDCW</v>
          </cell>
          <cell r="E9127">
            <v>12.239800000000001</v>
          </cell>
        </row>
        <row r="9128">
          <cell r="B9128" t="str">
            <v>INF579M01BJ8</v>
          </cell>
          <cell r="C9128" t="str">
            <v>-</v>
          </cell>
          <cell r="D9128" t="str">
            <v>360 ONE Multi Asset Allocation Fund - Regular Plan - Growth</v>
          </cell>
          <cell r="E9128">
            <v>12.060700000000001</v>
          </cell>
        </row>
        <row r="9129">
          <cell r="B9129" t="str">
            <v>INF579M01BK6</v>
          </cell>
          <cell r="C9129" t="str">
            <v>INF579M01BL4</v>
          </cell>
          <cell r="D9129" t="str">
            <v>360 ONE Multi Asset Allocation Fund - Regular Plan - IDCW</v>
          </cell>
          <cell r="E9129">
            <v>12.060700000000001</v>
          </cell>
        </row>
        <row r="9130">
          <cell r="B9130" t="str">
            <v/>
          </cell>
          <cell r="C9130" t="str">
            <v/>
          </cell>
          <cell r="D9130" t="str">
            <v/>
          </cell>
        </row>
        <row r="9131">
          <cell r="B9131" t="str">
            <v/>
          </cell>
          <cell r="C9131" t="str">
            <v/>
          </cell>
          <cell r="D9131" t="str">
            <v/>
          </cell>
        </row>
        <row r="9132">
          <cell r="B9132" t="str">
            <v/>
          </cell>
          <cell r="C9132" t="str">
            <v/>
          </cell>
          <cell r="D9132" t="str">
            <v/>
          </cell>
        </row>
        <row r="9133">
          <cell r="B9133" t="str">
            <v>INF209KB15R9</v>
          </cell>
          <cell r="C9133" t="str">
            <v>-</v>
          </cell>
          <cell r="D9133" t="str">
            <v>Aditya Birla Sun Life Multi Asset Allocation Fund-Direct Growth</v>
          </cell>
          <cell r="E9133">
            <v>17.6723</v>
          </cell>
        </row>
        <row r="9134">
          <cell r="B9134" t="str">
            <v>INF209KB16R7</v>
          </cell>
          <cell r="C9134" t="str">
            <v>INF209KB17R5</v>
          </cell>
          <cell r="D9134" t="str">
            <v>Aditya Birla Sun Life Multi Asset Allocation Fund-Direct IDCW</v>
          </cell>
          <cell r="E9134">
            <v>15.9758</v>
          </cell>
        </row>
        <row r="9135">
          <cell r="B9135" t="str">
            <v>INF209KB12R6</v>
          </cell>
          <cell r="C9135" t="str">
            <v>-</v>
          </cell>
          <cell r="D9135" t="str">
            <v>Aditya Birla Sun Life Multi Asset Allocation Fund-Regular Growth</v>
          </cell>
          <cell r="E9135">
            <v>16.836300000000001</v>
          </cell>
        </row>
        <row r="9136">
          <cell r="B9136" t="str">
            <v>INF209KB13R4</v>
          </cell>
          <cell r="C9136" t="str">
            <v>INF209KB14R2</v>
          </cell>
          <cell r="D9136" t="str">
            <v>Aditya Birla Sun Life Multi Asset Allocation Fund-Regular IDCW</v>
          </cell>
          <cell r="E9136">
            <v>14.176500000000001</v>
          </cell>
        </row>
        <row r="9137">
          <cell r="B9137" t="str">
            <v/>
          </cell>
          <cell r="C9137" t="str">
            <v/>
          </cell>
          <cell r="D9137" t="str">
            <v/>
          </cell>
        </row>
        <row r="9138">
          <cell r="B9138" t="str">
            <v/>
          </cell>
          <cell r="C9138" t="str">
            <v/>
          </cell>
          <cell r="D9138" t="str">
            <v/>
          </cell>
        </row>
        <row r="9139">
          <cell r="B9139" t="str">
            <v/>
          </cell>
          <cell r="C9139" t="str">
            <v/>
          </cell>
          <cell r="D9139" t="str">
            <v/>
          </cell>
        </row>
        <row r="9140">
          <cell r="B9140" t="str">
            <v>INF846K01EV4</v>
          </cell>
          <cell r="C9140" t="str">
            <v>-</v>
          </cell>
          <cell r="D9140" t="str">
            <v>Axis Multi Asset Allocation Fund - Direct Plan - Growth Option</v>
          </cell>
          <cell r="E9140">
            <v>52.1738</v>
          </cell>
        </row>
        <row r="9141">
          <cell r="B9141" t="str">
            <v>INF846K01ET8</v>
          </cell>
          <cell r="C9141" t="str">
            <v>INF846K01EU6</v>
          </cell>
          <cell r="D9141" t="str">
            <v>Axis Multi Asset Allocation Fund - Direct Plan - Monthly IDCW</v>
          </cell>
          <cell r="E9141">
            <v>27.328600000000002</v>
          </cell>
        </row>
        <row r="9142">
          <cell r="B9142" t="str">
            <v>INF846K01768</v>
          </cell>
          <cell r="C9142" t="str">
            <v>-</v>
          </cell>
          <cell r="D9142" t="str">
            <v>Axis Multi Asset Allocation Fund - Regular Plan - Growth Option</v>
          </cell>
          <cell r="E9142">
            <v>44.502899999999997</v>
          </cell>
        </row>
        <row r="9143">
          <cell r="B9143" t="str">
            <v>INF846K01776</v>
          </cell>
          <cell r="C9143" t="str">
            <v>INF846K01784</v>
          </cell>
          <cell r="D9143" t="str">
            <v>Axis Multi Asset Allocation Fund - Regular Plan - Monthly IDCW</v>
          </cell>
          <cell r="E9143">
            <v>19.508800000000001</v>
          </cell>
        </row>
        <row r="9144">
          <cell r="B9144" t="str">
            <v/>
          </cell>
          <cell r="C9144" t="str">
            <v/>
          </cell>
          <cell r="D9144" t="str">
            <v/>
          </cell>
        </row>
        <row r="9145">
          <cell r="B9145" t="str">
            <v/>
          </cell>
          <cell r="C9145" t="str">
            <v/>
          </cell>
          <cell r="D9145" t="str">
            <v/>
          </cell>
        </row>
        <row r="9146">
          <cell r="B9146" t="str">
            <v/>
          </cell>
          <cell r="C9146" t="str">
            <v/>
          </cell>
          <cell r="D9146" t="str">
            <v/>
          </cell>
        </row>
        <row r="9147">
          <cell r="B9147" t="str">
            <v>INF0QA701821</v>
          </cell>
          <cell r="C9147" t="str">
            <v>-</v>
          </cell>
          <cell r="D9147" t="str">
            <v>Bajaj Finserv Multi Asset Allocation Fund - Direct Growth</v>
          </cell>
          <cell r="E9147">
            <v>12.560499999999999</v>
          </cell>
        </row>
        <row r="9148">
          <cell r="B9148" t="str">
            <v>INF0QA701839</v>
          </cell>
          <cell r="C9148" t="str">
            <v>INF0QA701847</v>
          </cell>
          <cell r="D9148" t="str">
            <v>Bajaj Finserv Multi Asset Allocation Fund - Direct IDCW</v>
          </cell>
          <cell r="E9148">
            <v>12.560499999999999</v>
          </cell>
        </row>
        <row r="9149">
          <cell r="B9149" t="str">
            <v>INF0QA701797</v>
          </cell>
          <cell r="C9149" t="str">
            <v>-</v>
          </cell>
          <cell r="D9149" t="str">
            <v>Bajaj Finserv Multi Asset Allocation Fund - Regular Growth</v>
          </cell>
          <cell r="E9149">
            <v>12.163399999999999</v>
          </cell>
        </row>
        <row r="9150">
          <cell r="B9150" t="str">
            <v>INF0QA701805</v>
          </cell>
          <cell r="C9150" t="str">
            <v>INF0QA701813</v>
          </cell>
          <cell r="D9150" t="str">
            <v>Bajaj Finserv Multi Asset Allocation Fund - Regular IDCW</v>
          </cell>
          <cell r="E9150">
            <v>12.163399999999999</v>
          </cell>
        </row>
        <row r="9151">
          <cell r="B9151" t="str">
            <v/>
          </cell>
          <cell r="C9151" t="str">
            <v/>
          </cell>
          <cell r="D9151" t="str">
            <v/>
          </cell>
        </row>
        <row r="9152">
          <cell r="B9152" t="str">
            <v/>
          </cell>
          <cell r="C9152" t="str">
            <v/>
          </cell>
          <cell r="D9152" t="str">
            <v/>
          </cell>
        </row>
        <row r="9153">
          <cell r="B9153" t="str">
            <v/>
          </cell>
          <cell r="C9153" t="str">
            <v/>
          </cell>
          <cell r="D9153" t="str">
            <v/>
          </cell>
        </row>
        <row r="9154">
          <cell r="B9154" t="str">
            <v>INF194KB1HM7</v>
          </cell>
          <cell r="C9154" t="str">
            <v>-</v>
          </cell>
          <cell r="D9154" t="str">
            <v>Bandhan Multi Asset Allocation Fund - Direct Plan - Growth</v>
          </cell>
          <cell r="E9154">
            <v>14.6469</v>
          </cell>
        </row>
        <row r="9155">
          <cell r="B9155" t="str">
            <v>INF194KB1HN5</v>
          </cell>
          <cell r="C9155" t="str">
            <v>INF194KB1HO3</v>
          </cell>
          <cell r="D9155" t="str">
            <v>Bandhan Multi Asset Allocation Fund - Direct Plan - IDCW</v>
          </cell>
          <cell r="E9155">
            <v>13.738200000000001</v>
          </cell>
        </row>
        <row r="9156">
          <cell r="B9156" t="str">
            <v>INF194KB1HJ3</v>
          </cell>
          <cell r="C9156" t="str">
            <v>-</v>
          </cell>
          <cell r="D9156" t="str">
            <v>Bandhan Multi Asset Allocation Fund - Regular Plan - Growth</v>
          </cell>
          <cell r="E9156">
            <v>14.106299999999999</v>
          </cell>
        </row>
        <row r="9157">
          <cell r="B9157" t="str">
            <v>INF194KB1HK1</v>
          </cell>
          <cell r="C9157" t="str">
            <v>INF194KB1HL9</v>
          </cell>
          <cell r="D9157" t="str">
            <v>Bandhan Multi Asset Allocation Fund - Regular Plan - IDCW</v>
          </cell>
          <cell r="E9157">
            <v>13.231199999999999</v>
          </cell>
        </row>
        <row r="9158">
          <cell r="B9158" t="str">
            <v/>
          </cell>
          <cell r="C9158" t="str">
            <v/>
          </cell>
          <cell r="D9158" t="str">
            <v/>
          </cell>
        </row>
        <row r="9159">
          <cell r="B9159" t="str">
            <v/>
          </cell>
          <cell r="C9159" t="str">
            <v/>
          </cell>
          <cell r="D9159" t="str">
            <v/>
          </cell>
        </row>
        <row r="9160">
          <cell r="B9160" t="str">
            <v/>
          </cell>
          <cell r="C9160" t="str">
            <v/>
          </cell>
          <cell r="D9160" t="str">
            <v/>
          </cell>
        </row>
        <row r="9161">
          <cell r="B9161" t="str">
            <v>INF761K01FZ3</v>
          </cell>
          <cell r="C9161" t="str">
            <v>-</v>
          </cell>
          <cell r="D9161" t="str">
            <v>Bank of India Multi Asset Allocation Fund-Direct Plan-Growth</v>
          </cell>
          <cell r="E9161">
            <v>12.916499999999999</v>
          </cell>
        </row>
        <row r="9162">
          <cell r="B9162" t="str">
            <v>INF761K01GA4</v>
          </cell>
          <cell r="C9162" t="str">
            <v>INF761K01GB2</v>
          </cell>
          <cell r="D9162" t="str">
            <v>Bank of India Multi Asset Allocation Fund-Direct Plan-IDCW</v>
          </cell>
          <cell r="E9162">
            <v>12.911300000000001</v>
          </cell>
        </row>
        <row r="9163">
          <cell r="B9163" t="str">
            <v>INF761K01FW0</v>
          </cell>
          <cell r="C9163" t="str">
            <v>-</v>
          </cell>
          <cell r="D9163" t="str">
            <v>Bank of India Multi Asset Allocation Fund-Regular Plan-Growth</v>
          </cell>
          <cell r="E9163">
            <v>12.598599999999999</v>
          </cell>
        </row>
        <row r="9164">
          <cell r="B9164" t="str">
            <v>INF761K01FX8</v>
          </cell>
          <cell r="C9164" t="str">
            <v>INF761K01FY6</v>
          </cell>
          <cell r="D9164" t="str">
            <v>Bank of India Multi Asset Allocation Fund-Regular Plan-IDCW</v>
          </cell>
          <cell r="E9164">
            <v>12.5997</v>
          </cell>
        </row>
        <row r="9165">
          <cell r="B9165" t="str">
            <v/>
          </cell>
          <cell r="C9165" t="str">
            <v/>
          </cell>
          <cell r="D9165" t="str">
            <v/>
          </cell>
        </row>
        <row r="9166">
          <cell r="B9166" t="str">
            <v/>
          </cell>
          <cell r="C9166" t="str">
            <v/>
          </cell>
          <cell r="D9166" t="str">
            <v/>
          </cell>
        </row>
        <row r="9167">
          <cell r="B9167" t="str">
            <v/>
          </cell>
          <cell r="C9167" t="str">
            <v/>
          </cell>
          <cell r="D9167" t="str">
            <v/>
          </cell>
        </row>
        <row r="9168">
          <cell r="B9168" t="str">
            <v>INF251K01RF2</v>
          </cell>
          <cell r="C9168" t="str">
            <v>-</v>
          </cell>
          <cell r="D9168" t="str">
            <v>Baroda BNP Paribas Multi Asset Fund - Direct Plan - Growth Option</v>
          </cell>
          <cell r="E9168">
            <v>16.841899999999999</v>
          </cell>
        </row>
        <row r="9169">
          <cell r="B9169" t="str">
            <v>INF251K01RG0</v>
          </cell>
          <cell r="C9169" t="str">
            <v>INF251K01RH8</v>
          </cell>
          <cell r="D9169" t="str">
            <v>Baroda BNP Paribas Multi Asset Fund - Direct Plan - IDCW Option</v>
          </cell>
          <cell r="E9169">
            <v>14.986000000000001</v>
          </cell>
        </row>
        <row r="9170">
          <cell r="B9170" t="str">
            <v>INF251K01RC9</v>
          </cell>
          <cell r="C9170" t="str">
            <v>-</v>
          </cell>
          <cell r="D9170" t="str">
            <v>Baroda BNP Paribas Multi Asset Fund - Regular Plan - Growth Option</v>
          </cell>
          <cell r="E9170">
            <v>16.0366</v>
          </cell>
        </row>
        <row r="9171">
          <cell r="B9171" t="str">
            <v>INF251K01RD7</v>
          </cell>
          <cell r="C9171" t="str">
            <v>INF251K01RE5</v>
          </cell>
          <cell r="D9171" t="str">
            <v>Baroda BNP Paribas Multi Asset Fund - Regular Plan - IDCW Option</v>
          </cell>
          <cell r="E9171">
            <v>14.015700000000001</v>
          </cell>
        </row>
        <row r="9172">
          <cell r="B9172" t="str">
            <v/>
          </cell>
          <cell r="C9172" t="str">
            <v/>
          </cell>
          <cell r="D9172" t="str">
            <v/>
          </cell>
        </row>
        <row r="9173">
          <cell r="B9173" t="str">
            <v/>
          </cell>
          <cell r="C9173" t="str">
            <v/>
          </cell>
          <cell r="D9173" t="str">
            <v/>
          </cell>
        </row>
        <row r="9174">
          <cell r="B9174" t="str">
            <v/>
          </cell>
          <cell r="C9174" t="str">
            <v/>
          </cell>
          <cell r="D9174" t="str">
            <v/>
          </cell>
        </row>
        <row r="9175">
          <cell r="B9175" t="str">
            <v>INF760K01LH1</v>
          </cell>
          <cell r="C9175" t="str">
            <v>-</v>
          </cell>
          <cell r="D9175" t="str">
            <v>Canara Robeco Multi Asset Allocation Fund - Direct Plan - Growth</v>
          </cell>
          <cell r="E9175">
            <v>11.21</v>
          </cell>
        </row>
        <row r="9176">
          <cell r="B9176" t="str">
            <v>INF760K01LJ7</v>
          </cell>
          <cell r="C9176" t="str">
            <v>INF760K01LL3</v>
          </cell>
          <cell r="D9176" t="str">
            <v>Canara Robeco Multi Asset Allocation Fund - Direct Plan - IDCW</v>
          </cell>
          <cell r="E9176">
            <v>11.21</v>
          </cell>
        </row>
        <row r="9177">
          <cell r="B9177" t="str">
            <v>INF760K01LG3</v>
          </cell>
          <cell r="C9177" t="str">
            <v>-</v>
          </cell>
          <cell r="D9177" t="str">
            <v>Canara Robeco Multi Asset Allocation Fund - Regular Plan - Growth</v>
          </cell>
          <cell r="E9177">
            <v>11.02</v>
          </cell>
        </row>
        <row r="9178">
          <cell r="B9178" t="str">
            <v>INF760K01LI9</v>
          </cell>
          <cell r="C9178" t="str">
            <v>INF760K01LK5</v>
          </cell>
          <cell r="D9178" t="str">
            <v>Canara Robeco Multi Asset Allocation Fund - Regular Plan - IDCW</v>
          </cell>
          <cell r="E9178">
            <v>11.01</v>
          </cell>
        </row>
        <row r="9179">
          <cell r="B9179" t="str">
            <v/>
          </cell>
          <cell r="C9179" t="str">
            <v/>
          </cell>
          <cell r="D9179" t="str">
            <v/>
          </cell>
        </row>
        <row r="9180">
          <cell r="B9180" t="str">
            <v/>
          </cell>
          <cell r="C9180" t="str">
            <v/>
          </cell>
          <cell r="D9180" t="str">
            <v/>
          </cell>
        </row>
        <row r="9181">
          <cell r="B9181" t="str">
            <v/>
          </cell>
          <cell r="C9181" t="str">
            <v/>
          </cell>
          <cell r="D9181" t="str">
            <v/>
          </cell>
        </row>
        <row r="9182">
          <cell r="B9182" t="str">
            <v>INF226401059</v>
          </cell>
          <cell r="C9182" t="str">
            <v>-</v>
          </cell>
          <cell r="D9182" t="str">
            <v>Capitalmind Multi Asset Allocation Fund-Direct-Growth</v>
          </cell>
          <cell r="E9182">
            <v>9.9397000000000002</v>
          </cell>
        </row>
        <row r="9183">
          <cell r="B9183" t="str">
            <v>INF226401067</v>
          </cell>
          <cell r="C9183" t="str">
            <v>INF226401075</v>
          </cell>
          <cell r="D9183" t="str">
            <v>Capitalmind Multi Asset Allocation Fund-Direct-IDCW</v>
          </cell>
          <cell r="E9183">
            <v>9.9397000000000002</v>
          </cell>
        </row>
        <row r="9184">
          <cell r="B9184" t="str">
            <v>INF226401083</v>
          </cell>
          <cell r="C9184" t="str">
            <v>-</v>
          </cell>
          <cell r="D9184" t="str">
            <v>Capitalmind Multi Asset Allocation Fund-Regular-Growth</v>
          </cell>
          <cell r="E9184">
            <v>9.8877000000000006</v>
          </cell>
        </row>
        <row r="9185">
          <cell r="B9185" t="str">
            <v>INF226401091</v>
          </cell>
          <cell r="C9185" t="str">
            <v>INF226401109</v>
          </cell>
          <cell r="D9185" t="str">
            <v>Capitalmind Multi Asset Allocation Fund-Regular-IDCW</v>
          </cell>
          <cell r="E9185">
            <v>9.8877000000000006</v>
          </cell>
        </row>
        <row r="9186">
          <cell r="B9186" t="str">
            <v/>
          </cell>
          <cell r="C9186" t="str">
            <v/>
          </cell>
          <cell r="D9186" t="str">
            <v/>
          </cell>
        </row>
        <row r="9187">
          <cell r="B9187" t="str">
            <v/>
          </cell>
          <cell r="C9187" t="str">
            <v/>
          </cell>
          <cell r="D9187" t="str">
            <v/>
          </cell>
        </row>
        <row r="9188">
          <cell r="B9188" t="str">
            <v/>
          </cell>
          <cell r="C9188" t="str">
            <v/>
          </cell>
          <cell r="D9188" t="str">
            <v/>
          </cell>
        </row>
        <row r="9189">
          <cell r="B9189" t="str">
            <v>INF740KA1TE9</v>
          </cell>
          <cell r="C9189" t="str">
            <v>-</v>
          </cell>
          <cell r="D9189" t="str">
            <v>DSP Multi Asset Allocation Fund - Direct - Growth</v>
          </cell>
          <cell r="E9189">
            <v>16.6845</v>
          </cell>
        </row>
        <row r="9190">
          <cell r="B9190" t="str">
            <v>INF740KA1TF6</v>
          </cell>
          <cell r="C9190" t="str">
            <v>INF740KA1TG4</v>
          </cell>
          <cell r="D9190" t="str">
            <v>DSP Multi Asset Allocation Fund - Direct - IDCW</v>
          </cell>
          <cell r="E9190">
            <v>15.890599999999999</v>
          </cell>
        </row>
        <row r="9191">
          <cell r="B9191" t="str">
            <v>INF740KA1TB5</v>
          </cell>
          <cell r="C9191" t="str">
            <v>-</v>
          </cell>
          <cell r="D9191" t="str">
            <v>DSP Multi Asset Allocation Fund - Regular - Growth</v>
          </cell>
          <cell r="E9191">
            <v>16.080200000000001</v>
          </cell>
        </row>
        <row r="9192">
          <cell r="B9192" t="str">
            <v>INF740KA1TC3</v>
          </cell>
          <cell r="C9192" t="str">
            <v>INF740KA1TD1</v>
          </cell>
          <cell r="D9192" t="str">
            <v>DSP Multi Asset Allocation Fund - Regular - IDCW</v>
          </cell>
          <cell r="E9192">
            <v>14.4903</v>
          </cell>
        </row>
        <row r="9193">
          <cell r="B9193" t="str">
            <v/>
          </cell>
          <cell r="C9193" t="str">
            <v/>
          </cell>
          <cell r="D9193" t="str">
            <v/>
          </cell>
        </row>
        <row r="9194">
          <cell r="B9194" t="str">
            <v/>
          </cell>
          <cell r="C9194" t="str">
            <v/>
          </cell>
          <cell r="D9194" t="str">
            <v/>
          </cell>
        </row>
        <row r="9195">
          <cell r="B9195" t="str">
            <v/>
          </cell>
          <cell r="C9195" t="str">
            <v/>
          </cell>
          <cell r="D9195" t="str">
            <v/>
          </cell>
        </row>
        <row r="9196">
          <cell r="B9196" t="str">
            <v>INF754K01RS8</v>
          </cell>
          <cell r="C9196" t="str">
            <v>-</v>
          </cell>
          <cell r="D9196" t="str">
            <v>Edelweiss Multi Asset Allocation Fund - Direct Plan - Growth</v>
          </cell>
          <cell r="E9196">
            <v>12.5792</v>
          </cell>
        </row>
        <row r="9197">
          <cell r="B9197" t="str">
            <v>INF754K01RT6</v>
          </cell>
          <cell r="C9197" t="str">
            <v>INF754K01RU4</v>
          </cell>
          <cell r="D9197" t="str">
            <v>Edelweiss Multi Asset Allocation Fund - Direct Plan - IDCW Option</v>
          </cell>
          <cell r="E9197">
            <v>12.176500000000001</v>
          </cell>
        </row>
        <row r="9198">
          <cell r="B9198" t="str">
            <v>INF754K01RO7</v>
          </cell>
          <cell r="C9198" t="str">
            <v>-</v>
          </cell>
          <cell r="D9198" t="str">
            <v>Edelweiss Multi Asset Allocation Fund - Regular Plan - Growth</v>
          </cell>
          <cell r="E9198">
            <v>12.453900000000001</v>
          </cell>
        </row>
        <row r="9199">
          <cell r="B9199" t="str">
            <v>INF754K01RP4</v>
          </cell>
          <cell r="C9199" t="str">
            <v>INF754K01RQ2</v>
          </cell>
          <cell r="D9199" t="str">
            <v>Edelweiss Multi Asset Allocation Fund - Regular Plan - IDCW Option</v>
          </cell>
          <cell r="E9199">
            <v>12.0519</v>
          </cell>
        </row>
        <row r="9200">
          <cell r="B9200" t="str">
            <v/>
          </cell>
          <cell r="C9200" t="str">
            <v/>
          </cell>
          <cell r="D9200" t="str">
            <v/>
          </cell>
        </row>
        <row r="9201">
          <cell r="B9201" t="str">
            <v/>
          </cell>
          <cell r="C9201" t="str">
            <v/>
          </cell>
          <cell r="D9201" t="str">
            <v/>
          </cell>
        </row>
        <row r="9202">
          <cell r="B9202" t="str">
            <v/>
          </cell>
          <cell r="C9202" t="str">
            <v/>
          </cell>
          <cell r="D9202" t="str">
            <v/>
          </cell>
        </row>
        <row r="9203">
          <cell r="B9203" t="str">
            <v>INF090I01YJ6</v>
          </cell>
          <cell r="C9203" t="str">
            <v>INF090I01YI8</v>
          </cell>
          <cell r="D9203" t="str">
            <v>Franklin India Multi Asset Allocation Fund- Direct- IDCW</v>
          </cell>
          <cell r="E9203">
            <v>11.0547</v>
          </cell>
        </row>
        <row r="9204">
          <cell r="B9204" t="str">
            <v>INF090I01YH0</v>
          </cell>
          <cell r="C9204" t="str">
            <v>-</v>
          </cell>
          <cell r="D9204" t="str">
            <v>Franklin India Multi Asset Allocation Fund- Direct-Growth</v>
          </cell>
          <cell r="E9204">
            <v>11.0547</v>
          </cell>
        </row>
        <row r="9205">
          <cell r="B9205" t="str">
            <v>INF090I01YM0</v>
          </cell>
          <cell r="C9205" t="str">
            <v>-</v>
          </cell>
          <cell r="D9205" t="str">
            <v>Franklin India Multi Asset Allocation Fund- Growth</v>
          </cell>
          <cell r="E9205">
            <v>10.879099999999999</v>
          </cell>
        </row>
        <row r="9206">
          <cell r="B9206" t="str">
            <v>INF090I01YL2</v>
          </cell>
          <cell r="C9206" t="str">
            <v>INF090I01YK4</v>
          </cell>
          <cell r="D9206" t="str">
            <v>Franklin India Multi Asset Allocation Fund- IDCW</v>
          </cell>
          <cell r="E9206">
            <v>10.879099999999999</v>
          </cell>
        </row>
        <row r="9207">
          <cell r="B9207" t="str">
            <v/>
          </cell>
          <cell r="C9207" t="str">
            <v/>
          </cell>
          <cell r="D9207" t="str">
            <v/>
          </cell>
        </row>
        <row r="9208">
          <cell r="B9208" t="str">
            <v/>
          </cell>
          <cell r="C9208" t="str">
            <v/>
          </cell>
          <cell r="D9208" t="str">
            <v/>
          </cell>
        </row>
        <row r="9209">
          <cell r="B9209" t="str">
            <v/>
          </cell>
          <cell r="C9209" t="str">
            <v/>
          </cell>
          <cell r="D9209" t="str">
            <v/>
          </cell>
        </row>
        <row r="9210">
          <cell r="B9210" t="str">
            <v>INF666M01MA9</v>
          </cell>
          <cell r="C9210" t="str">
            <v>-</v>
          </cell>
          <cell r="D9210" t="str">
            <v>Groww Multi Asset Allocation Fund Direct Growth</v>
          </cell>
          <cell r="E9210">
            <v>10.234500000000001</v>
          </cell>
        </row>
        <row r="9211">
          <cell r="B9211" t="str">
            <v>INF666M01MB7</v>
          </cell>
          <cell r="C9211" t="str">
            <v>INF666M01MC5</v>
          </cell>
          <cell r="D9211" t="str">
            <v>Groww Multi Asset Allocation Fund Direct IDCW</v>
          </cell>
          <cell r="E9211">
            <v>10.231400000000001</v>
          </cell>
        </row>
        <row r="9212">
          <cell r="B9212" t="str">
            <v>INF666M01MD3</v>
          </cell>
          <cell r="C9212" t="str">
            <v>-</v>
          </cell>
          <cell r="D9212" t="str">
            <v>Groww Multi Asset Allocation Fund Regular Growth</v>
          </cell>
          <cell r="E9212">
            <v>10.0847</v>
          </cell>
        </row>
        <row r="9213">
          <cell r="B9213" t="str">
            <v>INF666M01ME1</v>
          </cell>
          <cell r="C9213" t="str">
            <v>INF666M01MF8</v>
          </cell>
          <cell r="D9213" t="str">
            <v>Groww Multi Asset Allocation Fund Regular IDCW</v>
          </cell>
          <cell r="E9213">
            <v>10.085000000000001</v>
          </cell>
        </row>
        <row r="9214">
          <cell r="B9214" t="str">
            <v/>
          </cell>
          <cell r="C9214" t="str">
            <v/>
          </cell>
          <cell r="D9214" t="str">
            <v/>
          </cell>
        </row>
        <row r="9215">
          <cell r="B9215" t="str">
            <v/>
          </cell>
          <cell r="C9215" t="str">
            <v/>
          </cell>
          <cell r="D9215" t="str">
            <v/>
          </cell>
        </row>
        <row r="9216">
          <cell r="B9216" t="str">
            <v/>
          </cell>
          <cell r="C9216" t="str">
            <v/>
          </cell>
          <cell r="D9216" t="str">
            <v/>
          </cell>
        </row>
        <row r="9217">
          <cell r="B9217" t="str">
            <v>INF179K01AP0</v>
          </cell>
          <cell r="C9217" t="str">
            <v>-</v>
          </cell>
          <cell r="D9217" t="str">
            <v>HDFC Multi-Asset Fund - Growth Option</v>
          </cell>
          <cell r="E9217">
            <v>74.262</v>
          </cell>
        </row>
        <row r="9218">
          <cell r="B9218" t="str">
            <v>INF179K01XW8</v>
          </cell>
          <cell r="C9218" t="str">
            <v>-</v>
          </cell>
          <cell r="D9218" t="str">
            <v>HDFC Multi-Asset Fund - Growth Option - Direct Plan</v>
          </cell>
          <cell r="E9218">
            <v>83.751999999999995</v>
          </cell>
        </row>
        <row r="9219">
          <cell r="B9219" t="str">
            <v>INF179K01AN5</v>
          </cell>
          <cell r="C9219" t="str">
            <v>INF179K01AO3</v>
          </cell>
          <cell r="D9219" t="str">
            <v>HDFC Multi-Asset Fund - IDCW Option</v>
          </cell>
          <cell r="E9219">
            <v>16.901</v>
          </cell>
        </row>
        <row r="9220">
          <cell r="B9220" t="str">
            <v>INF179K01XU2</v>
          </cell>
          <cell r="C9220" t="str">
            <v>INF179K01XV0</v>
          </cell>
          <cell r="D9220" t="str">
            <v>HDFC Multi-Asset Fund - IDCW Option - Direct Plan</v>
          </cell>
          <cell r="E9220">
            <v>21.341000000000001</v>
          </cell>
        </row>
        <row r="9221">
          <cell r="B9221" t="str">
            <v/>
          </cell>
          <cell r="C9221" t="str">
            <v/>
          </cell>
          <cell r="D9221" t="str">
            <v/>
          </cell>
        </row>
        <row r="9222">
          <cell r="B9222" t="str">
            <v/>
          </cell>
          <cell r="C9222" t="str">
            <v/>
          </cell>
          <cell r="D9222" t="str">
            <v/>
          </cell>
        </row>
        <row r="9223">
          <cell r="B9223" t="str">
            <v/>
          </cell>
          <cell r="C9223" t="str">
            <v/>
          </cell>
          <cell r="D9223" t="str">
            <v/>
          </cell>
        </row>
        <row r="9224">
          <cell r="B9224" t="str">
            <v>INF336L01RI3</v>
          </cell>
          <cell r="C9224" t="str">
            <v>-</v>
          </cell>
          <cell r="D9224" t="str">
            <v>HSBC Multi Asset Allocation Fund - Direct - Growth</v>
          </cell>
          <cell r="E9224">
            <v>14.2209</v>
          </cell>
        </row>
        <row r="9225">
          <cell r="B9225" t="str">
            <v>INF336L01RJ1</v>
          </cell>
          <cell r="C9225" t="str">
            <v>INF336L01RK9</v>
          </cell>
          <cell r="D9225" t="str">
            <v>HSBC Multi Asset Allocation Fund - Direct - IDCW</v>
          </cell>
          <cell r="E9225">
            <v>13.8614</v>
          </cell>
        </row>
        <row r="9226">
          <cell r="B9226" t="str">
            <v>INF336L01RF9</v>
          </cell>
          <cell r="C9226" t="str">
            <v>-</v>
          </cell>
          <cell r="D9226" t="str">
            <v>HSBC Multi Asset Allocation Fund - Regular - Growth</v>
          </cell>
          <cell r="E9226">
            <v>13.764699999999999</v>
          </cell>
        </row>
        <row r="9227">
          <cell r="B9227" t="str">
            <v>INF336L01RG7</v>
          </cell>
          <cell r="C9227" t="str">
            <v>INF336L01RH5</v>
          </cell>
          <cell r="D9227" t="str">
            <v>HSBC Multi Asset Allocation Fund - Regular - IDCW</v>
          </cell>
          <cell r="E9227">
            <v>12.566000000000001</v>
          </cell>
        </row>
        <row r="9228">
          <cell r="B9228" t="str">
            <v/>
          </cell>
          <cell r="C9228" t="str">
            <v/>
          </cell>
          <cell r="D9228" t="str">
            <v/>
          </cell>
        </row>
        <row r="9229">
          <cell r="B9229" t="str">
            <v/>
          </cell>
          <cell r="C9229" t="str">
            <v/>
          </cell>
          <cell r="D9229" t="str">
            <v/>
          </cell>
        </row>
        <row r="9230">
          <cell r="B9230" t="str">
            <v/>
          </cell>
          <cell r="C9230" t="str">
            <v/>
          </cell>
          <cell r="D9230" t="str">
            <v/>
          </cell>
        </row>
        <row r="9231">
          <cell r="B9231" t="str">
            <v>INF109K015K4</v>
          </cell>
          <cell r="C9231" t="str">
            <v>-</v>
          </cell>
          <cell r="D9231" t="str">
            <v>ICICI Prudential Multi-Asset Fund - Direct Plan - Growth</v>
          </cell>
          <cell r="E9231">
            <v>893.74130000000002</v>
          </cell>
        </row>
        <row r="9232">
          <cell r="B9232" t="str">
            <v>INF109K013K9</v>
          </cell>
          <cell r="C9232" t="str">
            <v>INF109K014K7</v>
          </cell>
          <cell r="D9232" t="str">
            <v>ICICI Prudential Multi-Asset Fund - Direct Plan - IDCW</v>
          </cell>
          <cell r="E9232">
            <v>59.274700000000003</v>
          </cell>
        </row>
        <row r="9233">
          <cell r="B9233" t="str">
            <v>INF109K01761</v>
          </cell>
          <cell r="C9233" t="str">
            <v>-</v>
          </cell>
          <cell r="D9233" t="str">
            <v>ICICI Prudential Multi-Asset Fund - Growth</v>
          </cell>
          <cell r="E9233">
            <v>806.77009999999996</v>
          </cell>
        </row>
        <row r="9234">
          <cell r="B9234" t="str">
            <v>INF109K01ED5</v>
          </cell>
          <cell r="C9234" t="str">
            <v>INF109K01779</v>
          </cell>
          <cell r="D9234" t="str">
            <v>ICICI Prudential Multi-Asset Fund - IDCW</v>
          </cell>
          <cell r="E9234">
            <v>34.493000000000002</v>
          </cell>
        </row>
        <row r="9235">
          <cell r="B9235" t="str">
            <v>INF109K01TN2</v>
          </cell>
          <cell r="C9235" t="str">
            <v>-</v>
          </cell>
          <cell r="D9235" t="str">
            <v>ICICI Prudential Multi-Asset Fund- Institutional Growth Option</v>
          </cell>
          <cell r="E9235">
            <v>22.849</v>
          </cell>
        </row>
        <row r="9236">
          <cell r="B9236" t="str">
            <v>INF109K01787</v>
          </cell>
          <cell r="C9236" t="str">
            <v>-</v>
          </cell>
          <cell r="D9236" t="str">
            <v>ICICI Prudential Multi-Asset Fund-Institutional Option - I</v>
          </cell>
          <cell r="E9236">
            <v>43.012900000000002</v>
          </cell>
        </row>
        <row r="9237">
          <cell r="B9237" t="str">
            <v/>
          </cell>
          <cell r="C9237" t="str">
            <v/>
          </cell>
          <cell r="D9237" t="str">
            <v/>
          </cell>
        </row>
        <row r="9238">
          <cell r="B9238" t="str">
            <v/>
          </cell>
          <cell r="C9238" t="str">
            <v/>
          </cell>
          <cell r="D9238" t="str">
            <v/>
          </cell>
        </row>
        <row r="9239">
          <cell r="B9239" t="str">
            <v/>
          </cell>
          <cell r="C9239" t="str">
            <v/>
          </cell>
          <cell r="D9239" t="str">
            <v/>
          </cell>
        </row>
        <row r="9240">
          <cell r="B9240" t="str">
            <v>INF205KA1AC1</v>
          </cell>
          <cell r="C9240" t="str">
            <v>-</v>
          </cell>
          <cell r="D9240" t="str">
            <v>Invesco India Multi Asset Allocation Fund - Direct Plan - Growth</v>
          </cell>
          <cell r="E9240">
            <v>12.62</v>
          </cell>
        </row>
        <row r="9241">
          <cell r="B9241" t="str">
            <v>INF205KA1AD9</v>
          </cell>
          <cell r="C9241" t="str">
            <v>INF205KA1AE7</v>
          </cell>
          <cell r="D9241" t="str">
            <v>Invesco India Multi Asset Allocation Fund - Direct Plan - IDCW</v>
          </cell>
          <cell r="E9241">
            <v>12.6</v>
          </cell>
        </row>
        <row r="9242">
          <cell r="B9242" t="str">
            <v>INF205KA1999</v>
          </cell>
          <cell r="C9242" t="str">
            <v>-</v>
          </cell>
          <cell r="D9242" t="str">
            <v>Invesco India Multi Asset Allocation Fund - Regular Plan - Growth</v>
          </cell>
          <cell r="E9242">
            <v>12.36</v>
          </cell>
        </row>
        <row r="9243">
          <cell r="B9243" t="str">
            <v>INF205KA1AA5</v>
          </cell>
          <cell r="C9243" t="str">
            <v>INF205KA1AB3</v>
          </cell>
          <cell r="D9243" t="str">
            <v>Invesco India Multi Asset Allocation Fund - Regular Plan - IDCW</v>
          </cell>
          <cell r="E9243">
            <v>12.36</v>
          </cell>
        </row>
        <row r="9244">
          <cell r="B9244" t="str">
            <v/>
          </cell>
          <cell r="C9244" t="str">
            <v/>
          </cell>
          <cell r="D9244" t="str">
            <v/>
          </cell>
        </row>
        <row r="9245">
          <cell r="B9245" t="str">
            <v/>
          </cell>
          <cell r="C9245" t="str">
            <v/>
          </cell>
          <cell r="D9245" t="str">
            <v/>
          </cell>
        </row>
        <row r="9246">
          <cell r="B9246" t="str">
            <v/>
          </cell>
          <cell r="C9246" t="str">
            <v/>
          </cell>
          <cell r="D9246" t="str">
            <v/>
          </cell>
        </row>
        <row r="9247">
          <cell r="B9247" t="str">
            <v>INF192K01NQ4</v>
          </cell>
          <cell r="C9247" t="str">
            <v>-</v>
          </cell>
          <cell r="D9247" t="str">
            <v>JM Multi Asset Allocation Fund (Direct) - Growth Option</v>
          </cell>
          <cell r="E9247">
            <v>9.9375</v>
          </cell>
        </row>
        <row r="9248">
          <cell r="B9248" t="str">
            <v>INF192K01NS0</v>
          </cell>
          <cell r="C9248" t="str">
            <v>INF192K01NR2</v>
          </cell>
          <cell r="D9248" t="str">
            <v>JM Multi Asset Allocation Fund (Direct) - IDCW</v>
          </cell>
          <cell r="E9248">
            <v>9.9375</v>
          </cell>
        </row>
        <row r="9249">
          <cell r="B9249" t="str">
            <v>INF192K01NT8</v>
          </cell>
          <cell r="C9249" t="str">
            <v>-</v>
          </cell>
          <cell r="D9249" t="str">
            <v>JM Multi Asset Allocation Fund (Regular) - Growth Option</v>
          </cell>
          <cell r="E9249">
            <v>9.9337999999999997</v>
          </cell>
        </row>
        <row r="9250">
          <cell r="B9250" t="str">
            <v>INF192K01NV4</v>
          </cell>
          <cell r="C9250" t="str">
            <v>INF192K01NU6</v>
          </cell>
          <cell r="D9250" t="str">
            <v>JM Multi Asset Allocation Fund (Regular) - IDCW</v>
          </cell>
          <cell r="E9250">
            <v>9.9337999999999997</v>
          </cell>
        </row>
        <row r="9251">
          <cell r="B9251" t="str">
            <v/>
          </cell>
          <cell r="C9251" t="str">
            <v/>
          </cell>
          <cell r="D9251" t="str">
            <v/>
          </cell>
        </row>
        <row r="9252">
          <cell r="B9252" t="str">
            <v/>
          </cell>
          <cell r="C9252" t="str">
            <v/>
          </cell>
          <cell r="D9252" t="str">
            <v/>
          </cell>
        </row>
        <row r="9253">
          <cell r="B9253" t="str">
            <v/>
          </cell>
          <cell r="C9253" t="str">
            <v/>
          </cell>
          <cell r="D9253" t="str">
            <v/>
          </cell>
        </row>
        <row r="9254">
          <cell r="B9254" t="str">
            <v>INF174KA1PD4</v>
          </cell>
          <cell r="C9254" t="str">
            <v>-</v>
          </cell>
          <cell r="D9254" t="str">
            <v>Kotak Multi Asset Allocation Fund - Direct Plan - Growth Option</v>
          </cell>
          <cell r="E9254">
            <v>16.300999999999998</v>
          </cell>
        </row>
        <row r="9255">
          <cell r="B9255" t="str">
            <v>INF174KA1PE2</v>
          </cell>
          <cell r="C9255" t="str">
            <v>INF174KA1PF9</v>
          </cell>
          <cell r="D9255" t="str">
            <v>Kotak Multi Asset Allocation Fund - Direct Plan - IDCW Option</v>
          </cell>
          <cell r="E9255">
            <v>15.34</v>
          </cell>
        </row>
        <row r="9256">
          <cell r="B9256" t="str">
            <v>INF174KA1PA0</v>
          </cell>
          <cell r="C9256" t="str">
            <v>-</v>
          </cell>
          <cell r="D9256" t="str">
            <v>Kotak Multi Asset Allocation Fund - Regular Plan - Growth Option</v>
          </cell>
          <cell r="E9256">
            <v>15.69</v>
          </cell>
        </row>
        <row r="9257">
          <cell r="B9257" t="str">
            <v>INF174KA1PB8</v>
          </cell>
          <cell r="C9257" t="str">
            <v>INF174KA1PC6</v>
          </cell>
          <cell r="D9257" t="str">
            <v>Kotak Multi Asset Allocation Fund - Regular Plan - IDCW Option</v>
          </cell>
          <cell r="E9257">
            <v>14.766</v>
          </cell>
        </row>
        <row r="9258">
          <cell r="B9258" t="str">
            <v/>
          </cell>
          <cell r="C9258" t="str">
            <v/>
          </cell>
          <cell r="D9258" t="str">
            <v/>
          </cell>
        </row>
        <row r="9259">
          <cell r="B9259" t="str">
            <v/>
          </cell>
          <cell r="C9259" t="str">
            <v/>
          </cell>
          <cell r="D9259" t="str">
            <v/>
          </cell>
        </row>
        <row r="9260">
          <cell r="B9260" t="str">
            <v/>
          </cell>
          <cell r="C9260" t="str">
            <v/>
          </cell>
          <cell r="D9260" t="str">
            <v/>
          </cell>
        </row>
        <row r="9261">
          <cell r="B9261" t="str">
            <v>INF767K01RZ5</v>
          </cell>
          <cell r="C9261" t="str">
            <v>-</v>
          </cell>
          <cell r="D9261" t="str">
            <v>LIC MF Multi Asset Allocation Fund-Direct Plan-Growth</v>
          </cell>
          <cell r="E9261">
            <v>12.214600000000001</v>
          </cell>
        </row>
        <row r="9262">
          <cell r="B9262" t="str">
            <v>INF767K01RY8</v>
          </cell>
          <cell r="C9262" t="str">
            <v>INF767K01RX0</v>
          </cell>
          <cell r="D9262" t="str">
            <v>LIC MF Multi Asset Allocation Fund-Direct Plan-IDCW</v>
          </cell>
          <cell r="E9262">
            <v>12.214600000000001</v>
          </cell>
        </row>
        <row r="9263">
          <cell r="B9263" t="str">
            <v>INF767K01RW2</v>
          </cell>
          <cell r="C9263" t="str">
            <v>-</v>
          </cell>
          <cell r="D9263" t="str">
            <v>LIC MF Multi Asset Allocation Fund-Regular Plan-Growth</v>
          </cell>
          <cell r="E9263">
            <v>11.9511</v>
          </cell>
        </row>
        <row r="9264">
          <cell r="B9264" t="str">
            <v>INF767K01RV4</v>
          </cell>
          <cell r="C9264" t="str">
            <v>INF767K01RU6</v>
          </cell>
          <cell r="D9264" t="str">
            <v>LIC MF Multi Asset Allocation Fund-Regular Plan-IDCW</v>
          </cell>
          <cell r="E9264">
            <v>11.9511</v>
          </cell>
        </row>
        <row r="9265">
          <cell r="B9265" t="str">
            <v/>
          </cell>
          <cell r="C9265" t="str">
            <v/>
          </cell>
          <cell r="D9265" t="str">
            <v/>
          </cell>
        </row>
        <row r="9266">
          <cell r="B9266" t="str">
            <v/>
          </cell>
          <cell r="C9266" t="str">
            <v/>
          </cell>
          <cell r="D9266" t="str">
            <v/>
          </cell>
        </row>
        <row r="9267">
          <cell r="B9267" t="str">
            <v/>
          </cell>
          <cell r="C9267" t="str">
            <v/>
          </cell>
          <cell r="D9267" t="str">
            <v/>
          </cell>
        </row>
        <row r="9268">
          <cell r="B9268" t="str">
            <v>INF174V01BX0</v>
          </cell>
          <cell r="C9268" t="str">
            <v>INF174V01BY8</v>
          </cell>
          <cell r="D9268" t="str">
            <v>Mahindra Manulife Multi Asset Allocation Fund - Direct Plan - IDCW</v>
          </cell>
          <cell r="E9268">
            <v>13.4198</v>
          </cell>
        </row>
        <row r="9269">
          <cell r="B9269" t="str">
            <v>INF174V01BU6</v>
          </cell>
          <cell r="C9269" t="str">
            <v>INF174V01BV4</v>
          </cell>
          <cell r="D9269" t="str">
            <v>Mahindra Manulife Multi Asset allocation Fund - Regular Plan - IDCW</v>
          </cell>
          <cell r="E9269">
            <v>12.8972</v>
          </cell>
        </row>
        <row r="9270">
          <cell r="B9270" t="str">
            <v>INF174V01BW2</v>
          </cell>
          <cell r="C9270" t="str">
            <v>-</v>
          </cell>
          <cell r="D9270" t="str">
            <v>Mahindra Manulife Multi Asset Allocation Fund- Direct Plan - Growth</v>
          </cell>
          <cell r="E9270">
            <v>14.2628</v>
          </cell>
        </row>
        <row r="9271">
          <cell r="B9271" t="str">
            <v>INF174V01BT8</v>
          </cell>
          <cell r="C9271" t="str">
            <v>-</v>
          </cell>
          <cell r="D9271" t="str">
            <v>Mahindra Manulife Multi Asset Allocation Fund- Regular Plan - Growth</v>
          </cell>
          <cell r="E9271">
            <v>13.7293</v>
          </cell>
        </row>
        <row r="9272">
          <cell r="B9272" t="str">
            <v/>
          </cell>
          <cell r="C9272" t="str">
            <v/>
          </cell>
          <cell r="D9272" t="str">
            <v/>
          </cell>
        </row>
        <row r="9273">
          <cell r="B9273" t="str">
            <v/>
          </cell>
          <cell r="C9273" t="str">
            <v/>
          </cell>
          <cell r="D9273" t="str">
            <v/>
          </cell>
        </row>
        <row r="9274">
          <cell r="B9274" t="str">
            <v/>
          </cell>
          <cell r="C9274" t="str">
            <v/>
          </cell>
          <cell r="D9274" t="str">
            <v/>
          </cell>
        </row>
        <row r="9275">
          <cell r="B9275" t="str">
            <v>INF769K01KZ6</v>
          </cell>
          <cell r="C9275" t="str">
            <v>-</v>
          </cell>
          <cell r="D9275" t="str">
            <v>Mirae Asset Multi Asset Allocation Fund - Direct Plan - Growth</v>
          </cell>
          <cell r="E9275">
            <v>13.93</v>
          </cell>
        </row>
        <row r="9276">
          <cell r="B9276" t="str">
            <v>INF769K01LA7</v>
          </cell>
          <cell r="C9276" t="str">
            <v>INF769K01LB5</v>
          </cell>
          <cell r="D9276" t="str">
            <v>Mirae Asset Multi Asset Allocation Fund - Direct Plan - IDCW</v>
          </cell>
          <cell r="E9276">
            <v>13.928000000000001</v>
          </cell>
        </row>
        <row r="9277">
          <cell r="B9277" t="str">
            <v>INF769K01KW3</v>
          </cell>
          <cell r="C9277" t="str">
            <v>-</v>
          </cell>
          <cell r="D9277" t="str">
            <v>Mirae Asset Multi Asset Allocation Fund - Regular Plan - Growth</v>
          </cell>
          <cell r="E9277">
            <v>13.396000000000001</v>
          </cell>
        </row>
        <row r="9278">
          <cell r="B9278" t="str">
            <v>INF769K01KX1</v>
          </cell>
          <cell r="C9278" t="str">
            <v>INF769K01KY9</v>
          </cell>
          <cell r="D9278" t="str">
            <v>Mirae Asset Multi Asset Allocation Fund - Regular Plan - IDCW</v>
          </cell>
          <cell r="E9278">
            <v>13.388999999999999</v>
          </cell>
        </row>
        <row r="9279">
          <cell r="B9279" t="str">
            <v/>
          </cell>
          <cell r="C9279" t="str">
            <v/>
          </cell>
          <cell r="D9279" t="str">
            <v/>
          </cell>
        </row>
        <row r="9280">
          <cell r="B9280" t="str">
            <v/>
          </cell>
          <cell r="C9280" t="str">
            <v/>
          </cell>
          <cell r="D9280" t="str">
            <v/>
          </cell>
        </row>
        <row r="9281">
          <cell r="B9281" t="str">
            <v/>
          </cell>
          <cell r="C9281" t="str">
            <v/>
          </cell>
          <cell r="D9281" t="str">
            <v/>
          </cell>
        </row>
        <row r="9282">
          <cell r="B9282" t="str">
            <v>INF204KB19V4</v>
          </cell>
          <cell r="C9282" t="str">
            <v>-</v>
          </cell>
          <cell r="D9282" t="str">
            <v>Nippon India Multi Asset Allocation Fund - Direct Plan - Growth Option</v>
          </cell>
          <cell r="E9282">
            <v>26.659099999999999</v>
          </cell>
        </row>
        <row r="9283">
          <cell r="B9283" t="str">
            <v>INF204KB10W1</v>
          </cell>
          <cell r="C9283" t="str">
            <v>INF204KB11W9</v>
          </cell>
          <cell r="D9283" t="str">
            <v>NIPPON INDIA MULTI ASSET ALLOCATION FUND - DIRECT Plan - IDCW Option</v>
          </cell>
          <cell r="E9283">
            <v>25.587900000000001</v>
          </cell>
        </row>
        <row r="9284">
          <cell r="B9284" t="str">
            <v>INF204KB17V8</v>
          </cell>
          <cell r="C9284" t="str">
            <v>INF204KB18V6</v>
          </cell>
          <cell r="D9284" t="str">
            <v>NIPPON INDIA MULTI ASSET ALLOCATION FUND - IDCW Option</v>
          </cell>
          <cell r="E9284">
            <v>23.590800000000002</v>
          </cell>
        </row>
        <row r="9285">
          <cell r="B9285" t="str">
            <v>INF204KB16V0</v>
          </cell>
          <cell r="C9285" t="str">
            <v>-</v>
          </cell>
          <cell r="D9285" t="str">
            <v>Nippon India Multi Asset Allocation Fund - Regular Plan - Growth Option</v>
          </cell>
          <cell r="E9285">
            <v>24.659500000000001</v>
          </cell>
        </row>
        <row r="9286">
          <cell r="B9286" t="str">
            <v/>
          </cell>
          <cell r="C9286" t="str">
            <v/>
          </cell>
          <cell r="D9286" t="str">
            <v/>
          </cell>
        </row>
        <row r="9287">
          <cell r="B9287" t="str">
            <v/>
          </cell>
          <cell r="C9287" t="str">
            <v/>
          </cell>
          <cell r="D9287" t="str">
            <v/>
          </cell>
        </row>
        <row r="9288">
          <cell r="B9288" t="str">
            <v/>
          </cell>
          <cell r="C9288" t="str">
            <v/>
          </cell>
          <cell r="D9288" t="str">
            <v/>
          </cell>
        </row>
        <row r="9289">
          <cell r="B9289" t="str">
            <v>INF663L010A3</v>
          </cell>
          <cell r="C9289" t="str">
            <v>-</v>
          </cell>
          <cell r="D9289" t="str">
            <v>PGIM India Multi Asset Allocation Fund - Direct Plan - Growth Option</v>
          </cell>
          <cell r="E9289">
            <v>10.54</v>
          </cell>
        </row>
        <row r="9290">
          <cell r="B9290" t="str">
            <v>INF663L011A1</v>
          </cell>
          <cell r="C9290" t="str">
            <v>INF663L012A9</v>
          </cell>
          <cell r="D9290" t="str">
            <v>PGIM India Multi Asset Allocation Fund - Direct Plan - IDCW Option</v>
          </cell>
          <cell r="E9290">
            <v>10.54</v>
          </cell>
        </row>
        <row r="9291">
          <cell r="B9291" t="str">
            <v>INF663L013A7</v>
          </cell>
          <cell r="C9291" t="str">
            <v>-</v>
          </cell>
          <cell r="D9291" t="str">
            <v>PGIM India Multi Asset Allocation Fund - Regular Plan - Growth Option</v>
          </cell>
          <cell r="E9291">
            <v>10.43</v>
          </cell>
        </row>
        <row r="9292">
          <cell r="B9292" t="str">
            <v>INF663L014A5</v>
          </cell>
          <cell r="C9292" t="str">
            <v>INF663L015A2</v>
          </cell>
          <cell r="D9292" t="str">
            <v>PGIM India Multi Asset Allocation Fund - Regular Plan - IDCW Option</v>
          </cell>
          <cell r="E9292">
            <v>10.43</v>
          </cell>
        </row>
        <row r="9293">
          <cell r="B9293" t="str">
            <v/>
          </cell>
          <cell r="C9293" t="str">
            <v/>
          </cell>
          <cell r="D9293" t="str">
            <v/>
          </cell>
        </row>
        <row r="9294">
          <cell r="B9294" t="str">
            <v/>
          </cell>
          <cell r="C9294" t="str">
            <v/>
          </cell>
          <cell r="D9294" t="str">
            <v/>
          </cell>
        </row>
        <row r="9295">
          <cell r="B9295" t="str">
            <v/>
          </cell>
          <cell r="C9295" t="str">
            <v/>
          </cell>
          <cell r="D9295" t="str">
            <v/>
          </cell>
        </row>
        <row r="9296">
          <cell r="B9296" t="str">
            <v>INF966L01564</v>
          </cell>
          <cell r="C9296" t="str">
            <v>INF966L01572</v>
          </cell>
          <cell r="D9296" t="str">
            <v>quant Multi Asset Allocation Fund - IDCW Option - Direct Plan</v>
          </cell>
          <cell r="E9296">
            <v>170.5865</v>
          </cell>
        </row>
        <row r="9297">
          <cell r="B9297" t="str">
            <v>INF966L01184</v>
          </cell>
          <cell r="C9297" t="str">
            <v>INF966L01192</v>
          </cell>
          <cell r="D9297" t="str">
            <v>quant Multi Asset Allocation Fund - IDCW Option - Regular Plan</v>
          </cell>
          <cell r="E9297">
            <v>156.2328</v>
          </cell>
        </row>
        <row r="9298">
          <cell r="B9298" t="str">
            <v>INF966L01200</v>
          </cell>
          <cell r="C9298" t="str">
            <v>-</v>
          </cell>
          <cell r="D9298" t="str">
            <v>quant Multi Asset Allocation Fund-GROWTH OPTION - Regular Plan</v>
          </cell>
          <cell r="E9298">
            <v>170.43100000000001</v>
          </cell>
        </row>
        <row r="9299">
          <cell r="B9299" t="str">
            <v>INF966L01580</v>
          </cell>
          <cell r="C9299" t="str">
            <v>-</v>
          </cell>
          <cell r="D9299" t="str">
            <v>quant Multi Asset Allocation Fund-GROWTH OPTION-Direct Plan</v>
          </cell>
          <cell r="E9299">
            <v>185.09989999999999</v>
          </cell>
        </row>
        <row r="9300">
          <cell r="B9300" t="str">
            <v/>
          </cell>
          <cell r="C9300" t="str">
            <v/>
          </cell>
          <cell r="D9300" t="str">
            <v/>
          </cell>
        </row>
        <row r="9301">
          <cell r="B9301" t="str">
            <v/>
          </cell>
          <cell r="C9301" t="str">
            <v/>
          </cell>
          <cell r="D9301" t="str">
            <v/>
          </cell>
        </row>
        <row r="9302">
          <cell r="B9302" t="str">
            <v/>
          </cell>
          <cell r="C9302" t="str">
            <v/>
          </cell>
          <cell r="D9302" t="str">
            <v/>
          </cell>
        </row>
        <row r="9303">
          <cell r="B9303" t="str">
            <v>INF082J01457</v>
          </cell>
          <cell r="C9303" t="str">
            <v>-</v>
          </cell>
          <cell r="D9303" t="str">
            <v>Quantum Multi Asset Allocation Fund - Direct Plan Growth Option</v>
          </cell>
          <cell r="E9303">
            <v>12.22</v>
          </cell>
        </row>
        <row r="9304">
          <cell r="B9304" t="str">
            <v>INF082J01465</v>
          </cell>
          <cell r="C9304" t="str">
            <v>-</v>
          </cell>
          <cell r="D9304" t="str">
            <v>Quantum Multi Asset Allocation Fund - Regular Plan Growth Option</v>
          </cell>
          <cell r="E9304">
            <v>11.77</v>
          </cell>
        </row>
        <row r="9305">
          <cell r="B9305" t="str">
            <v/>
          </cell>
          <cell r="C9305" t="str">
            <v/>
          </cell>
          <cell r="D9305" t="str">
            <v/>
          </cell>
        </row>
        <row r="9306">
          <cell r="B9306" t="str">
            <v/>
          </cell>
          <cell r="C9306" t="str">
            <v/>
          </cell>
          <cell r="D9306" t="str">
            <v/>
          </cell>
        </row>
        <row r="9307">
          <cell r="B9307" t="str">
            <v/>
          </cell>
          <cell r="C9307" t="str">
            <v/>
          </cell>
          <cell r="D9307" t="str">
            <v/>
          </cell>
        </row>
        <row r="9308">
          <cell r="B9308" t="str">
            <v>INF0K1H01230</v>
          </cell>
          <cell r="C9308" t="str">
            <v>-</v>
          </cell>
          <cell r="D9308" t="str">
            <v>Samco Multi Asset Allocation Fund - Direct Plan - Growth</v>
          </cell>
          <cell r="E9308">
            <v>12.35</v>
          </cell>
        </row>
        <row r="9309">
          <cell r="B9309" t="str">
            <v>INF0K1H01248</v>
          </cell>
          <cell r="C9309" t="str">
            <v>-</v>
          </cell>
          <cell r="D9309" t="str">
            <v>Samco Multi Asset Allocation Fund - Regular Plan - Growth</v>
          </cell>
          <cell r="E9309">
            <v>12.04</v>
          </cell>
        </row>
        <row r="9310">
          <cell r="B9310" t="str">
            <v/>
          </cell>
          <cell r="C9310" t="str">
            <v/>
          </cell>
          <cell r="D9310" t="str">
            <v/>
          </cell>
        </row>
        <row r="9311">
          <cell r="B9311" t="str">
            <v/>
          </cell>
          <cell r="C9311" t="str">
            <v/>
          </cell>
          <cell r="D9311" t="str">
            <v/>
          </cell>
        </row>
        <row r="9312">
          <cell r="B9312" t="str">
            <v/>
          </cell>
          <cell r="C9312" t="str">
            <v/>
          </cell>
          <cell r="D9312" t="str">
            <v/>
          </cell>
        </row>
        <row r="9313">
          <cell r="B9313" t="str">
            <v>INF200K01TX8</v>
          </cell>
          <cell r="C9313" t="str">
            <v>INF200K01TY6</v>
          </cell>
          <cell r="D9313" t="str">
            <v>SBI Multi Asset Allocation Fund - Direct Plan - Annual Income Distribution cum Capital Withdrawal Option (IDCW)</v>
          </cell>
          <cell r="E9313">
            <v>42.3874</v>
          </cell>
        </row>
        <row r="9314">
          <cell r="B9314" t="str">
            <v>INF200K01TZ3</v>
          </cell>
          <cell r="C9314" t="str">
            <v>-</v>
          </cell>
          <cell r="D9314" t="str">
            <v>SBI MULTI ASSET ALLOCATION FUND - DIRECT PLAN - GROWTH</v>
          </cell>
          <cell r="E9314">
            <v>74.398399999999995</v>
          </cell>
        </row>
        <row r="9315">
          <cell r="B9315" t="str">
            <v>INF200K01UA4</v>
          </cell>
          <cell r="C9315" t="str">
            <v>INF200K01UB2</v>
          </cell>
          <cell r="D9315" t="str">
            <v>SBI Multi Asset Allocation Fund - Direct Plan - Monthly Income Distribution cum Capital Withdrawal Option (IDCW)</v>
          </cell>
          <cell r="E9315">
            <v>33.405700000000003</v>
          </cell>
        </row>
        <row r="9316">
          <cell r="B9316" t="str">
            <v>INF200K01UC0</v>
          </cell>
          <cell r="C9316" t="str">
            <v>INF200K01UD8</v>
          </cell>
          <cell r="D9316" t="str">
            <v>SBI Multi Asset Allocation Fund - Direct Plan - Quarterly Income Distribution cum Capital Withdrawal Option (IDCW)</v>
          </cell>
          <cell r="E9316">
            <v>35.338500000000003</v>
          </cell>
        </row>
        <row r="9317">
          <cell r="B9317" t="str">
            <v>INF200K01784</v>
          </cell>
          <cell r="C9317" t="str">
            <v>INF200K01792</v>
          </cell>
          <cell r="D9317" t="str">
            <v>SBI Multi Asset Allocation Fund - Regular Plan - Annual Income Distribution cum Capital Withdrawal Option (IDCW)</v>
          </cell>
          <cell r="E9317">
            <v>37.6404</v>
          </cell>
        </row>
        <row r="9318">
          <cell r="B9318" t="str">
            <v>INF200K01800</v>
          </cell>
          <cell r="C9318" t="str">
            <v>-</v>
          </cell>
          <cell r="D9318" t="str">
            <v>SBI MULTI ASSET ALLOCATION FUND - REGULAR PLAN - GROWTH</v>
          </cell>
          <cell r="E9318">
            <v>66.563400000000001</v>
          </cell>
        </row>
        <row r="9319">
          <cell r="B9319" t="str">
            <v>INF200K01818</v>
          </cell>
          <cell r="C9319" t="str">
            <v>INF200K01826</v>
          </cell>
          <cell r="D9319" t="str">
            <v>SBI Multi Asset Allocation Fund - Regular Plan - Monthly Income Distribution cum Capital Withdrawal Option (IDCW)</v>
          </cell>
          <cell r="E9319">
            <v>29.764500000000002</v>
          </cell>
        </row>
        <row r="9320">
          <cell r="B9320" t="str">
            <v>INF200K01834</v>
          </cell>
          <cell r="C9320" t="str">
            <v>INF200K01842</v>
          </cell>
          <cell r="D9320" t="str">
            <v>SBI Multi Asset Allocation Fund - Regular Plan - Quarterly Income Distribution cum Capital Withdrawal Option (IDCW)</v>
          </cell>
          <cell r="E9320">
            <v>29.735499999999998</v>
          </cell>
        </row>
        <row r="9321">
          <cell r="B9321" t="str">
            <v/>
          </cell>
          <cell r="C9321" t="str">
            <v/>
          </cell>
          <cell r="D9321" t="str">
            <v/>
          </cell>
        </row>
        <row r="9322">
          <cell r="B9322" t="str">
            <v/>
          </cell>
          <cell r="C9322" t="str">
            <v/>
          </cell>
          <cell r="D9322" t="str">
            <v/>
          </cell>
        </row>
        <row r="9323">
          <cell r="B9323" t="str">
            <v/>
          </cell>
          <cell r="C9323" t="str">
            <v/>
          </cell>
          <cell r="D9323" t="str">
            <v/>
          </cell>
        </row>
        <row r="9324">
          <cell r="B9324" t="str">
            <v>INF680P01406</v>
          </cell>
          <cell r="C9324" t="str">
            <v>-</v>
          </cell>
          <cell r="D9324" t="str">
            <v>Shriram Multi Asset Allocation Fund - Direct Growth</v>
          </cell>
          <cell r="E9324">
            <v>13.7377</v>
          </cell>
        </row>
        <row r="9325">
          <cell r="B9325" t="str">
            <v>INF680P01414</v>
          </cell>
          <cell r="C9325" t="str">
            <v>-</v>
          </cell>
          <cell r="D9325" t="str">
            <v>Shriram Multi Asset Allocation Fund - Regular Growth</v>
          </cell>
          <cell r="E9325">
            <v>13.0471</v>
          </cell>
        </row>
        <row r="9326">
          <cell r="B9326" t="str">
            <v/>
          </cell>
          <cell r="C9326" t="str">
            <v/>
          </cell>
          <cell r="D9326" t="str">
            <v/>
          </cell>
        </row>
        <row r="9327">
          <cell r="B9327" t="str">
            <v/>
          </cell>
          <cell r="C9327" t="str">
            <v/>
          </cell>
          <cell r="D9327" t="str">
            <v/>
          </cell>
        </row>
        <row r="9328">
          <cell r="B9328" t="str">
            <v/>
          </cell>
          <cell r="C9328" t="str">
            <v/>
          </cell>
          <cell r="D9328" t="str">
            <v/>
          </cell>
        </row>
        <row r="9329">
          <cell r="B9329" t="str">
            <v>INF903JA1LK9</v>
          </cell>
          <cell r="C9329" t="str">
            <v>-</v>
          </cell>
          <cell r="D9329" t="str">
            <v>Sundaram Multi Asset Allocation Fund Direct Plan Growth</v>
          </cell>
          <cell r="E9329">
            <v>13.523099999999999</v>
          </cell>
        </row>
        <row r="9330">
          <cell r="B9330" t="str">
            <v>INF903JA1LL7</v>
          </cell>
          <cell r="C9330" t="str">
            <v>-</v>
          </cell>
          <cell r="D9330" t="str">
            <v>Sundaram Multi Asset Allocation Fund Direct Plan IDCW Payout</v>
          </cell>
          <cell r="E9330">
            <v>13.523099999999999</v>
          </cell>
        </row>
        <row r="9331">
          <cell r="B9331" t="str">
            <v>-</v>
          </cell>
          <cell r="C9331" t="str">
            <v>INF903JA1LM5</v>
          </cell>
          <cell r="D9331" t="str">
            <v>Sundaram Multi Asset Allocation Fund Direct Plan IDCW Reinvestment</v>
          </cell>
          <cell r="E9331">
            <v>13.523099999999999</v>
          </cell>
        </row>
        <row r="9332">
          <cell r="B9332" t="str">
            <v>INF903JA1LH5</v>
          </cell>
          <cell r="C9332" t="str">
            <v>-</v>
          </cell>
          <cell r="D9332" t="str">
            <v>Sundaram Multi Asset Allocation Fund Regular Plan Growth</v>
          </cell>
          <cell r="E9332">
            <v>13.0236</v>
          </cell>
        </row>
        <row r="9333">
          <cell r="B9333" t="str">
            <v>INF903JA1LI3</v>
          </cell>
          <cell r="C9333" t="str">
            <v>-</v>
          </cell>
          <cell r="D9333" t="str">
            <v>Sundaram Multi Asset Allocation Fund Regular Plan IDCW Payout</v>
          </cell>
          <cell r="E9333">
            <v>13.0236</v>
          </cell>
        </row>
        <row r="9334">
          <cell r="B9334" t="str">
            <v>-</v>
          </cell>
          <cell r="C9334" t="str">
            <v>INF903JA1LJ1</v>
          </cell>
          <cell r="D9334" t="str">
            <v>Sundaram Multi Asset Allocation Fund Regular Plan IDCW Reinvestment</v>
          </cell>
          <cell r="E9334">
            <v>13.0236</v>
          </cell>
        </row>
        <row r="9335">
          <cell r="B9335" t="str">
            <v/>
          </cell>
          <cell r="C9335" t="str">
            <v/>
          </cell>
          <cell r="D9335" t="str">
            <v/>
          </cell>
        </row>
        <row r="9336">
          <cell r="B9336" t="str">
            <v/>
          </cell>
          <cell r="C9336" t="str">
            <v/>
          </cell>
          <cell r="D9336" t="str">
            <v/>
          </cell>
        </row>
        <row r="9337">
          <cell r="B9337" t="str">
            <v/>
          </cell>
          <cell r="C9337" t="str">
            <v/>
          </cell>
          <cell r="D9337" t="str">
            <v/>
          </cell>
        </row>
        <row r="9338">
          <cell r="B9338" t="str">
            <v>INF277K011Z7</v>
          </cell>
          <cell r="C9338" t="str">
            <v>-</v>
          </cell>
          <cell r="D9338" t="str">
            <v>Tata Multi Asset Allocation Fund-Direct Plan-Dividend Payout</v>
          </cell>
          <cell r="E9338">
            <v>28.115400000000001</v>
          </cell>
        </row>
        <row r="9339">
          <cell r="B9339" t="str">
            <v>-</v>
          </cell>
          <cell r="C9339" t="str">
            <v>INF277K010Z9</v>
          </cell>
          <cell r="D9339" t="str">
            <v>Tata Multi Asset Allocation Fund-Direct Plan-Dividend Reinvestment</v>
          </cell>
          <cell r="E9339">
            <v>28.115400000000001</v>
          </cell>
        </row>
        <row r="9340">
          <cell r="B9340" t="str">
            <v>INF277K019Y3</v>
          </cell>
          <cell r="C9340" t="str">
            <v>-</v>
          </cell>
          <cell r="D9340" t="str">
            <v>Tata Multi Asset Allocation Fund-Direct Plan-Growth</v>
          </cell>
          <cell r="E9340">
            <v>28.115400000000001</v>
          </cell>
        </row>
        <row r="9341">
          <cell r="B9341" t="str">
            <v>INF277K014Z1</v>
          </cell>
          <cell r="C9341" t="str">
            <v>-</v>
          </cell>
          <cell r="D9341" t="str">
            <v>Tata Multi Asset Allocation Fund-Regular Plan-Dividend Payout</v>
          </cell>
          <cell r="E9341">
            <v>25.319199999999999</v>
          </cell>
        </row>
        <row r="9342">
          <cell r="B9342" t="str">
            <v>-</v>
          </cell>
          <cell r="C9342" t="str">
            <v>INF277K013Z3</v>
          </cell>
          <cell r="D9342" t="str">
            <v>Tata Multi Asset Allocation Fund-Regular Plan-Dividend Reinvestment</v>
          </cell>
          <cell r="E9342">
            <v>25.319199999999999</v>
          </cell>
        </row>
        <row r="9343">
          <cell r="B9343" t="str">
            <v>INF277K012Z5</v>
          </cell>
          <cell r="C9343" t="str">
            <v>-</v>
          </cell>
          <cell r="D9343" t="str">
            <v>Tata Multi Asset Allocation Fund-Regular Plan-Growth</v>
          </cell>
          <cell r="E9343">
            <v>25.319199999999999</v>
          </cell>
        </row>
        <row r="9344">
          <cell r="B9344" t="str">
            <v/>
          </cell>
          <cell r="C9344" t="str">
            <v/>
          </cell>
          <cell r="D9344" t="str">
            <v/>
          </cell>
        </row>
        <row r="9345">
          <cell r="B9345" t="str">
            <v/>
          </cell>
          <cell r="C9345" t="str">
            <v/>
          </cell>
          <cell r="D9345" t="str">
            <v/>
          </cell>
        </row>
        <row r="9346">
          <cell r="B9346" t="str">
            <v/>
          </cell>
          <cell r="C9346" t="str">
            <v/>
          </cell>
          <cell r="D9346" t="str">
            <v/>
          </cell>
        </row>
        <row r="9347">
          <cell r="B9347" t="str">
            <v>INF2F0001347</v>
          </cell>
          <cell r="C9347" t="str">
            <v>-</v>
          </cell>
          <cell r="D9347" t="str">
            <v>The Wealth Company Multi Asset Allocation Fund - Direct Growth</v>
          </cell>
          <cell r="E9347">
            <v>10.7309</v>
          </cell>
        </row>
        <row r="9348">
          <cell r="B9348" t="str">
            <v>INF2F0001354</v>
          </cell>
          <cell r="C9348" t="str">
            <v>INF2F0001362</v>
          </cell>
          <cell r="D9348" t="str">
            <v>The Wealth Company Multi Asset Allocation Fund - Direct IDCW</v>
          </cell>
          <cell r="E9348">
            <v>10.7295</v>
          </cell>
        </row>
        <row r="9349">
          <cell r="B9349" t="str">
            <v>INF2F0001313</v>
          </cell>
          <cell r="C9349" t="str">
            <v>-</v>
          </cell>
          <cell r="D9349" t="str">
            <v>The Wealth Company Multi Asset Allocation Fund - Regular Growth</v>
          </cell>
          <cell r="E9349">
            <v>10.624000000000001</v>
          </cell>
        </row>
        <row r="9350">
          <cell r="B9350" t="str">
            <v>INF2F0001321</v>
          </cell>
          <cell r="C9350" t="str">
            <v>INF2F0001339</v>
          </cell>
          <cell r="D9350" t="str">
            <v>The Wealth Company Multi Asset Allocation Fund - Regular IDCW</v>
          </cell>
          <cell r="E9350">
            <v>10.6152</v>
          </cell>
        </row>
        <row r="9351">
          <cell r="B9351" t="str">
            <v/>
          </cell>
          <cell r="C9351" t="str">
            <v/>
          </cell>
          <cell r="D9351" t="str">
            <v/>
          </cell>
        </row>
        <row r="9352">
          <cell r="B9352" t="str">
            <v/>
          </cell>
          <cell r="C9352" t="str">
            <v/>
          </cell>
          <cell r="D9352" t="str">
            <v/>
          </cell>
        </row>
        <row r="9353">
          <cell r="B9353" t="str">
            <v/>
          </cell>
          <cell r="C9353" t="str">
            <v/>
          </cell>
          <cell r="D9353" t="str">
            <v/>
          </cell>
        </row>
        <row r="9354">
          <cell r="B9354" t="str">
            <v>INF582M01JY4</v>
          </cell>
          <cell r="C9354" t="str">
            <v>-</v>
          </cell>
          <cell r="D9354" t="str">
            <v>Union Multi Asset Allocation Fund- Direct Plan - Growth Option</v>
          </cell>
          <cell r="E9354">
            <v>12.34</v>
          </cell>
        </row>
        <row r="9355">
          <cell r="B9355" t="str">
            <v>INF582M01JZ1</v>
          </cell>
          <cell r="C9355" t="str">
            <v>INF582M01KA2</v>
          </cell>
          <cell r="D9355" t="str">
            <v>Union Multi Asset Allocation Fund- Direct Plan - IDCW Option</v>
          </cell>
          <cell r="E9355">
            <v>12.34</v>
          </cell>
        </row>
        <row r="9356">
          <cell r="B9356" t="str">
            <v>INF582M01JU2</v>
          </cell>
          <cell r="C9356" t="str">
            <v>-</v>
          </cell>
          <cell r="D9356" t="str">
            <v>Union Multi Asset Allocation Fund- Regular Plan - Growth Option</v>
          </cell>
          <cell r="E9356">
            <v>12.07</v>
          </cell>
        </row>
        <row r="9357">
          <cell r="B9357" t="str">
            <v>INF582M01JV0</v>
          </cell>
          <cell r="C9357" t="str">
            <v>INF582M01JW8</v>
          </cell>
          <cell r="D9357" t="str">
            <v>Union Multi Asset Allocation Fund- Regular Plan - IDCW Option</v>
          </cell>
          <cell r="E9357">
            <v>12.07</v>
          </cell>
        </row>
        <row r="9358">
          <cell r="B9358" t="str">
            <v/>
          </cell>
          <cell r="C9358" t="str">
            <v/>
          </cell>
          <cell r="D9358" t="str">
            <v/>
          </cell>
        </row>
        <row r="9359">
          <cell r="B9359" t="str">
            <v/>
          </cell>
          <cell r="C9359" t="str">
            <v/>
          </cell>
          <cell r="D9359" t="str">
            <v/>
          </cell>
        </row>
        <row r="9360">
          <cell r="B9360" t="str">
            <v/>
          </cell>
          <cell r="C9360" t="str">
            <v/>
          </cell>
          <cell r="D9360" t="str">
            <v/>
          </cell>
        </row>
        <row r="9361">
          <cell r="B9361" t="str">
            <v>INF789F01VE6</v>
          </cell>
          <cell r="C9361" t="str">
            <v>-</v>
          </cell>
          <cell r="D9361" t="str">
            <v>UTI Multi Asset Allocation Fund - Direct Plan - Growth Option</v>
          </cell>
          <cell r="E9361">
            <v>87.931100000000001</v>
          </cell>
        </row>
        <row r="9362">
          <cell r="B9362" t="str">
            <v>INF789F01VC0</v>
          </cell>
          <cell r="C9362" t="str">
            <v>INF789F01VD8</v>
          </cell>
          <cell r="D9362" t="str">
            <v>UTI Multi Asset Allocation Fund - Direct Plan - IDCW</v>
          </cell>
          <cell r="E9362">
            <v>34.771500000000003</v>
          </cell>
        </row>
        <row r="9363">
          <cell r="B9363" t="str">
            <v>INF789F01AP6</v>
          </cell>
          <cell r="C9363" t="str">
            <v>-</v>
          </cell>
          <cell r="D9363" t="str">
            <v>UTI Multi Asset Allocation Fund - Regular Plan - Growth Option</v>
          </cell>
          <cell r="E9363">
            <v>78.424199999999999</v>
          </cell>
        </row>
        <row r="9364">
          <cell r="B9364" t="str">
            <v>INF789F01AN1</v>
          </cell>
          <cell r="C9364" t="str">
            <v>INF789F01AO9</v>
          </cell>
          <cell r="D9364" t="str">
            <v>UTI Multi Asset Allocation Fund - Regular Plan - IDCW</v>
          </cell>
          <cell r="E9364">
            <v>29.5916</v>
          </cell>
        </row>
        <row r="9365">
          <cell r="B9365" t="str">
            <v/>
          </cell>
          <cell r="C9365" t="str">
            <v/>
          </cell>
          <cell r="D9365" t="str">
            <v/>
          </cell>
        </row>
        <row r="9366">
          <cell r="B9366" t="str">
            <v/>
          </cell>
          <cell r="C9366" t="str">
            <v/>
          </cell>
          <cell r="D9366" t="str">
            <v/>
          </cell>
        </row>
        <row r="9367">
          <cell r="B9367" t="str">
            <v/>
          </cell>
          <cell r="C9367" t="str">
            <v/>
          </cell>
          <cell r="D9367" t="str">
            <v/>
          </cell>
        </row>
        <row r="9368">
          <cell r="B9368" t="str">
            <v>INF03VN01761</v>
          </cell>
          <cell r="C9368" t="str">
            <v>-</v>
          </cell>
          <cell r="D9368" t="str">
            <v>WhiteOak Capital Multi Asset Allocation Fund Direct Plan Growth</v>
          </cell>
          <cell r="E9368">
            <v>16.475000000000001</v>
          </cell>
        </row>
        <row r="9369">
          <cell r="B9369" t="str">
            <v>INF03VN01779</v>
          </cell>
          <cell r="C9369" t="str">
            <v>-</v>
          </cell>
          <cell r="D9369" t="str">
            <v>WhiteOak Capital Multi Asset Allocation Fund Regular Plan Growth</v>
          </cell>
          <cell r="E9369">
            <v>15.866</v>
          </cell>
        </row>
        <row r="9370">
          <cell r="B9370" t="str">
            <v/>
          </cell>
          <cell r="C9370" t="str">
            <v/>
          </cell>
          <cell r="D9370" t="str">
            <v/>
          </cell>
        </row>
        <row r="9371">
          <cell r="B9371" t="str">
            <v/>
          </cell>
          <cell r="C9371" t="str">
            <v/>
          </cell>
          <cell r="D9371" t="str">
            <v/>
          </cell>
        </row>
        <row r="9372">
          <cell r="B9372" t="str">
            <v/>
          </cell>
          <cell r="C9372" t="str">
            <v/>
          </cell>
          <cell r="D9372" t="str">
            <v/>
          </cell>
        </row>
        <row r="9373">
          <cell r="B9373" t="str">
            <v>-</v>
          </cell>
          <cell r="C9373" t="str">
            <v>-</v>
          </cell>
          <cell r="D9373" t="str">
            <v>Zerodha Life Cycle Fund 2036 - Direct - Growth</v>
          </cell>
          <cell r="E9373">
            <v>9.9451999999999998</v>
          </cell>
        </row>
        <row r="9374">
          <cell r="B9374" t="str">
            <v>-</v>
          </cell>
          <cell r="C9374" t="str">
            <v>-</v>
          </cell>
          <cell r="D9374" t="str">
            <v>Zerodha Life Cycle Fund 2041 - Direct - Growth</v>
          </cell>
          <cell r="E9374">
            <v>9.9339999999999993</v>
          </cell>
        </row>
        <row r="9375">
          <cell r="B9375" t="str">
            <v/>
          </cell>
          <cell r="C9375" t="str">
            <v/>
          </cell>
          <cell r="D9375" t="str">
            <v/>
          </cell>
        </row>
        <row r="9376">
          <cell r="B9376" t="str">
            <v/>
          </cell>
          <cell r="C9376" t="str">
            <v/>
          </cell>
          <cell r="D9376" t="str">
            <v/>
          </cell>
        </row>
        <row r="9377">
          <cell r="B9377" t="str">
            <v/>
          </cell>
          <cell r="C9377" t="str">
            <v/>
          </cell>
          <cell r="D9377" t="str">
            <v/>
          </cell>
        </row>
        <row r="9378">
          <cell r="B9378" t="str">
            <v/>
          </cell>
          <cell r="C9378" t="str">
            <v/>
          </cell>
          <cell r="D9378" t="str">
            <v/>
          </cell>
        </row>
        <row r="9379">
          <cell r="B9379" t="str">
            <v/>
          </cell>
          <cell r="C9379" t="str">
            <v/>
          </cell>
          <cell r="D9379" t="str">
            <v/>
          </cell>
        </row>
        <row r="9380">
          <cell r="B9380" t="str">
            <v>INF174V01804</v>
          </cell>
          <cell r="C9380" t="str">
            <v>INF174V01796</v>
          </cell>
          <cell r="D9380" t="str">
            <v>Mahindra Manulife Aggressive Hybrid Fund - Direct Plan - Monthly IDCW</v>
          </cell>
          <cell r="E9380">
            <v>20.948899999999998</v>
          </cell>
        </row>
        <row r="9381">
          <cell r="B9381" t="str">
            <v>INF174V01788</v>
          </cell>
          <cell r="C9381" t="str">
            <v>-</v>
          </cell>
          <cell r="D9381" t="str">
            <v>Mahindra Manulife Aggressive Hybrid Fund - Direct Plan -Growth</v>
          </cell>
          <cell r="E9381">
            <v>30.290299999999998</v>
          </cell>
        </row>
        <row r="9382">
          <cell r="B9382" t="str">
            <v>INF174V01754</v>
          </cell>
          <cell r="C9382" t="str">
            <v>-</v>
          </cell>
          <cell r="D9382" t="str">
            <v>Mahindra Manulife Aggressive Hybrid Fund - Regular Plan - Growth</v>
          </cell>
          <cell r="E9382">
            <v>26.7712</v>
          </cell>
        </row>
        <row r="9383">
          <cell r="B9383" t="str">
            <v>INF174V01770</v>
          </cell>
          <cell r="C9383" t="str">
            <v>INF174V01762</v>
          </cell>
          <cell r="D9383" t="str">
            <v>Mahindra Manulife Aggressive Hybrid Fund - Regular Plan - Monthly IDCW</v>
          </cell>
          <cell r="E9383">
            <v>17.880800000000001</v>
          </cell>
        </row>
        <row r="9384">
          <cell r="B9384" t="str">
            <v/>
          </cell>
          <cell r="C9384" t="str">
            <v/>
          </cell>
          <cell r="D9384" t="str">
            <v/>
          </cell>
        </row>
        <row r="9385">
          <cell r="B9385" t="str">
            <v/>
          </cell>
          <cell r="C9385" t="str">
            <v/>
          </cell>
          <cell r="D9385" t="str">
            <v/>
          </cell>
        </row>
        <row r="9386">
          <cell r="B9386" t="str">
            <v/>
          </cell>
          <cell r="C9386" t="str">
            <v/>
          </cell>
          <cell r="D9386" t="str">
            <v/>
          </cell>
        </row>
        <row r="9387">
          <cell r="B9387" t="str">
            <v>INF03VN01AF8</v>
          </cell>
          <cell r="C9387" t="str">
            <v>-</v>
          </cell>
          <cell r="D9387" t="str">
            <v>WhiteOak Capital Aggressive Hybrid Fund Direct Plan Growth</v>
          </cell>
          <cell r="E9387">
            <v>10.254</v>
          </cell>
        </row>
        <row r="9388">
          <cell r="B9388" t="str">
            <v>INF03VN01AG6</v>
          </cell>
          <cell r="C9388" t="str">
            <v>-</v>
          </cell>
          <cell r="D9388" t="str">
            <v>WhiteOak Capital Aggressive Hybrid Fund Regular Plan Growth</v>
          </cell>
          <cell r="E9388">
            <v>10.241</v>
          </cell>
        </row>
        <row r="9389">
          <cell r="B9389" t="str">
            <v/>
          </cell>
          <cell r="C9389" t="str">
            <v/>
          </cell>
          <cell r="D9389" t="str">
            <v/>
          </cell>
        </row>
        <row r="9390">
          <cell r="B9390" t="str">
            <v/>
          </cell>
          <cell r="C9390" t="str">
            <v/>
          </cell>
          <cell r="D9390" t="str">
            <v/>
          </cell>
        </row>
        <row r="9391">
          <cell r="B9391" t="str">
            <v/>
          </cell>
          <cell r="C9391" t="str">
            <v/>
          </cell>
          <cell r="D9391" t="str">
            <v/>
          </cell>
        </row>
        <row r="9392">
          <cell r="B9392" t="str">
            <v/>
          </cell>
          <cell r="C9392" t="str">
            <v/>
          </cell>
          <cell r="D9392" t="str">
            <v/>
          </cell>
        </row>
        <row r="9393">
          <cell r="B9393" t="str">
            <v/>
          </cell>
          <cell r="C9393" t="str">
            <v/>
          </cell>
          <cell r="D9393" t="str">
            <v/>
          </cell>
        </row>
        <row r="9394">
          <cell r="B9394" t="str">
            <v>INF0R8701145</v>
          </cell>
          <cell r="C9394" t="str">
            <v>-</v>
          </cell>
          <cell r="D9394" t="str">
            <v>Helios Balanced Advantage Fund- Direct Plan- Growth Option</v>
          </cell>
          <cell r="E9394">
            <v>11.92</v>
          </cell>
        </row>
        <row r="9395">
          <cell r="B9395" t="str">
            <v>INF0R8701152</v>
          </cell>
          <cell r="C9395" t="str">
            <v>INF0R8701160</v>
          </cell>
          <cell r="D9395" t="str">
            <v>Helios Balanced Advantage Fund- Direct Plan-IDCW Option</v>
          </cell>
          <cell r="E9395">
            <v>11.84</v>
          </cell>
        </row>
        <row r="9396">
          <cell r="B9396" t="str">
            <v>INF0R8701111</v>
          </cell>
          <cell r="C9396" t="str">
            <v>-</v>
          </cell>
          <cell r="D9396" t="str">
            <v>Helios Balanced Advantage Fund- Regular Plan- Growth Option</v>
          </cell>
          <cell r="E9396">
            <v>11.5</v>
          </cell>
        </row>
        <row r="9397">
          <cell r="B9397" t="str">
            <v>INF0R8701129</v>
          </cell>
          <cell r="C9397" t="str">
            <v>INF0R8701137</v>
          </cell>
          <cell r="D9397" t="str">
            <v>Helios Balanced Advantage Fund- Regular Plan-IDCW Option</v>
          </cell>
          <cell r="E9397">
            <v>11.43</v>
          </cell>
        </row>
        <row r="9398">
          <cell r="B9398" t="str">
            <v/>
          </cell>
          <cell r="C9398" t="str">
            <v/>
          </cell>
          <cell r="D9398" t="str">
            <v/>
          </cell>
        </row>
        <row r="9399">
          <cell r="B9399" t="str">
            <v/>
          </cell>
          <cell r="C9399" t="str">
            <v/>
          </cell>
          <cell r="D9399" t="str">
            <v/>
          </cell>
        </row>
        <row r="9400">
          <cell r="B9400" t="str">
            <v/>
          </cell>
          <cell r="C9400" t="str">
            <v/>
          </cell>
          <cell r="D9400" t="str">
            <v/>
          </cell>
        </row>
        <row r="9401">
          <cell r="B9401" t="str">
            <v>INF174V01BE0</v>
          </cell>
          <cell r="C9401" t="str">
            <v>-</v>
          </cell>
          <cell r="D9401" t="str">
            <v>Mahindra Manulife Balanced Advantage Fund - Direct Plan - Growth</v>
          </cell>
          <cell r="E9401">
            <v>16.0413</v>
          </cell>
        </row>
        <row r="9402">
          <cell r="B9402" t="str">
            <v>INF174V01BF7</v>
          </cell>
          <cell r="C9402" t="str">
            <v>INF174V01BG5</v>
          </cell>
          <cell r="D9402" t="str">
            <v>Mahindra Manulife Balanced Advantage Fund - Direct Plan - IDCW</v>
          </cell>
          <cell r="E9402">
            <v>12.8832</v>
          </cell>
        </row>
        <row r="9403">
          <cell r="B9403" t="str">
            <v>INF174V01BB6</v>
          </cell>
          <cell r="C9403" t="str">
            <v>-</v>
          </cell>
          <cell r="D9403" t="str">
            <v>Mahindra Manulife Balanced Advantage Fund - Regular Plan - Growth</v>
          </cell>
          <cell r="E9403">
            <v>14.811199999999999</v>
          </cell>
        </row>
        <row r="9404">
          <cell r="B9404" t="str">
            <v>INF174V01BC4</v>
          </cell>
          <cell r="C9404" t="str">
            <v>INF174V01BD2</v>
          </cell>
          <cell r="D9404" t="str">
            <v>Mahindra Manulife Balanced Advantage Fund - Regular Plan - IDCW</v>
          </cell>
          <cell r="E9404">
            <v>11.7295</v>
          </cell>
        </row>
        <row r="9405">
          <cell r="B9405" t="str">
            <v/>
          </cell>
          <cell r="C9405" t="str">
            <v/>
          </cell>
          <cell r="D9405" t="str">
            <v/>
          </cell>
        </row>
        <row r="9406">
          <cell r="B9406" t="str">
            <v/>
          </cell>
          <cell r="C9406" t="str">
            <v/>
          </cell>
          <cell r="D9406" t="str">
            <v/>
          </cell>
        </row>
        <row r="9407">
          <cell r="B9407" t="str">
            <v/>
          </cell>
          <cell r="C9407" t="str">
            <v/>
          </cell>
          <cell r="D9407" t="str">
            <v/>
          </cell>
        </row>
        <row r="9408">
          <cell r="B9408" t="str">
            <v/>
          </cell>
          <cell r="C9408" t="str">
            <v/>
          </cell>
          <cell r="D9408" t="str">
            <v/>
          </cell>
        </row>
        <row r="9409">
          <cell r="B9409" t="str">
            <v/>
          </cell>
          <cell r="C9409" t="str">
            <v/>
          </cell>
          <cell r="D9409" t="str">
            <v/>
          </cell>
        </row>
        <row r="9410">
          <cell r="B9410" t="str">
            <v>INF109K01EA1</v>
          </cell>
          <cell r="C9410" t="str">
            <v>INF109K01AQ5</v>
          </cell>
          <cell r="D9410" t="str">
            <v>ICICI Prudential Blended Plan B -  Dividend Option - I</v>
          </cell>
          <cell r="E9410">
            <v>15.0425</v>
          </cell>
        </row>
        <row r="9411">
          <cell r="B9411" t="str">
            <v>INF109K01AR3</v>
          </cell>
          <cell r="C9411" t="str">
            <v>-</v>
          </cell>
          <cell r="D9411" t="str">
            <v>ICICI Prudential Blended Plan B -  Growth Option - I</v>
          </cell>
          <cell r="E9411">
            <v>23.963100000000001</v>
          </cell>
        </row>
        <row r="9412">
          <cell r="B9412" t="str">
            <v>INF109K01VV1</v>
          </cell>
          <cell r="C9412" t="str">
            <v>INF109K01ID6</v>
          </cell>
          <cell r="D9412" t="str">
            <v>ICICI Prudential Blended Plan B -  Monthly Dividend Option - I</v>
          </cell>
          <cell r="E9412">
            <v>10.266</v>
          </cell>
        </row>
        <row r="9413">
          <cell r="B9413" t="str">
            <v>INF109K01VW9</v>
          </cell>
          <cell r="C9413" t="str">
            <v>-</v>
          </cell>
          <cell r="D9413" t="str">
            <v>ICICI Prudential Blended Plan B - Daily Dividend Option - I</v>
          </cell>
          <cell r="E9413">
            <v>12.492599999999999</v>
          </cell>
        </row>
        <row r="9414">
          <cell r="B9414" t="str">
            <v>INF109K015J6</v>
          </cell>
          <cell r="C9414" t="str">
            <v>INF109K016J4</v>
          </cell>
          <cell r="D9414" t="str">
            <v>ICICI Prudential Blended Plan B - Direct Plan -  Dividend Option - I</v>
          </cell>
          <cell r="E9414">
            <v>17.7362</v>
          </cell>
        </row>
        <row r="9415">
          <cell r="B9415" t="str">
            <v>INF109K017J2</v>
          </cell>
          <cell r="C9415" t="str">
            <v>-</v>
          </cell>
          <cell r="D9415" t="str">
            <v>ICICI Prudential Blended Plan B - Direct Plan -  Growth Option - I</v>
          </cell>
          <cell r="E9415">
            <v>24.0808</v>
          </cell>
        </row>
        <row r="9416">
          <cell r="B9416" t="str">
            <v>INF109K018J0</v>
          </cell>
          <cell r="C9416" t="str">
            <v>INF109K019J8</v>
          </cell>
          <cell r="D9416" t="str">
            <v>ICICI Prudential Blended Plan B - Direct Plan -  Monthly Dividend Option - I</v>
          </cell>
          <cell r="E9416">
            <v>10.3063</v>
          </cell>
        </row>
        <row r="9417">
          <cell r="B9417" t="str">
            <v>INF109KA1M54</v>
          </cell>
          <cell r="C9417" t="str">
            <v>INF109KA1M47</v>
          </cell>
          <cell r="D9417" t="str">
            <v>ICICI Prudential Blended Plan B - Direct Plan - Half Yearly Dividend Option - I</v>
          </cell>
          <cell r="E9417">
            <v>10.0227</v>
          </cell>
        </row>
        <row r="9418">
          <cell r="B9418" t="str">
            <v>INF109KA1CK7</v>
          </cell>
          <cell r="C9418" t="str">
            <v>INF109KA1CJ9</v>
          </cell>
          <cell r="D9418" t="str">
            <v>ICICI Prudential Blended Plan B - Direct Plan - Quarterly Dividend Option - I</v>
          </cell>
          <cell r="E9418">
            <v>10.7</v>
          </cell>
        </row>
        <row r="9419">
          <cell r="B9419" t="str">
            <v>INF109KA1M39</v>
          </cell>
          <cell r="C9419" t="str">
            <v>INF109KA1M21</v>
          </cell>
          <cell r="D9419" t="str">
            <v>ICICI Prudential Blended Plan B - Half Yearly Dividend Option - I</v>
          </cell>
          <cell r="E9419">
            <v>10.366099999999999</v>
          </cell>
        </row>
        <row r="9420">
          <cell r="B9420" t="str">
            <v>INF109KA1392</v>
          </cell>
          <cell r="C9420" t="str">
            <v>-</v>
          </cell>
          <cell r="D9420" t="str">
            <v>ICICI Prudential Blended Plan B - option I-Bonus</v>
          </cell>
          <cell r="E9420">
            <v>11.9703</v>
          </cell>
        </row>
        <row r="9421">
          <cell r="B9421" t="str">
            <v>INF109K014J9</v>
          </cell>
          <cell r="C9421" t="str">
            <v>-</v>
          </cell>
          <cell r="D9421" t="str">
            <v>ICICI Prudential Blended Plan B-Direct Plan -  Daily Dividend Option - I</v>
          </cell>
          <cell r="E9421">
            <v>12.032</v>
          </cell>
        </row>
        <row r="9422">
          <cell r="B9422" t="str">
            <v>INF109K01597</v>
          </cell>
          <cell r="C9422" t="str">
            <v>-</v>
          </cell>
          <cell r="D9422" t="str">
            <v>ICICI Prudential Child Care Plan Study - Cumulative</v>
          </cell>
          <cell r="E9422">
            <v>69.612200000000001</v>
          </cell>
        </row>
        <row r="9423">
          <cell r="B9423" t="str">
            <v>INF109K01Y56</v>
          </cell>
          <cell r="C9423" t="str">
            <v>-</v>
          </cell>
          <cell r="D9423" t="str">
            <v>ICICI Prudential Child Care Plan Study - Direct Plan- Cumulative</v>
          </cell>
          <cell r="E9423">
            <v>72.424300000000002</v>
          </cell>
        </row>
        <row r="9424">
          <cell r="B9424" t="str">
            <v>INF109KA15C5</v>
          </cell>
          <cell r="C9424" t="str">
            <v>INF109KA14C8</v>
          </cell>
          <cell r="D9424" t="str">
            <v>ICICI Prudential Dynamic Bond Fund - Annual Dividend</v>
          </cell>
          <cell r="E9424">
            <v>10.648400000000001</v>
          </cell>
        </row>
        <row r="9425">
          <cell r="B9425" t="str">
            <v>INF109KA1350</v>
          </cell>
          <cell r="C9425" t="str">
            <v>-</v>
          </cell>
          <cell r="D9425" t="str">
            <v>ICICI Prudential Dynamic Bond Fund - Bonus</v>
          </cell>
          <cell r="E9425">
            <v>19.698399999999999</v>
          </cell>
        </row>
        <row r="9426">
          <cell r="B9426" t="str">
            <v>INF109K01PJ8</v>
          </cell>
          <cell r="C9426" t="str">
            <v>-</v>
          </cell>
          <cell r="D9426" t="str">
            <v>ICICI Prudential Dynamic Bond Fund - Daily Dividend</v>
          </cell>
          <cell r="E9426">
            <v>10.017099999999999</v>
          </cell>
        </row>
        <row r="9427">
          <cell r="B9427" t="str">
            <v>INF109K016K2</v>
          </cell>
          <cell r="C9427" t="str">
            <v>-</v>
          </cell>
          <cell r="D9427" t="str">
            <v>ICICI Prudential Dynamic Bond Fund - Direct Plan -  Daily Dividend</v>
          </cell>
          <cell r="E9427">
            <v>10.5669</v>
          </cell>
        </row>
        <row r="9428">
          <cell r="B9428" t="str">
            <v>INF109K017K0</v>
          </cell>
          <cell r="C9428" t="str">
            <v>-</v>
          </cell>
          <cell r="D9428" t="str">
            <v>ICICI Prudential Dynamic Bond Fund - Direct Plan -  Growth</v>
          </cell>
          <cell r="E9428">
            <v>20.425000000000001</v>
          </cell>
        </row>
        <row r="9429">
          <cell r="B9429" t="str">
            <v>INF109K018K8</v>
          </cell>
          <cell r="C9429" t="str">
            <v>INF109K019K6</v>
          </cell>
          <cell r="D9429" t="str">
            <v>ICICI Prudential Dynamic Bond Fund - Direct Plan -  Half Yearly Dividend</v>
          </cell>
          <cell r="E9429">
            <v>10.212899999999999</v>
          </cell>
        </row>
        <row r="9430">
          <cell r="B9430" t="str">
            <v>INF109K010L3</v>
          </cell>
          <cell r="C9430" t="str">
            <v>INF109K011L1</v>
          </cell>
          <cell r="D9430" t="str">
            <v>ICICI Prudential Dynamic Bond Fund - Direct Plan -  Monthly Dividend</v>
          </cell>
          <cell r="E9430">
            <v>10.4618</v>
          </cell>
        </row>
        <row r="9431">
          <cell r="B9431" t="str">
            <v>INF109KA17C1</v>
          </cell>
          <cell r="C9431" t="str">
            <v>INF109KA16C3</v>
          </cell>
          <cell r="D9431" t="str">
            <v>ICICI Prudential Dynamic Bond Fund - Direct Plan - Annual Dividend</v>
          </cell>
          <cell r="E9431">
            <v>10.616400000000001</v>
          </cell>
        </row>
        <row r="9432">
          <cell r="B9432" t="str">
            <v>INF109KA1343</v>
          </cell>
          <cell r="C9432" t="str">
            <v>-</v>
          </cell>
          <cell r="D9432" t="str">
            <v>ICICI Prudential Dynamic Bond Fund - Direct Plan - Bonus Option</v>
          </cell>
          <cell r="E9432">
            <v>20.23</v>
          </cell>
        </row>
        <row r="9433">
          <cell r="B9433" t="str">
            <v>INF109K012L9</v>
          </cell>
          <cell r="C9433" t="str">
            <v>INF109K013L7</v>
          </cell>
          <cell r="D9433" t="str">
            <v>ICICI Prudential Dynamic Bond Fund - Direct Plan - Quarterly Dividend</v>
          </cell>
          <cell r="E9433">
            <v>10.4779</v>
          </cell>
        </row>
        <row r="9434">
          <cell r="B9434" t="str">
            <v>INF109K01CB3</v>
          </cell>
          <cell r="C9434" t="str">
            <v>-</v>
          </cell>
          <cell r="D9434" t="str">
            <v>ICICI Prudential Dynamic Bond Fund - Growth</v>
          </cell>
          <cell r="E9434">
            <v>19.698499999999999</v>
          </cell>
        </row>
        <row r="9435">
          <cell r="B9435" t="str">
            <v>INF109K01PK6</v>
          </cell>
          <cell r="C9435" t="str">
            <v>INF109K01IY2</v>
          </cell>
          <cell r="D9435" t="str">
            <v>ICICI Prudential Dynamic Bond Fund - Half Yearly Dividend</v>
          </cell>
          <cell r="E9435">
            <v>10.238799999999999</v>
          </cell>
        </row>
        <row r="9436">
          <cell r="B9436" t="str">
            <v>INF109K01FE0</v>
          </cell>
          <cell r="C9436" t="str">
            <v>INF109K01CC1</v>
          </cell>
          <cell r="D9436" t="str">
            <v>ICICI Prudential Dynamic Bond Fund - Monthly Dividend</v>
          </cell>
          <cell r="E9436">
            <v>10.9656</v>
          </cell>
        </row>
        <row r="9437">
          <cell r="B9437" t="str">
            <v>INF109K01RW7</v>
          </cell>
          <cell r="C9437" t="str">
            <v>-</v>
          </cell>
          <cell r="D9437" t="str">
            <v>ICICI Prudential Dynamic Bond Fund - Premium Plus Growth</v>
          </cell>
          <cell r="E9437">
            <v>20.763200000000001</v>
          </cell>
        </row>
        <row r="9438">
          <cell r="B9438" t="str">
            <v>INF109K01FF7</v>
          </cell>
          <cell r="C9438" t="str">
            <v>INF109K01CD9</v>
          </cell>
          <cell r="D9438" t="str">
            <v>ICICI Prudential Dynamic Bond Fund - Quarterly Dividend</v>
          </cell>
          <cell r="E9438">
            <v>10.407999999999999</v>
          </cell>
        </row>
        <row r="9439">
          <cell r="B9439" t="str">
            <v>INF109K01KM3</v>
          </cell>
          <cell r="C9439" t="str">
            <v>-</v>
          </cell>
          <cell r="D9439" t="str">
            <v>ICICI Prudential Interval Fund - Annual Interval Plan I - Retail Dividend</v>
          </cell>
          <cell r="E9439">
            <v>10.789400000000001</v>
          </cell>
        </row>
        <row r="9440">
          <cell r="B9440" t="str">
            <v>INF109K01KL5</v>
          </cell>
          <cell r="C9440" t="str">
            <v>-</v>
          </cell>
          <cell r="D9440" t="str">
            <v>ICICI Prudential Interval Fund - Annual Interval Plan I - Retail Growth</v>
          </cell>
          <cell r="E9440">
            <v>22.503499999999999</v>
          </cell>
        </row>
        <row r="9441">
          <cell r="B9441" t="str">
            <v>INF109KA1C80</v>
          </cell>
          <cell r="C9441" t="str">
            <v>-</v>
          </cell>
          <cell r="D9441" t="str">
            <v>ICICI Prudential Interval Fund Annual Interval Plan - I - Direct Plan Bonus</v>
          </cell>
          <cell r="E9441">
            <v>12.628</v>
          </cell>
        </row>
        <row r="9442">
          <cell r="B9442" t="str">
            <v>INF109K01KN1</v>
          </cell>
          <cell r="C9442" t="str">
            <v>-</v>
          </cell>
          <cell r="D9442" t="str">
            <v>ICICI Prudential Interval Fund Annual Interval Plan I -  Growth</v>
          </cell>
          <cell r="E9442">
            <v>17.983000000000001</v>
          </cell>
        </row>
        <row r="9443">
          <cell r="B9443" t="str">
            <v>INF109K01K45</v>
          </cell>
          <cell r="C9443" t="str">
            <v>-</v>
          </cell>
          <cell r="D9443" t="str">
            <v>ICICI Prudential Interval Fund Annual Interval Plan I - Direct Plan -  Growth</v>
          </cell>
          <cell r="E9443">
            <v>18.013100000000001</v>
          </cell>
        </row>
        <row r="9444">
          <cell r="B9444" t="str">
            <v>INF109K01KO9</v>
          </cell>
          <cell r="C9444" t="str">
            <v>-</v>
          </cell>
          <cell r="D9444" t="str">
            <v>ICICI Prudential Interval Fund Annual Interval Plan I - Dividend</v>
          </cell>
          <cell r="E9444">
            <v>10.8172</v>
          </cell>
        </row>
        <row r="9445">
          <cell r="B9445" t="str">
            <v>INF109K01KQ4</v>
          </cell>
          <cell r="C9445" t="str">
            <v>-</v>
          </cell>
          <cell r="D9445" t="str">
            <v>ICICI Prudential Interval Fund - Annual Interval Plan II - Retail Dividend</v>
          </cell>
          <cell r="E9445">
            <v>11.988300000000001</v>
          </cell>
        </row>
        <row r="9446">
          <cell r="B9446" t="str">
            <v>INF109K01KP6</v>
          </cell>
          <cell r="C9446" t="str">
            <v>-</v>
          </cell>
          <cell r="D9446" t="str">
            <v>ICICI Prudential Interval Fund - Annual Interval Plan II - Retail Growth</v>
          </cell>
          <cell r="E9446">
            <v>22.649699999999999</v>
          </cell>
        </row>
        <row r="9447">
          <cell r="B9447" t="str">
            <v>INF109K01K60</v>
          </cell>
          <cell r="C9447" t="str">
            <v>-</v>
          </cell>
          <cell r="D9447" t="str">
            <v>ICICI Prudential Interval Fund Annual Interval Plan II - Direct Plan -  Growth</v>
          </cell>
          <cell r="E9447">
            <v>23.444900000000001</v>
          </cell>
        </row>
        <row r="9448">
          <cell r="B9448" t="str">
            <v>INF109K01KS0</v>
          </cell>
          <cell r="C9448" t="str">
            <v>-</v>
          </cell>
          <cell r="D9448" t="str">
            <v>ICICI Prudential Interval Fund Annual Interval Plan II - Dividend</v>
          </cell>
          <cell r="E9448">
            <v>11.854900000000001</v>
          </cell>
        </row>
        <row r="9449">
          <cell r="B9449" t="str">
            <v>INF109K01KR2</v>
          </cell>
          <cell r="C9449" t="str">
            <v>-</v>
          </cell>
          <cell r="D9449" t="str">
            <v>ICICI Prudential Interval Fund Annual Interval Plan II - Growth</v>
          </cell>
          <cell r="E9449">
            <v>23.362200000000001</v>
          </cell>
        </row>
        <row r="9450">
          <cell r="B9450" t="str">
            <v>INF109K01KU6</v>
          </cell>
          <cell r="C9450" t="str">
            <v>-</v>
          </cell>
          <cell r="D9450" t="str">
            <v>ICICI Prudential Interval Fund - Annual Interval Plan III - Retail Dividend</v>
          </cell>
          <cell r="E9450">
            <v>11.7874</v>
          </cell>
        </row>
        <row r="9451">
          <cell r="B9451" t="str">
            <v>INF109K01KT8</v>
          </cell>
          <cell r="C9451" t="str">
            <v>-</v>
          </cell>
          <cell r="D9451" t="str">
            <v>ICICI Prudential Interval Fund - Annual Interval Plan III - Retail Growth</v>
          </cell>
          <cell r="E9451">
            <v>21.8977</v>
          </cell>
        </row>
        <row r="9452">
          <cell r="B9452" t="str">
            <v>INF109K01K86</v>
          </cell>
          <cell r="C9452" t="str">
            <v>-</v>
          </cell>
          <cell r="D9452" t="str">
            <v>ICICI Prudential Interval Fund Annual Interval Plan III - Direct Plan -  Growth</v>
          </cell>
          <cell r="E9452">
            <v>17.797799999999999</v>
          </cell>
        </row>
        <row r="9453">
          <cell r="B9453" t="str">
            <v>INF109K01KW2</v>
          </cell>
          <cell r="C9453" t="str">
            <v>-</v>
          </cell>
          <cell r="D9453" t="str">
            <v>ICICI Prudential Interval Fund Annual Interval Plan III - Dividend</v>
          </cell>
          <cell r="E9453">
            <v>10.8352</v>
          </cell>
        </row>
        <row r="9454">
          <cell r="B9454" t="str">
            <v>INF109K01KV4</v>
          </cell>
          <cell r="C9454" t="str">
            <v>-</v>
          </cell>
          <cell r="D9454" t="str">
            <v>ICICI Prudential Interval Fund Annual Interval Plan III - Growth</v>
          </cell>
          <cell r="E9454">
            <v>17.749500000000001</v>
          </cell>
        </row>
        <row r="9455">
          <cell r="B9455" t="str">
            <v>INF109K01KI1</v>
          </cell>
          <cell r="C9455" t="str">
            <v>-</v>
          </cell>
          <cell r="D9455" t="str">
            <v>ICICI Prudential Interval Fund - Annual Interval Plan IV - Retail Dividend</v>
          </cell>
          <cell r="E9455">
            <v>11.6845</v>
          </cell>
        </row>
        <row r="9456">
          <cell r="B9456" t="str">
            <v>INF109K01KH3</v>
          </cell>
          <cell r="C9456" t="str">
            <v>-</v>
          </cell>
          <cell r="D9456" t="str">
            <v>ICICI Prudential Interval Fund - Annual Interval Plan IV - Retail Growth</v>
          </cell>
          <cell r="E9456">
            <v>21.7637</v>
          </cell>
        </row>
        <row r="9457">
          <cell r="B9457" t="str">
            <v>INF109K01KK7</v>
          </cell>
          <cell r="C9457" t="str">
            <v>-</v>
          </cell>
          <cell r="D9457" t="str">
            <v>ICICI Prudential Interval Fund Annual Interval Plan IV -  Dividend</v>
          </cell>
          <cell r="E9457">
            <v>11.770799999999999</v>
          </cell>
        </row>
        <row r="9458">
          <cell r="B9458" t="str">
            <v>INF109K01L02</v>
          </cell>
          <cell r="C9458" t="str">
            <v>-</v>
          </cell>
          <cell r="D9458" t="str">
            <v>ICICI Prudential Interval Fund Annual Interval Plan IV - Direct Plan -  Growth</v>
          </cell>
          <cell r="E9458">
            <v>20.4818</v>
          </cell>
        </row>
        <row r="9459">
          <cell r="B9459" t="str">
            <v>INF109K01KJ9</v>
          </cell>
          <cell r="C9459" t="str">
            <v>-</v>
          </cell>
          <cell r="D9459" t="str">
            <v>ICICI Prudential Interval Fund Annual Interval Plan IV - Growth</v>
          </cell>
          <cell r="E9459">
            <v>20.408799999999999</v>
          </cell>
        </row>
        <row r="9460">
          <cell r="B9460" t="str">
            <v>INF109K01ON3</v>
          </cell>
          <cell r="C9460" t="str">
            <v>-</v>
          </cell>
          <cell r="D9460" t="str">
            <v>ICICI Prudential Interval Fund - Monthly Interval Plan I - Retail Dividend</v>
          </cell>
          <cell r="E9460">
            <v>10.0016</v>
          </cell>
        </row>
        <row r="9461">
          <cell r="B9461" t="str">
            <v>INF109K01OM5</v>
          </cell>
          <cell r="C9461" t="str">
            <v>-</v>
          </cell>
          <cell r="D9461" t="str">
            <v>ICICI Prudential Interval Fund - Monthly Interval Plan I - Retail Growth</v>
          </cell>
          <cell r="E9461">
            <v>21.1844</v>
          </cell>
        </row>
        <row r="9462">
          <cell r="B9462" t="str">
            <v>INF109K01L36</v>
          </cell>
          <cell r="C9462" t="str">
            <v>-</v>
          </cell>
          <cell r="D9462" t="str">
            <v>ICICI Prudential Interval Fund Monthly Interval Plan I - Direct Plan -  Dividend</v>
          </cell>
          <cell r="E9462">
            <v>10.0692</v>
          </cell>
        </row>
        <row r="9463">
          <cell r="B9463" t="str">
            <v>INF109K01L28</v>
          </cell>
          <cell r="C9463" t="str">
            <v>-</v>
          </cell>
          <cell r="D9463" t="str">
            <v>ICICI Prudential Interval Fund Monthly Interval Plan I - Direct Plan -  Growth</v>
          </cell>
          <cell r="E9463">
            <v>13.4735</v>
          </cell>
        </row>
        <row r="9464">
          <cell r="B9464" t="str">
            <v>INF109K01OL7</v>
          </cell>
          <cell r="C9464" t="str">
            <v>INF109K01OK9</v>
          </cell>
          <cell r="D9464" t="str">
            <v>ICICI Prudential Interval Fund Monthly Interval Plan I - Dividend</v>
          </cell>
          <cell r="E9464">
            <v>10.0015</v>
          </cell>
        </row>
        <row r="9465">
          <cell r="B9465" t="str">
            <v>INF109K01OJ1</v>
          </cell>
          <cell r="C9465" t="str">
            <v>-</v>
          </cell>
          <cell r="D9465" t="str">
            <v>ICICI Prudential Interval Fund Monthly Interval Plan I - Growth</v>
          </cell>
          <cell r="E9465">
            <v>13.463699999999999</v>
          </cell>
        </row>
        <row r="9466">
          <cell r="B9466" t="str">
            <v>INF109K01LU4</v>
          </cell>
          <cell r="C9466" t="str">
            <v>-</v>
          </cell>
          <cell r="D9466" t="str">
            <v>ICICI Prudential Interval Fund - Quarterly Interval Plan I - Retail Dividend</v>
          </cell>
          <cell r="E9466">
            <v>10.0025</v>
          </cell>
        </row>
        <row r="9467">
          <cell r="B9467" t="str">
            <v>INF109K01LT6</v>
          </cell>
          <cell r="C9467" t="str">
            <v>-</v>
          </cell>
          <cell r="D9467" t="str">
            <v>ICICI Prudential Interval Fund - Quarterly Interval Plan I - Retail Growth</v>
          </cell>
          <cell r="E9467">
            <v>21.9999</v>
          </cell>
        </row>
        <row r="9468">
          <cell r="B9468" t="str">
            <v>INF109K01LW0</v>
          </cell>
          <cell r="C9468" t="str">
            <v>-</v>
          </cell>
          <cell r="D9468" t="str">
            <v>ICICI Prudential Interval Fund Quarterly Interval Plan - 1 Retail Quarterly Dividend Payout</v>
          </cell>
          <cell r="E9468">
            <v>10.0022</v>
          </cell>
        </row>
        <row r="9469">
          <cell r="B9469" t="str">
            <v>INF109K01L69</v>
          </cell>
          <cell r="C9469" t="str">
            <v>-</v>
          </cell>
          <cell r="D9469" t="str">
            <v>ICICI Prudential Interval Fund Quarterly Interval Plan 1 - Direct Plan -  Growth</v>
          </cell>
          <cell r="E9469">
            <v>17.621099999999998</v>
          </cell>
        </row>
        <row r="9470">
          <cell r="B9470" t="str">
            <v>INF109K01L77</v>
          </cell>
          <cell r="C9470" t="str">
            <v>-</v>
          </cell>
          <cell r="D9470" t="str">
            <v>ICICI Prudential Interval Fund Quarterly Interval Plan 1 - Direct Plan - Dividend</v>
          </cell>
          <cell r="E9470">
            <v>10.0017</v>
          </cell>
        </row>
        <row r="9471">
          <cell r="B9471" t="str">
            <v>INF109K01LP4</v>
          </cell>
          <cell r="C9471" t="str">
            <v>-</v>
          </cell>
          <cell r="D9471" t="str">
            <v>ICICI Prudential Interval Fund Quarterly Interval Plan 1 - Growth</v>
          </cell>
          <cell r="E9471">
            <v>17.5944</v>
          </cell>
        </row>
        <row r="9472">
          <cell r="B9472" t="str">
            <v>INF109K01LR0</v>
          </cell>
          <cell r="C9472" t="str">
            <v>INF109K01LQ2</v>
          </cell>
          <cell r="D9472" t="str">
            <v>ICICI Prudential Interval Fund Quarterly Interval Plan 1 -Dividend</v>
          </cell>
          <cell r="E9472">
            <v>10.0017</v>
          </cell>
        </row>
        <row r="9473">
          <cell r="B9473" t="str">
            <v>INF109K01N75</v>
          </cell>
          <cell r="C9473" t="str">
            <v>-</v>
          </cell>
          <cell r="D9473" t="str">
            <v>ICICI Prudential Interval Fund Quarterly Interval Plan 1 Plan - Direct Plan - Quarterly Dividend Payout</v>
          </cell>
          <cell r="E9473">
            <v>10.0023</v>
          </cell>
        </row>
        <row r="9474">
          <cell r="B9474" t="str">
            <v>INF109K01MC0</v>
          </cell>
          <cell r="C9474" t="str">
            <v>-</v>
          </cell>
          <cell r="D9474" t="str">
            <v>ICICI Prudential Interval Fund - Quarterly Interval Plan II - Retail Dividend</v>
          </cell>
          <cell r="E9474">
            <v>10.027100000000001</v>
          </cell>
        </row>
        <row r="9475">
          <cell r="B9475" t="str">
            <v>INF109K01MB2</v>
          </cell>
          <cell r="C9475" t="str">
            <v>-</v>
          </cell>
          <cell r="D9475" t="str">
            <v>ICICI Prudential Interval Fund - Quarterly Interval Plan II - Retail Growth</v>
          </cell>
          <cell r="E9475">
            <v>22.029599999999999</v>
          </cell>
        </row>
        <row r="9476">
          <cell r="B9476" t="str">
            <v>INF109K01L85</v>
          </cell>
          <cell r="C9476" t="str">
            <v>-</v>
          </cell>
          <cell r="D9476" t="str">
            <v>ICICI Prudential Interval Fund II Quarterly Interval - Direct Plan -  Growth</v>
          </cell>
          <cell r="E9476">
            <v>20.051300000000001</v>
          </cell>
        </row>
        <row r="9477">
          <cell r="B9477" t="str">
            <v>INF109K01LZ3</v>
          </cell>
          <cell r="C9477" t="str">
            <v>INF109K01LY6</v>
          </cell>
          <cell r="D9477" t="str">
            <v>ICICI Prudential Interval Fund II Quarterly Interval - Dividend</v>
          </cell>
          <cell r="E9477">
            <v>10.001300000000001</v>
          </cell>
        </row>
        <row r="9478">
          <cell r="B9478" t="str">
            <v>INF109K01LX8</v>
          </cell>
          <cell r="C9478" t="str">
            <v>-</v>
          </cell>
          <cell r="D9478" t="str">
            <v>ICICI Prudential Interval Fund II Quarterly Interval - Growth</v>
          </cell>
          <cell r="E9478">
            <v>19.9985</v>
          </cell>
        </row>
        <row r="9479">
          <cell r="B9479" t="str">
            <v>INF109K01N91</v>
          </cell>
          <cell r="C9479" t="str">
            <v>-</v>
          </cell>
          <cell r="D9479" t="str">
            <v>ICICI Prudential Interval Fund - Quarterly Interval Plan III - Direct Quarterly Dividend Payout</v>
          </cell>
          <cell r="E9479">
            <v>10.0085</v>
          </cell>
        </row>
        <row r="9480">
          <cell r="B9480" t="str">
            <v>INF109K01MK3</v>
          </cell>
          <cell r="C9480" t="str">
            <v>-</v>
          </cell>
          <cell r="D9480" t="str">
            <v>ICICI Prudential Interval Fund - Quarterly Interval Plan III - Retail Dividend</v>
          </cell>
          <cell r="E9480">
            <v>10.0083</v>
          </cell>
        </row>
        <row r="9481">
          <cell r="B9481" t="str">
            <v>INF109K01MJ5</v>
          </cell>
          <cell r="C9481" t="str">
            <v>-</v>
          </cell>
          <cell r="D9481" t="str">
            <v>ICICI Prudential Interval Fund - Quarterly Interval Plan III - Retail Growth</v>
          </cell>
          <cell r="E9481">
            <v>20.7912</v>
          </cell>
        </row>
        <row r="9482">
          <cell r="B9482" t="str">
            <v>INF109K01M19</v>
          </cell>
          <cell r="C9482" t="str">
            <v>-</v>
          </cell>
          <cell r="D9482" t="str">
            <v>ICICI Prudential Interval Fund III Quarterly Interval - Direct Plan -  Dividend</v>
          </cell>
          <cell r="E9482">
            <v>10.1854</v>
          </cell>
        </row>
        <row r="9483">
          <cell r="B9483" t="str">
            <v>INF109K01M01</v>
          </cell>
          <cell r="C9483" t="str">
            <v>-</v>
          </cell>
          <cell r="D9483" t="str">
            <v>ICICI Prudential Interval Fund III Quarterly Interval - Direct Plan -  Growth</v>
          </cell>
          <cell r="E9483">
            <v>17.5014</v>
          </cell>
        </row>
        <row r="9484">
          <cell r="B9484" t="str">
            <v>INF109K01MH9</v>
          </cell>
          <cell r="C9484" t="str">
            <v>INF109K01MG1</v>
          </cell>
          <cell r="D9484" t="str">
            <v>ICICI Prudential Interval Fund III Quarterly Interval - Dividend</v>
          </cell>
          <cell r="E9484">
            <v>10.0061</v>
          </cell>
        </row>
        <row r="9485">
          <cell r="B9485" t="str">
            <v>INF109K01MF3</v>
          </cell>
          <cell r="C9485" t="str">
            <v>-</v>
          </cell>
          <cell r="D9485" t="str">
            <v>ICICI Prudential Interval Fund III Quarterly Interval - Growth</v>
          </cell>
          <cell r="E9485">
            <v>17.4312</v>
          </cell>
        </row>
        <row r="9486">
          <cell r="B9486" t="str">
            <v>INF109K015G2</v>
          </cell>
          <cell r="C9486" t="str">
            <v>-</v>
          </cell>
          <cell r="D9486" t="str">
            <v>ICICI Prudential Interval Fund - Series VI - Annual Interval Plan - A - Cumulative</v>
          </cell>
          <cell r="E9486">
            <v>13.9619</v>
          </cell>
        </row>
        <row r="9487">
          <cell r="B9487" t="str">
            <v>INF109K013G7</v>
          </cell>
          <cell r="C9487" t="str">
            <v>-</v>
          </cell>
          <cell r="D9487" t="str">
            <v>ICICI Prudential Interval Fund - Series VI - Annual Interval Plan - A - Direct Plan - Cumulative</v>
          </cell>
          <cell r="E9487">
            <v>13.9796</v>
          </cell>
        </row>
        <row r="9488">
          <cell r="B9488" t="str">
            <v>INF109K014G5</v>
          </cell>
          <cell r="C9488" t="str">
            <v>-</v>
          </cell>
          <cell r="D9488" t="str">
            <v>ICICI Prudential Interval Fund - Series VI - Annual Interval Plan - A - Direct Plan - Dividend</v>
          </cell>
          <cell r="E9488">
            <v>10.9291</v>
          </cell>
        </row>
        <row r="9489">
          <cell r="B9489" t="str">
            <v>INF109K014Q4</v>
          </cell>
          <cell r="C9489" t="str">
            <v>-</v>
          </cell>
          <cell r="D9489" t="str">
            <v>ICICI Prudential Interval Fund - Series VI - Annual Interval Plan - C - Cumulative</v>
          </cell>
          <cell r="E9489">
            <v>14.942299999999999</v>
          </cell>
        </row>
        <row r="9490">
          <cell r="B9490" t="str">
            <v>INF109K016Q9</v>
          </cell>
          <cell r="C9490" t="str">
            <v>-</v>
          </cell>
          <cell r="D9490" t="str">
            <v>ICICI Prudential Interval Fund - Series VI - Annual Interval Plan - C - Direct Plan - Cumulative</v>
          </cell>
          <cell r="E9490">
            <v>14.983499999999999</v>
          </cell>
        </row>
        <row r="9491">
          <cell r="B9491" t="str">
            <v>INF109K018Q5</v>
          </cell>
          <cell r="C9491" t="str">
            <v>-</v>
          </cell>
          <cell r="D9491" t="str">
            <v>ICICI Prudential Interval Fund - Series VI - Annual Interval Plan - D - Cumulative</v>
          </cell>
          <cell r="E9491">
            <v>14.9023</v>
          </cell>
        </row>
        <row r="9492">
          <cell r="B9492" t="str">
            <v>INF109K010R0</v>
          </cell>
          <cell r="C9492" t="str">
            <v>-</v>
          </cell>
          <cell r="D9492" t="str">
            <v>ICICI Prudential Interval Fund - Series VI - Annual Interval Plan - D - Direct Plan - Cumulative</v>
          </cell>
          <cell r="E9492">
            <v>14.945399999999999</v>
          </cell>
        </row>
        <row r="9493">
          <cell r="B9493" t="str">
            <v>INF109K011R8</v>
          </cell>
          <cell r="C9493" t="str">
            <v>-</v>
          </cell>
          <cell r="D9493" t="str">
            <v>ICICI Prudential Interval Fund - Series VI - Annual Interval Plan - D - Direct Plan - Dividend</v>
          </cell>
          <cell r="E9493">
            <v>10.441000000000001</v>
          </cell>
        </row>
        <row r="9494">
          <cell r="B9494" t="str">
            <v>INF109KA1NV1</v>
          </cell>
          <cell r="C9494" t="str">
            <v>-</v>
          </cell>
          <cell r="D9494" t="str">
            <v>ICICI Prudential Interval Fund - Series VII - Annual Interval Plan - C - Cumulative</v>
          </cell>
          <cell r="E9494">
            <v>13.773999999999999</v>
          </cell>
        </row>
        <row r="9495">
          <cell r="B9495" t="str">
            <v>INF109KA1NX7</v>
          </cell>
          <cell r="C9495" t="str">
            <v>-</v>
          </cell>
          <cell r="D9495" t="str">
            <v>ICICI Prudential Interval Fund - Series VII - Annual Interval Plan - C - Direct Plan - Cumulative</v>
          </cell>
          <cell r="E9495">
            <v>13.7979</v>
          </cell>
        </row>
        <row r="9496">
          <cell r="B9496" t="str">
            <v>INF109KA1NW9</v>
          </cell>
          <cell r="C9496" t="str">
            <v>-</v>
          </cell>
          <cell r="D9496" t="str">
            <v>ICICI Prudential Interval Fund - Series VII - Annual Interval Plan - C - Dividend</v>
          </cell>
          <cell r="E9496">
            <v>10.865399999999999</v>
          </cell>
        </row>
        <row r="9497">
          <cell r="B9497" t="str">
            <v>INF109K01O17</v>
          </cell>
          <cell r="C9497" t="str">
            <v>-</v>
          </cell>
          <cell r="D9497" t="str">
            <v>ICICI Prudential Interval Fund II - Quarterly Interval Plan A - Direct Plan - Quarterly Dividend Payout</v>
          </cell>
          <cell r="E9497">
            <v>10.2479</v>
          </cell>
        </row>
        <row r="9498">
          <cell r="B9498" t="str">
            <v>INF109K01MO5</v>
          </cell>
          <cell r="C9498" t="str">
            <v>-</v>
          </cell>
          <cell r="D9498" t="str">
            <v>ICICI Prudential Interval Fund II - Quarterly Interval Plan A - Retail Dividend</v>
          </cell>
          <cell r="E9498">
            <v>10.0016</v>
          </cell>
        </row>
        <row r="9499">
          <cell r="B9499" t="str">
            <v>INF109K01MN7</v>
          </cell>
          <cell r="C9499" t="str">
            <v>-</v>
          </cell>
          <cell r="D9499" t="str">
            <v>ICICI Prudential Interval Fund II - Quarterly Interval Plan A - Retail Growth</v>
          </cell>
          <cell r="E9499">
            <v>21.191700000000001</v>
          </cell>
        </row>
        <row r="9500">
          <cell r="B9500" t="str">
            <v>INF109K01MU2</v>
          </cell>
          <cell r="C9500" t="str">
            <v>-</v>
          </cell>
          <cell r="D9500" t="str">
            <v>ICICI Prudential Interval Fund II Quarterly Interval Plan A -  Quarterly Dividend Payout</v>
          </cell>
          <cell r="E9500">
            <v>10.0015</v>
          </cell>
        </row>
        <row r="9501">
          <cell r="B9501" t="str">
            <v>INF109K01M50</v>
          </cell>
          <cell r="C9501" t="str">
            <v>-</v>
          </cell>
          <cell r="D9501" t="str">
            <v>ICICI Prudential Interval Fund II Quarterly Interval Plan A - Direct Plan -  Dividend</v>
          </cell>
          <cell r="E9501">
            <v>10.0016</v>
          </cell>
        </row>
        <row r="9502">
          <cell r="B9502" t="str">
            <v>INF109K01M43</v>
          </cell>
          <cell r="C9502" t="str">
            <v>-</v>
          </cell>
          <cell r="D9502" t="str">
            <v>ICICI Prudential Interval Fund II Quarterly Interval Plan A - Direct Plan -  Growth</v>
          </cell>
          <cell r="E9502">
            <v>13.6172</v>
          </cell>
        </row>
        <row r="9503">
          <cell r="B9503" t="str">
            <v>INF109K01MT4</v>
          </cell>
          <cell r="C9503" t="str">
            <v>INF109K01MS6</v>
          </cell>
          <cell r="D9503" t="str">
            <v>ICICI Prudential Interval Fund II Quarterly Interval Plan A - Dividend</v>
          </cell>
          <cell r="E9503">
            <v>10.0017</v>
          </cell>
        </row>
        <row r="9504">
          <cell r="B9504" t="str">
            <v>INF109K01MR8</v>
          </cell>
          <cell r="C9504" t="str">
            <v>-</v>
          </cell>
          <cell r="D9504" t="str">
            <v>ICICI Prudential Interval Fund II Quarterly Interval Plan A - Growth</v>
          </cell>
          <cell r="E9504">
            <v>13.6425</v>
          </cell>
        </row>
        <row r="9505">
          <cell r="B9505" t="str">
            <v>INF109K01MQ0</v>
          </cell>
          <cell r="C9505" t="str">
            <v>-</v>
          </cell>
          <cell r="D9505" t="str">
            <v>ICICI Prudential Interval Fund II Quarterly Interval Plan A - Retail Quarterly Dividend Payout</v>
          </cell>
          <cell r="E9505">
            <v>10.224</v>
          </cell>
        </row>
        <row r="9506">
          <cell r="B9506" t="str">
            <v>INF109K01MW8</v>
          </cell>
          <cell r="C9506" t="str">
            <v>-</v>
          </cell>
          <cell r="D9506" t="str">
            <v>ICICI Prudential Interval Fund II - Quarterly Interval Plan B - Retail Dividend</v>
          </cell>
          <cell r="E9506">
            <v>10.0124</v>
          </cell>
        </row>
        <row r="9507">
          <cell r="B9507" t="str">
            <v>INF109K01MV0</v>
          </cell>
          <cell r="C9507" t="str">
            <v>-</v>
          </cell>
          <cell r="D9507" t="str">
            <v>ICICI Prudential Interval Fund II - Quarterly Interval Plan B - Retail Growth</v>
          </cell>
          <cell r="E9507">
            <v>20.9682</v>
          </cell>
        </row>
        <row r="9508">
          <cell r="B9508" t="str">
            <v>INF109K01M76</v>
          </cell>
          <cell r="C9508" t="str">
            <v>-</v>
          </cell>
          <cell r="D9508" t="str">
            <v>ICICI Prudential Interval Fund II Quarterly Interval Plan B - Direct Plan -  Dividend</v>
          </cell>
          <cell r="E9508">
            <v>10.005100000000001</v>
          </cell>
        </row>
        <row r="9509">
          <cell r="B9509" t="str">
            <v>INF109K01M68</v>
          </cell>
          <cell r="C9509" t="str">
            <v>-</v>
          </cell>
          <cell r="D9509" t="str">
            <v>ICICI Prudential Interval Fund II Quarterly Interval Plan B - Direct Plan -  Growth</v>
          </cell>
          <cell r="E9509">
            <v>14.181900000000001</v>
          </cell>
        </row>
        <row r="9510">
          <cell r="B9510" t="str">
            <v>INF109K01NB0</v>
          </cell>
          <cell r="C9510" t="str">
            <v>INF109K01NA2</v>
          </cell>
          <cell r="D9510" t="str">
            <v>ICICI Prudential Interval Fund II Quarterly Interval Plan B - Dividend</v>
          </cell>
          <cell r="E9510">
            <v>10.0016</v>
          </cell>
        </row>
        <row r="9511">
          <cell r="B9511" t="str">
            <v>INF109K01MZ1</v>
          </cell>
          <cell r="C9511" t="str">
            <v>-</v>
          </cell>
          <cell r="D9511" t="str">
            <v>ICICI Prudential Interval Fund II Quarterly Interval Plan B - Growth</v>
          </cell>
          <cell r="E9511">
            <v>14.2363</v>
          </cell>
        </row>
        <row r="9512">
          <cell r="B9512" t="str">
            <v>INF109K01NC8</v>
          </cell>
          <cell r="C9512" t="str">
            <v>-</v>
          </cell>
          <cell r="D9512" t="str">
            <v>ICICI Prudential Interval Fund II Quarterly Interval Plan B - Quarterly Dividend Payout</v>
          </cell>
          <cell r="E9512">
            <v>10.0016</v>
          </cell>
        </row>
        <row r="9513">
          <cell r="B9513" t="str">
            <v>INF109K01NI5</v>
          </cell>
          <cell r="C9513" t="str">
            <v>-</v>
          </cell>
          <cell r="D9513" t="str">
            <v>ICICI Prudential Interval Fund II - Quarterly Interval Plan C - Retail Dividend</v>
          </cell>
          <cell r="E9513">
            <v>10.0038</v>
          </cell>
        </row>
        <row r="9514">
          <cell r="B9514" t="str">
            <v>INF109K01NH7</v>
          </cell>
          <cell r="C9514" t="str">
            <v>-</v>
          </cell>
          <cell r="D9514" t="str">
            <v>ICICI Prudential Interval Fund II - Quarterly Interval Plan C - Retail Growth</v>
          </cell>
          <cell r="E9514">
            <v>22.175899999999999</v>
          </cell>
        </row>
        <row r="9515">
          <cell r="B9515" t="str">
            <v>INF109K01L51</v>
          </cell>
          <cell r="C9515" t="str">
            <v>-</v>
          </cell>
          <cell r="D9515" t="str">
            <v>ICICI Prudential Interval Fund II Quarterly Interval Plan C - Direct Plan -  Dividend</v>
          </cell>
          <cell r="E9515">
            <v>10.0016</v>
          </cell>
        </row>
        <row r="9516">
          <cell r="B9516" t="str">
            <v>INF109K01L44</v>
          </cell>
          <cell r="C9516" t="str">
            <v>-</v>
          </cell>
          <cell r="D9516" t="str">
            <v>ICICI Prudential Interval Fund II Quarterly Interval Plan C - Direct Plan -  Growth</v>
          </cell>
          <cell r="E9516">
            <v>14.032299999999999</v>
          </cell>
        </row>
        <row r="9517">
          <cell r="B9517" t="str">
            <v>INF109K01N67</v>
          </cell>
          <cell r="C9517" t="str">
            <v>-</v>
          </cell>
          <cell r="D9517" t="str">
            <v>ICICI Prudential Interval Fund II Quarterly Interval Plan C - Direct Plan -  Quarterly Dividend Payout</v>
          </cell>
          <cell r="E9517">
            <v>10.2204</v>
          </cell>
        </row>
        <row r="9518">
          <cell r="B9518" t="str">
            <v>INF109K01NF1</v>
          </cell>
          <cell r="C9518" t="str">
            <v>INF109K01NE4</v>
          </cell>
          <cell r="D9518" t="str">
            <v>ICICI Prudential Interval Fund II Quarterly Interval Plan C - Dividend</v>
          </cell>
          <cell r="E9518">
            <v>10.0039</v>
          </cell>
        </row>
        <row r="9519">
          <cell r="B9519" t="str">
            <v>INF109K01ND6</v>
          </cell>
          <cell r="C9519" t="str">
            <v>-</v>
          </cell>
          <cell r="D9519" t="str">
            <v>ICICI Prudential Interval Fund II Quarterly Interval Plan C - Growth</v>
          </cell>
          <cell r="E9519">
            <v>13.9772</v>
          </cell>
        </row>
        <row r="9520">
          <cell r="B9520" t="str">
            <v>INF109K01NG9</v>
          </cell>
          <cell r="C9520" t="str">
            <v>-</v>
          </cell>
          <cell r="D9520" t="str">
            <v>ICICI Prudential Interval Fund II Quarterly Interval Plan C- Institutional Quarterly Dividend Payout</v>
          </cell>
          <cell r="E9520">
            <v>10.206099999999999</v>
          </cell>
        </row>
        <row r="9521">
          <cell r="B9521" t="str">
            <v>INF109K01NQ8</v>
          </cell>
          <cell r="C9521" t="str">
            <v>-</v>
          </cell>
          <cell r="D9521" t="str">
            <v>ICICI Prudential Interval Fund II - Quarterly Interval Plan D - Retail Dividend</v>
          </cell>
          <cell r="E9521">
            <v>10.0799</v>
          </cell>
        </row>
        <row r="9522">
          <cell r="B9522" t="str">
            <v>INF109K01NP0</v>
          </cell>
          <cell r="C9522" t="str">
            <v>-</v>
          </cell>
          <cell r="D9522" t="str">
            <v>ICICI Prudential Interval Fund II - Quarterly Interval Plan D - Retail Growth</v>
          </cell>
          <cell r="E9522">
            <v>22.795000000000002</v>
          </cell>
        </row>
        <row r="9523">
          <cell r="B9523" t="str">
            <v>INF109K01M92</v>
          </cell>
          <cell r="C9523" t="str">
            <v>-</v>
          </cell>
          <cell r="D9523" t="str">
            <v>ICICI Prudential Interval Fund II Quarterly Interval Plan D - Direct Plan -  Dividend</v>
          </cell>
          <cell r="E9523">
            <v>10.005100000000001</v>
          </cell>
        </row>
        <row r="9524">
          <cell r="B9524" t="str">
            <v>INF109K01O33</v>
          </cell>
          <cell r="C9524" t="str">
            <v>-</v>
          </cell>
          <cell r="D9524" t="str">
            <v>ICICI Prudential Interval Fund II Quarterly Interval Plan D - Direct Plan -  Quarterly Dividend Payout</v>
          </cell>
          <cell r="E9524">
            <v>10.153499999999999</v>
          </cell>
        </row>
        <row r="9525">
          <cell r="B9525" t="str">
            <v>INF109K01M84</v>
          </cell>
          <cell r="C9525" t="str">
            <v>-</v>
          </cell>
          <cell r="D9525" t="str">
            <v>ICICI Prudential Interval Fund II Quarterly Interval Plan D - Direct Plan - Growth</v>
          </cell>
          <cell r="E9525">
            <v>17.7073</v>
          </cell>
        </row>
        <row r="9526">
          <cell r="B9526" t="str">
            <v>INF109K01NN5</v>
          </cell>
          <cell r="C9526" t="str">
            <v>INF109K01NM7</v>
          </cell>
          <cell r="D9526" t="str">
            <v>ICICI Prudential Interval Fund II Quarterly Interval Plan D - Dividend</v>
          </cell>
          <cell r="E9526">
            <v>10.005000000000001</v>
          </cell>
        </row>
        <row r="9527">
          <cell r="B9527" t="str">
            <v>INF109K01NL9</v>
          </cell>
          <cell r="C9527" t="str">
            <v>-</v>
          </cell>
          <cell r="D9527" t="str">
            <v>ICICI Prudential Interval Fund II Quarterly Interval Plan D - Growth</v>
          </cell>
          <cell r="E9527">
            <v>13.468999999999999</v>
          </cell>
        </row>
        <row r="9528">
          <cell r="B9528" t="str">
            <v>INF109K01NO3</v>
          </cell>
          <cell r="C9528" t="str">
            <v>-</v>
          </cell>
          <cell r="D9528" t="str">
            <v>ICICI Prudential Interval Fund II Quarterly Interval Plan D - Quarterly Dividend Payout</v>
          </cell>
          <cell r="E9528">
            <v>10.2309</v>
          </cell>
        </row>
        <row r="9529">
          <cell r="B9529" t="str">
            <v>INF109K01NU0</v>
          </cell>
          <cell r="C9529" t="str">
            <v>-</v>
          </cell>
          <cell r="D9529" t="str">
            <v>ICICI Prudential Interval Fund II - Quarterly Interval Plan F - Retail Dividend</v>
          </cell>
          <cell r="E9529">
            <v>10.074199999999999</v>
          </cell>
        </row>
        <row r="9530">
          <cell r="B9530" t="str">
            <v>INF109K01NT2</v>
          </cell>
          <cell r="C9530" t="str">
            <v>-</v>
          </cell>
          <cell r="D9530" t="str">
            <v>ICICI Prudential Interval Fund II - Quarterly Interval Plan F - Retail Growth</v>
          </cell>
          <cell r="E9530">
            <v>20.25</v>
          </cell>
        </row>
        <row r="9531">
          <cell r="B9531" t="str">
            <v>INF109K01N18</v>
          </cell>
          <cell r="C9531" t="str">
            <v>-</v>
          </cell>
          <cell r="D9531" t="str">
            <v>ICICI Prudential Interval Fund II Quarterly Interval Plan F - Direct Plan -  Dividend</v>
          </cell>
          <cell r="E9531">
            <v>10.0168</v>
          </cell>
        </row>
        <row r="9532">
          <cell r="B9532" t="str">
            <v>INF109K01N00</v>
          </cell>
          <cell r="C9532" t="str">
            <v>-</v>
          </cell>
          <cell r="D9532" t="str">
            <v>ICICI Prudential Interval Fund II Quarterly Interval Plan F - Direct Plan -  Growth</v>
          </cell>
          <cell r="E9532">
            <v>17.713799999999999</v>
          </cell>
        </row>
        <row r="9533">
          <cell r="B9533" t="str">
            <v>INF109K01O41</v>
          </cell>
          <cell r="C9533" t="str">
            <v>-</v>
          </cell>
          <cell r="D9533" t="str">
            <v>ICICI Prudential Interval Fund II Quarterly Interval Plan F - Direct Plan -  Quarterly Dividend Payout</v>
          </cell>
          <cell r="E9533">
            <v>10.009499999999999</v>
          </cell>
        </row>
        <row r="9534">
          <cell r="B9534" t="str">
            <v>INF109K01NZ9</v>
          </cell>
          <cell r="C9534" t="str">
            <v>INF109K01NY2</v>
          </cell>
          <cell r="D9534" t="str">
            <v>ICICI Prudential Interval Fund II Quarterly Interval Plan F - Dividend</v>
          </cell>
          <cell r="E9534">
            <v>10.182499999999999</v>
          </cell>
        </row>
        <row r="9535">
          <cell r="B9535" t="str">
            <v>INF109K01NX4</v>
          </cell>
          <cell r="C9535" t="str">
            <v>-</v>
          </cell>
          <cell r="D9535" t="str">
            <v>ICICI Prudential Interval Fund II Quarterly Interval Plan F - Growth</v>
          </cell>
          <cell r="E9535">
            <v>17.716000000000001</v>
          </cell>
        </row>
        <row r="9536">
          <cell r="B9536" t="str">
            <v>INF109K01NW6</v>
          </cell>
          <cell r="C9536" t="str">
            <v>-</v>
          </cell>
          <cell r="D9536" t="str">
            <v>ICICI Prudential Interval Fund II Quarterly Interval Plan F Retail Quarterly Dividend Payout</v>
          </cell>
          <cell r="E9536">
            <v>10.0046</v>
          </cell>
        </row>
        <row r="9537">
          <cell r="B9537" t="str">
            <v>INF109K01OG7</v>
          </cell>
          <cell r="C9537" t="str">
            <v>-</v>
          </cell>
          <cell r="D9537" t="str">
            <v>ICICI Prudential Interval Fund IV - Quarterly Interval Plan B - Retail Dividend</v>
          </cell>
          <cell r="E9537">
            <v>10.0009</v>
          </cell>
        </row>
        <row r="9538">
          <cell r="B9538" t="str">
            <v>INF109K01OF9</v>
          </cell>
          <cell r="C9538" t="str">
            <v>-</v>
          </cell>
          <cell r="D9538" t="str">
            <v>ICICI Prudential Interval Fund IV - Quarterly Interval Plan B - Retail Growth</v>
          </cell>
          <cell r="E9538">
            <v>19.7164</v>
          </cell>
        </row>
        <row r="9539">
          <cell r="B9539" t="str">
            <v>INF109K01N59</v>
          </cell>
          <cell r="C9539" t="str">
            <v>-</v>
          </cell>
          <cell r="D9539" t="str">
            <v>ICICI Prudential Interval Fund IV Quarterly Interval Plan B - Direct Plan -  Dividend</v>
          </cell>
          <cell r="E9539">
            <v>10.000999999999999</v>
          </cell>
        </row>
        <row r="9540">
          <cell r="B9540" t="str">
            <v>INF109K01N42</v>
          </cell>
          <cell r="C9540" t="str">
            <v>-</v>
          </cell>
          <cell r="D9540" t="str">
            <v>ICICI Prudential Interval Fund IV Quarterly Interval Plan B - Direct Plan -  Growth</v>
          </cell>
          <cell r="E9540">
            <v>18.179400000000001</v>
          </cell>
        </row>
        <row r="9541">
          <cell r="B9541" t="str">
            <v>INF109K01O58</v>
          </cell>
          <cell r="C9541" t="str">
            <v>-</v>
          </cell>
          <cell r="D9541" t="str">
            <v>ICICI Prudential Interval Fund IV Quarterly Interval Plan B - Direct Plan -  Quarterly Dividend Payout</v>
          </cell>
          <cell r="E9541">
            <v>10.208399999999999</v>
          </cell>
        </row>
        <row r="9542">
          <cell r="B9542" t="str">
            <v>INF109K01OB8</v>
          </cell>
          <cell r="C9542" t="str">
            <v>-</v>
          </cell>
          <cell r="D9542" t="str">
            <v>ICICI Prudential Interval Fund IV Quarterly Interval Plan B - Growth</v>
          </cell>
          <cell r="E9542">
            <v>18.101199999999999</v>
          </cell>
        </row>
        <row r="9543">
          <cell r="B9543" t="str">
            <v>INF109K01OD4</v>
          </cell>
          <cell r="C9543" t="str">
            <v>INF109K01OE2</v>
          </cell>
          <cell r="D9543" t="str">
            <v>ICICI Prudential Interval Fund IV Quarterly Interval Plan B -Dividend</v>
          </cell>
          <cell r="E9543">
            <v>10.168799999999999</v>
          </cell>
        </row>
        <row r="9544">
          <cell r="B9544" t="str">
            <v>INF109K01ME6</v>
          </cell>
          <cell r="C9544" t="str">
            <v>-</v>
          </cell>
          <cell r="D9544" t="str">
            <v>ICICI Prudential Interval Fund Quarterly Interval Plan - II Retail Quarterly Dividend Payout</v>
          </cell>
          <cell r="E9544">
            <v>10.234</v>
          </cell>
        </row>
        <row r="9545">
          <cell r="B9545" t="str">
            <v>INF109K01OU8</v>
          </cell>
          <cell r="C9545" t="str">
            <v>-</v>
          </cell>
          <cell r="D9545" t="str">
            <v>ICICI Prudential Interval Fund V - Monthly Interval Plan A - Retail Dividend</v>
          </cell>
          <cell r="E9545">
            <v>10.003299999999999</v>
          </cell>
        </row>
        <row r="9546">
          <cell r="B9546" t="str">
            <v>INF109K01OS2</v>
          </cell>
          <cell r="C9546" t="str">
            <v>-</v>
          </cell>
          <cell r="D9546" t="str">
            <v>ICICI Prudential Interval Fund V - Monthly Interval Plan A - Retail Growth</v>
          </cell>
          <cell r="E9546">
            <v>20.000800000000002</v>
          </cell>
        </row>
        <row r="9547">
          <cell r="B9547" t="str">
            <v>INF109K01N34</v>
          </cell>
          <cell r="C9547" t="str">
            <v>-</v>
          </cell>
          <cell r="D9547" t="str">
            <v>ICICI Prudential Interval Fund V Monthly Interval Plan A - Direct Plan -  Dividend</v>
          </cell>
          <cell r="E9547">
            <v>10.003299999999999</v>
          </cell>
        </row>
        <row r="9548">
          <cell r="B9548" t="str">
            <v>INF109K01N26</v>
          </cell>
          <cell r="C9548" t="str">
            <v>-</v>
          </cell>
          <cell r="D9548" t="str">
            <v>ICICI Prudential Interval Fund V Monthly Interval Plan A - Direct Plan - Growth</v>
          </cell>
          <cell r="E9548">
            <v>13.9183</v>
          </cell>
        </row>
        <row r="9549">
          <cell r="B9549" t="str">
            <v>INF109K01OR4</v>
          </cell>
          <cell r="C9549" t="str">
            <v>INF109K01OQ6</v>
          </cell>
          <cell r="D9549" t="str">
            <v>ICICI Prudential Interval Fund V Monthly Interval Plan A - Dividend</v>
          </cell>
          <cell r="E9549">
            <v>10.003299999999999</v>
          </cell>
        </row>
        <row r="9550">
          <cell r="B9550" t="str">
            <v>INF109K01OP8</v>
          </cell>
          <cell r="C9550" t="str">
            <v>-</v>
          </cell>
          <cell r="D9550" t="str">
            <v>ICICI Prudential Interval Fund V Monthly Interval Plan A - Growth</v>
          </cell>
          <cell r="E9550">
            <v>13.8735</v>
          </cell>
        </row>
        <row r="9551">
          <cell r="B9551" t="str">
            <v>INF109K01T79</v>
          </cell>
          <cell r="C9551" t="str">
            <v>INF109K01T87</v>
          </cell>
          <cell r="D9551" t="str">
            <v>ICICI Prudential MIP - Direct Plan -  Dividend Half Yearly</v>
          </cell>
          <cell r="E9551">
            <v>13.6318</v>
          </cell>
        </row>
        <row r="9552">
          <cell r="B9552" t="str">
            <v>INF109K01T95</v>
          </cell>
          <cell r="C9552" t="str">
            <v>INF109K01U01</v>
          </cell>
          <cell r="D9552" t="str">
            <v>ICICI Prudential MIP - Direct Plan -  Dividend Monthly</v>
          </cell>
          <cell r="E9552">
            <v>12.791399999999999</v>
          </cell>
        </row>
        <row r="9553">
          <cell r="B9553" t="str">
            <v>INF109K01U19</v>
          </cell>
          <cell r="C9553" t="str">
            <v>INF109K01U27</v>
          </cell>
          <cell r="D9553" t="str">
            <v>ICICI Prudential MIP - Direct Plan -  Dividend Quarterly</v>
          </cell>
          <cell r="E9553">
            <v>13.856199999999999</v>
          </cell>
        </row>
        <row r="9554">
          <cell r="B9554" t="str">
            <v>INF109K01U35</v>
          </cell>
          <cell r="C9554" t="str">
            <v>-</v>
          </cell>
          <cell r="D9554" t="str">
            <v>ICICI Prudential MIP - Direct Plan -  Growth</v>
          </cell>
          <cell r="E9554">
            <v>49.782899999999998</v>
          </cell>
        </row>
        <row r="9555">
          <cell r="B9555" t="str">
            <v>INF109KA1H44</v>
          </cell>
          <cell r="C9555" t="str">
            <v>-</v>
          </cell>
          <cell r="D9555" t="str">
            <v>ICICI Prudential MIP - Direct Plan Bonus</v>
          </cell>
          <cell r="E9555">
            <v>13.7171</v>
          </cell>
        </row>
        <row r="9556">
          <cell r="B9556" t="str">
            <v>INF109K01FG5</v>
          </cell>
          <cell r="C9556" t="str">
            <v>INF109K01548</v>
          </cell>
          <cell r="D9556" t="str">
            <v>ICICI Prudential MIP - Dividend Half Yearly</v>
          </cell>
          <cell r="E9556">
            <v>12.8248</v>
          </cell>
        </row>
        <row r="9557">
          <cell r="B9557" t="str">
            <v>INF109K01FH3</v>
          </cell>
          <cell r="C9557" t="str">
            <v>INF109K01522</v>
          </cell>
          <cell r="D9557" t="str">
            <v>ICICI Prudential MIP - Dividend Monthly</v>
          </cell>
          <cell r="E9557">
            <v>12.360200000000001</v>
          </cell>
        </row>
        <row r="9558">
          <cell r="B9558" t="str">
            <v>INF109K01FI1</v>
          </cell>
          <cell r="C9558" t="str">
            <v>INF109K01530</v>
          </cell>
          <cell r="D9558" t="str">
            <v>ICICI Prudential MIP - Dividend Quarterly</v>
          </cell>
          <cell r="E9558">
            <v>13.522600000000001</v>
          </cell>
        </row>
        <row r="9559">
          <cell r="B9559" t="str">
            <v>INF109K01555</v>
          </cell>
          <cell r="C9559" t="str">
            <v>-</v>
          </cell>
          <cell r="D9559" t="str">
            <v>ICICI Prudential MIP - Growth</v>
          </cell>
          <cell r="E9559">
            <v>48.136600000000001</v>
          </cell>
        </row>
        <row r="9560">
          <cell r="B9560" t="str">
            <v/>
          </cell>
          <cell r="C9560" t="str">
            <v/>
          </cell>
          <cell r="D9560" t="str">
            <v/>
          </cell>
        </row>
        <row r="9561">
          <cell r="B9561" t="str">
            <v/>
          </cell>
          <cell r="C9561" t="str">
            <v/>
          </cell>
          <cell r="D9561" t="str">
            <v/>
          </cell>
        </row>
        <row r="9562">
          <cell r="B9562" t="str">
            <v/>
          </cell>
          <cell r="C9562" t="str">
            <v/>
          </cell>
          <cell r="D9562" t="str">
            <v/>
          </cell>
        </row>
        <row r="9563">
          <cell r="B9563" t="str">
            <v>INF204KA1AI9</v>
          </cell>
          <cell r="C9563" t="str">
            <v>-</v>
          </cell>
          <cell r="D9563" t="str">
            <v>Reliance Interval Fund - II - Series 1 -Direct Plan -Growth Option</v>
          </cell>
          <cell r="E9563">
            <v>12.842000000000001</v>
          </cell>
        </row>
        <row r="9564">
          <cell r="B9564" t="str">
            <v>INF204KA1AJ7</v>
          </cell>
          <cell r="C9564" t="str">
            <v>INF204KA1AK5</v>
          </cell>
          <cell r="D9564" t="str">
            <v>Reliance Interval Fund - II - Series 1 -Dividend Option</v>
          </cell>
          <cell r="E9564">
            <v>10</v>
          </cell>
        </row>
        <row r="9565">
          <cell r="B9565" t="str">
            <v>INF204KA1AL3</v>
          </cell>
          <cell r="C9565" t="str">
            <v>-</v>
          </cell>
          <cell r="D9565" t="str">
            <v>Reliance Interval Fund - II - Series 1 -Growth Plan</v>
          </cell>
          <cell r="E9565">
            <v>12.809799999999999</v>
          </cell>
        </row>
        <row r="9566">
          <cell r="B9566" t="str">
            <v>INF204KA1AM1</v>
          </cell>
          <cell r="C9566" t="str">
            <v>INF204KA1AN9</v>
          </cell>
          <cell r="D9566" t="str">
            <v>Reliance Interval Fund - II - Series 2 - Direct Plan - Dividend Plan - Dividend Option</v>
          </cell>
          <cell r="E9566">
            <v>10</v>
          </cell>
        </row>
        <row r="9567">
          <cell r="B9567" t="str">
            <v>INF204KA1AO7</v>
          </cell>
          <cell r="C9567" t="str">
            <v>-</v>
          </cell>
          <cell r="D9567" t="str">
            <v>Reliance Interval Fund - II - Series 2 - Direct Plan - Growth Plan - Growth Option</v>
          </cell>
          <cell r="E9567">
            <v>12.9862</v>
          </cell>
        </row>
        <row r="9568">
          <cell r="B9568" t="str">
            <v>INF204KA1AP4</v>
          </cell>
          <cell r="C9568" t="str">
            <v>INF204KA1AQ2</v>
          </cell>
          <cell r="D9568" t="str">
            <v>Reliance Interval Fund - II - Series 2 - Dividend Plan - Dividend Option</v>
          </cell>
          <cell r="E9568">
            <v>10</v>
          </cell>
        </row>
        <row r="9569">
          <cell r="B9569" t="str">
            <v>INF204KA1AR0</v>
          </cell>
          <cell r="C9569" t="str">
            <v>-</v>
          </cell>
          <cell r="D9569" t="str">
            <v>Reliance Interval Fund - II - Series 2 - Growth Plan - Growth Option</v>
          </cell>
          <cell r="E9569">
            <v>12.793799999999999</v>
          </cell>
        </row>
        <row r="9570">
          <cell r="B9570" t="str">
            <v>INF204KA1AS8</v>
          </cell>
          <cell r="C9570" t="str">
            <v>INF204KA1AT6</v>
          </cell>
          <cell r="D9570" t="str">
            <v>Reliance Interval Fund - II - Series 3 - Direct Plan - Dividend Plan - Dividend Option</v>
          </cell>
          <cell r="E9570">
            <v>10</v>
          </cell>
        </row>
        <row r="9571">
          <cell r="B9571" t="str">
            <v>INF204KA1AU4</v>
          </cell>
          <cell r="C9571" t="str">
            <v>-</v>
          </cell>
          <cell r="D9571" t="str">
            <v>Reliance Interval Fund - II - Series 3 - Direct Plan - Growth Plan - Growth Option</v>
          </cell>
          <cell r="E9571">
            <v>12.8033</v>
          </cell>
        </row>
        <row r="9572">
          <cell r="B9572" t="str">
            <v>INF204KA1AV2</v>
          </cell>
          <cell r="C9572" t="str">
            <v>INF204KA1AW0</v>
          </cell>
          <cell r="D9572" t="str">
            <v>Reliance Interval Fund - II - Series 3 - Dividend Plan - Dividend Option</v>
          </cell>
          <cell r="E9572">
            <v>10</v>
          </cell>
        </row>
        <row r="9573">
          <cell r="B9573" t="str">
            <v>INF204KA1AX8</v>
          </cell>
          <cell r="C9573" t="str">
            <v>-</v>
          </cell>
          <cell r="D9573" t="str">
            <v>Reliance Interval Fund - II - Series 3 - Growth Plan - Growth Option</v>
          </cell>
          <cell r="E9573">
            <v>12.751899999999999</v>
          </cell>
        </row>
        <row r="9574">
          <cell r="B9574" t="str">
            <v>INF204KA1BA4</v>
          </cell>
          <cell r="C9574" t="str">
            <v>-</v>
          </cell>
          <cell r="D9574" t="str">
            <v>Reliance Interval Fund - II - Series 4-Direct Plan-Growth Plan -Growth Option</v>
          </cell>
          <cell r="E9574">
            <v>13.632199999999999</v>
          </cell>
        </row>
        <row r="9575">
          <cell r="B9575" t="str">
            <v>INF204KA1BB2</v>
          </cell>
          <cell r="C9575" t="str">
            <v>INF204KA1BC0</v>
          </cell>
          <cell r="D9575" t="str">
            <v>Reliance Interval Fund - II - Series 4-Dividend Plan -Dividend Option</v>
          </cell>
          <cell r="E9575">
            <v>10</v>
          </cell>
        </row>
        <row r="9576">
          <cell r="B9576" t="str">
            <v>INF204KA1BD8</v>
          </cell>
          <cell r="C9576" t="str">
            <v>-</v>
          </cell>
          <cell r="D9576" t="str">
            <v>Reliance Interval Fund - II - Series 4-Growth Plan-Growth Option</v>
          </cell>
          <cell r="E9576">
            <v>13.596</v>
          </cell>
        </row>
        <row r="9577">
          <cell r="B9577" t="str">
            <v>INF204K01T57</v>
          </cell>
          <cell r="C9577" t="str">
            <v>-</v>
          </cell>
          <cell r="D9577" t="str">
            <v>Reliance Yearly Interval Fund - Series 5 - Direct Plan - Growth Plan - Growth Option</v>
          </cell>
          <cell r="E9577">
            <v>13.8817</v>
          </cell>
        </row>
        <row r="9578">
          <cell r="B9578" t="str">
            <v>INF204K01T24</v>
          </cell>
          <cell r="C9578" t="str">
            <v>-</v>
          </cell>
          <cell r="D9578" t="str">
            <v>Reliance Yearly Interval Fund - Series 5 - Growth Plan - Growth Option</v>
          </cell>
          <cell r="E9578">
            <v>13.838800000000001</v>
          </cell>
        </row>
        <row r="9579">
          <cell r="B9579" t="str">
            <v>INF204K01V46</v>
          </cell>
          <cell r="C9579" t="str">
            <v>INF204K01V53</v>
          </cell>
          <cell r="D9579" t="str">
            <v>Reliance Yearly Interval Fund - Series 8 - Direct Plan - Dividend Plan - Dividend Option</v>
          </cell>
          <cell r="E9579">
            <v>10</v>
          </cell>
        </row>
        <row r="9580">
          <cell r="B9580" t="str">
            <v>INF204K01V38</v>
          </cell>
          <cell r="C9580" t="str">
            <v>-</v>
          </cell>
          <cell r="D9580" t="str">
            <v>Reliance Yearly Interval Fund - Series 8 - Direct Plan - Growth Plan - Growth Option</v>
          </cell>
          <cell r="E9580">
            <v>13.784700000000001</v>
          </cell>
        </row>
        <row r="9581">
          <cell r="B9581" t="str">
            <v>INF204K01V12</v>
          </cell>
          <cell r="C9581" t="str">
            <v>INF204K01V20</v>
          </cell>
          <cell r="D9581" t="str">
            <v>Reliance Yearly Interval Fund - Series 8 - Dividend Plan - Dividend Option</v>
          </cell>
          <cell r="E9581">
            <v>10.000500000000001</v>
          </cell>
        </row>
        <row r="9582">
          <cell r="B9582" t="str">
            <v>INF204K01V04</v>
          </cell>
          <cell r="C9582" t="str">
            <v>-</v>
          </cell>
          <cell r="D9582" t="str">
            <v>Reliance Yearly Interval Fund - Series 8 - Growth Plan - Growth Option</v>
          </cell>
          <cell r="E9582">
            <v>13.743600000000001</v>
          </cell>
        </row>
        <row r="9583">
          <cell r="B9583" t="str">
            <v>INF204K01V95</v>
          </cell>
          <cell r="C9583" t="str">
            <v>-</v>
          </cell>
          <cell r="D9583" t="str">
            <v>Reliance Yearly Interval Fund - Series 9 - Direct Plan - Growth Plan - Growth Option</v>
          </cell>
          <cell r="E9583">
            <v>13.763999999999999</v>
          </cell>
        </row>
        <row r="9584">
          <cell r="B9584" t="str">
            <v>INF204K01V79</v>
          </cell>
          <cell r="C9584" t="str">
            <v>INF204K01V87</v>
          </cell>
          <cell r="D9584" t="str">
            <v>Reliance Yearly Interval Fund - Series 9 - Dividend Plan - Dividend Option</v>
          </cell>
          <cell r="E9584">
            <v>10.0001</v>
          </cell>
        </row>
        <row r="9585">
          <cell r="B9585" t="str">
            <v>INF204K01V61</v>
          </cell>
          <cell r="C9585" t="str">
            <v>-</v>
          </cell>
          <cell r="D9585" t="str">
            <v>Reliance Yearly Interval Fund - Series 9 - Growth Plan - Growth Option</v>
          </cell>
          <cell r="E9585">
            <v>13.7202</v>
          </cell>
        </row>
        <row r="9586">
          <cell r="B9586" t="str">
            <v/>
          </cell>
          <cell r="C9586" t="str">
            <v/>
          </cell>
          <cell r="D9586" t="str">
            <v/>
          </cell>
        </row>
        <row r="9587">
          <cell r="B9587" t="str">
            <v/>
          </cell>
          <cell r="C9587" t="str">
            <v/>
          </cell>
          <cell r="D9587" t="str">
            <v/>
          </cell>
        </row>
        <row r="9588">
          <cell r="B9588" t="str">
            <v/>
          </cell>
          <cell r="C9588" t="str">
            <v/>
          </cell>
          <cell r="D9588" t="str">
            <v/>
          </cell>
        </row>
        <row r="9589">
          <cell r="B9589" t="str">
            <v/>
          </cell>
          <cell r="C9589" t="str">
            <v/>
          </cell>
          <cell r="D9589" t="str">
            <v/>
          </cell>
        </row>
        <row r="9590">
          <cell r="B9590" t="str">
            <v/>
          </cell>
          <cell r="C9590" t="str">
            <v/>
          </cell>
          <cell r="D9590" t="str">
            <v/>
          </cell>
        </row>
        <row r="9591">
          <cell r="B9591" t="str">
            <v>-</v>
          </cell>
          <cell r="C9591" t="str">
            <v>INF917K01HL7</v>
          </cell>
          <cell r="D9591" t="str">
            <v>HSBC Banking and PSU Debt Fund - Direct Daily IDCW</v>
          </cell>
          <cell r="E9591">
            <v>11.1692</v>
          </cell>
        </row>
        <row r="9592">
          <cell r="B9592" t="str">
            <v>INF917K01HH5</v>
          </cell>
          <cell r="C9592" t="str">
            <v>-</v>
          </cell>
          <cell r="D9592" t="str">
            <v>HSBC Banking and PSU Debt Fund - Direct Growth</v>
          </cell>
          <cell r="E9592">
            <v>27.100200000000001</v>
          </cell>
        </row>
        <row r="9593">
          <cell r="B9593" t="str">
            <v>INF917K01HJ1</v>
          </cell>
          <cell r="C9593" t="str">
            <v>INF917K01HI3</v>
          </cell>
          <cell r="D9593" t="str">
            <v>HSBC Banking and PSU Debt Fund - Direct Monthly IDCW</v>
          </cell>
          <cell r="E9593">
            <v>11.206899999999999</v>
          </cell>
        </row>
        <row r="9594">
          <cell r="B9594" t="str">
            <v>-</v>
          </cell>
          <cell r="C9594" t="str">
            <v>INF917K01HK9</v>
          </cell>
          <cell r="D9594" t="str">
            <v>HSBC Banking and PSU Debt Fund - Direct Weekly IDCW</v>
          </cell>
          <cell r="E9594">
            <v>10.330399999999999</v>
          </cell>
        </row>
        <row r="9595">
          <cell r="B9595" t="str">
            <v>-</v>
          </cell>
          <cell r="C9595" t="str">
            <v>INF677K01AF4</v>
          </cell>
          <cell r="D9595" t="str">
            <v>HSBC Banking and PSU Debt Fund - Regular Daily IDCW</v>
          </cell>
          <cell r="E9595">
            <v>11.093</v>
          </cell>
        </row>
        <row r="9596">
          <cell r="B9596" t="str">
            <v>INF677K01AE7</v>
          </cell>
          <cell r="C9596" t="str">
            <v>-</v>
          </cell>
          <cell r="D9596" t="str">
            <v>HSBC Banking and PSU Debt Fund - Regular Growth</v>
          </cell>
          <cell r="E9596">
            <v>25.638500000000001</v>
          </cell>
        </row>
        <row r="9597">
          <cell r="B9597" t="str">
            <v>INF677K01AI8</v>
          </cell>
          <cell r="C9597" t="str">
            <v>INF677K01AJ6</v>
          </cell>
          <cell r="D9597" t="str">
            <v>HSBC Banking and PSU Debt Fund - Regular Monthly IDCW</v>
          </cell>
          <cell r="E9597">
            <v>10.398400000000001</v>
          </cell>
        </row>
        <row r="9598">
          <cell r="B9598" t="str">
            <v>-</v>
          </cell>
          <cell r="C9598" t="str">
            <v>INF917K01HM5</v>
          </cell>
          <cell r="D9598" t="str">
            <v>HSBC Banking and PSU Debt Fund - Regular Weekly IDCW</v>
          </cell>
          <cell r="E9598">
            <v>10.302</v>
          </cell>
        </row>
        <row r="9599">
          <cell r="B9599" t="str">
            <v/>
          </cell>
          <cell r="C9599" t="str">
            <v/>
          </cell>
          <cell r="D9599" t="str">
            <v/>
          </cell>
        </row>
        <row r="9600">
          <cell r="B9600" t="str">
            <v/>
          </cell>
          <cell r="C9600" t="str">
            <v/>
          </cell>
          <cell r="D9600" t="str">
            <v/>
          </cell>
        </row>
        <row r="9601">
          <cell r="B9601" t="str">
            <v/>
          </cell>
          <cell r="C9601" t="str">
            <v/>
          </cell>
          <cell r="D9601" t="str">
            <v/>
          </cell>
        </row>
        <row r="9602">
          <cell r="B9602" t="str">
            <v/>
          </cell>
          <cell r="C9602" t="str">
            <v/>
          </cell>
          <cell r="D9602" t="str">
            <v/>
          </cell>
        </row>
        <row r="9603">
          <cell r="B9603" t="str">
            <v/>
          </cell>
          <cell r="C9603" t="str">
            <v/>
          </cell>
          <cell r="D9603" t="str">
            <v/>
          </cell>
        </row>
        <row r="9604">
          <cell r="B9604" t="str">
            <v>-</v>
          </cell>
          <cell r="C9604" t="str">
            <v>-</v>
          </cell>
          <cell r="D9604" t="str">
            <v>Kotak Coporate Bond Fund- Retail Plan-Growth Option</v>
          </cell>
          <cell r="E9604">
            <v>2034.9063000000001</v>
          </cell>
        </row>
        <row r="9605">
          <cell r="B9605" t="str">
            <v>INF178L01BY0</v>
          </cell>
          <cell r="C9605" t="str">
            <v>-</v>
          </cell>
          <cell r="D9605" t="str">
            <v>Kotak Corporate Bond Fund- Direct Plan- Growth Option</v>
          </cell>
          <cell r="E9605">
            <v>4186.4753000000001</v>
          </cell>
        </row>
        <row r="9606">
          <cell r="B9606" t="str">
            <v>INF178L01BZ7</v>
          </cell>
          <cell r="C9606" t="str">
            <v>-</v>
          </cell>
          <cell r="D9606" t="str">
            <v>Kotak Corporate Bond Fund- Direct Plan- Monthly Payout of Income Distribution cum capital withdrawal option</v>
          </cell>
          <cell r="E9606">
            <v>1071.1266000000001</v>
          </cell>
        </row>
        <row r="9607">
          <cell r="B9607" t="str">
            <v>INF178L01921</v>
          </cell>
          <cell r="C9607" t="str">
            <v>-</v>
          </cell>
          <cell r="D9607" t="str">
            <v>Kotak Corporate Bond Fund- Institutional Plan-Growth Option</v>
          </cell>
          <cell r="E9607">
            <v>2090.4924000000001</v>
          </cell>
        </row>
        <row r="9608">
          <cell r="B9608" t="str">
            <v>INF178L01BO1</v>
          </cell>
          <cell r="C9608" t="str">
            <v>-</v>
          </cell>
          <cell r="D9608" t="str">
            <v>Kotak Corporate Bond Fund- Regular Plan-Growth Option</v>
          </cell>
          <cell r="E9608">
            <v>3995.4602</v>
          </cell>
        </row>
        <row r="9609">
          <cell r="B9609" t="str">
            <v>INF178L01BQ6</v>
          </cell>
          <cell r="C9609" t="str">
            <v>INF178L01BP8</v>
          </cell>
          <cell r="D9609" t="str">
            <v>Kotak Corporate Bond Fund- Regular Plan-Monthly Dividend Option</v>
          </cell>
          <cell r="E9609">
            <v>1301.5697</v>
          </cell>
        </row>
        <row r="9610">
          <cell r="B9610" t="str">
            <v>INF178L01BR4</v>
          </cell>
          <cell r="C9610" t="str">
            <v>-</v>
          </cell>
          <cell r="D9610" t="str">
            <v>Kotak Corporate Bond Fund- Regular Plan-Quarterly Dividend Option</v>
          </cell>
          <cell r="E9610">
            <v>1066.6837</v>
          </cell>
        </row>
        <row r="9611">
          <cell r="B9611" t="str">
            <v>INF178L01855</v>
          </cell>
          <cell r="C9611" t="str">
            <v>-</v>
          </cell>
          <cell r="D9611" t="str">
            <v>Kotak Corporate Bond Fund- Retail Plan- Monthly Dividend Option</v>
          </cell>
          <cell r="E9611">
            <v>1040.0537999999999</v>
          </cell>
        </row>
        <row r="9612">
          <cell r="B9612" t="str">
            <v>INF178L01897</v>
          </cell>
          <cell r="C9612" t="str">
            <v>-</v>
          </cell>
          <cell r="D9612" t="str">
            <v>Kotak Corporate Bond Fund- Retail Plan- Weekly Dividend Option</v>
          </cell>
          <cell r="E9612">
            <v>1052.3061</v>
          </cell>
        </row>
        <row r="9613">
          <cell r="B9613" t="str">
            <v>-</v>
          </cell>
          <cell r="C9613" t="str">
            <v>-</v>
          </cell>
          <cell r="D9613" t="str">
            <v>Kotak Corporate Bond Fund- Retail Plan-Daily Dividend Option</v>
          </cell>
          <cell r="E9613">
            <v>1052.6393</v>
          </cell>
        </row>
        <row r="9614">
          <cell r="B9614" t="str">
            <v>INF178L01BU8</v>
          </cell>
          <cell r="C9614" t="str">
            <v>-</v>
          </cell>
          <cell r="D9614" t="str">
            <v>Kotak Corporate Bond Fund- Standard Plan-Daily Dividend Option</v>
          </cell>
          <cell r="E9614">
            <v>1052.7994000000001</v>
          </cell>
        </row>
        <row r="9615">
          <cell r="B9615" t="str">
            <v>-</v>
          </cell>
          <cell r="C9615" t="str">
            <v xml:space="preserve">INF178L01BT0 </v>
          </cell>
          <cell r="D9615" t="str">
            <v>Kotak Corporate Bond Fund- Standard Plan-Weekly Dividend Option</v>
          </cell>
          <cell r="E9615">
            <v>1202.9938999999999</v>
          </cell>
        </row>
        <row r="9616">
          <cell r="B9616" t="str">
            <v/>
          </cell>
          <cell r="C9616" t="str">
            <v/>
          </cell>
          <cell r="D9616" t="str">
            <v/>
          </cell>
        </row>
        <row r="9617">
          <cell r="B9617" t="str">
            <v/>
          </cell>
          <cell r="C9617" t="str">
            <v/>
          </cell>
          <cell r="D9617" t="str">
            <v/>
          </cell>
        </row>
        <row r="9618">
          <cell r="B9618" t="str">
            <v/>
          </cell>
          <cell r="C9618" t="str">
            <v/>
          </cell>
          <cell r="D9618" t="str">
            <v/>
          </cell>
        </row>
        <row r="9619">
          <cell r="B9619" t="str">
            <v/>
          </cell>
          <cell r="C9619" t="str">
            <v/>
          </cell>
          <cell r="D9619" t="str">
            <v/>
          </cell>
        </row>
        <row r="9620">
          <cell r="B9620" t="str">
            <v/>
          </cell>
          <cell r="C9620" t="str">
            <v/>
          </cell>
          <cell r="D9620" t="str">
            <v/>
          </cell>
        </row>
        <row r="9621">
          <cell r="B9621" t="str">
            <v>INF917K01VN4</v>
          </cell>
          <cell r="C9621" t="str">
            <v>INF917K01VM6</v>
          </cell>
          <cell r="D9621" t="str">
            <v>HSBC Dynamic Bond Fund - Direct Annual IDCW</v>
          </cell>
          <cell r="E9621">
            <v>10.815099999999999</v>
          </cell>
        </row>
        <row r="9622">
          <cell r="B9622" t="str">
            <v>INF917K01HA0</v>
          </cell>
          <cell r="C9622" t="str">
            <v>-</v>
          </cell>
          <cell r="D9622" t="str">
            <v>HSBC Dynamic Bond Fund - Direct Growth</v>
          </cell>
          <cell r="E9622">
            <v>33.410200000000003</v>
          </cell>
        </row>
        <row r="9623">
          <cell r="B9623" t="str">
            <v>INF917K01GZ9</v>
          </cell>
          <cell r="C9623" t="str">
            <v>INF917K01GY2</v>
          </cell>
          <cell r="D9623" t="str">
            <v>HSBC Dynamic Bond Fund - Direct Monthly IDCW</v>
          </cell>
          <cell r="E9623">
            <v>12.7256</v>
          </cell>
        </row>
        <row r="9624">
          <cell r="B9624" t="str">
            <v>INF917K01VP9</v>
          </cell>
          <cell r="C9624" t="str">
            <v>INF917K01VO2</v>
          </cell>
          <cell r="D9624" t="str">
            <v>HSBC Dynamic Bond Fund - Regular Annual IDCW</v>
          </cell>
          <cell r="E9624">
            <v>10.2624</v>
          </cell>
        </row>
        <row r="9625">
          <cell r="B9625" t="str">
            <v>INF677K01916</v>
          </cell>
          <cell r="C9625" t="str">
            <v>-</v>
          </cell>
          <cell r="D9625" t="str">
            <v>HSBC Dynamic Bond Fund - Regular Growth</v>
          </cell>
          <cell r="E9625">
            <v>30.7011</v>
          </cell>
        </row>
        <row r="9626">
          <cell r="B9626" t="str">
            <v>INF677K01924</v>
          </cell>
          <cell r="C9626" t="str">
            <v>INF677K01932</v>
          </cell>
          <cell r="D9626" t="str">
            <v>HSBC Dynamic Bond Fund - Regular Monthly IDCW</v>
          </cell>
          <cell r="E9626">
            <v>10.683</v>
          </cell>
        </row>
        <row r="9627">
          <cell r="B9627" t="str">
            <v/>
          </cell>
          <cell r="C9627" t="str">
            <v/>
          </cell>
          <cell r="D9627" t="str">
            <v/>
          </cell>
        </row>
        <row r="9628">
          <cell r="B9628" t="str">
            <v/>
          </cell>
          <cell r="C9628" t="str">
            <v/>
          </cell>
          <cell r="D9628" t="str">
            <v/>
          </cell>
        </row>
        <row r="9629">
          <cell r="B9629" t="str">
            <v/>
          </cell>
          <cell r="C9629" t="str">
            <v/>
          </cell>
          <cell r="D9629" t="str">
            <v/>
          </cell>
        </row>
        <row r="9630">
          <cell r="B9630" t="str">
            <v>INF00XX01BK7</v>
          </cell>
          <cell r="C9630" t="str">
            <v>INF00XX01BG5</v>
          </cell>
          <cell r="D9630" t="str">
            <v>ITI Dynamic Term Fund - Direct Plan - Annually IDCW Option</v>
          </cell>
          <cell r="E9630">
            <v>13.496499999999999</v>
          </cell>
        </row>
        <row r="9631">
          <cell r="B9631" t="str">
            <v>INF00XX01BC4</v>
          </cell>
          <cell r="C9631" t="str">
            <v>-</v>
          </cell>
          <cell r="D9631" t="str">
            <v>ITI Dynamic Term Fund - Direct Plan - Growth Option</v>
          </cell>
          <cell r="E9631">
            <v>13.5002</v>
          </cell>
        </row>
        <row r="9632">
          <cell r="B9632" t="str">
            <v>INF00XX01BJ9</v>
          </cell>
          <cell r="C9632" t="str">
            <v>INF00XX01BF7</v>
          </cell>
          <cell r="D9632" t="str">
            <v>ITI Dynamic Term Fund - Direct Plan - Half Yearly IDCW Option</v>
          </cell>
          <cell r="E9632">
            <v>11.2226</v>
          </cell>
        </row>
        <row r="9633">
          <cell r="B9633" t="str">
            <v>INF00XX01BH3</v>
          </cell>
          <cell r="C9633" t="str">
            <v>INF00XX01BD2</v>
          </cell>
          <cell r="D9633" t="str">
            <v>ITI Dynamic Term Fund - Direct Plan - Monthly IDCWOption</v>
          </cell>
          <cell r="E9633">
            <v>10.158799999999999</v>
          </cell>
        </row>
        <row r="9634">
          <cell r="B9634" t="str">
            <v>INF00XX01BI1</v>
          </cell>
          <cell r="C9634" t="str">
            <v>INF00XX01BE0</v>
          </cell>
          <cell r="D9634" t="str">
            <v>ITI Dynamic Term Fund - Direct Plan - Quarterly IDCW Option</v>
          </cell>
          <cell r="E9634">
            <v>13.5288</v>
          </cell>
        </row>
        <row r="9635">
          <cell r="B9635" t="str">
            <v>INF00XX01BB6</v>
          </cell>
          <cell r="C9635" t="str">
            <v>INF00XX01AX2</v>
          </cell>
          <cell r="D9635" t="str">
            <v>ITI Dynamic Term Fund - Regular Plan - Annually IDCWOption</v>
          </cell>
          <cell r="E9635">
            <v>12.805999999999999</v>
          </cell>
        </row>
        <row r="9636">
          <cell r="B9636" t="str">
            <v>INF00XX01AT0</v>
          </cell>
          <cell r="C9636" t="str">
            <v>-</v>
          </cell>
          <cell r="D9636" t="str">
            <v>ITI Dynamic Term Fund - Regular Plan - Growth Option</v>
          </cell>
          <cell r="E9636">
            <v>12.8049</v>
          </cell>
        </row>
        <row r="9637">
          <cell r="B9637" t="str">
            <v>INF00XX01BA8</v>
          </cell>
          <cell r="C9637" t="str">
            <v>INF00XX01AW4</v>
          </cell>
          <cell r="D9637" t="str">
            <v>ITI Dynamic Term Fund - Regular Plan - Half Yearly IDCW Option</v>
          </cell>
          <cell r="E9637">
            <v>12.808999999999999</v>
          </cell>
        </row>
        <row r="9638">
          <cell r="B9638" t="str">
            <v>INF00XX01AY0</v>
          </cell>
          <cell r="C9638" t="str">
            <v>INF00XX01AU8</v>
          </cell>
          <cell r="D9638" t="str">
            <v>ITI Dynamic Term Fund - Regular Plan - Monthly IDCW Option</v>
          </cell>
          <cell r="E9638">
            <v>10.0289</v>
          </cell>
        </row>
        <row r="9639">
          <cell r="B9639" t="str">
            <v>INF00XX01AZ7</v>
          </cell>
          <cell r="C9639" t="str">
            <v>INF00XX01AV6</v>
          </cell>
          <cell r="D9639" t="str">
            <v>ITI Dynamic Term Fund - Regular Plan - Quarterly IDCW Option</v>
          </cell>
          <cell r="E9639">
            <v>12.808400000000001</v>
          </cell>
        </row>
        <row r="9640">
          <cell r="B9640" t="str">
            <v/>
          </cell>
          <cell r="C9640" t="str">
            <v/>
          </cell>
          <cell r="D9640" t="str">
            <v/>
          </cell>
        </row>
        <row r="9641">
          <cell r="B9641" t="str">
            <v/>
          </cell>
          <cell r="C9641" t="str">
            <v/>
          </cell>
          <cell r="D9641" t="str">
            <v/>
          </cell>
        </row>
        <row r="9642">
          <cell r="B9642" t="str">
            <v/>
          </cell>
          <cell r="C9642" t="str">
            <v/>
          </cell>
          <cell r="D9642" t="str">
            <v/>
          </cell>
        </row>
        <row r="9643">
          <cell r="B9643" t="str">
            <v/>
          </cell>
          <cell r="C9643" t="str">
            <v/>
          </cell>
          <cell r="D9643" t="str">
            <v/>
          </cell>
        </row>
        <row r="9644">
          <cell r="B9644" t="str">
            <v/>
          </cell>
          <cell r="C9644" t="str">
            <v/>
          </cell>
          <cell r="D9644" t="str">
            <v/>
          </cell>
        </row>
        <row r="9645">
          <cell r="B9645" t="str">
            <v>-</v>
          </cell>
          <cell r="C9645" t="str">
            <v>INF2JJD01011</v>
          </cell>
          <cell r="D9645" t="str">
            <v>Abakkus Liquid Fund - Direct Plan - Daily IDCW Reinvestment</v>
          </cell>
          <cell r="E9645">
            <v>100.0881</v>
          </cell>
        </row>
        <row r="9646">
          <cell r="B9646" t="str">
            <v>INF2JJD01029</v>
          </cell>
          <cell r="C9646" t="str">
            <v>-</v>
          </cell>
          <cell r="D9646" t="str">
            <v>Abakkus Liquid Fund - Direct Plan - Growth</v>
          </cell>
          <cell r="E9646">
            <v>103.5772</v>
          </cell>
        </row>
        <row r="9647">
          <cell r="B9647" t="str">
            <v>-</v>
          </cell>
          <cell r="C9647" t="str">
            <v>INF2JJD01037</v>
          </cell>
          <cell r="D9647" t="str">
            <v>Abakkus Liquid Fund - Direct Plan - Monthly IDCW Reinvestment</v>
          </cell>
          <cell r="E9647">
            <v>100.1661</v>
          </cell>
        </row>
        <row r="9648">
          <cell r="B9648" t="str">
            <v>-</v>
          </cell>
          <cell r="C9648" t="str">
            <v>INF2JJD01052</v>
          </cell>
          <cell r="D9648" t="str">
            <v>Abakkus Liquid Fund - Direct Plan - Quarterly IDCW Reinvestment</v>
          </cell>
          <cell r="E9648">
            <v>100.4068</v>
          </cell>
        </row>
        <row r="9649">
          <cell r="B9649" t="str">
            <v>-</v>
          </cell>
          <cell r="C9649" t="str">
            <v>INF2JJD01045</v>
          </cell>
          <cell r="D9649" t="str">
            <v>Abakkus Liquid Fund - Direct Plan - Weekly IDCW Reinvestment</v>
          </cell>
          <cell r="E9649">
            <v>100.0861</v>
          </cell>
        </row>
        <row r="9650">
          <cell r="B9650" t="str">
            <v>-</v>
          </cell>
          <cell r="C9650" t="str">
            <v>INF2JJD01060</v>
          </cell>
          <cell r="D9650" t="str">
            <v>Abakkus Liquid Fund - Regular Plan - Daily IDCW Reinvestment</v>
          </cell>
          <cell r="E9650">
            <v>100.0881</v>
          </cell>
        </row>
        <row r="9651">
          <cell r="B9651" t="str">
            <v>INF2JJD01078</v>
          </cell>
          <cell r="C9651" t="str">
            <v>-</v>
          </cell>
          <cell r="D9651" t="str">
            <v>Abakkus Liquid Fund - Regular Plan - Growth</v>
          </cell>
          <cell r="E9651">
            <v>103.5261</v>
          </cell>
        </row>
        <row r="9652">
          <cell r="B9652" t="str">
            <v>-</v>
          </cell>
          <cell r="C9652" t="str">
            <v>INF2JJD01086</v>
          </cell>
          <cell r="D9652" t="str">
            <v>Abakkus Liquid Fund - Regular Plan - Monthly IDCW Reinvestment</v>
          </cell>
          <cell r="E9652">
            <v>100.1647</v>
          </cell>
        </row>
        <row r="9653">
          <cell r="B9653" t="str">
            <v>-</v>
          </cell>
          <cell r="C9653" t="str">
            <v>INF2JJD01102</v>
          </cell>
          <cell r="D9653" t="str">
            <v>Abakkus Liquid Fund - Regular Plan - Quarterly IDCW Reinvestment</v>
          </cell>
          <cell r="E9653">
            <v>100.3578</v>
          </cell>
        </row>
        <row r="9654">
          <cell r="B9654" t="str">
            <v>-</v>
          </cell>
          <cell r="C9654" t="str">
            <v>INF2JJD01094</v>
          </cell>
          <cell r="D9654" t="str">
            <v>Abakkus Liquid Fund - Regular Plan - Weekly IDCW Reinvestment</v>
          </cell>
          <cell r="E9654">
            <v>100.08580000000001</v>
          </cell>
        </row>
        <row r="9655">
          <cell r="B9655" t="str">
            <v>-</v>
          </cell>
          <cell r="C9655" t="str">
            <v>-</v>
          </cell>
          <cell r="D9655" t="str">
            <v>Abakkus Liquid Fund - Unclaimed Redemption Less than 3 Years</v>
          </cell>
          <cell r="E9655">
            <v>100.0239</v>
          </cell>
        </row>
        <row r="9656">
          <cell r="B9656" t="str">
            <v/>
          </cell>
          <cell r="C9656" t="str">
            <v/>
          </cell>
          <cell r="D9656" t="str">
            <v/>
          </cell>
        </row>
        <row r="9657">
          <cell r="B9657" t="str">
            <v/>
          </cell>
          <cell r="C9657" t="str">
            <v/>
          </cell>
          <cell r="D9657" t="str">
            <v/>
          </cell>
        </row>
        <row r="9658">
          <cell r="B9658" t="str">
            <v/>
          </cell>
          <cell r="C9658" t="str">
            <v/>
          </cell>
          <cell r="D9658" t="str">
            <v/>
          </cell>
        </row>
        <row r="9659">
          <cell r="B9659" t="str">
            <v>INF789F1AE45</v>
          </cell>
          <cell r="C9659" t="str">
            <v>INF789F1AE52</v>
          </cell>
          <cell r="D9659" t="str">
            <v>UTI Liquid Fund - Direct Plan - Annual IDCW</v>
          </cell>
          <cell r="E9659">
            <v>202.99109999999999</v>
          </cell>
        </row>
        <row r="9660">
          <cell r="B9660" t="str">
            <v>-</v>
          </cell>
          <cell r="C9660" t="str">
            <v>INF789F1AD38</v>
          </cell>
          <cell r="D9660" t="str">
            <v>UTI Liquid Fund - Direct Plan - Daily IDCW (Reinvestment)</v>
          </cell>
          <cell r="E9660">
            <v>106.5304</v>
          </cell>
        </row>
        <row r="9661">
          <cell r="B9661" t="str">
            <v>INF789F1AE60</v>
          </cell>
          <cell r="C9661" t="str">
            <v>INF789F1AE78</v>
          </cell>
          <cell r="D9661" t="str">
            <v>UTI Liquid Fund - Direct Plan - Flexi IDCW</v>
          </cell>
          <cell r="E9661">
            <v>167.1926</v>
          </cell>
        </row>
        <row r="9662">
          <cell r="B9662" t="str">
            <v>INF789F1AD87</v>
          </cell>
          <cell r="C9662" t="str">
            <v>INF789F1AD95</v>
          </cell>
          <cell r="D9662" t="str">
            <v>UTI Liquid Fund - Direct Plan - Fortnightly IDCW</v>
          </cell>
          <cell r="E9662">
            <v>115.69459999999999</v>
          </cell>
        </row>
        <row r="9663">
          <cell r="B9663" t="str">
            <v>INF789F1AD46</v>
          </cell>
          <cell r="C9663" t="str">
            <v>-</v>
          </cell>
          <cell r="D9663" t="str">
            <v>UTI Liquid Fund - Direct Plan - Growth Option</v>
          </cell>
          <cell r="E9663">
            <v>461.56670000000003</v>
          </cell>
        </row>
        <row r="9664">
          <cell r="B9664" t="str">
            <v>INF789F1AE29</v>
          </cell>
          <cell r="C9664" t="str">
            <v>INF789F1AE37</v>
          </cell>
          <cell r="D9664" t="str">
            <v>UTI Liquid Fund - Direct Plan - Half-Yearly IDCW</v>
          </cell>
          <cell r="E9664">
            <v>158.5625</v>
          </cell>
        </row>
        <row r="9665">
          <cell r="B9665" t="str">
            <v>INF789F1AD53</v>
          </cell>
          <cell r="C9665" t="str">
            <v>INF789F1AD61</v>
          </cell>
          <cell r="D9665" t="str">
            <v>UTI Liquid Fund - Direct Plan - Monthly IDCW</v>
          </cell>
          <cell r="E9665">
            <v>104.7792</v>
          </cell>
        </row>
        <row r="9666">
          <cell r="B9666" t="str">
            <v>INF789F1AE03</v>
          </cell>
          <cell r="C9666" t="str">
            <v>INF789F1AE11</v>
          </cell>
          <cell r="D9666" t="str">
            <v>UTI Liquid Fund - Direct Plan - Quarterly IDCW</v>
          </cell>
          <cell r="E9666">
            <v>191.71129999999999</v>
          </cell>
        </row>
        <row r="9667">
          <cell r="B9667" t="str">
            <v>-</v>
          </cell>
          <cell r="C9667" t="str">
            <v>INF789F1AD79</v>
          </cell>
          <cell r="D9667" t="str">
            <v>UTI Liquid Fund - Direct Plan - Weekly IDCW</v>
          </cell>
          <cell r="E9667">
            <v>108.075</v>
          </cell>
        </row>
        <row r="9668">
          <cell r="B9668" t="str">
            <v>INF789F1AG27</v>
          </cell>
          <cell r="C9668" t="str">
            <v>INF789F1AG35</v>
          </cell>
          <cell r="D9668" t="str">
            <v>UTI Liquid Fund - Discontinued - Regular Plan - Monthly Dividend Option</v>
          </cell>
          <cell r="E9668">
            <v>106.7354</v>
          </cell>
        </row>
        <row r="9669">
          <cell r="B9669" t="str">
            <v>INF789F1AF44</v>
          </cell>
          <cell r="C9669" t="str">
            <v>-</v>
          </cell>
          <cell r="D9669" t="str">
            <v>UTI Liquid Fund - Discontinued - Regular Plan -Growth</v>
          </cell>
          <cell r="E9669">
            <v>414.65839999999997</v>
          </cell>
        </row>
        <row r="9670">
          <cell r="B9670" t="str">
            <v>INF789F1AE86</v>
          </cell>
          <cell r="C9670" t="str">
            <v>INF789F1AE94</v>
          </cell>
          <cell r="D9670" t="str">
            <v>UTI Liquid Fund - Discontinued -Regular Plan Periodic Dividend Option</v>
          </cell>
          <cell r="E9670">
            <v>113.5087</v>
          </cell>
        </row>
        <row r="9671">
          <cell r="B9671" t="str">
            <v>INF789F1AD12</v>
          </cell>
          <cell r="C9671" t="str">
            <v>INF789F1AD20</v>
          </cell>
          <cell r="D9671" t="str">
            <v>UTI Liquid Fund - Regular Plan - Annual IDCW</v>
          </cell>
          <cell r="E9671">
            <v>201.4897</v>
          </cell>
        </row>
        <row r="9672">
          <cell r="B9672" t="str">
            <v>-</v>
          </cell>
          <cell r="C9672" t="str">
            <v>INF789F1AF77</v>
          </cell>
          <cell r="D9672" t="str">
            <v>UTI Liquid Fund - Regular Plan - Daily IDCW (Reinvestment)</v>
          </cell>
          <cell r="E9672">
            <v>120.2856</v>
          </cell>
        </row>
        <row r="9673">
          <cell r="B9673" t="str">
            <v>INF789F1AF02</v>
          </cell>
          <cell r="C9673" t="str">
            <v>INF789F1AF10</v>
          </cell>
          <cell r="D9673" t="str">
            <v>UTI Liquid Fund - Regular Plan - Flexi IDCW</v>
          </cell>
          <cell r="E9673">
            <v>166.0633</v>
          </cell>
        </row>
        <row r="9674">
          <cell r="B9674" t="str">
            <v>INF789F1AF28</v>
          </cell>
          <cell r="C9674" t="str">
            <v>INF789F1AF36</v>
          </cell>
          <cell r="D9674" t="str">
            <v>UTI Liquid Fund - Regular Plan - Fortnightly IDCW</v>
          </cell>
          <cell r="E9674">
            <v>115.6086</v>
          </cell>
        </row>
        <row r="9675">
          <cell r="B9675" t="str">
            <v>INF789F1AF85</v>
          </cell>
          <cell r="C9675" t="str">
            <v>-</v>
          </cell>
          <cell r="D9675" t="str">
            <v>UTI Liquid Fund - Regular Plan - Growth Option</v>
          </cell>
          <cell r="E9675">
            <v>456.95409999999998</v>
          </cell>
        </row>
        <row r="9676">
          <cell r="B9676" t="str">
            <v>INF789F1AF51</v>
          </cell>
          <cell r="C9676" t="str">
            <v>INF789F1AF69</v>
          </cell>
          <cell r="D9676" t="str">
            <v>UTI Liquid Fund - Regular Plan - Half-Yearly IDCW</v>
          </cell>
          <cell r="E9676">
            <v>140.33789999999999</v>
          </cell>
        </row>
        <row r="9677">
          <cell r="B9677" t="str">
            <v>INF789F1AF93</v>
          </cell>
          <cell r="C9677" t="str">
            <v>INF789F1AG01</v>
          </cell>
          <cell r="D9677" t="str">
            <v>UTI Liquid Fund - Regular Plan - Monthly IDCW</v>
          </cell>
          <cell r="E9677">
            <v>113.0141</v>
          </cell>
        </row>
        <row r="9678">
          <cell r="B9678" t="str">
            <v>INF789F1AG43</v>
          </cell>
          <cell r="C9678" t="str">
            <v>INF789F1AG50</v>
          </cell>
          <cell r="D9678" t="str">
            <v>UTI Liquid Fund - Regular Plan - Quarterly IDCW</v>
          </cell>
          <cell r="E9678">
            <v>190.251</v>
          </cell>
        </row>
        <row r="9679">
          <cell r="B9679" t="str">
            <v>-</v>
          </cell>
          <cell r="C9679" t="str">
            <v>INF789F1AG19</v>
          </cell>
          <cell r="D9679" t="str">
            <v>UTI Liquid Fund - Regular Plan - Weekly IDCW</v>
          </cell>
          <cell r="E9679">
            <v>105.2838</v>
          </cell>
        </row>
        <row r="9680">
          <cell r="B9680" t="str">
            <v/>
          </cell>
          <cell r="C9680" t="str">
            <v/>
          </cell>
          <cell r="D9680" t="str">
            <v/>
          </cell>
        </row>
        <row r="9681">
          <cell r="B9681" t="str">
            <v/>
          </cell>
          <cell r="C9681" t="str">
            <v/>
          </cell>
          <cell r="D9681" t="str">
            <v/>
          </cell>
        </row>
        <row r="9682">
          <cell r="B9682" t="str">
            <v/>
          </cell>
          <cell r="C9682" t="str">
            <v/>
          </cell>
          <cell r="D9682" t="str">
            <v/>
          </cell>
        </row>
        <row r="9683">
          <cell r="B9683" t="str">
            <v/>
          </cell>
          <cell r="C9683" t="str">
            <v/>
          </cell>
          <cell r="D9683" t="str">
            <v/>
          </cell>
        </row>
        <row r="9684">
          <cell r="B9684" t="str">
            <v/>
          </cell>
          <cell r="C9684" t="str">
            <v/>
          </cell>
          <cell r="D9684" t="str">
            <v/>
          </cell>
        </row>
        <row r="9685">
          <cell r="B9685" t="str">
            <v>INF174K01NA6</v>
          </cell>
          <cell r="C9685" t="str">
            <v>-</v>
          </cell>
          <cell r="D9685" t="str">
            <v>Kotak Money Market Fund - (Growth)</v>
          </cell>
          <cell r="E9685">
            <v>4798.2362999999996</v>
          </cell>
        </row>
        <row r="9686">
          <cell r="B9686" t="str">
            <v>INF174K01MW2</v>
          </cell>
          <cell r="C9686" t="str">
            <v>-</v>
          </cell>
          <cell r="D9686" t="str">
            <v>Kotak Money Market Fund - (Growth) - Direct</v>
          </cell>
          <cell r="E9686">
            <v>4851.3370999999997</v>
          </cell>
        </row>
        <row r="9687">
          <cell r="B9687" t="str">
            <v>INF174K018O0</v>
          </cell>
          <cell r="C9687" t="str">
            <v>INF174K01NB4</v>
          </cell>
          <cell r="D9687" t="str">
            <v>Kotak Money market Fund - (Monthly Payout of Income Distribution cum capital withdrawal option)</v>
          </cell>
          <cell r="E9687">
            <v>1052.0885000000001</v>
          </cell>
        </row>
        <row r="9688">
          <cell r="B9688" t="str">
            <v>INF174K019O8</v>
          </cell>
          <cell r="C9688" t="str">
            <v>INF174K01MX0</v>
          </cell>
          <cell r="D9688" t="str">
            <v>Kotak Money Market Fund - (Monthly Payout of Income Distribution cum capital withdrawal option) - Direct</v>
          </cell>
          <cell r="E9688">
            <v>1290.2195999999999</v>
          </cell>
        </row>
        <row r="9689">
          <cell r="B9689" t="str">
            <v>INF174KA1B28</v>
          </cell>
          <cell r="C9689" t="str">
            <v>INF174KA1B02</v>
          </cell>
          <cell r="D9689" t="str">
            <v>Kotak Money Market Fund - Direct - IDCW Weekly</v>
          </cell>
          <cell r="E9689">
            <v>1001.2482</v>
          </cell>
        </row>
        <row r="9690">
          <cell r="B9690" t="str">
            <v/>
          </cell>
          <cell r="C9690" t="str">
            <v/>
          </cell>
          <cell r="D9690" t="str">
            <v/>
          </cell>
        </row>
        <row r="9691">
          <cell r="B9691" t="str">
            <v/>
          </cell>
          <cell r="C9691" t="str">
            <v/>
          </cell>
          <cell r="D9691" t="str">
            <v/>
          </cell>
        </row>
        <row r="9692">
          <cell r="B9692" t="str">
            <v/>
          </cell>
          <cell r="C9692" t="str">
            <v/>
          </cell>
          <cell r="D9692" t="str">
            <v/>
          </cell>
        </row>
        <row r="9693">
          <cell r="B9693" t="str">
            <v/>
          </cell>
          <cell r="C9693" t="str">
            <v/>
          </cell>
          <cell r="D9693" t="str">
            <v/>
          </cell>
        </row>
        <row r="9694">
          <cell r="B9694" t="str">
            <v/>
          </cell>
          <cell r="C9694" t="str">
            <v/>
          </cell>
          <cell r="D9694" t="str">
            <v/>
          </cell>
        </row>
        <row r="9695">
          <cell r="B9695" t="str">
            <v>-</v>
          </cell>
          <cell r="C9695" t="str">
            <v>INF2KCX01061</v>
          </cell>
          <cell r="D9695" t="str">
            <v>Choice Overnight Fund - Daily IDCW Option - Direct Plan</v>
          </cell>
          <cell r="E9695">
            <v>100.1</v>
          </cell>
        </row>
        <row r="9696">
          <cell r="B9696" t="str">
            <v>-</v>
          </cell>
          <cell r="C9696" t="str">
            <v>INF2KCX01079</v>
          </cell>
          <cell r="D9696" t="str">
            <v>Choice Overnight Fund - Daily IDCW Option - Regular Plan</v>
          </cell>
          <cell r="E9696">
            <v>100.1</v>
          </cell>
        </row>
        <row r="9697">
          <cell r="B9697" t="str">
            <v>INF2KCX01087</v>
          </cell>
          <cell r="C9697" t="str">
            <v>-</v>
          </cell>
          <cell r="D9697" t="str">
            <v>Choice Overnight Fund - Growth Option - Direct Plan</v>
          </cell>
          <cell r="E9697">
            <v>100.2687</v>
          </cell>
        </row>
        <row r="9698">
          <cell r="B9698" t="str">
            <v>INF2KCX01095</v>
          </cell>
          <cell r="C9698" t="str">
            <v>-</v>
          </cell>
          <cell r="D9698" t="str">
            <v>Choice Overnight Fund - Growth Option - Regular Plan</v>
          </cell>
          <cell r="E9698">
            <v>100.2632</v>
          </cell>
        </row>
        <row r="9699">
          <cell r="B9699" t="str">
            <v/>
          </cell>
          <cell r="C9699" t="str">
            <v/>
          </cell>
          <cell r="D9699" t="str">
            <v/>
          </cell>
        </row>
        <row r="9700">
          <cell r="B9700" t="str">
            <v/>
          </cell>
          <cell r="C9700" t="str">
            <v/>
          </cell>
          <cell r="D9700" t="str">
            <v/>
          </cell>
        </row>
        <row r="9701">
          <cell r="B9701" t="str">
            <v/>
          </cell>
          <cell r="C9701" t="str">
            <v/>
          </cell>
          <cell r="D9701" t="str">
            <v/>
          </cell>
        </row>
        <row r="9702">
          <cell r="B9702" t="str">
            <v>INF0R8701087</v>
          </cell>
          <cell r="C9702" t="str">
            <v>-</v>
          </cell>
          <cell r="D9702" t="str">
            <v>Helios Overnight Fund - Direct Plan - Daily IDCW Option</v>
          </cell>
          <cell r="E9702">
            <v>1000</v>
          </cell>
        </row>
        <row r="9703">
          <cell r="B9703" t="str">
            <v>INF0R8701079</v>
          </cell>
          <cell r="C9703" t="str">
            <v>-</v>
          </cell>
          <cell r="D9703" t="str">
            <v>Helios Overnight Fund - Direct Plan - Growth Option</v>
          </cell>
          <cell r="E9703">
            <v>1173.2775999999999</v>
          </cell>
        </row>
        <row r="9704">
          <cell r="B9704" t="str">
            <v>INF0R8701103</v>
          </cell>
          <cell r="C9704" t="str">
            <v>-</v>
          </cell>
          <cell r="D9704" t="str">
            <v>Helios Overnight Fund - Regular Plan - Daily IDCW Option</v>
          </cell>
          <cell r="E9704">
            <v>1000</v>
          </cell>
        </row>
        <row r="9705">
          <cell r="B9705" t="str">
            <v>INF0R8701095</v>
          </cell>
          <cell r="C9705" t="str">
            <v>-</v>
          </cell>
          <cell r="D9705" t="str">
            <v>Helios Overnight Fund - Regular Plan - Growth Option</v>
          </cell>
          <cell r="E9705">
            <v>1171.6812</v>
          </cell>
        </row>
        <row r="9706">
          <cell r="B9706" t="str">
            <v/>
          </cell>
          <cell r="C9706" t="str">
            <v/>
          </cell>
          <cell r="D9706" t="str">
            <v/>
          </cell>
        </row>
        <row r="9707">
          <cell r="B9707" t="str">
            <v/>
          </cell>
          <cell r="C9707" t="str">
            <v/>
          </cell>
          <cell r="D9707" t="str">
            <v/>
          </cell>
        </row>
        <row r="9708">
          <cell r="B9708" t="str">
            <v/>
          </cell>
          <cell r="C9708" t="str">
            <v/>
          </cell>
          <cell r="D9708" t="str">
            <v/>
          </cell>
        </row>
        <row r="9709">
          <cell r="B9709" t="str">
            <v/>
          </cell>
          <cell r="C9709" t="str">
            <v/>
          </cell>
          <cell r="D9709" t="str">
            <v/>
          </cell>
        </row>
        <row r="9710">
          <cell r="B9710" t="str">
            <v/>
          </cell>
          <cell r="C9710" t="str">
            <v/>
          </cell>
          <cell r="D9710" t="str">
            <v/>
          </cell>
        </row>
        <row r="9711">
          <cell r="B9711" t="str">
            <v>INF174KA1B69</v>
          </cell>
          <cell r="C9711" t="str">
            <v>INF174KA1B44</v>
          </cell>
          <cell r="D9711" t="str">
            <v>Kotak Bond Short Term Fund - Direct - IDCW Weekly</v>
          </cell>
          <cell r="E9711">
            <v>10.003399999999999</v>
          </cell>
        </row>
        <row r="9712">
          <cell r="B9712" t="str">
            <v>INF174K01Z14</v>
          </cell>
          <cell r="C9712" t="str">
            <v>INF174K01Z22</v>
          </cell>
          <cell r="D9712" t="str">
            <v>Kotak Bond Short Term Plan - Direct - Standard Income Distribution cum capital withdrawal option</v>
          </cell>
          <cell r="E9712">
            <v>16.1876</v>
          </cell>
        </row>
        <row r="9713">
          <cell r="B9713" t="str">
            <v>INF174K01Y98</v>
          </cell>
          <cell r="C9713" t="str">
            <v>INF174K01Z06</v>
          </cell>
          <cell r="D9713" t="str">
            <v>Kotak Bond Short Term Plan - Regular Plan - Normal Dividend</v>
          </cell>
          <cell r="E9713">
            <v>12.2095</v>
          </cell>
        </row>
        <row r="9714">
          <cell r="B9714" t="str">
            <v>INF174K01ES7</v>
          </cell>
          <cell r="C9714" t="str">
            <v>-</v>
          </cell>
          <cell r="D9714" t="str">
            <v>Kotak Bond Short Term Plan-(Growth)</v>
          </cell>
          <cell r="E9714">
            <v>54.994599999999998</v>
          </cell>
        </row>
        <row r="9715">
          <cell r="B9715" t="str">
            <v>INF174K01JI7</v>
          </cell>
          <cell r="C9715" t="str">
            <v>-</v>
          </cell>
          <cell r="D9715" t="str">
            <v>Kotak Bond Short Term Plan-(Growth) - Direct</v>
          </cell>
          <cell r="E9715">
            <v>61.003999999999998</v>
          </cell>
        </row>
        <row r="9716">
          <cell r="B9716" t="str">
            <v>INF174K01EU3</v>
          </cell>
          <cell r="C9716" t="str">
            <v>INF174K01ET5</v>
          </cell>
          <cell r="D9716" t="str">
            <v>Kotak Bond Short Term Plan-(Payout of Income Distribution cum capital withdrawal option)</v>
          </cell>
          <cell r="E9716">
            <v>10.054500000000001</v>
          </cell>
        </row>
        <row r="9717">
          <cell r="B9717" t="str">
            <v/>
          </cell>
          <cell r="C9717" t="str">
            <v/>
          </cell>
          <cell r="D9717" t="str">
            <v/>
          </cell>
        </row>
        <row r="9718">
          <cell r="B9718" t="str">
            <v/>
          </cell>
          <cell r="C9718" t="str">
            <v/>
          </cell>
          <cell r="D9718" t="str">
            <v/>
          </cell>
        </row>
        <row r="9719">
          <cell r="B9719" t="str">
            <v/>
          </cell>
          <cell r="C9719" t="str">
            <v/>
          </cell>
          <cell r="D9719" t="str">
            <v/>
          </cell>
        </row>
        <row r="9720">
          <cell r="B9720" t="str">
            <v/>
          </cell>
          <cell r="C9720" t="str">
            <v/>
          </cell>
          <cell r="D9720" t="str">
            <v/>
          </cell>
        </row>
        <row r="9721">
          <cell r="B9721" t="str">
            <v/>
          </cell>
          <cell r="C9721" t="str">
            <v/>
          </cell>
          <cell r="D9721" t="str">
            <v/>
          </cell>
        </row>
        <row r="9722">
          <cell r="B9722" t="str">
            <v>-</v>
          </cell>
          <cell r="C9722" t="str">
            <v>INF00XX01AF9</v>
          </cell>
          <cell r="D9722" t="str">
            <v>ITI Ultra Short Duration Fund - Direct Plan - Daily IDCW</v>
          </cell>
          <cell r="E9722">
            <v>1001</v>
          </cell>
        </row>
        <row r="9723">
          <cell r="B9723" t="str">
            <v>INF00XX01AM5</v>
          </cell>
          <cell r="C9723" t="str">
            <v>INF00XX01AJ1</v>
          </cell>
          <cell r="D9723" t="str">
            <v>ITI Ultra Short Term Fund - Direct Plan - Annually IDCW Option</v>
          </cell>
          <cell r="E9723">
            <v>1368.9032999999999</v>
          </cell>
        </row>
        <row r="9724">
          <cell r="B9724" t="str">
            <v>INF00XX01AK9</v>
          </cell>
          <cell r="C9724" t="str">
            <v>INF00XX01AH5</v>
          </cell>
          <cell r="D9724" t="str">
            <v>ITI Ultra Short Term Fund - Direct Plan - Fortnightly IDCW Option</v>
          </cell>
          <cell r="E9724">
            <v>1002.3163</v>
          </cell>
        </row>
        <row r="9725">
          <cell r="B9725" t="str">
            <v>INF00XX01AE2</v>
          </cell>
          <cell r="C9725" t="str">
            <v>-</v>
          </cell>
          <cell r="D9725" t="str">
            <v>ITI Ultra Short Term Fund - Direct Plan - Growth Option</v>
          </cell>
          <cell r="E9725">
            <v>1367.1647</v>
          </cell>
        </row>
        <row r="9726">
          <cell r="B9726" t="str">
            <v>INF00XX01AL7</v>
          </cell>
          <cell r="C9726" t="str">
            <v>INF00XX01AI3</v>
          </cell>
          <cell r="D9726" t="str">
            <v>ITI Ultra Short Term Fund - Direct Plan - Monthly IDCW Option</v>
          </cell>
          <cell r="E9726">
            <v>1004.7234999999999</v>
          </cell>
        </row>
        <row r="9727">
          <cell r="B9727" t="str">
            <v>-</v>
          </cell>
          <cell r="C9727" t="str">
            <v>INF00XX01AG7</v>
          </cell>
          <cell r="D9727" t="str">
            <v>ITI Ultra Short Term Fund - Direct Plan - Weekly IDCW Option</v>
          </cell>
          <cell r="E9727">
            <v>1001.0297</v>
          </cell>
        </row>
        <row r="9728">
          <cell r="B9728" t="str">
            <v>INF00XX01AD4</v>
          </cell>
          <cell r="C9728" t="str">
            <v>INF00XX01AA0</v>
          </cell>
          <cell r="D9728" t="str">
            <v>ITI Ultra Short Term Fund - Regular Plan - Annually IDCW Option</v>
          </cell>
          <cell r="E9728">
            <v>1310.3643</v>
          </cell>
        </row>
        <row r="9729">
          <cell r="B9729" t="str">
            <v>-</v>
          </cell>
          <cell r="C9729" t="str">
            <v>INF00XX01960</v>
          </cell>
          <cell r="D9729" t="str">
            <v>ITI Ultra Short Term Fund - Regular Plan - Daily IDCW Option</v>
          </cell>
          <cell r="E9729">
            <v>1001</v>
          </cell>
        </row>
        <row r="9730">
          <cell r="B9730" t="str">
            <v>INF00XX01AB8</v>
          </cell>
          <cell r="C9730" t="str">
            <v>INF00XX01986</v>
          </cell>
          <cell r="D9730" t="str">
            <v>ITI Ultra Short Term Fund - Regular Plan - Fortnightly IDCW Option</v>
          </cell>
          <cell r="E9730">
            <v>1002.1285</v>
          </cell>
        </row>
        <row r="9731">
          <cell r="B9731" t="str">
            <v>INF00XX01952</v>
          </cell>
          <cell r="C9731" t="str">
            <v>-</v>
          </cell>
          <cell r="D9731" t="str">
            <v>ITI Ultra Short Term Fund - Regular Plan - Growth Option</v>
          </cell>
          <cell r="E9731">
            <v>1310.3087</v>
          </cell>
        </row>
        <row r="9732">
          <cell r="B9732" t="str">
            <v>INF00XX01AC6</v>
          </cell>
          <cell r="C9732" t="str">
            <v>INF00XX01994</v>
          </cell>
          <cell r="D9732" t="str">
            <v>ITI Ultra Short Term Fund - Regular Plan - Monthly IDCW Option</v>
          </cell>
          <cell r="E9732">
            <v>1004.2992</v>
          </cell>
        </row>
        <row r="9733">
          <cell r="B9733" t="str">
            <v>-</v>
          </cell>
          <cell r="C9733" t="str">
            <v>INF00XX01978</v>
          </cell>
          <cell r="D9733" t="str">
            <v>ITI Ultra Short Term Fund - Regular Plan - Weekly IDCW Option</v>
          </cell>
          <cell r="E9733">
            <v>1001.0077</v>
          </cell>
        </row>
        <row r="9734">
          <cell r="B9734" t="str">
            <v/>
          </cell>
          <cell r="C9734" t="str">
            <v/>
          </cell>
          <cell r="D9734" t="str">
            <v/>
          </cell>
        </row>
        <row r="9735">
          <cell r="B9735" t="str">
            <v/>
          </cell>
          <cell r="C9735" t="str">
            <v/>
          </cell>
          <cell r="D9735" t="str">
            <v/>
          </cell>
        </row>
        <row r="9736">
          <cell r="B9736" t="str">
            <v/>
          </cell>
          <cell r="C9736" t="str">
            <v/>
          </cell>
          <cell r="D9736" t="str">
            <v/>
          </cell>
        </row>
        <row r="9737">
          <cell r="B9737" t="str">
            <v>INF174KA1C43</v>
          </cell>
          <cell r="C9737" t="str">
            <v>INF174KA1C27</v>
          </cell>
          <cell r="D9737" t="str">
            <v>Kotak Savings Fund - Direct - IDCW Weekly</v>
          </cell>
          <cell r="E9737">
            <v>10.0059</v>
          </cell>
        </row>
        <row r="9738">
          <cell r="B9738" t="str">
            <v>INF174K01FD6</v>
          </cell>
          <cell r="C9738" t="str">
            <v>-</v>
          </cell>
          <cell r="D9738" t="str">
            <v>Kotak Savings Fund -Growth</v>
          </cell>
          <cell r="E9738">
            <v>45.642899999999997</v>
          </cell>
        </row>
        <row r="9739">
          <cell r="B9739" t="str">
            <v>INF174K01FH7</v>
          </cell>
          <cell r="C9739" t="str">
            <v>-</v>
          </cell>
          <cell r="D9739" t="str">
            <v>Kotak Savings Fund -Monthly Payout of Income Distribution cum capital withdrawal option</v>
          </cell>
          <cell r="E9739">
            <v>10.7308</v>
          </cell>
        </row>
        <row r="9740">
          <cell r="B9740" t="str">
            <v>INF174K01JP2</v>
          </cell>
          <cell r="C9740" t="str">
            <v>-</v>
          </cell>
          <cell r="D9740" t="str">
            <v>Kotak Savings Fund-Growth - Direct</v>
          </cell>
          <cell r="E9740">
            <v>48.048299999999998</v>
          </cell>
        </row>
        <row r="9741">
          <cell r="B9741" t="str">
            <v>INF174K01JQ0</v>
          </cell>
          <cell r="C9741" t="str">
            <v>-</v>
          </cell>
          <cell r="D9741" t="str">
            <v>Kotak Savings Fund-Monthly Payout of Income Distribution cum capital withdrawal option - Direct</v>
          </cell>
          <cell r="E9741">
            <v>20.7165</v>
          </cell>
        </row>
        <row r="9742">
          <cell r="B9742" t="str">
            <v/>
          </cell>
          <cell r="C9742" t="str">
            <v/>
          </cell>
          <cell r="D9742" t="str">
            <v/>
          </cell>
        </row>
        <row r="9743">
          <cell r="B9743" t="str">
            <v/>
          </cell>
          <cell r="C9743" t="str">
            <v/>
          </cell>
          <cell r="D9743" t="str">
            <v/>
          </cell>
        </row>
        <row r="9744">
          <cell r="B9744" t="str">
            <v/>
          </cell>
          <cell r="C9744" t="str">
            <v/>
          </cell>
          <cell r="D9744" t="str">
            <v/>
          </cell>
        </row>
        <row r="9745">
          <cell r="B9745" t="str">
            <v/>
          </cell>
          <cell r="C9745" t="str">
            <v/>
          </cell>
          <cell r="D9745" t="str">
            <v/>
          </cell>
        </row>
        <row r="9746">
          <cell r="B9746" t="str">
            <v/>
          </cell>
          <cell r="C9746" t="str">
            <v/>
          </cell>
          <cell r="D9746" t="str">
            <v/>
          </cell>
        </row>
        <row r="9747">
          <cell r="B9747" t="str">
            <v>INF200KB1BO8</v>
          </cell>
          <cell r="C9747" t="str">
            <v>-</v>
          </cell>
          <cell r="D9747" t="str">
            <v>SBI Crisil - IBX SDL Index - June 2034 Index Fund - Direct Plan - Growth</v>
          </cell>
          <cell r="E9747">
            <v>10.003399999999999</v>
          </cell>
        </row>
        <row r="9748">
          <cell r="B9748" t="str">
            <v>INF200KB1BP5</v>
          </cell>
          <cell r="C9748" t="str">
            <v>INF200KB1BQ3</v>
          </cell>
          <cell r="D9748" t="str">
            <v>SBI Crisil - IBX SDL Index - June 2034 Index Fund - Direct Plan - IDCW</v>
          </cell>
          <cell r="E9748">
            <v>10.003399999999999</v>
          </cell>
        </row>
        <row r="9749">
          <cell r="B9749" t="str">
            <v>INF200KB1BL4</v>
          </cell>
          <cell r="C9749" t="str">
            <v>-</v>
          </cell>
          <cell r="D9749" t="str">
            <v>SBI Crisil - IBX SDL Index - June 2034 Index Fund - Regular Plan - Growth</v>
          </cell>
          <cell r="E9749">
            <v>10.003</v>
          </cell>
        </row>
        <row r="9750">
          <cell r="B9750" t="str">
            <v>INF200KB1BM2</v>
          </cell>
          <cell r="C9750" t="str">
            <v>INF200KB1BN0</v>
          </cell>
          <cell r="D9750" t="str">
            <v>SBI Crisil - IBX SDL Index - June 2034 Index Fund - Regular Plan - IDCW</v>
          </cell>
          <cell r="E9750">
            <v>10.003</v>
          </cell>
        </row>
        <row r="9751">
          <cell r="B9751" t="str">
            <v/>
          </cell>
          <cell r="C9751" t="str">
            <v/>
          </cell>
          <cell r="D9751" t="str">
            <v/>
          </cell>
        </row>
        <row r="9752">
          <cell r="B9752" t="str">
            <v/>
          </cell>
          <cell r="C9752" t="str">
            <v/>
          </cell>
          <cell r="D9752" t="str">
            <v/>
          </cell>
        </row>
        <row r="9753">
          <cell r="B9753" t="str">
            <v/>
          </cell>
          <cell r="C9753" t="str">
            <v/>
          </cell>
          <cell r="D9753" t="str">
            <v/>
          </cell>
        </row>
        <row r="9754">
          <cell r="B9754" t="str">
            <v/>
          </cell>
          <cell r="C9754" t="str">
            <v/>
          </cell>
          <cell r="D9754" t="str">
            <v/>
          </cell>
        </row>
        <row r="9755">
          <cell r="B9755" t="str">
            <v/>
          </cell>
          <cell r="C9755" t="str">
            <v/>
          </cell>
          <cell r="D9755" t="str">
            <v/>
          </cell>
        </row>
        <row r="9756">
          <cell r="B9756" t="str">
            <v>INF209KC1605</v>
          </cell>
          <cell r="C9756" t="str">
            <v>-</v>
          </cell>
          <cell r="D9756" t="str">
            <v>Aditya Birla Sun Life BSE 500 Momentum 50 Index Fund- Regular Growth</v>
          </cell>
          <cell r="E9756">
            <v>10.628399999999999</v>
          </cell>
        </row>
        <row r="9757">
          <cell r="B9757" t="str">
            <v>INF209KC1589</v>
          </cell>
          <cell r="C9757" t="str">
            <v>-</v>
          </cell>
          <cell r="D9757" t="str">
            <v>Aditya Birla Sun Life BSE 500 Momentum 50 Index Fund-Direct Growth</v>
          </cell>
          <cell r="E9757">
            <v>10.703799999999999</v>
          </cell>
        </row>
        <row r="9758">
          <cell r="B9758" t="str">
            <v>INF209KC1597</v>
          </cell>
          <cell r="C9758" t="str">
            <v>-</v>
          </cell>
          <cell r="D9758" t="str">
            <v>Aditya Birla Sun Life BSE 500 Momentum 50 Index Fund-Direct IDCW Payout</v>
          </cell>
          <cell r="E9758">
            <v>10.7049</v>
          </cell>
        </row>
        <row r="9759">
          <cell r="B9759" t="str">
            <v>INF209KC1654</v>
          </cell>
          <cell r="C9759" t="str">
            <v>-</v>
          </cell>
          <cell r="D9759" t="str">
            <v>Aditya Birla Sun Life BSE 500 Momentum 50 Index Fund-Regular IDCW Payout</v>
          </cell>
          <cell r="E9759">
            <v>10.628399999999999</v>
          </cell>
        </row>
        <row r="9760">
          <cell r="B9760" t="str">
            <v>INF209KC1613</v>
          </cell>
          <cell r="C9760" t="str">
            <v>-</v>
          </cell>
          <cell r="D9760" t="str">
            <v>Aditya Birla Sun Life BSE 500 Quality 50 Index Fund - Direct Growth</v>
          </cell>
          <cell r="E9760">
            <v>10.8552</v>
          </cell>
        </row>
        <row r="9761">
          <cell r="B9761" t="str">
            <v>INF209KC1621</v>
          </cell>
          <cell r="C9761" t="str">
            <v>-</v>
          </cell>
          <cell r="D9761" t="str">
            <v>Aditya Birla Sun Life BSE 500 Quality 50 Index Fund - Direct IDCW Payout</v>
          </cell>
          <cell r="E9761">
            <v>10.8552</v>
          </cell>
        </row>
        <row r="9762">
          <cell r="B9762" t="str">
            <v>INF209KC1639</v>
          </cell>
          <cell r="C9762" t="str">
            <v>-</v>
          </cell>
          <cell r="D9762" t="str">
            <v>Aditya Birla Sun Life BSE 500 Quality 50 Index Fund - Regular Growth</v>
          </cell>
          <cell r="E9762">
            <v>10.777200000000001</v>
          </cell>
        </row>
        <row r="9763">
          <cell r="B9763" t="str">
            <v>INF209KC1647</v>
          </cell>
          <cell r="C9763" t="str">
            <v>-</v>
          </cell>
          <cell r="D9763" t="str">
            <v>Aditya Birla Sun Life BSE 500 Quality 50 Index Fund - Regular IDCW Payout</v>
          </cell>
          <cell r="E9763">
            <v>10.7773</v>
          </cell>
        </row>
        <row r="9764">
          <cell r="B9764" t="str">
            <v>INF209KC1332</v>
          </cell>
          <cell r="C9764" t="str">
            <v>-</v>
          </cell>
          <cell r="D9764" t="str">
            <v>Aditya Birla Sun Life BSE India Infrastructure Index Fund-Direct Growth</v>
          </cell>
          <cell r="E9764">
            <v>9.4161999999999999</v>
          </cell>
        </row>
        <row r="9765">
          <cell r="B9765" t="str">
            <v>INF209KC1340</v>
          </cell>
          <cell r="C9765" t="str">
            <v>-</v>
          </cell>
          <cell r="D9765" t="str">
            <v>Aditya Birla Sun Life BSE India Infrastructure Index Fund-Direct IDCW Payout</v>
          </cell>
          <cell r="E9765">
            <v>9.4161999999999999</v>
          </cell>
        </row>
        <row r="9766">
          <cell r="B9766" t="str">
            <v>INF209KC1357</v>
          </cell>
          <cell r="C9766" t="str">
            <v>-</v>
          </cell>
          <cell r="D9766" t="str">
            <v>Aditya Birla Sun Life BSE India Infrastructure Index Fund-Regular Growth</v>
          </cell>
          <cell r="E9766">
            <v>9.3268000000000004</v>
          </cell>
        </row>
        <row r="9767">
          <cell r="B9767" t="str">
            <v>INF209KC1365</v>
          </cell>
          <cell r="C9767" t="str">
            <v>-</v>
          </cell>
          <cell r="D9767" t="str">
            <v>Aditya Birla Sun Life BSE India Infrastructure Index Fund-Regular IDCW Payout</v>
          </cell>
          <cell r="E9767">
            <v>9.3271999999999995</v>
          </cell>
        </row>
        <row r="9768">
          <cell r="B9768" t="str">
            <v>INF209KB1Z71</v>
          </cell>
          <cell r="C9768" t="str">
            <v>-</v>
          </cell>
          <cell r="D9768" t="str">
            <v>Aditya Birla Sun Life Nifty 50 Equal Weight Index Fund-Direct Growth</v>
          </cell>
          <cell r="E9768">
            <v>19.009799999999998</v>
          </cell>
        </row>
        <row r="9769">
          <cell r="B9769" t="str">
            <v>INF209KB1Z89</v>
          </cell>
          <cell r="C9769" t="str">
            <v>INF209KB1Z97</v>
          </cell>
          <cell r="D9769" t="str">
            <v>Aditya Birla Sun Life Nifty 50 Equal Weight Index Fund-Direct-IDCW</v>
          </cell>
          <cell r="E9769">
            <v>19.010000000000002</v>
          </cell>
        </row>
        <row r="9770">
          <cell r="B9770" t="str">
            <v>INF209KB1Z48</v>
          </cell>
          <cell r="C9770" t="str">
            <v>-</v>
          </cell>
          <cell r="D9770" t="str">
            <v>Aditya Birla Sun Life Nifty 50 Equal Weight Index Fund-Regular Growth</v>
          </cell>
          <cell r="E9770">
            <v>18.405100000000001</v>
          </cell>
        </row>
        <row r="9771">
          <cell r="B9771" t="str">
            <v>INF209KB1Z55</v>
          </cell>
          <cell r="C9771" t="str">
            <v>INF209KB1Z63</v>
          </cell>
          <cell r="D9771" t="str">
            <v>Aditya Birla Sun Life Nifty 50 Equal Weight Index Fund-Regular IDCW</v>
          </cell>
          <cell r="E9771">
            <v>18.404900000000001</v>
          </cell>
        </row>
        <row r="9772">
          <cell r="B9772" t="str">
            <v>INF209KC1183</v>
          </cell>
          <cell r="C9772" t="str">
            <v>-</v>
          </cell>
          <cell r="D9772" t="str">
            <v>Aditya Birla Sun Life Nifty India Defence Index Fund-Direct Growth</v>
          </cell>
          <cell r="E9772">
            <v>13.481199999999999</v>
          </cell>
        </row>
        <row r="9773">
          <cell r="B9773" t="str">
            <v>INF209KC1191</v>
          </cell>
          <cell r="C9773" t="str">
            <v>-</v>
          </cell>
          <cell r="D9773" t="str">
            <v>Aditya Birla Sun Life Nifty India Defence Index Fund-Direct IDCW Payout</v>
          </cell>
          <cell r="E9773">
            <v>13.4818</v>
          </cell>
        </row>
        <row r="9774">
          <cell r="B9774" t="str">
            <v>INF209KC1167</v>
          </cell>
          <cell r="C9774" t="str">
            <v>-</v>
          </cell>
          <cell r="D9774" t="str">
            <v>Aditya Birla Sun Life Nifty India Defence Index Fund-Regular IDCW Payout</v>
          </cell>
          <cell r="E9774">
            <v>13.293200000000001</v>
          </cell>
        </row>
        <row r="9775">
          <cell r="B9775" t="str">
            <v>INF209KC1159</v>
          </cell>
          <cell r="C9775" t="str">
            <v>-</v>
          </cell>
          <cell r="D9775" t="str">
            <v>Aditya Birla Sun Life Nifty India Defence Index Fund-Regular-Growth</v>
          </cell>
          <cell r="E9775">
            <v>13.2957</v>
          </cell>
        </row>
        <row r="9776">
          <cell r="B9776" t="str">
            <v>INF209KB1W82</v>
          </cell>
          <cell r="C9776" t="str">
            <v>INF209KB1W90</v>
          </cell>
          <cell r="D9776" t="str">
            <v>Aditya Birla Sun Life Nifty Midcap 150 Index Fund - Direct - Payout of IDCW</v>
          </cell>
          <cell r="E9776">
            <v>25.921600000000002</v>
          </cell>
        </row>
        <row r="9777">
          <cell r="B9777" t="str">
            <v>INF209KB1W58</v>
          </cell>
          <cell r="C9777" t="str">
            <v>INF209KB1W66</v>
          </cell>
          <cell r="D9777" t="str">
            <v>Aditya Birla Sun Life Nifty Midcap 150 Index Fund - Regular - Payout of IDCW</v>
          </cell>
          <cell r="E9777">
            <v>25.090599999999998</v>
          </cell>
        </row>
        <row r="9778">
          <cell r="B9778" t="str">
            <v>INF209KB1W74</v>
          </cell>
          <cell r="C9778" t="str">
            <v>-</v>
          </cell>
          <cell r="D9778" t="str">
            <v>Aditya Birla Sun Life Nifty Midcap 150 Index Fund-Direct Growth</v>
          </cell>
          <cell r="E9778">
            <v>25.922000000000001</v>
          </cell>
        </row>
        <row r="9779">
          <cell r="B9779" t="str">
            <v>INF209KB1W41</v>
          </cell>
          <cell r="C9779" t="str">
            <v>-</v>
          </cell>
          <cell r="D9779" t="str">
            <v>Aditya Birla Sun Life Nifty Midcap 150 Index Fund-Regular Growth</v>
          </cell>
          <cell r="E9779">
            <v>25.0945</v>
          </cell>
        </row>
        <row r="9780">
          <cell r="B9780" t="str">
            <v>INF209KB10G3</v>
          </cell>
          <cell r="C9780" t="str">
            <v>-</v>
          </cell>
          <cell r="D9780" t="str">
            <v>Aditya Birla Sun Life Nifty Next 50 Index Fund-Direct Growth</v>
          </cell>
          <cell r="E9780">
            <v>17.968</v>
          </cell>
        </row>
        <row r="9781">
          <cell r="B9781" t="str">
            <v>INF209KB11G1</v>
          </cell>
          <cell r="C9781" t="str">
            <v>-</v>
          </cell>
          <cell r="D9781" t="str">
            <v>Aditya Birla Sun Life Nifty Next 50 Index Fund-Direct IDCW</v>
          </cell>
          <cell r="E9781">
            <v>17.956900000000001</v>
          </cell>
        </row>
        <row r="9782">
          <cell r="B9782" t="str">
            <v>INF209KB12G9</v>
          </cell>
          <cell r="C9782" t="str">
            <v>-</v>
          </cell>
          <cell r="D9782" t="str">
            <v>Aditya Birla Sun Life Nifty Next 50 Index Fund-Regular Growth</v>
          </cell>
          <cell r="E9782">
            <v>17.4846</v>
          </cell>
        </row>
        <row r="9783">
          <cell r="B9783" t="str">
            <v>INF209KB13G7</v>
          </cell>
          <cell r="C9783" t="str">
            <v>-</v>
          </cell>
          <cell r="D9783" t="str">
            <v>Aditya Birla Sun Life Nifty Next 50 Index Fund-Regular IDCW</v>
          </cell>
          <cell r="E9783">
            <v>17.499500000000001</v>
          </cell>
        </row>
        <row r="9784">
          <cell r="B9784" t="str">
            <v>INF209KB1W25</v>
          </cell>
          <cell r="C9784" t="str">
            <v>INF209KB1W33</v>
          </cell>
          <cell r="D9784" t="str">
            <v>Aditya Birla Sun Life Nifty Smallcap 50 Index Fund-Direct - Payout of IDCW</v>
          </cell>
          <cell r="E9784">
            <v>23.202400000000001</v>
          </cell>
        </row>
        <row r="9785">
          <cell r="B9785" t="str">
            <v>INF209KB1W17</v>
          </cell>
          <cell r="C9785" t="str">
            <v>-</v>
          </cell>
          <cell r="D9785" t="str">
            <v>Aditya Birla Sun Life Nifty Smallcap 50 Index Fund-Direct Growth</v>
          </cell>
          <cell r="E9785">
            <v>23.206499999999998</v>
          </cell>
        </row>
        <row r="9786">
          <cell r="B9786" t="str">
            <v>INF209KB1V91</v>
          </cell>
          <cell r="C9786" t="str">
            <v>INF209KB1W09</v>
          </cell>
          <cell r="D9786" t="str">
            <v>Aditya Birla Sun Life Nifty Smallcap 50 Index Fund-Regular - Payout of IDCW</v>
          </cell>
          <cell r="E9786">
            <v>22.475999999999999</v>
          </cell>
        </row>
        <row r="9787">
          <cell r="B9787" t="str">
            <v>INF209KB1V83</v>
          </cell>
          <cell r="C9787" t="str">
            <v>-</v>
          </cell>
          <cell r="D9787" t="str">
            <v>Aditya Birla Sun Life Nifty Smallcap 50 Index Fund-Regular Growth</v>
          </cell>
          <cell r="E9787">
            <v>22.473800000000001</v>
          </cell>
        </row>
        <row r="9788">
          <cell r="B9788" t="str">
            <v/>
          </cell>
          <cell r="C9788" t="str">
            <v/>
          </cell>
          <cell r="D9788" t="str">
            <v/>
          </cell>
        </row>
        <row r="9789">
          <cell r="B9789" t="str">
            <v/>
          </cell>
          <cell r="C9789" t="str">
            <v/>
          </cell>
          <cell r="D9789" t="str">
            <v/>
          </cell>
        </row>
        <row r="9790">
          <cell r="B9790" t="str">
            <v/>
          </cell>
          <cell r="C9790" t="str">
            <v/>
          </cell>
          <cell r="D9790" t="str">
            <v/>
          </cell>
        </row>
        <row r="9791">
          <cell r="B9791" t="str">
            <v/>
          </cell>
          <cell r="C9791" t="str">
            <v/>
          </cell>
          <cell r="D9791" t="str">
            <v/>
          </cell>
        </row>
        <row r="9792">
          <cell r="B9792" t="str">
            <v/>
          </cell>
          <cell r="C9792" t="str">
            <v/>
          </cell>
          <cell r="D9792" t="str">
            <v/>
          </cell>
        </row>
        <row r="9793">
          <cell r="B9793" t="str">
            <v>-</v>
          </cell>
          <cell r="C9793" t="str">
            <v>-</v>
          </cell>
          <cell r="D9793" t="str">
            <v>Taurus Investor Education Pool - Unclaimed Dividend - Growth</v>
          </cell>
          <cell r="E9793">
            <v>10</v>
          </cell>
        </row>
        <row r="9794">
          <cell r="B9794" t="str">
            <v>-</v>
          </cell>
          <cell r="C9794" t="str">
            <v>-</v>
          </cell>
          <cell r="D9794" t="str">
            <v>Taurus Investor Education Pool - Unclaimed Redemption - Growth</v>
          </cell>
          <cell r="E9794">
            <v>10</v>
          </cell>
        </row>
        <row r="9795">
          <cell r="B9795" t="str">
            <v>-</v>
          </cell>
          <cell r="C9795" t="str">
            <v>-</v>
          </cell>
          <cell r="D9795" t="str">
            <v>Taurus Unclaimed Redemption - Growth</v>
          </cell>
          <cell r="E9795">
            <v>17.671800000000001</v>
          </cell>
        </row>
        <row r="9796">
          <cell r="B9796" t="str">
            <v/>
          </cell>
          <cell r="C9796" t="str">
            <v/>
          </cell>
          <cell r="D9796" t="str">
            <v/>
          </cell>
        </row>
        <row r="9797">
          <cell r="B9797" t="str">
            <v/>
          </cell>
          <cell r="C9797" t="str">
            <v/>
          </cell>
          <cell r="D9797" t="str">
            <v/>
          </cell>
        </row>
        <row r="9798">
          <cell r="B9798" t="str">
            <v/>
          </cell>
          <cell r="C9798" t="str">
            <v/>
          </cell>
          <cell r="D9798" t="str">
            <v/>
          </cell>
        </row>
        <row r="9799">
          <cell r="B9799" t="str">
            <v/>
          </cell>
          <cell r="C9799" t="str">
            <v/>
          </cell>
          <cell r="D9799" t="str">
            <v/>
          </cell>
        </row>
        <row r="9800">
          <cell r="B9800" t="str">
            <v/>
          </cell>
          <cell r="C9800" t="str">
            <v/>
          </cell>
          <cell r="D9800" t="str">
            <v/>
          </cell>
        </row>
        <row r="9801">
          <cell r="B9801" t="str">
            <v>INF084M01085</v>
          </cell>
          <cell r="C9801" t="str">
            <v>INF084M01093</v>
          </cell>
          <cell r="D9801" t="str">
            <v>Aditya Birla Sun Life Aggressive Hybrid Omni FOF-  Regular -  IDCW</v>
          </cell>
          <cell r="E9801">
            <v>39.014699999999998</v>
          </cell>
        </row>
        <row r="9802">
          <cell r="B9802" t="str">
            <v>INF084M01EU0</v>
          </cell>
          <cell r="C9802" t="str">
            <v>INF084M01EV8</v>
          </cell>
          <cell r="D9802" t="str">
            <v>Aditya Birla Sun Life Aggressive Hybrid Omni FOF- Direct - IDCW</v>
          </cell>
          <cell r="E9802">
            <v>42.4758</v>
          </cell>
        </row>
        <row r="9803">
          <cell r="B9803" t="str">
            <v>INF084M01ET2</v>
          </cell>
          <cell r="C9803" t="str">
            <v>-</v>
          </cell>
          <cell r="D9803" t="str">
            <v>Aditya Birla Sun Life Aggressive Hybrid Omni FOF- Direct Plan - Growth Option</v>
          </cell>
          <cell r="E9803">
            <v>46.7667</v>
          </cell>
        </row>
        <row r="9804">
          <cell r="B9804" t="str">
            <v>INF084M01077</v>
          </cell>
          <cell r="C9804" t="str">
            <v>-</v>
          </cell>
          <cell r="D9804" t="str">
            <v>Aditya Birla Sun Life Aggressive Hybrid Omni FOF- Regular Plan - Growth Option</v>
          </cell>
          <cell r="E9804">
            <v>43.497999999999998</v>
          </cell>
        </row>
        <row r="9805">
          <cell r="B9805" t="str">
            <v>INF084M01051</v>
          </cell>
          <cell r="C9805" t="str">
            <v>INF084M01069</v>
          </cell>
          <cell r="D9805" t="str">
            <v>Aditya Birla Sun Life Conservative Hybrid Active FOF -Regular - IDCW</v>
          </cell>
          <cell r="E9805">
            <v>32.259700000000002</v>
          </cell>
        </row>
        <row r="9806">
          <cell r="B9806" t="str">
            <v>INF084M01EQ8</v>
          </cell>
          <cell r="C9806" t="str">
            <v>-</v>
          </cell>
          <cell r="D9806" t="str">
            <v>Aditya Birla Sun Life Conservative Hybrid Active FOF- Direct Plan - Growth Option</v>
          </cell>
          <cell r="E9806">
            <v>37.85</v>
          </cell>
        </row>
        <row r="9807">
          <cell r="B9807" t="str">
            <v>INF084M01044</v>
          </cell>
          <cell r="C9807" t="str">
            <v>-</v>
          </cell>
          <cell r="D9807" t="str">
            <v>Aditya Birla Sun Life Conservative Hybrid Active FOF- Regular Plan - Growth Option</v>
          </cell>
          <cell r="E9807">
            <v>35.458300000000001</v>
          </cell>
        </row>
        <row r="9808">
          <cell r="B9808" t="str">
            <v>INF084M01ER6</v>
          </cell>
          <cell r="C9808" t="str">
            <v>INF084M01ES4</v>
          </cell>
          <cell r="D9808" t="str">
            <v>Aditya Birla Sun Life Conservative Hybrid Active FOF-Direct - IDCW</v>
          </cell>
          <cell r="E9808">
            <v>25.699400000000001</v>
          </cell>
        </row>
        <row r="9809">
          <cell r="B9809" t="str">
            <v>INF084M01EX4</v>
          </cell>
          <cell r="C9809" t="str">
            <v>INF084M01EY2</v>
          </cell>
          <cell r="D9809" t="str">
            <v>Aditya Birla Sun Life Dynamic Asset Allocation Omni FOF- Direct - IDCW</v>
          </cell>
          <cell r="E9809">
            <v>56.5702</v>
          </cell>
        </row>
        <row r="9810">
          <cell r="B9810" t="str">
            <v>INF084M01EW6</v>
          </cell>
          <cell r="C9810" t="str">
            <v>-</v>
          </cell>
          <cell r="D9810" t="str">
            <v>Aditya Birla Sun Life Dynamic Asset Allocation Omni FOF- Direct Plan - Growth Option</v>
          </cell>
          <cell r="E9810">
            <v>61.770200000000003</v>
          </cell>
        </row>
        <row r="9811">
          <cell r="B9811" t="str">
            <v>INF084M01101</v>
          </cell>
          <cell r="C9811" t="str">
            <v>-</v>
          </cell>
          <cell r="D9811" t="str">
            <v>Aditya Birla Sun Life Dynamic Asset Allocation Omni FOF- Regular Plan - Growth Option</v>
          </cell>
          <cell r="E9811">
            <v>55.784599999999998</v>
          </cell>
        </row>
        <row r="9812">
          <cell r="B9812" t="str">
            <v>INF084M01119</v>
          </cell>
          <cell r="C9812" t="str">
            <v>INF084M01127</v>
          </cell>
          <cell r="D9812" t="str">
            <v>Aditya Birla Sun Life Dynamic Asset Allocation Omni FOF-Regular - IDCW</v>
          </cell>
          <cell r="E9812">
            <v>51.062600000000003</v>
          </cell>
        </row>
        <row r="9813">
          <cell r="B9813" t="str">
            <v>INF209K01YU5</v>
          </cell>
          <cell r="C9813" t="str">
            <v>-</v>
          </cell>
          <cell r="D9813" t="str">
            <v>Aditya Birla Sun Life Gold Fund - Growth - Direct Plan</v>
          </cell>
          <cell r="E9813">
            <v>43.372900000000001</v>
          </cell>
        </row>
        <row r="9814">
          <cell r="B9814" t="str">
            <v>INF209K01YT7</v>
          </cell>
          <cell r="C9814" t="str">
            <v>-</v>
          </cell>
          <cell r="D9814" t="str">
            <v>Aditya Birla Sun Life Gold Fund-DIRECT - IDCW</v>
          </cell>
          <cell r="E9814">
            <v>43.371400000000001</v>
          </cell>
        </row>
        <row r="9815">
          <cell r="B9815" t="str">
            <v>INF209K01PF4</v>
          </cell>
          <cell r="C9815" t="str">
            <v>-</v>
          </cell>
          <cell r="D9815" t="str">
            <v>Aditya Birla Sun Life Gold Fund-Growth</v>
          </cell>
          <cell r="E9815">
            <v>41.5961</v>
          </cell>
        </row>
        <row r="9816">
          <cell r="B9816" t="str">
            <v>INF209K01PG2</v>
          </cell>
          <cell r="C9816" t="str">
            <v>INF209K01PH0</v>
          </cell>
          <cell r="D9816" t="str">
            <v>Aditya Birla Sun Life Gold Fund-REGULAR - IDCW</v>
          </cell>
          <cell r="E9816">
            <v>41.594000000000001</v>
          </cell>
        </row>
        <row r="9817">
          <cell r="B9817" t="str">
            <v>INF084M01DQ0</v>
          </cell>
          <cell r="C9817" t="str">
            <v>INF084M01DR8</v>
          </cell>
          <cell r="D9817" t="str">
            <v>Aditya Birla Sun Life Income Plus Arbitrage Active FOF- DIRECT - IDCW</v>
          </cell>
          <cell r="E9817">
            <v>26.2804</v>
          </cell>
        </row>
        <row r="9818">
          <cell r="B9818" t="str">
            <v>INF084M01DP2</v>
          </cell>
          <cell r="C9818" t="str">
            <v>-</v>
          </cell>
          <cell r="D9818" t="str">
            <v>Aditya Birla Sun Life Income Plus Arbitrage Active FOF- Direct Plan - Growth Option</v>
          </cell>
          <cell r="E9818">
            <v>41.970399999999998</v>
          </cell>
        </row>
        <row r="9819">
          <cell r="B9819" t="str">
            <v>INF084M01AI3</v>
          </cell>
          <cell r="C9819" t="str">
            <v>INF084M01AJ1</v>
          </cell>
          <cell r="D9819" t="str">
            <v>Aditya Birla Sun Life Income Plus Arbitrage Active FOF- REGULAR - IDCW</v>
          </cell>
          <cell r="E9819">
            <v>24.832799999999999</v>
          </cell>
        </row>
        <row r="9820">
          <cell r="B9820" t="str">
            <v>INF084M01AH5</v>
          </cell>
          <cell r="C9820" t="str">
            <v>-</v>
          </cell>
          <cell r="D9820" t="str">
            <v>Aditya Birla Sun Life Income Plus Arbitrage Active FOF- Regular Plan - Growth Option</v>
          </cell>
          <cell r="E9820">
            <v>39.5974</v>
          </cell>
        </row>
        <row r="9821">
          <cell r="B9821" t="str">
            <v>INF084M01DM9</v>
          </cell>
          <cell r="C9821" t="str">
            <v>-</v>
          </cell>
          <cell r="D9821" t="str">
            <v>Aditya Birla Sun Life Multi Asset Omni FoF- Direct Plan - Growth Option</v>
          </cell>
          <cell r="E9821">
            <v>40.172499999999999</v>
          </cell>
        </row>
        <row r="9822">
          <cell r="B9822" t="str">
            <v>INF084M01AE2</v>
          </cell>
          <cell r="C9822" t="str">
            <v>-</v>
          </cell>
          <cell r="D9822" t="str">
            <v>Aditya Birla Sun Life Multi Asset Omni FoF- Regular Plan - Growth Option</v>
          </cell>
          <cell r="E9822">
            <v>75.387799999999999</v>
          </cell>
        </row>
        <row r="9823">
          <cell r="B9823" t="str">
            <v>INF084M01DN7</v>
          </cell>
          <cell r="C9823" t="str">
            <v>INF084M01DO5</v>
          </cell>
          <cell r="D9823" t="str">
            <v>Aditya Birla Sun Life Multi Asset Omni FOF-DIRECT - IDCW</v>
          </cell>
          <cell r="E9823">
            <v>38.279899999999998</v>
          </cell>
        </row>
        <row r="9824">
          <cell r="B9824" t="str">
            <v>INF084M01AF9</v>
          </cell>
          <cell r="C9824" t="str">
            <v>INF084M01AG7</v>
          </cell>
          <cell r="D9824" t="str">
            <v>Aditya Birla Sun Life Multi Asset Omni FoF-REGULAR - IDCW</v>
          </cell>
          <cell r="E9824">
            <v>69.4208</v>
          </cell>
        </row>
        <row r="9825">
          <cell r="B9825" t="str">
            <v>INF209KB15M0</v>
          </cell>
          <cell r="C9825" t="str">
            <v>-</v>
          </cell>
          <cell r="D9825" t="str">
            <v>Aditya Birla Sun Life Multi-Asset Passive FOF-Direct Growth</v>
          </cell>
          <cell r="E9825">
            <v>17.5489</v>
          </cell>
        </row>
        <row r="9826">
          <cell r="B9826" t="str">
            <v>INF209KB16M8</v>
          </cell>
          <cell r="C9826" t="str">
            <v>INF209KB17M6</v>
          </cell>
          <cell r="D9826" t="str">
            <v>Aditya Birla Sun Life Multi-Asset Passive FOF-Direct IDCW</v>
          </cell>
          <cell r="E9826">
            <v>17.549700000000001</v>
          </cell>
        </row>
        <row r="9827">
          <cell r="B9827" t="str">
            <v>INF209KB12M7</v>
          </cell>
          <cell r="C9827" t="str">
            <v>-</v>
          </cell>
          <cell r="D9827" t="str">
            <v>Aditya Birla Sun Life Multi-Asset Passive FOF-Regular Growth</v>
          </cell>
          <cell r="E9827">
            <v>17.3354</v>
          </cell>
        </row>
        <row r="9828">
          <cell r="B9828" t="str">
            <v>INF209KB13M5</v>
          </cell>
          <cell r="C9828" t="str">
            <v>INF209KB14M3</v>
          </cell>
          <cell r="D9828" t="str">
            <v>Aditya Birla Sun Life Multi-Asset Passive FOF-Regular IDCW</v>
          </cell>
          <cell r="E9828">
            <v>17.3355</v>
          </cell>
        </row>
        <row r="9829">
          <cell r="B9829" t="str">
            <v/>
          </cell>
          <cell r="C9829" t="str">
            <v/>
          </cell>
          <cell r="D9829" t="str">
            <v/>
          </cell>
        </row>
        <row r="9830">
          <cell r="B9830" t="str">
            <v/>
          </cell>
          <cell r="C9830" t="str">
            <v/>
          </cell>
          <cell r="D9830" t="str">
            <v/>
          </cell>
        </row>
        <row r="9831">
          <cell r="B9831" t="str">
            <v/>
          </cell>
          <cell r="C9831" t="str">
            <v/>
          </cell>
          <cell r="D9831" t="str">
            <v/>
          </cell>
        </row>
        <row r="9832">
          <cell r="B9832" t="str">
            <v>INF1J2R01106</v>
          </cell>
          <cell r="C9832" t="str">
            <v>-</v>
          </cell>
          <cell r="D9832" t="str">
            <v>ANGEL ONE GOLD ETF FOF - REGULAR GROWTH</v>
          </cell>
          <cell r="E9832">
            <v>13.027100000000001</v>
          </cell>
        </row>
        <row r="9833">
          <cell r="B9833" t="str">
            <v>INF1J2R01098</v>
          </cell>
          <cell r="C9833" t="str">
            <v>-</v>
          </cell>
          <cell r="D9833" t="str">
            <v>ANGEL ONE GOLD ETF FOF- DIRECT GROWTH</v>
          </cell>
          <cell r="E9833">
            <v>13.083500000000001</v>
          </cell>
        </row>
        <row r="9834">
          <cell r="B9834" t="str">
            <v>INF1J2R01155</v>
          </cell>
          <cell r="C9834" t="str">
            <v>-</v>
          </cell>
          <cell r="D9834" t="str">
            <v>ANGEL ONE SILVER ETF FOF -DIRECT GROWTH</v>
          </cell>
          <cell r="E9834">
            <v>7.7252999999999998</v>
          </cell>
        </row>
        <row r="9835">
          <cell r="B9835" t="str">
            <v>INF1J2R01163</v>
          </cell>
          <cell r="C9835" t="str">
            <v>-</v>
          </cell>
          <cell r="D9835" t="str">
            <v>ANGEL ONE SILVER ETF FOF -REGULAR GROWTH</v>
          </cell>
          <cell r="E9835">
            <v>7.71</v>
          </cell>
        </row>
        <row r="9836">
          <cell r="B9836" t="str">
            <v/>
          </cell>
          <cell r="C9836" t="str">
            <v/>
          </cell>
          <cell r="D9836" t="str">
            <v/>
          </cell>
        </row>
        <row r="9837">
          <cell r="B9837" t="str">
            <v/>
          </cell>
          <cell r="C9837" t="str">
            <v/>
          </cell>
          <cell r="D9837" t="str">
            <v/>
          </cell>
        </row>
        <row r="9838">
          <cell r="B9838" t="str">
            <v/>
          </cell>
          <cell r="C9838" t="str">
            <v/>
          </cell>
          <cell r="D9838" t="str">
            <v/>
          </cell>
        </row>
        <row r="9839">
          <cell r="B9839" t="str">
            <v>INF846KA1408</v>
          </cell>
          <cell r="C9839" t="str">
            <v>-</v>
          </cell>
          <cell r="D9839" t="str">
            <v>Axis Gold and Silver Passive FOF - Direct Plan - Growth</v>
          </cell>
          <cell r="E9839">
            <v>10.544499999999999</v>
          </cell>
        </row>
        <row r="9840">
          <cell r="B9840" t="str">
            <v>INF846KA1390</v>
          </cell>
          <cell r="C9840" t="str">
            <v>-</v>
          </cell>
          <cell r="D9840" t="str">
            <v>Axis Gold and Silver Passive FOF - Regular Plan - Growth</v>
          </cell>
          <cell r="E9840">
            <v>10.5199</v>
          </cell>
        </row>
        <row r="9841">
          <cell r="B9841" t="str">
            <v>INF846K01DS2</v>
          </cell>
          <cell r="C9841" t="str">
            <v>-</v>
          </cell>
          <cell r="D9841" t="str">
            <v>Axis Gold Fund - Direct Plan - Growth option</v>
          </cell>
          <cell r="E9841">
            <v>45.543799999999997</v>
          </cell>
        </row>
        <row r="9842">
          <cell r="B9842" t="str">
            <v>INF846K01DQ6</v>
          </cell>
          <cell r="C9842" t="str">
            <v>INF846K01DR4</v>
          </cell>
          <cell r="D9842" t="str">
            <v>Axis Gold Fund - Direct Plan - IDCW</v>
          </cell>
          <cell r="E9842">
            <v>45.586300000000001</v>
          </cell>
        </row>
        <row r="9843">
          <cell r="B9843" t="str">
            <v>INF846K01AL3</v>
          </cell>
          <cell r="C9843" t="str">
            <v>-</v>
          </cell>
          <cell r="D9843" t="str">
            <v>Axis Gold Fund - Regular Plan - Growth Option</v>
          </cell>
          <cell r="E9843">
            <v>41.755899999999997</v>
          </cell>
        </row>
        <row r="9844">
          <cell r="B9844" t="str">
            <v>INF846K01AM1</v>
          </cell>
          <cell r="C9844" t="str">
            <v>INF846K01AN9</v>
          </cell>
          <cell r="D9844" t="str">
            <v>Axis Gold Fund - Regular Plan - IDCW</v>
          </cell>
          <cell r="E9844">
            <v>41.808</v>
          </cell>
        </row>
        <row r="9845">
          <cell r="B9845" t="str">
            <v>INF846K01U25</v>
          </cell>
          <cell r="C9845" t="str">
            <v>INF846K01U17</v>
          </cell>
          <cell r="D9845" t="str">
            <v>Axis Income Plus Arbitrage Active FOF - Direct Plan - Annual IDCW</v>
          </cell>
          <cell r="E9845">
            <v>14.159000000000001</v>
          </cell>
        </row>
        <row r="9846">
          <cell r="B9846" t="str">
            <v>INF846K01U09</v>
          </cell>
          <cell r="C9846" t="str">
            <v>-</v>
          </cell>
          <cell r="D9846" t="str">
            <v>Axis Income Plus Arbitrage Active FOF - Direct Plan - Growth Option</v>
          </cell>
          <cell r="E9846">
            <v>15.6332</v>
          </cell>
        </row>
        <row r="9847">
          <cell r="B9847" t="str">
            <v>INF846K01U74</v>
          </cell>
          <cell r="C9847" t="str">
            <v>INF846K01U82</v>
          </cell>
          <cell r="D9847" t="str">
            <v>Axis Income Plus Arbitrage Active FOF - Direct Plan - Half Yearly Dividend Option</v>
          </cell>
          <cell r="E9847">
            <v>11.657299999999999</v>
          </cell>
        </row>
        <row r="9848">
          <cell r="B9848" t="str">
            <v>INF846K01U90</v>
          </cell>
          <cell r="C9848" t="str">
            <v>INF846K01V08</v>
          </cell>
          <cell r="D9848" t="str">
            <v>Axis Income Plus Arbitrage Active FOF - Direct Plan - IDCW</v>
          </cell>
          <cell r="E9848">
            <v>15.6463</v>
          </cell>
        </row>
        <row r="9849">
          <cell r="B9849" t="str">
            <v>INF846K01U41</v>
          </cell>
          <cell r="C9849" t="str">
            <v>INF846K01U33</v>
          </cell>
          <cell r="D9849" t="str">
            <v>Axis Income Plus Arbitrage Active FOF - Direct Plan - Monthly IDCW</v>
          </cell>
          <cell r="E9849">
            <v>15.6463</v>
          </cell>
        </row>
        <row r="9850">
          <cell r="B9850" t="str">
            <v>INF846K01U66</v>
          </cell>
          <cell r="C9850" t="str">
            <v>INF846K01U58</v>
          </cell>
          <cell r="D9850" t="str">
            <v>Axis Income Plus Arbitrage Active FOF - Direct Plan - Quarterly IDCW</v>
          </cell>
          <cell r="E9850">
            <v>12.217499999999999</v>
          </cell>
        </row>
        <row r="9851">
          <cell r="B9851" t="str">
            <v>INF846K01V32</v>
          </cell>
          <cell r="C9851" t="str">
            <v>INF846K01V24</v>
          </cell>
          <cell r="D9851" t="str">
            <v>Axis Income Plus Arbitrage Active FOF - Regular Plan - Annual IDCW</v>
          </cell>
          <cell r="E9851">
            <v>13.869400000000001</v>
          </cell>
        </row>
        <row r="9852">
          <cell r="B9852" t="str">
            <v>INF846K01V16</v>
          </cell>
          <cell r="C9852" t="str">
            <v>-</v>
          </cell>
          <cell r="D9852" t="str">
            <v>Axis Income Plus Arbitrage Active FOF - Regular Plan - Growth Option</v>
          </cell>
          <cell r="E9852">
            <v>15.305</v>
          </cell>
        </row>
        <row r="9853">
          <cell r="B9853" t="str">
            <v>INF846K01V81</v>
          </cell>
          <cell r="C9853" t="str">
            <v>INF846K01V99</v>
          </cell>
          <cell r="D9853" t="str">
            <v>Axis Income Plus Arbitrage Active FOF - Regular Plan - Half Yearly IDCW</v>
          </cell>
          <cell r="E9853">
            <v>12.1966</v>
          </cell>
        </row>
        <row r="9854">
          <cell r="B9854" t="str">
            <v>INF846K01W07</v>
          </cell>
          <cell r="C9854" t="str">
            <v>INF846K01W15</v>
          </cell>
          <cell r="D9854" t="str">
            <v>Axis Income Plus Arbitrage Active FOF - Regular Plan - IDCW</v>
          </cell>
          <cell r="E9854">
            <v>15.3093</v>
          </cell>
        </row>
        <row r="9855">
          <cell r="B9855" t="str">
            <v>INF846K01V57</v>
          </cell>
          <cell r="C9855" t="str">
            <v>INF846K01V40</v>
          </cell>
          <cell r="D9855" t="str">
            <v>Axis Income Plus Arbitrage Active FOF - Regular Plan - Monthly IDCW</v>
          </cell>
          <cell r="E9855">
            <v>15.3041</v>
          </cell>
        </row>
        <row r="9856">
          <cell r="B9856" t="str">
            <v>INF846K01V73</v>
          </cell>
          <cell r="C9856" t="str">
            <v>INF846K01V65</v>
          </cell>
          <cell r="D9856" t="str">
            <v>Axis Income Plus Arbitrage Active FOF - Regular Plan - Quarterly IDCW</v>
          </cell>
          <cell r="E9856">
            <v>11.3734</v>
          </cell>
        </row>
        <row r="9857">
          <cell r="B9857" t="str">
            <v>INF846KA1283</v>
          </cell>
          <cell r="C9857" t="str">
            <v>-</v>
          </cell>
          <cell r="D9857" t="str">
            <v>Axis Income Plus Arbitrage Passive FOF - Direct Plan - Growth Option</v>
          </cell>
          <cell r="E9857">
            <v>10.432499999999999</v>
          </cell>
        </row>
        <row r="9858">
          <cell r="B9858" t="str">
            <v>INF846KA1309</v>
          </cell>
          <cell r="C9858" t="str">
            <v>INF846KA1325</v>
          </cell>
          <cell r="D9858" t="str">
            <v>Axis Income Plus Arbitrage Passive FOF - Direct Plan - IDCW Option</v>
          </cell>
          <cell r="E9858">
            <v>10.432600000000001</v>
          </cell>
        </row>
        <row r="9859">
          <cell r="B9859" t="str">
            <v>INF846KA1275</v>
          </cell>
          <cell r="C9859" t="str">
            <v>-</v>
          </cell>
          <cell r="D9859" t="str">
            <v>Axis Income Plus Arbitrage Passive FOF - Regular Plan - Growth Option</v>
          </cell>
          <cell r="E9859">
            <v>10.411899999999999</v>
          </cell>
        </row>
        <row r="9860">
          <cell r="B9860" t="str">
            <v>INF846KA1291</v>
          </cell>
          <cell r="C9860" t="str">
            <v>INF846KA1317</v>
          </cell>
          <cell r="D9860" t="str">
            <v>Axis Income Plus Arbitrage Passive FOF - Regular Plan - IDCW Option</v>
          </cell>
          <cell r="E9860">
            <v>10.407999999999999</v>
          </cell>
        </row>
        <row r="9861">
          <cell r="B9861" t="str">
            <v>INF846K011G9</v>
          </cell>
          <cell r="C9861" t="str">
            <v>-</v>
          </cell>
          <cell r="D9861" t="str">
            <v>Axis Multi Factor Passive FoF - Direct Plan - Growth Option</v>
          </cell>
          <cell r="E9861">
            <v>15.6205</v>
          </cell>
        </row>
        <row r="9862">
          <cell r="B9862" t="str">
            <v>INF846K012G7</v>
          </cell>
          <cell r="C9862" t="str">
            <v>INF846K013G5</v>
          </cell>
          <cell r="D9862" t="str">
            <v>Axis Multi Factor Passive FoF - Direct Plan - IDCW</v>
          </cell>
          <cell r="E9862">
            <v>15.620200000000001</v>
          </cell>
        </row>
        <row r="9863">
          <cell r="B9863" t="str">
            <v>INF846K014G3</v>
          </cell>
          <cell r="C9863" t="str">
            <v>-</v>
          </cell>
          <cell r="D9863" t="str">
            <v>Axis Multi Factor Passive FoF - Regular Plan - Growth Option</v>
          </cell>
          <cell r="E9863">
            <v>15.407400000000001</v>
          </cell>
        </row>
        <row r="9864">
          <cell r="B9864" t="str">
            <v>INF846K015G0</v>
          </cell>
          <cell r="C9864" t="str">
            <v>INF846K016G8</v>
          </cell>
          <cell r="D9864" t="str">
            <v>Axis Multi Factor Passive FoF - Regular Plan - IDCW</v>
          </cell>
          <cell r="E9864">
            <v>15.408300000000001</v>
          </cell>
        </row>
        <row r="9865">
          <cell r="B9865" t="str">
            <v>INF846KA1366</v>
          </cell>
          <cell r="C9865" t="str">
            <v>-</v>
          </cell>
          <cell r="D9865" t="str">
            <v>Axis Multi-Asset Active FoF - Direct Plan - Growth</v>
          </cell>
          <cell r="E9865">
            <v>10.6038</v>
          </cell>
        </row>
        <row r="9866">
          <cell r="B9866" t="str">
            <v>INF846KA1374</v>
          </cell>
          <cell r="C9866" t="str">
            <v>INF846KA1382</v>
          </cell>
          <cell r="D9866" t="str">
            <v>Axis Multi-Asset Active FoF - Direct Plan - IDCW</v>
          </cell>
          <cell r="E9866">
            <v>10.6038</v>
          </cell>
        </row>
        <row r="9867">
          <cell r="B9867" t="str">
            <v>INF846KA1333</v>
          </cell>
          <cell r="C9867" t="str">
            <v>-</v>
          </cell>
          <cell r="D9867" t="str">
            <v>Axis Multi-Asset Active FoF - Regular Plan - Growth</v>
          </cell>
          <cell r="E9867">
            <v>10.5299</v>
          </cell>
        </row>
        <row r="9868">
          <cell r="B9868" t="str">
            <v>INF846KA1341</v>
          </cell>
          <cell r="C9868" t="str">
            <v>INF846KA1358</v>
          </cell>
          <cell r="D9868" t="str">
            <v>Axis Multi-Asset Active FoF - Regular Plan - IDCW</v>
          </cell>
          <cell r="E9868">
            <v>10.5298</v>
          </cell>
        </row>
        <row r="9869">
          <cell r="B9869" t="str">
            <v>INF846K019J6</v>
          </cell>
          <cell r="C9869" t="str">
            <v>INF846K010K3</v>
          </cell>
          <cell r="D9869" t="str">
            <v>Axis Silver Fund of Fund - Regular Plan - IDCW Option</v>
          </cell>
          <cell r="E9869">
            <v>37.531100000000002</v>
          </cell>
        </row>
        <row r="9870">
          <cell r="B9870" t="str">
            <v>INF846K018J8</v>
          </cell>
          <cell r="C9870" t="str">
            <v>-</v>
          </cell>
          <cell r="D9870" t="str">
            <v>Axis Silver Fund of Fund -Regular Plan- Growth Option</v>
          </cell>
          <cell r="E9870">
            <v>37.532499999999999</v>
          </cell>
        </row>
        <row r="9871">
          <cell r="B9871" t="str">
            <v>INF846K016J2</v>
          </cell>
          <cell r="C9871" t="str">
            <v>INF846K017J0</v>
          </cell>
          <cell r="D9871" t="str">
            <v>Axis Silver Fund of Fund- Direct Plan - IDCW Option</v>
          </cell>
          <cell r="E9871">
            <v>38.281300000000002</v>
          </cell>
        </row>
        <row r="9872">
          <cell r="B9872" t="str">
            <v>INF846K015J4</v>
          </cell>
          <cell r="C9872" t="str">
            <v>-</v>
          </cell>
          <cell r="D9872" t="str">
            <v>Axis Silver Fund of Fund- Direct Plan-Growth Option</v>
          </cell>
          <cell r="E9872">
            <v>38.281799999999997</v>
          </cell>
        </row>
        <row r="9873">
          <cell r="B9873" t="str">
            <v/>
          </cell>
          <cell r="C9873" t="str">
            <v/>
          </cell>
          <cell r="D9873" t="str">
            <v/>
          </cell>
        </row>
        <row r="9874">
          <cell r="B9874" t="str">
            <v/>
          </cell>
          <cell r="C9874" t="str">
            <v/>
          </cell>
          <cell r="D9874" t="str">
            <v/>
          </cell>
        </row>
        <row r="9875">
          <cell r="B9875" t="str">
            <v/>
          </cell>
          <cell r="C9875" t="str">
            <v/>
          </cell>
          <cell r="D9875" t="str">
            <v/>
          </cell>
        </row>
        <row r="9876">
          <cell r="B9876" t="str">
            <v>INF194K012B6</v>
          </cell>
          <cell r="C9876" t="str">
            <v>-</v>
          </cell>
          <cell r="D9876" t="str">
            <v>Bandhan Aggressive Hybrid Passive FOF - Direct Plan - Growth</v>
          </cell>
          <cell r="E9876">
            <v>53.530799999999999</v>
          </cell>
        </row>
        <row r="9877">
          <cell r="B9877" t="str">
            <v>INF194K013B4</v>
          </cell>
          <cell r="C9877" t="str">
            <v>INF194K014B2</v>
          </cell>
          <cell r="D9877" t="str">
            <v>Bandhan Aggressive Hybrid Passive FOF - Direct Plan - IDCW</v>
          </cell>
          <cell r="E9877">
            <v>36.850900000000003</v>
          </cell>
        </row>
        <row r="9878">
          <cell r="B9878" t="str">
            <v>INF194K01953</v>
          </cell>
          <cell r="C9878" t="str">
            <v>-</v>
          </cell>
          <cell r="D9878" t="str">
            <v>Bandhan Aggressive Hybrid Passive FOF - Regular Plan - Growth</v>
          </cell>
          <cell r="E9878">
            <v>49.254600000000003</v>
          </cell>
        </row>
        <row r="9879">
          <cell r="B9879" t="str">
            <v>INF194K01961</v>
          </cell>
          <cell r="C9879" t="str">
            <v>INF194K01979</v>
          </cell>
          <cell r="D9879" t="str">
            <v>Bandhan Aggressive Hybrid Passive FOF - Regular Plan - IDCW</v>
          </cell>
          <cell r="E9879">
            <v>26.880299999999998</v>
          </cell>
        </row>
        <row r="9880">
          <cell r="B9880" t="str">
            <v>INF194K016A9</v>
          </cell>
          <cell r="C9880" t="str">
            <v>-</v>
          </cell>
          <cell r="D9880" t="str">
            <v>Bandhan Conservative Hybrid Passive FOF - Direct Plan - Growth</v>
          </cell>
          <cell r="E9880">
            <v>37.385199999999998</v>
          </cell>
        </row>
        <row r="9881">
          <cell r="B9881" t="str">
            <v>INF194K017A7</v>
          </cell>
          <cell r="C9881" t="str">
            <v>INF194K018A5</v>
          </cell>
          <cell r="D9881" t="str">
            <v>Bandhan Conservative Hybrid Passive FOF - Direct Plan - IDCW</v>
          </cell>
          <cell r="E9881">
            <v>17.667400000000001</v>
          </cell>
        </row>
        <row r="9882">
          <cell r="B9882" t="str">
            <v>INF194K01987</v>
          </cell>
          <cell r="C9882" t="str">
            <v>-</v>
          </cell>
          <cell r="D9882" t="str">
            <v>Bandhan Conservative Hybrid Passive FOF - Regular Plan - Growth</v>
          </cell>
          <cell r="E9882">
            <v>34.756799999999998</v>
          </cell>
        </row>
        <row r="9883">
          <cell r="B9883" t="str">
            <v>INF194K01995</v>
          </cell>
          <cell r="C9883" t="str">
            <v>INF194K01AA1</v>
          </cell>
          <cell r="D9883" t="str">
            <v>Bandhan Conservative Hybrid Passive FOF - Regular Plan - IDCW</v>
          </cell>
          <cell r="E9883">
            <v>16.854800000000001</v>
          </cell>
        </row>
        <row r="9884">
          <cell r="B9884" t="str">
            <v>INF194KB1KL3</v>
          </cell>
          <cell r="C9884" t="str">
            <v>-</v>
          </cell>
          <cell r="D9884" t="str">
            <v>Bandhan Gold ETF FOF-Direct-Growth</v>
          </cell>
          <cell r="E9884">
            <v>9.4422999999999995</v>
          </cell>
        </row>
        <row r="9885">
          <cell r="B9885" t="str">
            <v>INF194KB1KK5</v>
          </cell>
          <cell r="C9885" t="str">
            <v>-</v>
          </cell>
          <cell r="D9885" t="str">
            <v>Bandhan Gold ETF FOF-Regular-Growth</v>
          </cell>
          <cell r="E9885">
            <v>9.42</v>
          </cell>
        </row>
        <row r="9886">
          <cell r="B9886" t="str">
            <v>INF194K01U98</v>
          </cell>
          <cell r="C9886" t="str">
            <v>INF194K01U80</v>
          </cell>
          <cell r="D9886" t="str">
            <v>Bandhan Income Plus Arbitrage Active FOF - Direct Plan - Annual IDCW</v>
          </cell>
          <cell r="E9886">
            <v>15.0403</v>
          </cell>
        </row>
        <row r="9887">
          <cell r="B9887" t="str">
            <v>-</v>
          </cell>
          <cell r="C9887" t="str">
            <v>INF194K01V63</v>
          </cell>
          <cell r="D9887" t="str">
            <v>Bandhan Income Plus Arbitrage Active FOF - Direct Plan - Daily IDCW</v>
          </cell>
          <cell r="E9887">
            <v>12.434799999999999</v>
          </cell>
        </row>
        <row r="9888">
          <cell r="B9888" t="str">
            <v>INF194K01V55</v>
          </cell>
          <cell r="C9888" t="str">
            <v>INF194K01V48</v>
          </cell>
          <cell r="D9888" t="str">
            <v>Bandhan Income Plus Arbitrage Active FOF - Direct Plan - Fortnightly IDCW</v>
          </cell>
          <cell r="E9888">
            <v>12.3896</v>
          </cell>
        </row>
        <row r="9889">
          <cell r="B9889" t="str">
            <v>INF194K01U72</v>
          </cell>
          <cell r="C9889" t="str">
            <v>-</v>
          </cell>
          <cell r="D9889" t="str">
            <v>Bandhan Income Plus Arbitrage Active FOF - Direct Plan - Growth</v>
          </cell>
          <cell r="E9889">
            <v>48.976999999999997</v>
          </cell>
        </row>
        <row r="9890">
          <cell r="B9890" t="str">
            <v>INF194K01V14</v>
          </cell>
          <cell r="C9890" t="str">
            <v>INF194K01V06</v>
          </cell>
          <cell r="D9890" t="str">
            <v>Bandhan Income Plus Arbitrage Active FOF - Direct Plan - Half Yearly IDCW</v>
          </cell>
          <cell r="E9890">
            <v>16.2577</v>
          </cell>
        </row>
        <row r="9891">
          <cell r="B9891" t="str">
            <v>INF194KA1TV4</v>
          </cell>
          <cell r="C9891" t="str">
            <v>INF194KA1TW2</v>
          </cell>
          <cell r="D9891" t="str">
            <v>Bandhan Income Plus Arbitrage Active FOF - Direct Plan - Periodic IDCW</v>
          </cell>
          <cell r="E9891">
            <v>16.834199999999999</v>
          </cell>
        </row>
        <row r="9892">
          <cell r="B9892" t="str">
            <v>INF194K01V30</v>
          </cell>
          <cell r="C9892" t="str">
            <v>INF194K01V22</v>
          </cell>
          <cell r="D9892" t="str">
            <v>Bandhan Income Plus Arbitrage Active FOF - Direct Plan - Quarterly IDCW</v>
          </cell>
          <cell r="E9892">
            <v>12.939399999999999</v>
          </cell>
        </row>
        <row r="9893">
          <cell r="B9893" t="str">
            <v>-</v>
          </cell>
          <cell r="C9893" t="str">
            <v>INF194K01V71</v>
          </cell>
          <cell r="D9893" t="str">
            <v>Bandhan Income Plus Arbitrage Active FOF - Direct Plan - Weekly IDCW</v>
          </cell>
          <cell r="E9893">
            <v>12.442299999999999</v>
          </cell>
        </row>
        <row r="9894">
          <cell r="B9894" t="str">
            <v>INF194K01SG0</v>
          </cell>
          <cell r="C9894" t="str">
            <v>INF194K01SF2</v>
          </cell>
          <cell r="D9894" t="str">
            <v>Bandhan Income Plus Arbitrage Active FOF - Regular Plan - Annual IDCW</v>
          </cell>
          <cell r="E9894">
            <v>14.746499999999999</v>
          </cell>
        </row>
        <row r="9895">
          <cell r="B9895" t="str">
            <v>-</v>
          </cell>
          <cell r="C9895" t="str">
            <v>INF194K01F55</v>
          </cell>
          <cell r="D9895" t="str">
            <v>Bandhan Income Plus Arbitrage Active FOF - Regular Plan - Daily IDCW</v>
          </cell>
          <cell r="E9895">
            <v>12.3658</v>
          </cell>
        </row>
        <row r="9896">
          <cell r="B9896" t="str">
            <v>INF194K01SM8</v>
          </cell>
          <cell r="C9896" t="str">
            <v>INF194K01SL0</v>
          </cell>
          <cell r="D9896" t="str">
            <v>Bandhan Income Plus Arbitrage Active FOF - Regular Plan - Fortnightly IDCW</v>
          </cell>
          <cell r="E9896">
            <v>12.151</v>
          </cell>
        </row>
        <row r="9897">
          <cell r="B9897" t="str">
            <v>INF194K01SE5</v>
          </cell>
          <cell r="C9897" t="str">
            <v>-</v>
          </cell>
          <cell r="D9897" t="str">
            <v>Bandhan Income Plus Arbitrage Active FOF - Regular Plan - Growth</v>
          </cell>
          <cell r="E9897">
            <v>46.456699999999998</v>
          </cell>
        </row>
        <row r="9898">
          <cell r="B9898" t="str">
            <v>INF194K01SI6</v>
          </cell>
          <cell r="C9898" t="str">
            <v>INF194K01SH8</v>
          </cell>
          <cell r="D9898" t="str">
            <v>Bandhan Income Plus Arbitrage Active FOF - Regular Plan - Half Yearly IDCW</v>
          </cell>
          <cell r="E9898">
            <v>13.16</v>
          </cell>
        </row>
        <row r="9899">
          <cell r="B9899" t="str">
            <v>INF194KA1TS0</v>
          </cell>
          <cell r="C9899" t="str">
            <v>INF194KA1TT8</v>
          </cell>
          <cell r="D9899" t="str">
            <v>Bandhan Income Plus Arbitrage Active FOF - Regular Plan - Periodic IDCW</v>
          </cell>
          <cell r="E9899">
            <v>16.245999999999999</v>
          </cell>
        </row>
        <row r="9900">
          <cell r="B9900" t="str">
            <v>INF194K01SK2</v>
          </cell>
          <cell r="C9900" t="str">
            <v>INF194K01SJ4</v>
          </cell>
          <cell r="D9900" t="str">
            <v>Bandhan Income Plus Arbitrage Active FOF - Regular Plan - Quarterly IDCW</v>
          </cell>
          <cell r="E9900">
            <v>12.8362</v>
          </cell>
        </row>
        <row r="9901">
          <cell r="B9901" t="str">
            <v>-</v>
          </cell>
          <cell r="C9901" t="str">
            <v>INF194K01F63</v>
          </cell>
          <cell r="D9901" t="str">
            <v>Bandhan Income Plus Arbitrage Active FOF - Regular Plan - Weekly IDCW</v>
          </cell>
          <cell r="E9901">
            <v>12.3756</v>
          </cell>
        </row>
        <row r="9902">
          <cell r="B9902" t="str">
            <v>INF194K019A3</v>
          </cell>
          <cell r="C9902" t="str">
            <v>-</v>
          </cell>
          <cell r="D9902" t="str">
            <v>Bandhan Multi-Asset Passive FOF - Direct Plan - Growth</v>
          </cell>
          <cell r="E9902">
            <v>44.851900000000001</v>
          </cell>
        </row>
        <row r="9903">
          <cell r="B9903" t="str">
            <v>INF194K010B0</v>
          </cell>
          <cell r="C9903" t="str">
            <v>INF194K011B8</v>
          </cell>
          <cell r="D9903" t="str">
            <v>Bandhan Multi-Asset Passive FOF - Direct Plan - IDCW</v>
          </cell>
          <cell r="E9903">
            <v>21.544599999999999</v>
          </cell>
        </row>
        <row r="9904">
          <cell r="B9904" t="str">
            <v>INF194K01AB9</v>
          </cell>
          <cell r="C9904" t="str">
            <v>-</v>
          </cell>
          <cell r="D9904" t="str">
            <v>Bandhan Multi-Asset Passive FOF - Regular Plan - Growth</v>
          </cell>
          <cell r="E9904">
            <v>41.730400000000003</v>
          </cell>
        </row>
        <row r="9905">
          <cell r="B9905" t="str">
            <v>INF194K01AC7</v>
          </cell>
          <cell r="C9905" t="str">
            <v>INF194K01AD5</v>
          </cell>
          <cell r="D9905" t="str">
            <v>Bandhan Multi-Asset Passive FOF - Regular Plan - IDCW</v>
          </cell>
          <cell r="E9905">
            <v>20.4482</v>
          </cell>
        </row>
        <row r="9906">
          <cell r="B9906" t="str">
            <v>INF194KB1KN9</v>
          </cell>
          <cell r="C9906" t="str">
            <v>-</v>
          </cell>
          <cell r="D9906" t="str">
            <v>Bandhan Silver ETF FOF-Direct-Growth</v>
          </cell>
          <cell r="E9906">
            <v>7.3060999999999998</v>
          </cell>
        </row>
        <row r="9907">
          <cell r="B9907" t="str">
            <v>INF194KB1KM1</v>
          </cell>
          <cell r="C9907" t="str">
            <v>-</v>
          </cell>
          <cell r="D9907" t="str">
            <v>Bandhan Silver ETF FOF-Regular-Growth</v>
          </cell>
          <cell r="E9907">
            <v>7.2888000000000002</v>
          </cell>
        </row>
        <row r="9908">
          <cell r="B9908" t="str">
            <v/>
          </cell>
          <cell r="C9908" t="str">
            <v/>
          </cell>
          <cell r="D9908" t="str">
            <v/>
          </cell>
        </row>
        <row r="9909">
          <cell r="B9909" t="str">
            <v/>
          </cell>
          <cell r="C9909" t="str">
            <v/>
          </cell>
          <cell r="D9909" t="str">
            <v/>
          </cell>
        </row>
        <row r="9910">
          <cell r="B9910" t="str">
            <v/>
          </cell>
          <cell r="C9910" t="str">
            <v/>
          </cell>
          <cell r="D9910" t="str">
            <v/>
          </cell>
        </row>
        <row r="9911">
          <cell r="B9911" t="str">
            <v>INF251K01VF4</v>
          </cell>
          <cell r="C9911" t="str">
            <v>-</v>
          </cell>
          <cell r="D9911" t="str">
            <v>Baroda BNP Paribas Gold ETF Fund of Funds Direct Growth</v>
          </cell>
          <cell r="E9911">
            <v>14.412699999999999</v>
          </cell>
        </row>
        <row r="9912">
          <cell r="B9912" t="str">
            <v>INF251K01VE7</v>
          </cell>
          <cell r="C9912" t="str">
            <v>-</v>
          </cell>
          <cell r="D9912" t="str">
            <v>Baroda BNP Paribas Gold ETF Fund of Funds Regular Growth</v>
          </cell>
          <cell r="E9912">
            <v>14.375</v>
          </cell>
        </row>
        <row r="9913">
          <cell r="B9913" t="str">
            <v>INF251K01UT7</v>
          </cell>
          <cell r="C9913" t="str">
            <v>-</v>
          </cell>
          <cell r="D9913" t="str">
            <v>Baroda BNP Paribas Income Plus Arbitrage Active FOF Direct Growth</v>
          </cell>
          <cell r="E9913">
            <v>10.6951</v>
          </cell>
        </row>
        <row r="9914">
          <cell r="B9914" t="str">
            <v>INF251K01UU5</v>
          </cell>
          <cell r="C9914" t="str">
            <v>INF251K01UV3</v>
          </cell>
          <cell r="D9914" t="str">
            <v>Baroda BNP Paribas Income Plus Arbitrage Active FOF Direct IDCW Payout</v>
          </cell>
          <cell r="E9914">
            <v>10.6951</v>
          </cell>
        </row>
        <row r="9915">
          <cell r="B9915" t="str">
            <v>INF251K01UR1</v>
          </cell>
          <cell r="C9915" t="str">
            <v>-</v>
          </cell>
          <cell r="D9915" t="str">
            <v>Baroda BNP Paribas Income Plus Arbitrage Active FOF Regular Growth</v>
          </cell>
          <cell r="E9915">
            <v>10.671200000000001</v>
          </cell>
        </row>
        <row r="9916">
          <cell r="B9916" t="str">
            <v>INF251K01UX9</v>
          </cell>
          <cell r="C9916" t="str">
            <v>INF251K01US9</v>
          </cell>
          <cell r="D9916" t="str">
            <v>Baroda BNP Paribas Income Plus Arbitrage Active FOF Regular IDCW Payout</v>
          </cell>
          <cell r="E9916">
            <v>10.671200000000001</v>
          </cell>
        </row>
        <row r="9917">
          <cell r="B9917" t="str">
            <v>INF251K01UO8</v>
          </cell>
          <cell r="C9917" t="str">
            <v>-</v>
          </cell>
          <cell r="D9917" t="str">
            <v>Baroda BNP Paribas Multi Asset Active FOF Direct Growth</v>
          </cell>
          <cell r="E9917">
            <v>11.32</v>
          </cell>
        </row>
        <row r="9918">
          <cell r="B9918" t="str">
            <v>INF251K01UP5</v>
          </cell>
          <cell r="C9918" t="str">
            <v>INF251K01UQ3</v>
          </cell>
          <cell r="D9918" t="str">
            <v>Baroda BNP Paribas Multi Asset Active FOF Direct IDCW Payout</v>
          </cell>
          <cell r="E9918">
            <v>11.32</v>
          </cell>
        </row>
        <row r="9919">
          <cell r="B9919" t="str">
            <v>INF251K01UM2</v>
          </cell>
          <cell r="C9919" t="str">
            <v>-</v>
          </cell>
          <cell r="D9919" t="str">
            <v>Baroda BNP Paribas Multi Asset Active FOF Regular Growth</v>
          </cell>
          <cell r="E9919">
            <v>11.207000000000001</v>
          </cell>
        </row>
        <row r="9920">
          <cell r="B9920" t="str">
            <v>INF251K01UN0</v>
          </cell>
          <cell r="C9920" t="str">
            <v>INF251K01UW1</v>
          </cell>
          <cell r="D9920" t="str">
            <v>Baroda BNP Paribas Multi Asset Active FOF Regular ICDW Payout</v>
          </cell>
          <cell r="E9920">
            <v>11.207000000000001</v>
          </cell>
        </row>
        <row r="9921">
          <cell r="B9921" t="str">
            <v/>
          </cell>
          <cell r="C9921" t="str">
            <v/>
          </cell>
          <cell r="D9921" t="str">
            <v/>
          </cell>
        </row>
        <row r="9922">
          <cell r="B9922" t="str">
            <v/>
          </cell>
          <cell r="C9922" t="str">
            <v/>
          </cell>
          <cell r="D9922" t="str">
            <v/>
          </cell>
        </row>
        <row r="9923">
          <cell r="B9923" t="str">
            <v/>
          </cell>
          <cell r="C9923" t="str">
            <v/>
          </cell>
          <cell r="D9923" t="str">
            <v/>
          </cell>
        </row>
        <row r="9924">
          <cell r="B9924" t="str">
            <v>INF740KA1TK6</v>
          </cell>
          <cell r="C9924" t="str">
            <v>-</v>
          </cell>
          <cell r="D9924" t="str">
            <v>DSP Gold ETF Fund of Fund - Direct - Growth</v>
          </cell>
          <cell r="E9924">
            <v>22.727799999999998</v>
          </cell>
        </row>
        <row r="9925">
          <cell r="B9925" t="str">
            <v>INF740KA1TL4</v>
          </cell>
          <cell r="C9925" t="str">
            <v>INF740KA1TM2</v>
          </cell>
          <cell r="D9925" t="str">
            <v>DSP Gold ETF Fund of Fund - Direct - IDCW</v>
          </cell>
          <cell r="E9925">
            <v>22.727799999999998</v>
          </cell>
        </row>
        <row r="9926">
          <cell r="B9926" t="str">
            <v>INF740KA1TH2</v>
          </cell>
          <cell r="C9926" t="str">
            <v>-</v>
          </cell>
          <cell r="D9926" t="str">
            <v>DSP Gold ETF Fund of Fund - Regular - Growth</v>
          </cell>
          <cell r="E9926">
            <v>22.502700000000001</v>
          </cell>
        </row>
        <row r="9927">
          <cell r="B9927" t="str">
            <v>INF740KA1TI0</v>
          </cell>
          <cell r="C9927" t="str">
            <v>INF740KA1TJ8</v>
          </cell>
          <cell r="D9927" t="str">
            <v>DSP Gold ETF Fund of Fund - Regular - IDCW</v>
          </cell>
          <cell r="E9927">
            <v>22.502700000000001</v>
          </cell>
        </row>
        <row r="9928">
          <cell r="B9928" t="str">
            <v>INF740K01Z50</v>
          </cell>
          <cell r="C9928" t="str">
            <v>-</v>
          </cell>
          <cell r="D9928" t="str">
            <v>DSP Income Plus Arbitrage Omni FoF - Direct Plan - Growth</v>
          </cell>
          <cell r="E9928">
            <v>23.793099999999999</v>
          </cell>
        </row>
        <row r="9929">
          <cell r="B9929" t="str">
            <v>INF740K01Z68</v>
          </cell>
          <cell r="C9929" t="str">
            <v>INF740K01Z76</v>
          </cell>
          <cell r="D9929" t="str">
            <v>DSP Income Plus Arbitrage Omni FoF - Direct Plan - IDCW</v>
          </cell>
          <cell r="E9929">
            <v>18.4526</v>
          </cell>
        </row>
        <row r="9930">
          <cell r="B9930" t="str">
            <v>INF740K01Z27</v>
          </cell>
          <cell r="C9930" t="str">
            <v>-</v>
          </cell>
          <cell r="D9930" t="str">
            <v>DSP Income Plus Arbitrage Omni FoF - Regular Plan - Growth</v>
          </cell>
          <cell r="E9930">
            <v>22.387799999999999</v>
          </cell>
        </row>
        <row r="9931">
          <cell r="B9931" t="str">
            <v>INF740K01Z35</v>
          </cell>
          <cell r="C9931" t="str">
            <v>INF740K01Z43</v>
          </cell>
          <cell r="D9931" t="str">
            <v>DSP Income Plus Arbitrage Omni FoF - Regular Plan - IDCW</v>
          </cell>
          <cell r="E9931">
            <v>16.5396</v>
          </cell>
        </row>
        <row r="9932">
          <cell r="B9932" t="str">
            <v>INF740KA1YE9</v>
          </cell>
          <cell r="C9932" t="str">
            <v>-</v>
          </cell>
          <cell r="D9932" t="str">
            <v>DSP Multi Asset Omni Fund of Funds - Direct - Growth</v>
          </cell>
          <cell r="E9932">
            <v>9.9593000000000007</v>
          </cell>
        </row>
        <row r="9933">
          <cell r="B9933" t="str">
            <v>INF740KA1YF6</v>
          </cell>
          <cell r="C9933" t="str">
            <v>INF740KA1YG4</v>
          </cell>
          <cell r="D9933" t="str">
            <v>DSP Multi Asset Omni Fund of Funds - Direct - IDCW</v>
          </cell>
          <cell r="E9933">
            <v>9.9593000000000007</v>
          </cell>
        </row>
        <row r="9934">
          <cell r="B9934" t="str">
            <v>INF740KA1YB5</v>
          </cell>
          <cell r="C9934" t="str">
            <v>-</v>
          </cell>
          <cell r="D9934" t="str">
            <v>DSP Multi Asset Omni Fund of Funds - Regular - Growth</v>
          </cell>
          <cell r="E9934">
            <v>9.9278999999999993</v>
          </cell>
        </row>
        <row r="9935">
          <cell r="B9935" t="str">
            <v>INF740KA1YC3</v>
          </cell>
          <cell r="C9935" t="str">
            <v>INF740KA1YD1</v>
          </cell>
          <cell r="D9935" t="str">
            <v>DSP Multi Asset Omni Fund of Funds - Regular - IDCW</v>
          </cell>
          <cell r="E9935">
            <v>9.9278999999999993</v>
          </cell>
        </row>
        <row r="9936">
          <cell r="B9936" t="str">
            <v>INF740KA1VZ0</v>
          </cell>
          <cell r="C9936" t="str">
            <v>-</v>
          </cell>
          <cell r="D9936" t="str">
            <v>DSP Silver ETF Fund of Fund - Direct - Growth</v>
          </cell>
          <cell r="E9936">
            <v>23.172799999999999</v>
          </cell>
        </row>
        <row r="9937">
          <cell r="B9937" t="str">
            <v>INF740KA1WA1</v>
          </cell>
          <cell r="C9937" t="str">
            <v>INF740KA1WB9</v>
          </cell>
          <cell r="D9937" t="str">
            <v>DSP Silver ETF Fund of Fund - Direct - IDCW</v>
          </cell>
          <cell r="E9937">
            <v>23.172799999999999</v>
          </cell>
        </row>
        <row r="9938">
          <cell r="B9938" t="str">
            <v>INF740KA1VW7</v>
          </cell>
          <cell r="C9938" t="str">
            <v>-</v>
          </cell>
          <cell r="D9938" t="str">
            <v>DSP Silver ETF Fund of Fund - Regular - Growth</v>
          </cell>
          <cell r="E9938">
            <v>23.052900000000001</v>
          </cell>
        </row>
        <row r="9939">
          <cell r="B9939" t="str">
            <v>INF740KA1VX5</v>
          </cell>
          <cell r="C9939" t="str">
            <v>INF740KA1VY3</v>
          </cell>
          <cell r="D9939" t="str">
            <v>DSP Silver ETF Fund of Fund - Regular - IDCW</v>
          </cell>
          <cell r="E9939">
            <v>23.052900000000001</v>
          </cell>
        </row>
        <row r="9940">
          <cell r="B9940" t="str">
            <v/>
          </cell>
          <cell r="C9940" t="str">
            <v/>
          </cell>
          <cell r="D9940" t="str">
            <v/>
          </cell>
        </row>
        <row r="9941">
          <cell r="B9941" t="str">
            <v/>
          </cell>
          <cell r="C9941" t="str">
            <v/>
          </cell>
          <cell r="D9941" t="str">
            <v/>
          </cell>
        </row>
        <row r="9942">
          <cell r="B9942" t="str">
            <v/>
          </cell>
          <cell r="C9942" t="str">
            <v/>
          </cell>
          <cell r="D9942" t="str">
            <v/>
          </cell>
        </row>
        <row r="9943">
          <cell r="B9943" t="str">
            <v>INF754K01NY5</v>
          </cell>
          <cell r="C9943" t="str">
            <v>-</v>
          </cell>
          <cell r="D9943" t="str">
            <v>BHARAT Bond ETF FOF - April 2032 Direct Growth</v>
          </cell>
          <cell r="E9943">
            <v>13.4848</v>
          </cell>
        </row>
        <row r="9944">
          <cell r="B9944" t="str">
            <v>INF754K01NZ2</v>
          </cell>
          <cell r="C9944" t="str">
            <v>INF754K01OA3</v>
          </cell>
          <cell r="D9944" t="str">
            <v>BHARAT Bond ETF FOF - April 2032 Direct Plan Dividend</v>
          </cell>
          <cell r="E9944">
            <v>13.4848</v>
          </cell>
        </row>
        <row r="9945">
          <cell r="B9945" t="str">
            <v>INF754K01NW9</v>
          </cell>
          <cell r="C9945" t="str">
            <v>INF754K01NX7</v>
          </cell>
          <cell r="D9945" t="str">
            <v>BHARAT Bond ETF FOF - April 2032 Regular Plan Dividend</v>
          </cell>
          <cell r="E9945">
            <v>13.4848</v>
          </cell>
        </row>
        <row r="9946">
          <cell r="B9946" t="str">
            <v>INF754K01NV1</v>
          </cell>
          <cell r="C9946" t="str">
            <v>-</v>
          </cell>
          <cell r="D9946" t="str">
            <v>BHARAT Bond ETF FOF - April 2032 Regular Plan Growth</v>
          </cell>
          <cell r="E9946">
            <v>13.4848</v>
          </cell>
        </row>
        <row r="9947">
          <cell r="B9947" t="str">
            <v>INF754K01RC2</v>
          </cell>
          <cell r="C9947" t="str">
            <v>-</v>
          </cell>
          <cell r="D9947" t="str">
            <v>BHARAT Bond ETF FOF - April 2033 - Direct Plan - Growth</v>
          </cell>
          <cell r="E9947">
            <v>13.137600000000001</v>
          </cell>
        </row>
        <row r="9948">
          <cell r="B9948" t="str">
            <v>INF754K01RD0</v>
          </cell>
          <cell r="C9948" t="str">
            <v>INF754K01RE8</v>
          </cell>
          <cell r="D9948" t="str">
            <v>BHARAT Bond ETF FOF - April 2033 - Direct Plan - IDCW</v>
          </cell>
          <cell r="E9948">
            <v>13.137600000000001</v>
          </cell>
        </row>
        <row r="9949">
          <cell r="B9949" t="str">
            <v>INF754K01QY8</v>
          </cell>
          <cell r="C9949" t="str">
            <v>-</v>
          </cell>
          <cell r="D9949" t="str">
            <v>BHARAT Bond ETF FOF - April 2033 - Regular Plan - Growth</v>
          </cell>
          <cell r="E9949">
            <v>13.137600000000001</v>
          </cell>
        </row>
        <row r="9950">
          <cell r="B9950" t="str">
            <v>INF754K01QZ5</v>
          </cell>
          <cell r="C9950" t="str">
            <v>INF754K01RA6</v>
          </cell>
          <cell r="D9950" t="str">
            <v>BHARAT Bond ETF FOF - April 2033 - Regular Plan - IDCW</v>
          </cell>
          <cell r="E9950">
            <v>13.137499999999999</v>
          </cell>
        </row>
        <row r="9951">
          <cell r="B9951" t="str">
            <v>INF754K01KY1</v>
          </cell>
          <cell r="C9951" t="str">
            <v>-</v>
          </cell>
          <cell r="D9951" t="str">
            <v>Bharat Bond FOF - April 2030 - Direct Plan - Growth Option</v>
          </cell>
          <cell r="E9951">
            <v>15.9633</v>
          </cell>
        </row>
        <row r="9952">
          <cell r="B9952" t="str">
            <v>INF754K01KZ8</v>
          </cell>
          <cell r="C9952" t="str">
            <v>INF754K01LA9</v>
          </cell>
          <cell r="D9952" t="str">
            <v>BHARAT Bond FOF - April 2030 - Direct Plan - IDCW Option</v>
          </cell>
          <cell r="E9952">
            <v>15.9633</v>
          </cell>
        </row>
        <row r="9953">
          <cell r="B9953" t="str">
            <v>INF754K01KV7</v>
          </cell>
          <cell r="C9953" t="str">
            <v>-</v>
          </cell>
          <cell r="D9953" t="str">
            <v>Bharat Bond FOF - April 2030 - Regular Plan - Growth Option</v>
          </cell>
          <cell r="E9953">
            <v>15.9633</v>
          </cell>
        </row>
        <row r="9954">
          <cell r="B9954" t="str">
            <v>INF754K01KW5</v>
          </cell>
          <cell r="C9954" t="str">
            <v>INF754K01KX3</v>
          </cell>
          <cell r="D9954" t="str">
            <v>BHARAT Bond FOF - April 2030 - Regular Plan - IDCW Option</v>
          </cell>
          <cell r="E9954">
            <v>15.9633</v>
          </cell>
        </row>
        <row r="9955">
          <cell r="B9955" t="str">
            <v>INF754K01LJ0</v>
          </cell>
          <cell r="C9955" t="str">
            <v>INF754K01LK8</v>
          </cell>
          <cell r="D9955" t="str">
            <v>BHARAT Bond FOF - April 2025 - Direct Plan - IDCW Option</v>
          </cell>
          <cell r="E9955">
            <v>12.8931</v>
          </cell>
        </row>
        <row r="9956">
          <cell r="B9956" t="str">
            <v>INF754K01LG6</v>
          </cell>
          <cell r="C9956" t="str">
            <v>INF754K01LH4</v>
          </cell>
          <cell r="D9956" t="str">
            <v>BHARAT Bond FOF - April 2025 - Regular Plan - IDCW Option</v>
          </cell>
          <cell r="E9956">
            <v>12.8931</v>
          </cell>
        </row>
        <row r="9957">
          <cell r="B9957" t="str">
            <v>INF754K01LI2</v>
          </cell>
          <cell r="C9957" t="str">
            <v>-</v>
          </cell>
          <cell r="D9957" t="str">
            <v>BHARAT Bond FOF- April 2025- Direct Pan- Growth Option</v>
          </cell>
          <cell r="E9957">
            <v>12.8931</v>
          </cell>
        </row>
        <row r="9958">
          <cell r="B9958" t="str">
            <v>INF754K01LF8</v>
          </cell>
          <cell r="C9958" t="str">
            <v>-</v>
          </cell>
          <cell r="D9958" t="str">
            <v>BHARAT Bond FOF- April 2025- Regular Plan- Growth Option</v>
          </cell>
          <cell r="E9958">
            <v>12.8931</v>
          </cell>
        </row>
        <row r="9959">
          <cell r="B9959" t="str">
            <v>INF754K01LP7</v>
          </cell>
          <cell r="C9959" t="str">
            <v>INF754K01LQ5</v>
          </cell>
          <cell r="D9959" t="str">
            <v>BHARAT Bond FOF - April 2031 - Direct Plan - IDCW Option</v>
          </cell>
          <cell r="E9959">
            <v>14.3521</v>
          </cell>
        </row>
        <row r="9960">
          <cell r="B9960" t="str">
            <v>INF754K01LM4</v>
          </cell>
          <cell r="C9960" t="str">
            <v>INF754K01LN2</v>
          </cell>
          <cell r="D9960" t="str">
            <v>BHARAT Bond FOF - April 2031 - Regular Plan - IDCW Option</v>
          </cell>
          <cell r="E9960">
            <v>14.3521</v>
          </cell>
        </row>
        <row r="9961">
          <cell r="B9961" t="str">
            <v>INF754K01LO0</v>
          </cell>
          <cell r="C9961" t="str">
            <v>-</v>
          </cell>
          <cell r="D9961" t="str">
            <v>BHARAT Bond FOF- April 2031- Direct Plan- Growth Option</v>
          </cell>
          <cell r="E9961">
            <v>14.3521</v>
          </cell>
        </row>
        <row r="9962">
          <cell r="B9962" t="str">
            <v>INF754K01LL6</v>
          </cell>
          <cell r="C9962" t="str">
            <v>-</v>
          </cell>
          <cell r="D9962" t="str">
            <v>BHARAT Bond FOF- April 2031- Regular Plan- Growth Option</v>
          </cell>
          <cell r="E9962">
            <v>14.3521</v>
          </cell>
        </row>
        <row r="9963">
          <cell r="B9963" t="str">
            <v>INF754K01OX5</v>
          </cell>
          <cell r="C9963" t="str">
            <v>-</v>
          </cell>
          <cell r="D9963" t="str">
            <v>Edelweiss Gold and Silver ETF FOF - Direct Plan - Growth</v>
          </cell>
          <cell r="E9963">
            <v>32.851999999999997</v>
          </cell>
        </row>
        <row r="9964">
          <cell r="B9964" t="str">
            <v>INF754K01OY3</v>
          </cell>
          <cell r="C9964" t="str">
            <v>INF754K01OZ0</v>
          </cell>
          <cell r="D9964" t="str">
            <v>Edelweiss Gold and Silver ETF FOF - Direct Plan - IDCW</v>
          </cell>
          <cell r="E9964">
            <v>32.851999999999997</v>
          </cell>
        </row>
        <row r="9965">
          <cell r="B9965" t="str">
            <v>INF754K01OT3</v>
          </cell>
          <cell r="C9965" t="str">
            <v>-</v>
          </cell>
          <cell r="D9965" t="str">
            <v>Edelweiss Gold and Silver ETF FOF - Regular Plan - Growth</v>
          </cell>
          <cell r="E9965">
            <v>32.350999999999999</v>
          </cell>
        </row>
        <row r="9966">
          <cell r="B9966" t="str">
            <v>INF754K01OU1</v>
          </cell>
          <cell r="C9966" t="str">
            <v>INF754K01OV9</v>
          </cell>
          <cell r="D9966" t="str">
            <v>Edelweiss Gold and Silver ETF FOF - Regular Plan - IDCW</v>
          </cell>
          <cell r="E9966">
            <v>32.350999999999999</v>
          </cell>
        </row>
        <row r="9967">
          <cell r="B9967" t="str">
            <v>INF754K01WP4</v>
          </cell>
          <cell r="C9967" t="str">
            <v>-</v>
          </cell>
          <cell r="D9967" t="str">
            <v>Edelweiss Gold ETF Fund of Fund Direct Plan Growth Option</v>
          </cell>
          <cell r="E9967">
            <v>8.9588000000000001</v>
          </cell>
        </row>
        <row r="9968">
          <cell r="B9968" t="str">
            <v>INF754K01WQ2</v>
          </cell>
          <cell r="C9968" t="str">
            <v>-</v>
          </cell>
          <cell r="D9968" t="str">
            <v>Edelweiss Gold ETF Fund of Fund Regular Plan Growth Option</v>
          </cell>
          <cell r="E9968">
            <v>8.9419000000000004</v>
          </cell>
        </row>
        <row r="9969">
          <cell r="B9969" t="str">
            <v>INF754K01VK7</v>
          </cell>
          <cell r="C9969" t="str">
            <v>INF754K01VL5</v>
          </cell>
          <cell r="D9969" t="str">
            <v>Edelweiss Income Plus Arbitrage Active Fund of Fund - Regular - Dividend- Payout</v>
          </cell>
          <cell r="E9969">
            <v>10.530900000000001</v>
          </cell>
        </row>
        <row r="9970">
          <cell r="B9970" t="str">
            <v>INF754K01VF7</v>
          </cell>
          <cell r="C9970" t="str">
            <v>-</v>
          </cell>
          <cell r="D9970" t="str">
            <v>Edelweiss Income Plus Arbitrage Active Fund of Funds - Direct Plan Growth</v>
          </cell>
          <cell r="E9970">
            <v>10.557499999999999</v>
          </cell>
        </row>
        <row r="9971">
          <cell r="B9971" t="str">
            <v>INF754K01VG5</v>
          </cell>
          <cell r="C9971" t="str">
            <v>INF754K01VH3</v>
          </cell>
          <cell r="D9971" t="str">
            <v>Edelweiss Income Plus Arbitrage Active Fund of Funds - Direct-Dividend-Payout</v>
          </cell>
          <cell r="E9971">
            <v>10.557499999999999</v>
          </cell>
        </row>
        <row r="9972">
          <cell r="B9972" t="str">
            <v>INF754K01VJ9</v>
          </cell>
          <cell r="C9972" t="str">
            <v>-</v>
          </cell>
          <cell r="D9972" t="str">
            <v>Edelweiss Income Plus Arbitrage Active Fund of Funds - Regular-Growth</v>
          </cell>
          <cell r="E9972">
            <v>10.530900000000001</v>
          </cell>
        </row>
        <row r="9973">
          <cell r="B9973" t="str">
            <v>INF754K01VN1</v>
          </cell>
          <cell r="C9973" t="str">
            <v>-</v>
          </cell>
          <cell r="D9973" t="str">
            <v>Edelweiss Multi Asset Omni Fund of Fund- Direct Plan - Growth</v>
          </cell>
          <cell r="E9973">
            <v>11.4552</v>
          </cell>
        </row>
        <row r="9974">
          <cell r="B9974" t="str">
            <v>INF754K01VO9</v>
          </cell>
          <cell r="C9974" t="str">
            <v>INF754K01VP6</v>
          </cell>
          <cell r="D9974" t="str">
            <v>Edelweiss Multi Asset Omni Fund of Fund- Direct Plan - IDCW</v>
          </cell>
          <cell r="E9974">
            <v>11.4552</v>
          </cell>
        </row>
        <row r="9975">
          <cell r="B9975" t="str">
            <v>INF754K01VR2</v>
          </cell>
          <cell r="C9975" t="str">
            <v>-</v>
          </cell>
          <cell r="D9975" t="str">
            <v>Edelweiss Multi Asset Omni Fund of Fund- Regular Plan - Growth</v>
          </cell>
          <cell r="E9975">
            <v>11.322699999999999</v>
          </cell>
        </row>
        <row r="9976">
          <cell r="B9976" t="str">
            <v>INF754K01VS0</v>
          </cell>
          <cell r="C9976" t="str">
            <v>INF754K01VT8</v>
          </cell>
          <cell r="D9976" t="str">
            <v>Edelweiss Multi Asset Omni Fund of Fund- Regular Plan - IDCW</v>
          </cell>
          <cell r="E9976">
            <v>11.322699999999999</v>
          </cell>
        </row>
        <row r="9977">
          <cell r="B9977" t="str">
            <v>INF754K01VZ5</v>
          </cell>
          <cell r="C9977" t="str">
            <v>-</v>
          </cell>
          <cell r="D9977" t="str">
            <v>Edelweiss Silver ETF Fund of Fund - Direct Plan Growth Option</v>
          </cell>
          <cell r="E9977">
            <v>9.7043999999999997</v>
          </cell>
        </row>
        <row r="9978">
          <cell r="B9978" t="str">
            <v>INF754K01WD0</v>
          </cell>
          <cell r="C9978" t="str">
            <v>-</v>
          </cell>
          <cell r="D9978" t="str">
            <v>Edelweiss Silver ETF Fund of Fund - Regular Plan Growth Option</v>
          </cell>
          <cell r="E9978">
            <v>9.6796000000000006</v>
          </cell>
        </row>
        <row r="9979">
          <cell r="B9979" t="str">
            <v/>
          </cell>
          <cell r="C9979" t="str">
            <v/>
          </cell>
          <cell r="D9979" t="str">
            <v/>
          </cell>
        </row>
        <row r="9980">
          <cell r="B9980" t="str">
            <v/>
          </cell>
          <cell r="C9980" t="str">
            <v/>
          </cell>
          <cell r="D9980" t="str">
            <v/>
          </cell>
        </row>
        <row r="9981">
          <cell r="B9981" t="str">
            <v/>
          </cell>
          <cell r="C9981" t="str">
            <v/>
          </cell>
          <cell r="D9981" t="str">
            <v/>
          </cell>
        </row>
        <row r="9982">
          <cell r="B9982" t="str">
            <v>INF090I01HV6</v>
          </cell>
          <cell r="C9982" t="str">
            <v>-</v>
          </cell>
          <cell r="D9982" t="str">
            <v>Franklin India Dynamic Asset Allocation Active Fund Of Funds - Direct - Growth</v>
          </cell>
          <cell r="E9982">
            <v>189.27869999999999</v>
          </cell>
        </row>
        <row r="9983">
          <cell r="B9983" t="str">
            <v>INF090I01HT0</v>
          </cell>
          <cell r="C9983" t="str">
            <v>INF090I01HU8</v>
          </cell>
          <cell r="D9983" t="str">
            <v>Franklin India Dynamic Asset Allocation Active Fund of funds - Direct - IDCW</v>
          </cell>
          <cell r="E9983">
            <v>48.615000000000002</v>
          </cell>
        </row>
        <row r="9984">
          <cell r="B9984" t="str">
            <v>INF090I01247</v>
          </cell>
          <cell r="C9984" t="str">
            <v>INF090I01254</v>
          </cell>
          <cell r="D9984" t="str">
            <v>Franklin India Dynamic Asset Allocation Active Fund of funds - IDCW</v>
          </cell>
          <cell r="E9984">
            <v>40.865499999999997</v>
          </cell>
        </row>
        <row r="9985">
          <cell r="B9985" t="str">
            <v>INF090I01262</v>
          </cell>
          <cell r="C9985" t="str">
            <v>-</v>
          </cell>
          <cell r="D9985" t="str">
            <v>Franklin India Dynamic Asset Allocation Active Fund of Funds-Growth</v>
          </cell>
          <cell r="E9985">
            <v>165.93469999999999</v>
          </cell>
        </row>
        <row r="9986">
          <cell r="B9986" t="str">
            <v>INF090I01LI5</v>
          </cell>
          <cell r="C9986" t="str">
            <v>INF090I01LJ3</v>
          </cell>
          <cell r="D9986" t="str">
            <v>Franklin India Income Plus Arbitrage Active Fund of Funds - Direct - IDCW</v>
          </cell>
          <cell r="E9986">
            <v>23.112300000000001</v>
          </cell>
        </row>
        <row r="9987">
          <cell r="B9987" t="str">
            <v>INF090I01LE4</v>
          </cell>
          <cell r="C9987" t="str">
            <v>-</v>
          </cell>
          <cell r="D9987" t="str">
            <v>Franklin India Income Plus Arbitrage Active Fund of Funds- Growth Plan</v>
          </cell>
          <cell r="E9987">
            <v>22.284199999999998</v>
          </cell>
        </row>
        <row r="9988">
          <cell r="B9988" t="str">
            <v>INF090I01LH7</v>
          </cell>
          <cell r="C9988" t="str">
            <v>-</v>
          </cell>
          <cell r="D9988" t="str">
            <v>Franklin India Income Plus Arbitrage Active Fund of Funds- Growth Plan - Direct</v>
          </cell>
          <cell r="E9988">
            <v>25.215900000000001</v>
          </cell>
        </row>
        <row r="9989">
          <cell r="B9989" t="str">
            <v>INF090I01LF1</v>
          </cell>
          <cell r="C9989" t="str">
            <v>INF090I01LG9</v>
          </cell>
          <cell r="D9989" t="str">
            <v>Franklin India Income Plus Arbitrage Active Fund of Funds- IDCW</v>
          </cell>
          <cell r="E9989">
            <v>20.581499999999998</v>
          </cell>
        </row>
        <row r="9990">
          <cell r="B9990" t="str">
            <v/>
          </cell>
          <cell r="C9990" t="str">
            <v/>
          </cell>
          <cell r="D9990" t="str">
            <v/>
          </cell>
        </row>
        <row r="9991">
          <cell r="B9991" t="str">
            <v/>
          </cell>
          <cell r="C9991" t="str">
            <v/>
          </cell>
          <cell r="D9991" t="str">
            <v/>
          </cell>
        </row>
        <row r="9992">
          <cell r="B9992" t="str">
            <v/>
          </cell>
          <cell r="C9992" t="str">
            <v/>
          </cell>
          <cell r="D9992" t="str">
            <v/>
          </cell>
        </row>
        <row r="9993">
          <cell r="B9993" t="str">
            <v>INF666M01NX9</v>
          </cell>
          <cell r="C9993" t="str">
            <v>-</v>
          </cell>
          <cell r="D9993" t="str">
            <v>Groww BSE Hospitals ETF FOF Direct Growth</v>
          </cell>
          <cell r="E9993">
            <v>11.1838</v>
          </cell>
        </row>
        <row r="9994">
          <cell r="B9994" t="str">
            <v>INF666M01NY7</v>
          </cell>
          <cell r="C9994" t="str">
            <v>INF666M01NZ4</v>
          </cell>
          <cell r="D9994" t="str">
            <v>Groww BSE Hospitals ETF FOF Direct IDCW</v>
          </cell>
          <cell r="E9994">
            <v>11.1839</v>
          </cell>
        </row>
        <row r="9995">
          <cell r="B9995" t="str">
            <v>INF666M01OA5</v>
          </cell>
          <cell r="C9995" t="str">
            <v>-</v>
          </cell>
          <cell r="D9995" t="str">
            <v>Groww BSE Hospitals ETF FOF Regular Growth</v>
          </cell>
          <cell r="E9995">
            <v>11.1671</v>
          </cell>
        </row>
        <row r="9996">
          <cell r="B9996" t="str">
            <v>INF666M01OB3</v>
          </cell>
          <cell r="C9996" t="str">
            <v>INF666M01OC1</v>
          </cell>
          <cell r="D9996" t="str">
            <v>Groww BSE Hospitals ETF FOF Regular IDCW</v>
          </cell>
          <cell r="E9996">
            <v>11.1671</v>
          </cell>
        </row>
        <row r="9997">
          <cell r="B9997" t="str">
            <v>INF666M01LN4</v>
          </cell>
          <cell r="C9997" t="str">
            <v>-</v>
          </cell>
          <cell r="D9997" t="str">
            <v>Groww BSE Power ETF FOF Direct Growth</v>
          </cell>
          <cell r="E9997">
            <v>12.08</v>
          </cell>
        </row>
        <row r="9998">
          <cell r="B9998" t="str">
            <v>INF666M01LO2</v>
          </cell>
          <cell r="C9998" t="str">
            <v>INF666M01LP9</v>
          </cell>
          <cell r="D9998" t="str">
            <v>Groww BSE Power ETF FOF Direct IDCW</v>
          </cell>
          <cell r="E9998">
            <v>12.08</v>
          </cell>
        </row>
        <row r="9999">
          <cell r="B9999" t="str">
            <v>INF666M01LQ7</v>
          </cell>
          <cell r="C9999" t="str">
            <v>-</v>
          </cell>
          <cell r="D9999" t="str">
            <v>Groww BSE Power ETF FOF Regular Growth</v>
          </cell>
          <cell r="E9999">
            <v>12.028700000000001</v>
          </cell>
        </row>
        <row r="10000">
          <cell r="B10000" t="str">
            <v>INF666M01LR5</v>
          </cell>
          <cell r="C10000" t="str">
            <v>INF666M01LS3</v>
          </cell>
          <cell r="D10000" t="str">
            <v>Groww BSE Power ETF FOF Regular IDCW</v>
          </cell>
          <cell r="E10000">
            <v>12.028700000000001</v>
          </cell>
        </row>
        <row r="10001">
          <cell r="B10001" t="str">
            <v>INF666M01IX9</v>
          </cell>
          <cell r="C10001" t="str">
            <v>-</v>
          </cell>
          <cell r="D10001" t="str">
            <v>Groww Gold ETF FOF - DIRECT - GROWTH</v>
          </cell>
          <cell r="E10001">
            <v>17.688800000000001</v>
          </cell>
        </row>
        <row r="10002">
          <cell r="B10002" t="str">
            <v>INF666M01IY7</v>
          </cell>
          <cell r="C10002" t="str">
            <v>INF666M01IZ4</v>
          </cell>
          <cell r="D10002" t="str">
            <v>Groww Gold ETF FOF - DIRECT - IDCW</v>
          </cell>
          <cell r="E10002">
            <v>17.6889</v>
          </cell>
        </row>
        <row r="10003">
          <cell r="B10003" t="str">
            <v>INF666M01JA5</v>
          </cell>
          <cell r="C10003" t="str">
            <v>-</v>
          </cell>
          <cell r="D10003" t="str">
            <v>Groww Gold ETF FOF - REGULAR - GROWTH</v>
          </cell>
          <cell r="E10003">
            <v>17.595700000000001</v>
          </cell>
        </row>
        <row r="10004">
          <cell r="B10004" t="str">
            <v>INF666M01JB3</v>
          </cell>
          <cell r="C10004" t="str">
            <v>INF666M01JC1</v>
          </cell>
          <cell r="D10004" t="str">
            <v>Groww Gold ETF FOF - REGULAR - IDCW</v>
          </cell>
          <cell r="E10004">
            <v>17.5962</v>
          </cell>
        </row>
        <row r="10005">
          <cell r="B10005" t="str">
            <v>INF666M01NC3</v>
          </cell>
          <cell r="C10005" t="str">
            <v>-</v>
          </cell>
          <cell r="D10005" t="str">
            <v>Groww Multi Asset Omni FOF Direct Growth</v>
          </cell>
          <cell r="E10005">
            <v>10.321899999999999</v>
          </cell>
        </row>
        <row r="10006">
          <cell r="B10006" t="str">
            <v>INF666M01ND1</v>
          </cell>
          <cell r="C10006" t="str">
            <v>INF666M01NE9</v>
          </cell>
          <cell r="D10006" t="str">
            <v>Groww Multi Asset Omni FOF Direct IDCW</v>
          </cell>
          <cell r="E10006">
            <v>10.321899999999999</v>
          </cell>
        </row>
        <row r="10007">
          <cell r="B10007" t="str">
            <v>INF666M01NF6</v>
          </cell>
          <cell r="C10007" t="str">
            <v>-</v>
          </cell>
          <cell r="D10007" t="str">
            <v>Groww Multi Asset Omni FOF Regular Growth</v>
          </cell>
          <cell r="E10007">
            <v>10.254799999999999</v>
          </cell>
        </row>
        <row r="10008">
          <cell r="B10008" t="str">
            <v>INF666M01NG4</v>
          </cell>
          <cell r="C10008" t="str">
            <v>INF666M01NH2</v>
          </cell>
          <cell r="D10008" t="str">
            <v>Groww Multi Asset Omni FOF Regular IDCW</v>
          </cell>
          <cell r="E10008">
            <v>10.254799999999999</v>
          </cell>
        </row>
        <row r="10009">
          <cell r="B10009" t="str">
            <v>INF666M01JQ1</v>
          </cell>
          <cell r="C10009" t="str">
            <v>-</v>
          </cell>
          <cell r="D10009" t="str">
            <v>Groww Nifty 200 ETF FOF - Direct - Growth</v>
          </cell>
          <cell r="E10009">
            <v>11.6036</v>
          </cell>
        </row>
        <row r="10010">
          <cell r="B10010" t="str">
            <v>INF666M01JR9</v>
          </cell>
          <cell r="C10010" t="str">
            <v>INF666M01JS7</v>
          </cell>
          <cell r="D10010" t="str">
            <v>Groww Nifty 200 ETF FOF - Direct - IDCW</v>
          </cell>
          <cell r="E10010">
            <v>11.6035</v>
          </cell>
        </row>
        <row r="10011">
          <cell r="B10011" t="str">
            <v>INF666M01JT5</v>
          </cell>
          <cell r="C10011" t="str">
            <v>-</v>
          </cell>
          <cell r="D10011" t="str">
            <v>Groww Nifty 200 ETF FOF - Regular - Growth</v>
          </cell>
          <cell r="E10011">
            <v>11.5169</v>
          </cell>
        </row>
        <row r="10012">
          <cell r="B10012" t="str">
            <v>INF666M01JU3</v>
          </cell>
          <cell r="C10012" t="str">
            <v>INF666M01JW9</v>
          </cell>
          <cell r="D10012" t="str">
            <v>Groww Nifty 200 ETF FOF - Regular - IDCW</v>
          </cell>
          <cell r="E10012">
            <v>11.5169</v>
          </cell>
        </row>
        <row r="10013">
          <cell r="B10013" t="str">
            <v>INF666M01JX7</v>
          </cell>
          <cell r="C10013" t="str">
            <v>-</v>
          </cell>
          <cell r="D10013" t="str">
            <v>Groww Nifty 500 Momentum 50 ETF FOF - Direct Plan - Growth</v>
          </cell>
          <cell r="E10013">
            <v>10.614000000000001</v>
          </cell>
        </row>
        <row r="10014">
          <cell r="B10014" t="str">
            <v>INF666M01JY5</v>
          </cell>
          <cell r="C10014" t="str">
            <v>INF666M01KB1</v>
          </cell>
          <cell r="D10014" t="str">
            <v>Groww Nifty 500 Momentum 50 ETF FOF - Direct Plan - IDCW</v>
          </cell>
          <cell r="E10014">
            <v>10.6256</v>
          </cell>
        </row>
        <row r="10015">
          <cell r="B10015" t="str">
            <v>INF666M01KH8</v>
          </cell>
          <cell r="C10015" t="str">
            <v>INF666M01KI6</v>
          </cell>
          <cell r="D10015" t="str">
            <v>Groww Nifty 500 Momentum 50 ETF FOF - Regular Plan - IDCW</v>
          </cell>
          <cell r="E10015">
            <v>10.555199999999999</v>
          </cell>
        </row>
        <row r="10016">
          <cell r="B10016" t="str">
            <v>INF666M01KC9</v>
          </cell>
          <cell r="C10016" t="str">
            <v>-</v>
          </cell>
          <cell r="D10016" t="str">
            <v>Groww Nifty 500 Momentum 50 ETF FOF - Regular Plan- Growth</v>
          </cell>
          <cell r="E10016">
            <v>10.555300000000001</v>
          </cell>
        </row>
        <row r="10017">
          <cell r="B10017" t="str">
            <v>INF666M01MG6</v>
          </cell>
          <cell r="C10017" t="str">
            <v>-</v>
          </cell>
          <cell r="D10017" t="str">
            <v>Groww Nifty Capital Markets ETF FOF Direct Growth</v>
          </cell>
          <cell r="E10017">
            <v>11.450699999999999</v>
          </cell>
        </row>
        <row r="10018">
          <cell r="B10018" t="str">
            <v>INF666M01MH4</v>
          </cell>
          <cell r="C10018" t="str">
            <v>INF666M01MI2</v>
          </cell>
          <cell r="D10018" t="str">
            <v>Groww Nifty Capital Markets ETF FOF Direct IDCW</v>
          </cell>
          <cell r="E10018">
            <v>11.450699999999999</v>
          </cell>
        </row>
        <row r="10019">
          <cell r="B10019" t="str">
            <v>INF666M01MJ0</v>
          </cell>
          <cell r="C10019" t="str">
            <v>-</v>
          </cell>
          <cell r="D10019" t="str">
            <v>Groww Nifty Capital Markets ETF FOF Regular Growth</v>
          </cell>
          <cell r="E10019">
            <v>11.415699999999999</v>
          </cell>
        </row>
        <row r="10020">
          <cell r="B10020" t="str">
            <v>INF666M01MK8</v>
          </cell>
          <cell r="C10020" t="str">
            <v>INF666M01ML6</v>
          </cell>
          <cell r="D10020" t="str">
            <v>Groww Nifty Capital Markets ETF FOF Regular IDCW</v>
          </cell>
          <cell r="E10020">
            <v>11.415800000000001</v>
          </cell>
        </row>
        <row r="10021">
          <cell r="B10021" t="str">
            <v>INF666M01IM2</v>
          </cell>
          <cell r="C10021" t="str">
            <v>INF666M01IN0</v>
          </cell>
          <cell r="D10021" t="str">
            <v>Groww Nifty EV &amp; New Age Automotive ETF FOF - Direct Plan - IDCW</v>
          </cell>
          <cell r="E10021">
            <v>9.6911000000000005</v>
          </cell>
        </row>
        <row r="10022">
          <cell r="B10022" t="str">
            <v>INF666M01II0</v>
          </cell>
          <cell r="C10022" t="str">
            <v>-</v>
          </cell>
          <cell r="D10022" t="str">
            <v>Groww Nifty EV &amp; New Age Automotive ETF FOF - Regular Plan - Growth</v>
          </cell>
          <cell r="E10022">
            <v>9.6137999999999995</v>
          </cell>
        </row>
        <row r="10023">
          <cell r="B10023" t="str">
            <v>INF666M01IJ8</v>
          </cell>
          <cell r="C10023" t="str">
            <v>INF666M01IK6</v>
          </cell>
          <cell r="D10023" t="str">
            <v>Groww Nifty EV &amp; New Age Automotive ETF FOF - Regular Plan - IDCW</v>
          </cell>
          <cell r="E10023">
            <v>9.6138999999999992</v>
          </cell>
        </row>
        <row r="10024">
          <cell r="B10024" t="str">
            <v>INF666M01IL4</v>
          </cell>
          <cell r="C10024" t="str">
            <v>-</v>
          </cell>
          <cell r="D10024" t="str">
            <v>Groww Nifty EV &amp; New Age Automotive ETF FOF- Direct Plan - Growth</v>
          </cell>
          <cell r="E10024">
            <v>9.6905999999999999</v>
          </cell>
        </row>
        <row r="10025">
          <cell r="B10025" t="str">
            <v>INF666M01IR1</v>
          </cell>
          <cell r="C10025" t="str">
            <v>INF666M01IS9</v>
          </cell>
          <cell r="D10025" t="str">
            <v>Groww Nifty India Defence ETF FOF - Direct - IDCW</v>
          </cell>
          <cell r="E10025">
            <v>13.9368</v>
          </cell>
        </row>
        <row r="10026">
          <cell r="B10026" t="str">
            <v>INF666M01IQ3</v>
          </cell>
          <cell r="C10026" t="str">
            <v>-</v>
          </cell>
          <cell r="D10026" t="str">
            <v>Groww Nifty India Defence ETF FOF - Direct Growth</v>
          </cell>
          <cell r="E10026">
            <v>13.936500000000001</v>
          </cell>
        </row>
        <row r="10027">
          <cell r="B10027" t="str">
            <v>INF666M01IT7</v>
          </cell>
          <cell r="C10027" t="str">
            <v>-</v>
          </cell>
          <cell r="D10027" t="str">
            <v>Groww Nifty India Defence ETF FOF - Regular - Growth</v>
          </cell>
          <cell r="E10027">
            <v>13.838200000000001</v>
          </cell>
        </row>
        <row r="10028">
          <cell r="B10028" t="str">
            <v>INF666M01IU5</v>
          </cell>
          <cell r="C10028" t="str">
            <v>INF666M01IV3</v>
          </cell>
          <cell r="D10028" t="str">
            <v>Groww Nifty India Defence ETF FOF - Regular - IDCW</v>
          </cell>
          <cell r="E10028">
            <v>13.836600000000001</v>
          </cell>
        </row>
        <row r="10029">
          <cell r="B10029" t="str">
            <v>INF666M01LC7</v>
          </cell>
          <cell r="C10029" t="str">
            <v>-</v>
          </cell>
          <cell r="D10029" t="str">
            <v>Groww Nifty India Internet ETF FOF - Direct - Growth</v>
          </cell>
          <cell r="E10029">
            <v>9.7004000000000001</v>
          </cell>
        </row>
        <row r="10030">
          <cell r="B10030" t="str">
            <v>INF666M01LD5</v>
          </cell>
          <cell r="C10030" t="str">
            <v>INF666M01LE3</v>
          </cell>
          <cell r="D10030" t="str">
            <v>Groww Nifty India Internet ETF FOF - Direct - IDCW</v>
          </cell>
          <cell r="E10030">
            <v>9.7004000000000001</v>
          </cell>
        </row>
        <row r="10031">
          <cell r="B10031" t="str">
            <v>INF666M01LF0</v>
          </cell>
          <cell r="C10031" t="str">
            <v>-</v>
          </cell>
          <cell r="D10031" t="str">
            <v>Groww Nifty India Internet ETF FOF - Regular - Growth</v>
          </cell>
          <cell r="E10031">
            <v>9.6540999999999997</v>
          </cell>
        </row>
        <row r="10032">
          <cell r="B10032" t="str">
            <v>INF666M01LG8</v>
          </cell>
          <cell r="C10032" t="str">
            <v>INF666M01LH6</v>
          </cell>
          <cell r="D10032" t="str">
            <v>Groww Nifty India Internet ETF FOF - Regular - IDCW</v>
          </cell>
          <cell r="E10032">
            <v>9.6539999999999999</v>
          </cell>
        </row>
        <row r="10033">
          <cell r="B10033" t="str">
            <v>INF666M01NR1</v>
          </cell>
          <cell r="C10033" t="str">
            <v>-</v>
          </cell>
          <cell r="D10033" t="str">
            <v>Groww Nifty PSE ETF FOF Direct Growth</v>
          </cell>
          <cell r="E10033">
            <v>9.6562999999999999</v>
          </cell>
        </row>
        <row r="10034">
          <cell r="B10034" t="str">
            <v>INF666M01NS9</v>
          </cell>
          <cell r="C10034" t="str">
            <v>INF666M01NT7</v>
          </cell>
          <cell r="D10034" t="str">
            <v>Groww Nifty PSE ETF FOF Direct IDCW</v>
          </cell>
          <cell r="E10034">
            <v>9.6562999999999999</v>
          </cell>
        </row>
        <row r="10035">
          <cell r="B10035" t="str">
            <v>INF666M01NU5</v>
          </cell>
          <cell r="C10035" t="str">
            <v>-</v>
          </cell>
          <cell r="D10035" t="str">
            <v>Groww Nifty PSE ETF FOF Regular Growth</v>
          </cell>
          <cell r="E10035">
            <v>9.6439000000000004</v>
          </cell>
        </row>
        <row r="10036">
          <cell r="B10036" t="str">
            <v>INF666M01NV3</v>
          </cell>
          <cell r="C10036" t="str">
            <v>INF666M01NW1</v>
          </cell>
          <cell r="D10036" t="str">
            <v>Groww Nifty PSE ETF FOF Regular IDCW</v>
          </cell>
          <cell r="E10036">
            <v>9.6439000000000004</v>
          </cell>
        </row>
        <row r="10037">
          <cell r="B10037" t="str">
            <v>INF666M01KQ9</v>
          </cell>
          <cell r="C10037" t="str">
            <v>-</v>
          </cell>
          <cell r="D10037" t="str">
            <v>Groww Silver ETF FOF - Direct - Growth</v>
          </cell>
          <cell r="E10037">
            <v>21.663900000000002</v>
          </cell>
        </row>
        <row r="10038">
          <cell r="B10038" t="str">
            <v>INF666M01KR7</v>
          </cell>
          <cell r="C10038" t="str">
            <v>INF666M01KS5</v>
          </cell>
          <cell r="D10038" t="str">
            <v>Groww Silver ETF FOF - Direct - IDCW</v>
          </cell>
          <cell r="E10038">
            <v>21.668399999999998</v>
          </cell>
        </row>
        <row r="10039">
          <cell r="B10039" t="str">
            <v>INF666M01KX5</v>
          </cell>
          <cell r="C10039" t="str">
            <v>-</v>
          </cell>
          <cell r="D10039" t="str">
            <v>Groww Silver ETF FOF - Regular - Growth</v>
          </cell>
          <cell r="E10039">
            <v>21.561299999999999</v>
          </cell>
        </row>
        <row r="10040">
          <cell r="B10040" t="str">
            <v>INF666M01KY3</v>
          </cell>
          <cell r="C10040" t="str">
            <v>INF666M01KZ0</v>
          </cell>
          <cell r="D10040" t="str">
            <v>Groww Silver ETF FOF - Regular - IDCW</v>
          </cell>
          <cell r="E10040">
            <v>21.561199999999999</v>
          </cell>
        </row>
        <row r="10041">
          <cell r="B10041" t="str">
            <v/>
          </cell>
          <cell r="C10041" t="str">
            <v/>
          </cell>
          <cell r="D10041" t="str">
            <v/>
          </cell>
        </row>
        <row r="10042">
          <cell r="B10042" t="str">
            <v/>
          </cell>
          <cell r="C10042" t="str">
            <v/>
          </cell>
          <cell r="D10042" t="str">
            <v/>
          </cell>
        </row>
        <row r="10043">
          <cell r="B10043" t="str">
            <v/>
          </cell>
          <cell r="C10043" t="str">
            <v/>
          </cell>
          <cell r="D10043" t="str">
            <v/>
          </cell>
        </row>
        <row r="10044">
          <cell r="B10044" t="str">
            <v>INF179KC1JU4</v>
          </cell>
          <cell r="C10044" t="str">
            <v>-</v>
          </cell>
          <cell r="D10044" t="str">
            <v>HDFC Diversified Equity All Cap Active FOF - Direct Plan - Growth Plan</v>
          </cell>
          <cell r="E10044">
            <v>10.107799999999999</v>
          </cell>
        </row>
        <row r="10045">
          <cell r="B10045" t="str">
            <v>INF179KC1JV2</v>
          </cell>
          <cell r="C10045" t="str">
            <v>INF179KC1JW0</v>
          </cell>
          <cell r="D10045" t="str">
            <v>HDFC Diversified Equity All Cap Active FOF - IDCW - Direct Plan</v>
          </cell>
          <cell r="E10045">
            <v>10.107799999999999</v>
          </cell>
        </row>
        <row r="10046">
          <cell r="B10046" t="str">
            <v>INF179KC1JS8</v>
          </cell>
          <cell r="C10046" t="str">
            <v>INF179KC1JT6</v>
          </cell>
          <cell r="D10046" t="str">
            <v>HDFC Diversified Equity All Cap Active FOF - IDCW - Regular Plan</v>
          </cell>
          <cell r="E10046">
            <v>10.0246</v>
          </cell>
        </row>
        <row r="10047">
          <cell r="B10047" t="str">
            <v>INF179KC1JR0</v>
          </cell>
          <cell r="C10047" t="str">
            <v>-</v>
          </cell>
          <cell r="D10047" t="str">
            <v>HDFC Diversified Equity All Cap Active FOF - Regular Plan - Growth Plan</v>
          </cell>
          <cell r="E10047">
            <v>10.0246</v>
          </cell>
        </row>
        <row r="10048">
          <cell r="B10048" t="str">
            <v>INF179K01VX0</v>
          </cell>
          <cell r="C10048" t="str">
            <v>-</v>
          </cell>
          <cell r="D10048" t="str">
            <v>HDFC Gold ETF Fund of Fund - Direct Plan</v>
          </cell>
          <cell r="E10048">
            <v>44.911999999999999</v>
          </cell>
        </row>
        <row r="10049">
          <cell r="B10049" t="str">
            <v>INF179K01LC5</v>
          </cell>
          <cell r="C10049" t="str">
            <v>-</v>
          </cell>
          <cell r="D10049" t="str">
            <v>HDFC Gold ETF Fund of Fund - Growth Option</v>
          </cell>
          <cell r="E10049">
            <v>42.762900000000002</v>
          </cell>
        </row>
        <row r="10050">
          <cell r="B10050" t="str">
            <v>INF179KA1SF8</v>
          </cell>
          <cell r="C10050" t="str">
            <v>-</v>
          </cell>
          <cell r="D10050" t="str">
            <v>HDFC Income Plus Arbitrage Active FOF - Growth Option</v>
          </cell>
          <cell r="E10050">
            <v>41.147399999999998</v>
          </cell>
        </row>
        <row r="10051">
          <cell r="B10051" t="str">
            <v>INF179KA1SC5</v>
          </cell>
          <cell r="C10051" t="str">
            <v>-</v>
          </cell>
          <cell r="D10051" t="str">
            <v>HDFC Income Plus Arbitrage Active FOF - Growth Option - Direct Plan</v>
          </cell>
          <cell r="E10051">
            <v>45.511400000000002</v>
          </cell>
        </row>
        <row r="10052">
          <cell r="B10052" t="str">
            <v>INF179KA1SG6</v>
          </cell>
          <cell r="C10052" t="str">
            <v>-</v>
          </cell>
          <cell r="D10052" t="str">
            <v>HDFC Income Plus Arbitrage Active FOF - IDCW Option</v>
          </cell>
          <cell r="E10052">
            <v>36.056699999999999</v>
          </cell>
        </row>
        <row r="10053">
          <cell r="B10053" t="str">
            <v>INF179KA1SD3</v>
          </cell>
          <cell r="C10053" t="str">
            <v>-</v>
          </cell>
          <cell r="D10053" t="str">
            <v>HDFC Income Plus Arbitrage Active FOF - IDCW Option - Direct Plan</v>
          </cell>
          <cell r="E10053">
            <v>39.977400000000003</v>
          </cell>
        </row>
        <row r="10054">
          <cell r="B10054" t="str">
            <v>INF179KC1KE6</v>
          </cell>
          <cell r="C10054" t="str">
            <v>-</v>
          </cell>
          <cell r="D10054" t="str">
            <v>HDFC INCOME PLUS ARBITRAGE OMNI FOF - GROWTH OPTION - DIRECT PLAN</v>
          </cell>
          <cell r="E10054">
            <v>10.295199999999999</v>
          </cell>
        </row>
        <row r="10055">
          <cell r="B10055" t="str">
            <v>INF179KC1KB2</v>
          </cell>
          <cell r="C10055" t="str">
            <v>-</v>
          </cell>
          <cell r="D10055" t="str">
            <v>HDFC INCOME PLUS ARBITRAGE OMNI FOF - GROWTH OPTION -REGULAR PLAN</v>
          </cell>
          <cell r="E10055">
            <v>10.283899999999999</v>
          </cell>
        </row>
        <row r="10056">
          <cell r="B10056" t="str">
            <v>INF179KC1KF3</v>
          </cell>
          <cell r="C10056" t="str">
            <v>INF179KC1KG1</v>
          </cell>
          <cell r="D10056" t="str">
            <v>HDFC INCOME PLUS ARBITRAGE OMNI FOF - IDCW OPTION - DIRECT PLAN</v>
          </cell>
          <cell r="E10056">
            <v>10.295199999999999</v>
          </cell>
        </row>
        <row r="10057">
          <cell r="B10057" t="str">
            <v>INF179KC1KC0</v>
          </cell>
          <cell r="C10057" t="str">
            <v>INF179KC1KD8</v>
          </cell>
          <cell r="D10057" t="str">
            <v>HDFC INCOME PLUS ARBITRAGE OMNI FOF - IDCW OPTION - REGULAR PLAN</v>
          </cell>
          <cell r="E10057">
            <v>10.283899999999999</v>
          </cell>
        </row>
        <row r="10058">
          <cell r="B10058" t="str">
            <v>INF179KC1BD7</v>
          </cell>
          <cell r="C10058" t="str">
            <v>-</v>
          </cell>
          <cell r="D10058" t="str">
            <v>HDFC Multi-Asset Active FOF - Growth Option</v>
          </cell>
          <cell r="E10058">
            <v>19.387</v>
          </cell>
        </row>
        <row r="10059">
          <cell r="B10059" t="str">
            <v>INF179KC1BA3</v>
          </cell>
          <cell r="C10059" t="str">
            <v>-</v>
          </cell>
          <cell r="D10059" t="str">
            <v>HDFC Multi-Asset Active FOF - Growth Option -Direct Plan</v>
          </cell>
          <cell r="E10059">
            <v>20.58</v>
          </cell>
        </row>
        <row r="10060">
          <cell r="B10060" t="str">
            <v>INF179KC1BE5</v>
          </cell>
          <cell r="C10060" t="str">
            <v>-</v>
          </cell>
          <cell r="D10060" t="str">
            <v>HDFC Multi-Asset Active FOF - IDCW Option</v>
          </cell>
          <cell r="E10060">
            <v>19.387</v>
          </cell>
        </row>
        <row r="10061">
          <cell r="B10061" t="str">
            <v>INF179KC1BB1</v>
          </cell>
          <cell r="C10061" t="str">
            <v>-</v>
          </cell>
          <cell r="D10061" t="str">
            <v>HDFC Multi-Asset Active FOF - IDCW Option - Direct Plan</v>
          </cell>
          <cell r="E10061">
            <v>20.58</v>
          </cell>
        </row>
        <row r="10062">
          <cell r="B10062" t="str">
            <v>INF179KC1DV5</v>
          </cell>
          <cell r="C10062" t="str">
            <v>-</v>
          </cell>
          <cell r="D10062" t="str">
            <v>HDFC Silver ETF Fund of Fund - Growth Option</v>
          </cell>
          <cell r="E10062">
            <v>36.322200000000002</v>
          </cell>
        </row>
        <row r="10063">
          <cell r="B10063" t="str">
            <v>INF179KC1DU7</v>
          </cell>
          <cell r="C10063" t="str">
            <v>-</v>
          </cell>
          <cell r="D10063" t="str">
            <v>HDFC Silver ETF Fund of Fund - Growth Option - Direct Plan</v>
          </cell>
          <cell r="E10063">
            <v>36.8307</v>
          </cell>
        </row>
        <row r="10064">
          <cell r="B10064" t="str">
            <v/>
          </cell>
          <cell r="C10064" t="str">
            <v/>
          </cell>
          <cell r="D10064" t="str">
            <v/>
          </cell>
        </row>
        <row r="10065">
          <cell r="B10065" t="str">
            <v/>
          </cell>
          <cell r="C10065" t="str">
            <v/>
          </cell>
          <cell r="D10065" t="str">
            <v/>
          </cell>
        </row>
        <row r="10066">
          <cell r="B10066" t="str">
            <v/>
          </cell>
          <cell r="C10066" t="str">
            <v/>
          </cell>
          <cell r="D10066" t="str">
            <v/>
          </cell>
        </row>
        <row r="10067">
          <cell r="B10067" t="str">
            <v>INF336L01HY1</v>
          </cell>
          <cell r="C10067" t="str">
            <v>INF336L01HZ8</v>
          </cell>
          <cell r="D10067" t="str">
            <v>HSBC Aggressive Hybrid Active FOF - Dividend</v>
          </cell>
          <cell r="E10067">
            <v>29.6875</v>
          </cell>
        </row>
        <row r="10068">
          <cell r="B10068" t="str">
            <v>INF336L01IB7</v>
          </cell>
          <cell r="C10068" t="str">
            <v>INF336L01IC5</v>
          </cell>
          <cell r="D10068" t="str">
            <v>HSBC Aggressive Hybrid Active FOF - Dividend Direct</v>
          </cell>
          <cell r="E10068">
            <v>32.099699999999999</v>
          </cell>
        </row>
        <row r="10069">
          <cell r="B10069" t="str">
            <v>INF336L01IA9</v>
          </cell>
          <cell r="C10069" t="str">
            <v>-</v>
          </cell>
          <cell r="D10069" t="str">
            <v>HSBC Aggressive Hybrid Active FOF - Growth</v>
          </cell>
          <cell r="E10069">
            <v>42.074399999999997</v>
          </cell>
        </row>
        <row r="10070">
          <cell r="B10070" t="str">
            <v>INF336L01ID3</v>
          </cell>
          <cell r="C10070" t="str">
            <v>-</v>
          </cell>
          <cell r="D10070" t="str">
            <v>HSBC Aggressive Hybrid Active FOF - Growth Direct</v>
          </cell>
          <cell r="E10070">
            <v>44.7941</v>
          </cell>
        </row>
        <row r="10071">
          <cell r="B10071" t="str">
            <v>INF336L01SB6</v>
          </cell>
          <cell r="C10071" t="str">
            <v>-</v>
          </cell>
          <cell r="D10071" t="str">
            <v>HSBC Gold ETF Fund of fund - Direct Growth</v>
          </cell>
          <cell r="E10071">
            <v>9.9229000000000003</v>
          </cell>
        </row>
        <row r="10072">
          <cell r="B10072" t="str">
            <v>INF336L01SD2</v>
          </cell>
          <cell r="C10072" t="str">
            <v>INF336L01SC4</v>
          </cell>
          <cell r="D10072" t="str">
            <v>HSBC Gold ETF Fund of fund - Direct IDCW</v>
          </cell>
          <cell r="E10072">
            <v>9.9229000000000003</v>
          </cell>
        </row>
        <row r="10073">
          <cell r="B10073" t="str">
            <v>INF336L01RY0</v>
          </cell>
          <cell r="C10073" t="str">
            <v>-</v>
          </cell>
          <cell r="D10073" t="str">
            <v>HSBC Gold ETF Fund of fund - Regular Growth</v>
          </cell>
          <cell r="E10073">
            <v>9.9106000000000005</v>
          </cell>
        </row>
        <row r="10074">
          <cell r="B10074" t="str">
            <v>INF336L01SA8</v>
          </cell>
          <cell r="C10074" t="str">
            <v>INF336L01RZ7</v>
          </cell>
          <cell r="D10074" t="str">
            <v>HSBC Gold ETF Fund of fund - Regular IDCW</v>
          </cell>
          <cell r="E10074">
            <v>9.9106000000000005</v>
          </cell>
        </row>
        <row r="10075">
          <cell r="B10075" t="str">
            <v>INF336L01IM4</v>
          </cell>
          <cell r="C10075" t="str">
            <v>-</v>
          </cell>
          <cell r="D10075" t="str">
            <v>HSBC Income Plus Arbitrage Active FOF - Growth</v>
          </cell>
          <cell r="E10075">
            <v>22.5959</v>
          </cell>
        </row>
        <row r="10076">
          <cell r="B10076" t="str">
            <v>INF336L01IP7</v>
          </cell>
          <cell r="C10076" t="str">
            <v>-</v>
          </cell>
          <cell r="D10076" t="str">
            <v>HSBC Income Plus Arbitrage Active FOF - Growth Direct</v>
          </cell>
          <cell r="E10076">
            <v>24.037299999999998</v>
          </cell>
        </row>
        <row r="10077">
          <cell r="B10077" t="str">
            <v>INF336L01IN2</v>
          </cell>
          <cell r="C10077" t="str">
            <v>INF336L01IO0</v>
          </cell>
          <cell r="D10077" t="str">
            <v>HSBC Income Plus Arbitrage Active FOF Direct Plan IDCW</v>
          </cell>
          <cell r="E10077">
            <v>19.226600000000001</v>
          </cell>
        </row>
        <row r="10078">
          <cell r="B10078" t="str">
            <v>INF336L01IK8</v>
          </cell>
          <cell r="C10078" t="str">
            <v>INF336L01IL6</v>
          </cell>
          <cell r="D10078" t="str">
            <v>HSBC Income Plus Arbitrage Active FOF IDCW</v>
          </cell>
          <cell r="E10078">
            <v>16.285</v>
          </cell>
        </row>
        <row r="10079">
          <cell r="B10079" t="str">
            <v>INF336L01IG6</v>
          </cell>
          <cell r="C10079" t="str">
            <v>-</v>
          </cell>
          <cell r="D10079" t="str">
            <v>HSBC Multi Asset Active FOF - Growth</v>
          </cell>
          <cell r="E10079">
            <v>41.008099999999999</v>
          </cell>
        </row>
        <row r="10080">
          <cell r="B10080" t="str">
            <v>INF336L01IJ0</v>
          </cell>
          <cell r="C10080" t="str">
            <v>-</v>
          </cell>
          <cell r="D10080" t="str">
            <v>HSBC Multi Asset Active FOF - Growth Direct</v>
          </cell>
          <cell r="E10080">
            <v>43.747700000000002</v>
          </cell>
        </row>
        <row r="10081">
          <cell r="B10081" t="str">
            <v>INF336L01IH4</v>
          </cell>
          <cell r="C10081" t="str">
            <v>INF336L01II2</v>
          </cell>
          <cell r="D10081" t="str">
            <v>HSBC Multi Asset Active FOF Direct Plan IDCW</v>
          </cell>
          <cell r="E10081">
            <v>21.013300000000001</v>
          </cell>
        </row>
        <row r="10082">
          <cell r="B10082" t="str">
            <v>INF336L01IE1</v>
          </cell>
          <cell r="C10082" t="str">
            <v>INF336L01IF8</v>
          </cell>
          <cell r="D10082" t="str">
            <v>HSBC Multi Asset Active FOF IDCW</v>
          </cell>
          <cell r="E10082">
            <v>29.9251</v>
          </cell>
        </row>
        <row r="10083">
          <cell r="B10083" t="str">
            <v/>
          </cell>
          <cell r="C10083" t="str">
            <v/>
          </cell>
          <cell r="D10083" t="str">
            <v/>
          </cell>
        </row>
        <row r="10084">
          <cell r="B10084" t="str">
            <v/>
          </cell>
          <cell r="C10084" t="str">
            <v/>
          </cell>
          <cell r="D10084" t="str">
            <v/>
          </cell>
        </row>
        <row r="10085">
          <cell r="B10085" t="str">
            <v/>
          </cell>
          <cell r="C10085" t="str">
            <v/>
          </cell>
          <cell r="D10085" t="str">
            <v/>
          </cell>
        </row>
        <row r="10086">
          <cell r="B10086" t="str">
            <v>INF109K01X40</v>
          </cell>
          <cell r="C10086" t="str">
            <v>-</v>
          </cell>
          <cell r="D10086" t="str">
            <v>ICICI Prudential Aggressive Hybrid Active FOF - Direct Plan - Growth</v>
          </cell>
          <cell r="E10086">
            <v>241.7784</v>
          </cell>
        </row>
        <row r="10087">
          <cell r="B10087" t="str">
            <v>INF109K01852</v>
          </cell>
          <cell r="C10087" t="str">
            <v>-</v>
          </cell>
          <cell r="D10087" t="str">
            <v>ICICI Prudential Aggressive Hybrid Active FOF - Growth</v>
          </cell>
          <cell r="E10087">
            <v>223.81880000000001</v>
          </cell>
        </row>
        <row r="10088">
          <cell r="B10088" t="str">
            <v>INF109K01FR2</v>
          </cell>
          <cell r="C10088" t="str">
            <v>INF109K01860</v>
          </cell>
          <cell r="D10088" t="str">
            <v>ICICI Prudential Aggressive Hybrid Active FOF - IDCW</v>
          </cell>
          <cell r="E10088">
            <v>173.5016</v>
          </cell>
        </row>
        <row r="10089">
          <cell r="B10089" t="str">
            <v>INF109KC1FW3</v>
          </cell>
          <cell r="C10089" t="str">
            <v>-</v>
          </cell>
          <cell r="D10089" t="str">
            <v>ICICI Prudential BHARAT 22 FOF - Cumulative Option</v>
          </cell>
          <cell r="E10089">
            <v>33.813499999999998</v>
          </cell>
        </row>
        <row r="10090">
          <cell r="B10090" t="str">
            <v>INF109KC1FX1</v>
          </cell>
          <cell r="C10090" t="str">
            <v>-</v>
          </cell>
          <cell r="D10090" t="str">
            <v>ICICI Prudential BHARAT 22 FOF - Direct Plan Cumulative Option</v>
          </cell>
          <cell r="E10090">
            <v>33.825400000000002</v>
          </cell>
        </row>
        <row r="10091">
          <cell r="B10091" t="str">
            <v>INF109KC1V91</v>
          </cell>
          <cell r="C10091" t="str">
            <v>-</v>
          </cell>
          <cell r="D10091" t="str">
            <v>ICICI Prudential BSE 500 ETF FOF - Direct Plan - Growth</v>
          </cell>
          <cell r="E10091">
            <v>15.9034</v>
          </cell>
        </row>
        <row r="10092">
          <cell r="B10092" t="str">
            <v>INF109KC1W09</v>
          </cell>
          <cell r="C10092" t="str">
            <v>INF109KC1W17</v>
          </cell>
          <cell r="D10092" t="str">
            <v>ICICI Prudential BSE 500 ETF FOF - Direct Plan - IDCW</v>
          </cell>
          <cell r="E10092">
            <v>15.9031</v>
          </cell>
        </row>
        <row r="10093">
          <cell r="B10093" t="str">
            <v>INF109KC1V67</v>
          </cell>
          <cell r="C10093" t="str">
            <v>-</v>
          </cell>
          <cell r="D10093" t="str">
            <v>ICICI Prudential BSE 500 ETF FOF - Growth</v>
          </cell>
          <cell r="E10093">
            <v>15.5593</v>
          </cell>
        </row>
        <row r="10094">
          <cell r="B10094" t="str">
            <v>INF109KC1V75</v>
          </cell>
          <cell r="C10094" t="str">
            <v>INF109KC1V83</v>
          </cell>
          <cell r="D10094" t="str">
            <v>ICICI Prudential BSE 500 ETF FOF - IDCW</v>
          </cell>
          <cell r="E10094">
            <v>15.559200000000001</v>
          </cell>
        </row>
        <row r="10095">
          <cell r="B10095" t="str">
            <v>INF109K01X73</v>
          </cell>
          <cell r="C10095" t="str">
            <v>-</v>
          </cell>
          <cell r="D10095" t="str">
            <v>ICICI Prudential Diversified Debt Strategy Active FOF  - Direct Plan - Growth</v>
          </cell>
          <cell r="E10095">
            <v>49.682299999999998</v>
          </cell>
        </row>
        <row r="10096">
          <cell r="B10096" t="str">
            <v>INF109K01X57</v>
          </cell>
          <cell r="C10096" t="str">
            <v>INF109K01X65</v>
          </cell>
          <cell r="D10096" t="str">
            <v>ICICI Prudential Diversified Debt Strategy Active FOF - Direct Plan -  IDCW</v>
          </cell>
          <cell r="E10096">
            <v>43.74</v>
          </cell>
        </row>
        <row r="10097">
          <cell r="B10097" t="str">
            <v>INF109K01878</v>
          </cell>
          <cell r="C10097" t="str">
            <v>-</v>
          </cell>
          <cell r="D10097" t="str">
            <v>ICICI Prudential Diversified Debt Strategy Active FOF - Growth</v>
          </cell>
          <cell r="E10097">
            <v>47.659599999999998</v>
          </cell>
        </row>
        <row r="10098">
          <cell r="B10098" t="str">
            <v>INF109K01FS0</v>
          </cell>
          <cell r="C10098" t="str">
            <v>INF109K01886</v>
          </cell>
          <cell r="D10098" t="str">
            <v>ICICI Prudential Diversified Debt Strategy Active FOF - IDCW</v>
          </cell>
          <cell r="E10098">
            <v>41.5715</v>
          </cell>
        </row>
        <row r="10099">
          <cell r="B10099" t="str">
            <v>INF109K1A468</v>
          </cell>
          <cell r="C10099" t="str">
            <v>-</v>
          </cell>
          <cell r="D10099" t="str">
            <v>ICICI Prudential Diversified Equity All Cap Active FOF - Direct Plan - Growth</v>
          </cell>
          <cell r="E10099">
            <v>10.7958</v>
          </cell>
        </row>
        <row r="10100">
          <cell r="B10100" t="str">
            <v>INF109K1A450</v>
          </cell>
          <cell r="C10100" t="str">
            <v>-</v>
          </cell>
          <cell r="D10100" t="str">
            <v>ICICI Prudential Diversified Equity All Cap Active FOF - Growth</v>
          </cell>
          <cell r="E10100">
            <v>10.757300000000001</v>
          </cell>
        </row>
        <row r="10101">
          <cell r="B10101" t="str">
            <v>INF109KC1I49</v>
          </cell>
          <cell r="C10101" t="str">
            <v>-</v>
          </cell>
          <cell r="D10101" t="str">
            <v>ICICI Prudential Diversified Equity All Cap Omni FOF - Direct Plan - Growth</v>
          </cell>
          <cell r="E10101">
            <v>32.817599999999999</v>
          </cell>
        </row>
        <row r="10102">
          <cell r="B10102" t="str">
            <v>INF109KC1I64</v>
          </cell>
          <cell r="C10102" t="str">
            <v>INF109KC1I56</v>
          </cell>
          <cell r="D10102" t="str">
            <v>ICICI Prudential Diversified Equity All Cap Omni FOF - Direct Plan - IDCW</v>
          </cell>
          <cell r="E10102">
            <v>25.558299999999999</v>
          </cell>
        </row>
        <row r="10103">
          <cell r="B10103" t="str">
            <v>INF109KC1I15</v>
          </cell>
          <cell r="C10103" t="str">
            <v>-</v>
          </cell>
          <cell r="D10103" t="str">
            <v>ICICI Prudential Diversified Equity All Cap Omni FOF - Growth</v>
          </cell>
          <cell r="E10103">
            <v>31.3445</v>
          </cell>
        </row>
        <row r="10104">
          <cell r="B10104" t="str">
            <v>INF109KC1I31</v>
          </cell>
          <cell r="C10104" t="str">
            <v>INF109KC1I23</v>
          </cell>
          <cell r="D10104" t="str">
            <v>ICICI Prudential Diversified Equity All Cap Omni FOF - IDCW</v>
          </cell>
          <cell r="E10104">
            <v>24.2347</v>
          </cell>
        </row>
        <row r="10105">
          <cell r="B10105" t="str">
            <v>INF109K01X16</v>
          </cell>
          <cell r="C10105" t="str">
            <v>-</v>
          </cell>
          <cell r="D10105" t="str">
            <v>ICICI Prudential Dynamic Asset Allocation Active FOF - Direct Plan - Growth</v>
          </cell>
          <cell r="E10105">
            <v>138.4855</v>
          </cell>
        </row>
        <row r="10106">
          <cell r="B10106" t="str">
            <v>INF109K01W90</v>
          </cell>
          <cell r="C10106" t="str">
            <v>INF109K01X08</v>
          </cell>
          <cell r="D10106" t="str">
            <v>ICICI Prudential Dynamic Asset Allocation Active FOF - Direct Plan - IDCW</v>
          </cell>
          <cell r="E10106">
            <v>108.59990000000001</v>
          </cell>
        </row>
        <row r="10107">
          <cell r="B10107" t="str">
            <v>INF109K01837</v>
          </cell>
          <cell r="C10107" t="str">
            <v>-</v>
          </cell>
          <cell r="D10107" t="str">
            <v>ICICI Prudential Dynamic Asset Allocation Active FOF - Growth</v>
          </cell>
          <cell r="E10107">
            <v>124.0427</v>
          </cell>
        </row>
        <row r="10108">
          <cell r="B10108" t="str">
            <v>INF109K01FJ9</v>
          </cell>
          <cell r="C10108" t="str">
            <v>INF109K01845</v>
          </cell>
          <cell r="D10108" t="str">
            <v>ICICI Prudential Dynamic Asset Allocation Active FOF - IDCW</v>
          </cell>
          <cell r="E10108">
            <v>95.325999999999993</v>
          </cell>
        </row>
        <row r="10109">
          <cell r="B10109" t="str">
            <v>INF109KC1F34</v>
          </cell>
          <cell r="C10109" t="str">
            <v>-</v>
          </cell>
          <cell r="D10109" t="str">
            <v>ICICI Prudential Global Advantage Fund (FOF) - Direct Plan - Growth Option</v>
          </cell>
          <cell r="E10109">
            <v>22.729800000000001</v>
          </cell>
        </row>
        <row r="10110">
          <cell r="B10110" t="str">
            <v>INF109KC1F42</v>
          </cell>
          <cell r="C10110" t="str">
            <v>-</v>
          </cell>
          <cell r="D10110" t="str">
            <v>ICICI Prudential Global Advantage Fund (FOF) - Direct Plan - IDCW</v>
          </cell>
          <cell r="E10110">
            <v>22.729700000000001</v>
          </cell>
        </row>
        <row r="10111">
          <cell r="B10111" t="str">
            <v>INF109KC1F00</v>
          </cell>
          <cell r="C10111" t="str">
            <v>-</v>
          </cell>
          <cell r="D10111" t="str">
            <v>ICICI Prudential Global Advantage Fund (FOF) - Growth Option</v>
          </cell>
          <cell r="E10111">
            <v>21.7027</v>
          </cell>
        </row>
        <row r="10112">
          <cell r="B10112" t="str">
            <v>INF109KC1F18</v>
          </cell>
          <cell r="C10112" t="str">
            <v>-</v>
          </cell>
          <cell r="D10112" t="str">
            <v>ICICI Prudential Global Advantage Fund (FOF) - IDCW</v>
          </cell>
          <cell r="E10112">
            <v>21.702000000000002</v>
          </cell>
        </row>
        <row r="10113">
          <cell r="B10113" t="str">
            <v>INF109K01U92</v>
          </cell>
          <cell r="C10113" t="str">
            <v>-</v>
          </cell>
          <cell r="D10113" t="str">
            <v>ICICI Prudential Gold ETF FOF - Direct Plan - Growth</v>
          </cell>
          <cell r="E10113">
            <v>46.124600000000001</v>
          </cell>
        </row>
        <row r="10114">
          <cell r="B10114" t="str">
            <v>INF109K01U76</v>
          </cell>
          <cell r="C10114" t="str">
            <v>INF109K01U84</v>
          </cell>
          <cell r="D10114" t="str">
            <v>ICICI Prudential Gold ETF FOF - Direct Plan - IDCW</v>
          </cell>
          <cell r="E10114">
            <v>46.128900000000002</v>
          </cell>
        </row>
        <row r="10115">
          <cell r="B10115" t="str">
            <v>INF109K01TK8</v>
          </cell>
          <cell r="C10115" t="str">
            <v>-</v>
          </cell>
          <cell r="D10115" t="str">
            <v>ICICI Prudential Gold ETF FOF - Growth</v>
          </cell>
          <cell r="E10115">
            <v>44.411700000000003</v>
          </cell>
        </row>
        <row r="10116">
          <cell r="B10116" t="str">
            <v>INF109K01TM4</v>
          </cell>
          <cell r="C10116" t="str">
            <v>INF109K01TL6</v>
          </cell>
          <cell r="D10116" t="str">
            <v>ICICI Prudential Gold ETF FOF - IDCW</v>
          </cell>
          <cell r="E10116">
            <v>44.412599999999998</v>
          </cell>
        </row>
        <row r="10117">
          <cell r="B10117" t="str">
            <v>INF109K01W82</v>
          </cell>
          <cell r="C10117" t="str">
            <v>-</v>
          </cell>
          <cell r="D10117" t="str">
            <v>ICICI Prudential Income plus Arbitrage Omni FOF - Direct Plan - Growth</v>
          </cell>
          <cell r="E10117">
            <v>71.620999999999995</v>
          </cell>
        </row>
        <row r="10118">
          <cell r="B10118" t="str">
            <v>INF109K01W66</v>
          </cell>
          <cell r="C10118" t="str">
            <v>INF109K01W74</v>
          </cell>
          <cell r="D10118" t="str">
            <v>ICICI Prudential Income plus Arbitrage Omni FOF - Direct Plan - IDCW</v>
          </cell>
          <cell r="E10118">
            <v>55.383600000000001</v>
          </cell>
        </row>
        <row r="10119">
          <cell r="B10119" t="str">
            <v>INF109K01811</v>
          </cell>
          <cell r="C10119" t="str">
            <v>-</v>
          </cell>
          <cell r="D10119" t="str">
            <v>ICICI Prudential Income Plus Arbitrage Omni FOF - Growth</v>
          </cell>
          <cell r="E10119">
            <v>66.559100000000001</v>
          </cell>
        </row>
        <row r="10120">
          <cell r="B10120" t="str">
            <v>INF109K01EB9</v>
          </cell>
          <cell r="C10120" t="str">
            <v>INF109K01829</v>
          </cell>
          <cell r="D10120" t="str">
            <v>ICICI Prudential Income plus Arbitrage Omni FOF - IDCW</v>
          </cell>
          <cell r="E10120">
            <v>51.073399999999999</v>
          </cell>
        </row>
        <row r="10121">
          <cell r="B10121" t="str">
            <v>INF109K01W33</v>
          </cell>
          <cell r="C10121" t="str">
            <v>INF109K01W41</v>
          </cell>
          <cell r="D10121" t="str">
            <v>ICICI Prudential Multi Sector Passive FOF - Direct Plan -  IDCW</v>
          </cell>
          <cell r="E10121">
            <v>139.27379999999999</v>
          </cell>
        </row>
        <row r="10122">
          <cell r="B10122" t="str">
            <v>INF109K01W58</v>
          </cell>
          <cell r="C10122" t="str">
            <v>-</v>
          </cell>
          <cell r="D10122" t="str">
            <v>ICICI Prudential Multi Sector Passive FOF - Direct Plan - Growth</v>
          </cell>
          <cell r="E10122">
            <v>176.8672</v>
          </cell>
        </row>
        <row r="10123">
          <cell r="B10123" t="str">
            <v>INF109K01795</v>
          </cell>
          <cell r="C10123" t="str">
            <v>-</v>
          </cell>
          <cell r="D10123" t="str">
            <v>ICICI Prudential Multi Sector Passive FOF - Growth</v>
          </cell>
          <cell r="E10123">
            <v>168.68960000000001</v>
          </cell>
        </row>
        <row r="10124">
          <cell r="B10124" t="str">
            <v>INF109K01DW7</v>
          </cell>
          <cell r="C10124" t="str">
            <v>INF109K01803</v>
          </cell>
          <cell r="D10124" t="str">
            <v>ICICI Prudential Multi Sector Passive FOF - IDCW</v>
          </cell>
          <cell r="E10124">
            <v>131.43039999999999</v>
          </cell>
        </row>
        <row r="10125">
          <cell r="B10125" t="str">
            <v>INF109K1A559</v>
          </cell>
          <cell r="C10125" t="str">
            <v>-</v>
          </cell>
          <cell r="D10125" t="str">
            <v>ICICI Prudential Multi-Asset Active FOF - Direct Plan - Growth</v>
          </cell>
          <cell r="E10125">
            <v>10.009499999999999</v>
          </cell>
        </row>
        <row r="10126">
          <cell r="B10126" t="str">
            <v>INF109K1A542</v>
          </cell>
          <cell r="C10126" t="str">
            <v>-</v>
          </cell>
          <cell r="D10126" t="str">
            <v>ICICI Prudential Multi-Asset Active FOF - Growth</v>
          </cell>
          <cell r="E10126">
            <v>10.0091</v>
          </cell>
        </row>
        <row r="10127">
          <cell r="B10127" t="str">
            <v>INF109KC1P81</v>
          </cell>
          <cell r="C10127" t="str">
            <v>-</v>
          </cell>
          <cell r="D10127" t="str">
            <v>ICICI Prudential Nifty 100 Low Volatility 30 ETF FOF - Direct Plan - Growth</v>
          </cell>
          <cell r="E10127">
            <v>18.492000000000001</v>
          </cell>
        </row>
        <row r="10128">
          <cell r="B10128" t="str">
            <v>INF109KC1Q07</v>
          </cell>
          <cell r="C10128" t="str">
            <v>INF109KC1P99</v>
          </cell>
          <cell r="D10128" t="str">
            <v>ICICI Prudential Nifty 100 Low Volatility 30 ETF FOF - Direct Plan - IDCW</v>
          </cell>
          <cell r="E10128">
            <v>18.492100000000001</v>
          </cell>
        </row>
        <row r="10129">
          <cell r="B10129" t="str">
            <v>INF109KC1P57</v>
          </cell>
          <cell r="C10129" t="str">
            <v>-</v>
          </cell>
          <cell r="D10129" t="str">
            <v>ICICI Prudential Nifty 100 Low Volatility 30 ETF FOF - Growth</v>
          </cell>
          <cell r="E10129">
            <v>18.0672</v>
          </cell>
        </row>
        <row r="10130">
          <cell r="B10130" t="str">
            <v>INF109KC1P73</v>
          </cell>
          <cell r="C10130" t="str">
            <v>INF109KC1P65</v>
          </cell>
          <cell r="D10130" t="str">
            <v>ICICI Prudential Nifty 100 Low Volatility 30 ETF FOF - IDCW</v>
          </cell>
          <cell r="E10130">
            <v>18.067299999999999</v>
          </cell>
        </row>
        <row r="10131">
          <cell r="B10131" t="str">
            <v>INF109KC1R89</v>
          </cell>
          <cell r="C10131" t="str">
            <v>-</v>
          </cell>
          <cell r="D10131" t="str">
            <v>ICICI Prudential Nifty Alpha Low - Volatility 30 ETF FOF - Direct Plan - Growth</v>
          </cell>
          <cell r="E10131">
            <v>15.2507</v>
          </cell>
        </row>
        <row r="10132">
          <cell r="B10132" t="str">
            <v>INF109KC1S05</v>
          </cell>
          <cell r="C10132" t="str">
            <v>INF109KC1R97</v>
          </cell>
          <cell r="D10132" t="str">
            <v>ICICI Prudential Nifty Alpha Low - Volatility 30 ETF FOF - Direct Plan - IDCW</v>
          </cell>
          <cell r="E10132">
            <v>15.250299999999999</v>
          </cell>
        </row>
        <row r="10133">
          <cell r="B10133" t="str">
            <v>INF109KC1R55</v>
          </cell>
          <cell r="C10133" t="str">
            <v>-</v>
          </cell>
          <cell r="D10133" t="str">
            <v>ICICI Prudential Nifty Alpha Low - Volatility 30 ETF FOF - Growth</v>
          </cell>
          <cell r="E10133">
            <v>14.9229</v>
          </cell>
        </row>
        <row r="10134">
          <cell r="B10134" t="str">
            <v>INF109KC1R71</v>
          </cell>
          <cell r="C10134" t="str">
            <v>INF109KC1R63</v>
          </cell>
          <cell r="D10134" t="str">
            <v>ICICI Prudential Nifty Alpha Low - Volatility 30 ETF FOF - IDCW</v>
          </cell>
          <cell r="E10134">
            <v>14.922800000000001</v>
          </cell>
        </row>
        <row r="10135">
          <cell r="B10135" t="str">
            <v>INF109K1A120</v>
          </cell>
          <cell r="C10135" t="str">
            <v>-</v>
          </cell>
          <cell r="D10135" t="str">
            <v>ICICI Prudential Nifty EV &amp; New Age Automotive ETF FOF - Direct Plan - Growth</v>
          </cell>
          <cell r="E10135">
            <v>12.0181</v>
          </cell>
        </row>
        <row r="10136">
          <cell r="B10136" t="str">
            <v>INF109K1A146</v>
          </cell>
          <cell r="C10136" t="str">
            <v>INF109K1A138</v>
          </cell>
          <cell r="D10136" t="str">
            <v>ICICI Prudential Nifty EV &amp; New Age Automotive ETF FOF - Direct Plan - IDCW</v>
          </cell>
          <cell r="E10136">
            <v>12.0181</v>
          </cell>
        </row>
        <row r="10137">
          <cell r="B10137" t="str">
            <v>INF109K1A096</v>
          </cell>
          <cell r="C10137" t="str">
            <v>-</v>
          </cell>
          <cell r="D10137" t="str">
            <v>ICICI Prudential Nifty EV &amp; New Age Automotive ETF FOF - Growth</v>
          </cell>
          <cell r="E10137">
            <v>11.964600000000001</v>
          </cell>
        </row>
        <row r="10138">
          <cell r="B10138" t="str">
            <v>INF109K1A112</v>
          </cell>
          <cell r="C10138" t="str">
            <v>INF109K1A104</v>
          </cell>
          <cell r="D10138" t="str">
            <v>ICICI Prudential Nifty EV &amp; New Age Automotive ETF FOF - IDCW</v>
          </cell>
          <cell r="E10138">
            <v>11.964499999999999</v>
          </cell>
        </row>
        <row r="10139">
          <cell r="B10139" t="str">
            <v>INF109KC1Y15</v>
          </cell>
          <cell r="C10139" t="str">
            <v>-</v>
          </cell>
          <cell r="D10139" t="str">
            <v>ICICI Prudential Passive Multi-Asset Fund of Funds - Direct Plan - Growth</v>
          </cell>
          <cell r="E10139">
            <v>16.989899999999999</v>
          </cell>
        </row>
        <row r="10140">
          <cell r="B10140" t="str">
            <v>INF109KC1Y23</v>
          </cell>
          <cell r="C10140" t="str">
            <v>INF109KC1Y31</v>
          </cell>
          <cell r="D10140" t="str">
            <v>ICICI Prudential Passive Multi-Asset Fund of Funds - Direct Plan - IDCW</v>
          </cell>
          <cell r="E10140">
            <v>17.001000000000001</v>
          </cell>
        </row>
        <row r="10141">
          <cell r="B10141" t="str">
            <v>INF109KC1X81</v>
          </cell>
          <cell r="C10141" t="str">
            <v>-</v>
          </cell>
          <cell r="D10141" t="str">
            <v>ICICI Prudential Passive Multi-Asset Fund of Funds - Growth</v>
          </cell>
          <cell r="E10141">
            <v>16.6617</v>
          </cell>
        </row>
        <row r="10142">
          <cell r="B10142" t="str">
            <v>INF109KC1X99</v>
          </cell>
          <cell r="C10142" t="str">
            <v>INF109KC1Y07</v>
          </cell>
          <cell r="D10142" t="str">
            <v>ICICI Prudential Passive Multi-Asset Fund of Funds - IDCW</v>
          </cell>
          <cell r="E10142">
            <v>16.661799999999999</v>
          </cell>
        </row>
        <row r="10143">
          <cell r="B10143" t="str">
            <v>INF109KC1Y98</v>
          </cell>
          <cell r="C10143" t="str">
            <v>-</v>
          </cell>
          <cell r="D10143" t="str">
            <v>ICICI Prudential Silver ETF FOF - Direct Plan - Growth</v>
          </cell>
          <cell r="E10143">
            <v>34.121299999999998</v>
          </cell>
        </row>
        <row r="10144">
          <cell r="B10144" t="str">
            <v>INF109KC1Z06</v>
          </cell>
          <cell r="C10144" t="str">
            <v>INF109KC1Z14</v>
          </cell>
          <cell r="D10144" t="str">
            <v>ICICI Prudential Silver ETF FOF - Direct Plan - IDCW</v>
          </cell>
          <cell r="E10144">
            <v>34.121699999999997</v>
          </cell>
        </row>
        <row r="10145">
          <cell r="B10145" t="str">
            <v>INF109KC1Y64</v>
          </cell>
          <cell r="C10145" t="str">
            <v>-</v>
          </cell>
          <cell r="D10145" t="str">
            <v>ICICI Prudential Silver ETF FOF - Growth</v>
          </cell>
          <cell r="E10145">
            <v>33.378599999999999</v>
          </cell>
        </row>
        <row r="10146">
          <cell r="B10146" t="str">
            <v>INF109KC1Y72</v>
          </cell>
          <cell r="C10146" t="str">
            <v>INF109KC1Y80</v>
          </cell>
          <cell r="D10146" t="str">
            <v>ICICI Prudential Silver ETF FOF - IDCW</v>
          </cell>
          <cell r="E10146">
            <v>33.378</v>
          </cell>
        </row>
        <row r="10147">
          <cell r="B10147" t="str">
            <v/>
          </cell>
          <cell r="C10147" t="str">
            <v/>
          </cell>
          <cell r="D10147" t="str">
            <v/>
          </cell>
        </row>
        <row r="10148">
          <cell r="B10148" t="str">
            <v/>
          </cell>
          <cell r="C10148" t="str">
            <v/>
          </cell>
          <cell r="D10148" t="str">
            <v/>
          </cell>
        </row>
        <row r="10149">
          <cell r="B10149" t="str">
            <v/>
          </cell>
          <cell r="C10149" t="str">
            <v/>
          </cell>
          <cell r="D10149" t="str">
            <v/>
          </cell>
        </row>
        <row r="10150">
          <cell r="B10150" t="str">
            <v>INF205K01NJ9</v>
          </cell>
          <cell r="C10150" t="str">
            <v>-</v>
          </cell>
          <cell r="D10150" t="str">
            <v>Invesco India Gold ETF Fund of Fund - Direct Plan - Growth</v>
          </cell>
          <cell r="E10150">
            <v>41.953800000000001</v>
          </cell>
        </row>
        <row r="10151">
          <cell r="B10151" t="str">
            <v>INF205K01NH3</v>
          </cell>
          <cell r="C10151" t="str">
            <v>INF205K01NI1</v>
          </cell>
          <cell r="D10151" t="str">
            <v>Invesco India Gold ETF Fund of Fund - Direct Plan - IDCW (Payout / Reinvestment)</v>
          </cell>
          <cell r="E10151">
            <v>41.889600000000002</v>
          </cell>
        </row>
        <row r="10152">
          <cell r="B10152" t="str">
            <v>INF205K01FA4</v>
          </cell>
          <cell r="C10152" t="str">
            <v>-</v>
          </cell>
          <cell r="D10152" t="str">
            <v>Invesco India Gold ETF Fund of Fund - Regular Plan - Growth</v>
          </cell>
          <cell r="E10152">
            <v>40.276800000000001</v>
          </cell>
        </row>
        <row r="10153">
          <cell r="B10153" t="str">
            <v>INF205K01FB2</v>
          </cell>
          <cell r="C10153" t="str">
            <v>INF205K01FC0</v>
          </cell>
          <cell r="D10153" t="str">
            <v>Invesco India Gold ETF Fund of Fund - Regular Plan - IDCW (Payout / Reinvestment)</v>
          </cell>
          <cell r="E10153">
            <v>40.281300000000002</v>
          </cell>
        </row>
        <row r="10154">
          <cell r="B10154" t="str">
            <v>INF205KA1BA3</v>
          </cell>
          <cell r="C10154" t="str">
            <v>-</v>
          </cell>
          <cell r="D10154" t="str">
            <v>Invesco India Income Plus Arbitrage Active Fund of Fund - Direct Plan - Growth</v>
          </cell>
          <cell r="E10154">
            <v>1057.8417999999999</v>
          </cell>
        </row>
        <row r="10155">
          <cell r="B10155" t="str">
            <v>INF205KA1BB1</v>
          </cell>
          <cell r="C10155" t="str">
            <v>INF205KA1BC9</v>
          </cell>
          <cell r="D10155" t="str">
            <v>Invesco India Income Plus Arbitrage Active Fund of Fund - Direct Plan - IDCW (Payout / Reinvestment)</v>
          </cell>
          <cell r="E10155">
            <v>1057.8408999999999</v>
          </cell>
        </row>
        <row r="10156">
          <cell r="B10156" t="str">
            <v>INF205KA1AX7</v>
          </cell>
          <cell r="C10156" t="str">
            <v>-</v>
          </cell>
          <cell r="D10156" t="str">
            <v>Invesco India Income Plus Arbitrage Active Fund of Fund - Regular Plan - Growth Plan</v>
          </cell>
          <cell r="E10156">
            <v>1053.8144</v>
          </cell>
        </row>
        <row r="10157">
          <cell r="B10157" t="str">
            <v>INF205KA1AY5</v>
          </cell>
          <cell r="C10157" t="str">
            <v>INF205KA1AZ2</v>
          </cell>
          <cell r="D10157" t="str">
            <v>Invesco India Income Plus Arbitrage Active Fund of Fund - Regular Plan - IDCW (Payout / Reinvestment)</v>
          </cell>
          <cell r="E10157">
            <v>1053.8137999999999</v>
          </cell>
        </row>
        <row r="10158">
          <cell r="B10158" t="str">
            <v/>
          </cell>
          <cell r="C10158" t="str">
            <v/>
          </cell>
          <cell r="D10158" t="str">
            <v/>
          </cell>
        </row>
        <row r="10159">
          <cell r="B10159" t="str">
            <v/>
          </cell>
          <cell r="C10159" t="str">
            <v/>
          </cell>
          <cell r="D10159" t="str">
            <v/>
          </cell>
        </row>
        <row r="10160">
          <cell r="B10160" t="str">
            <v/>
          </cell>
          <cell r="C10160" t="str">
            <v/>
          </cell>
          <cell r="D10160" t="str">
            <v/>
          </cell>
        </row>
        <row r="10161">
          <cell r="B10161" t="str">
            <v>INF174K01AT3</v>
          </cell>
          <cell r="C10161" t="str">
            <v>-</v>
          </cell>
          <cell r="D10161" t="str">
            <v>Kotak Gold Fund Growth</v>
          </cell>
          <cell r="E10161">
            <v>55.118899999999996</v>
          </cell>
        </row>
        <row r="10162">
          <cell r="B10162" t="str">
            <v>INF174K01MP6</v>
          </cell>
          <cell r="C10162" t="str">
            <v>-</v>
          </cell>
          <cell r="D10162" t="str">
            <v>Kotak Gold Fund Growth - Direct</v>
          </cell>
          <cell r="E10162">
            <v>58.264000000000003</v>
          </cell>
        </row>
        <row r="10163">
          <cell r="B10163" t="str">
            <v>INF174K01AU1</v>
          </cell>
          <cell r="C10163" t="str">
            <v>INF174K01AV9</v>
          </cell>
          <cell r="D10163" t="str">
            <v>Kotak Gold Fund Payout of Income Distribution cum capital withdrawal option</v>
          </cell>
          <cell r="E10163">
            <v>55.117899999999999</v>
          </cell>
        </row>
        <row r="10164">
          <cell r="B10164" t="str">
            <v>INF174K01MQ4</v>
          </cell>
          <cell r="C10164" t="str">
            <v>INF174K01MR2</v>
          </cell>
          <cell r="D10164" t="str">
            <v>Kotak Gold Fund Payout of Income Distribution cum capital withdrawal option- Direct</v>
          </cell>
          <cell r="E10164">
            <v>58.263500000000001</v>
          </cell>
        </row>
        <row r="10165">
          <cell r="B10165" t="str">
            <v>INF174KA1XT4</v>
          </cell>
          <cell r="C10165" t="str">
            <v>-</v>
          </cell>
          <cell r="D10165" t="str">
            <v>Kotak Gold Silver Passive FOF - Direct Plan - Growth</v>
          </cell>
          <cell r="E10165">
            <v>14.651999999999999</v>
          </cell>
        </row>
        <row r="10166">
          <cell r="B10166" t="str">
            <v>INF174KA1XU2</v>
          </cell>
          <cell r="C10166" t="str">
            <v>-</v>
          </cell>
          <cell r="D10166" t="str">
            <v>Kotak Gold Silver Passive FOF - Regular Plan - Growth</v>
          </cell>
          <cell r="E10166">
            <v>14.62</v>
          </cell>
        </row>
        <row r="10167">
          <cell r="B10167" t="str">
            <v>INF174KA1KG8</v>
          </cell>
          <cell r="C10167" t="str">
            <v>-</v>
          </cell>
          <cell r="D10167" t="str">
            <v>Kotak Income Plus Arbitrage Omni  FOF-Regular Plan-Growth</v>
          </cell>
          <cell r="E10167">
            <v>13.0915</v>
          </cell>
        </row>
        <row r="10168">
          <cell r="B10168" t="str">
            <v>INF174KA1KJ2</v>
          </cell>
          <cell r="C10168" t="str">
            <v>-</v>
          </cell>
          <cell r="D10168" t="str">
            <v>Kotak Income Plus Arbitrage Omni FOF-Direct Plan-Growth</v>
          </cell>
          <cell r="E10168">
            <v>13.164400000000001</v>
          </cell>
        </row>
        <row r="10169">
          <cell r="B10169" t="str">
            <v>INF174KA1KK0</v>
          </cell>
          <cell r="C10169" t="str">
            <v>INF174KA1KL8</v>
          </cell>
          <cell r="D10169" t="str">
            <v>Kotak Income Plus Arbitrage Omni FOF-Direct Plan-IDCW</v>
          </cell>
          <cell r="E10169">
            <v>13.1646</v>
          </cell>
        </row>
        <row r="10170">
          <cell r="B10170" t="str">
            <v>INF174KA1KH6</v>
          </cell>
          <cell r="C10170" t="str">
            <v>INF174KA1KI4</v>
          </cell>
          <cell r="D10170" t="str">
            <v>Kotak Income Plus Arbitrage Omni FOF-Regular Plan-IDCW</v>
          </cell>
          <cell r="E10170">
            <v>13.0913</v>
          </cell>
        </row>
        <row r="10171">
          <cell r="B10171" t="str">
            <v>INF174K01LN3</v>
          </cell>
          <cell r="C10171" t="str">
            <v>-</v>
          </cell>
          <cell r="D10171" t="str">
            <v>Kotak Multi Asset Omni FOF - Direct Growth - Direct</v>
          </cell>
          <cell r="E10171">
            <v>275.65699999999998</v>
          </cell>
        </row>
        <row r="10172">
          <cell r="B10172" t="str">
            <v>INF174K01LO1</v>
          </cell>
          <cell r="C10172" t="str">
            <v>INF174K01LP8</v>
          </cell>
          <cell r="D10172" t="str">
            <v>Kotak Multi Asset Omni FOF - Direct Payout of Income Distribution cum capital withdrawal option</v>
          </cell>
          <cell r="E10172">
            <v>270.697</v>
          </cell>
        </row>
        <row r="10173">
          <cell r="B10173" t="str">
            <v>INF174K01468</v>
          </cell>
          <cell r="C10173" t="str">
            <v>-</v>
          </cell>
          <cell r="D10173" t="str">
            <v>Kotak Multi Asset Omni FOF - Growth- Regular</v>
          </cell>
          <cell r="E10173">
            <v>254.33199999999999</v>
          </cell>
        </row>
        <row r="10174">
          <cell r="B10174" t="str">
            <v>INF174K01484</v>
          </cell>
          <cell r="C10174" t="str">
            <v>INF174K01476</v>
          </cell>
          <cell r="D10174" t="str">
            <v>Kotak Multi Asset Omni FOF - Payout of Income Distribution cum capital withdrawal option</v>
          </cell>
          <cell r="E10174">
            <v>247.56700000000001</v>
          </cell>
        </row>
        <row r="10175">
          <cell r="B10175" t="str">
            <v>INF174KA1ZG6</v>
          </cell>
          <cell r="C10175" t="str">
            <v>-</v>
          </cell>
          <cell r="D10175" t="str">
            <v>Kotak Multi Factor Passive FOF - Direct- Growth</v>
          </cell>
          <cell r="E10175">
            <v>11.069000000000001</v>
          </cell>
        </row>
        <row r="10176">
          <cell r="B10176" t="str">
            <v>INF174KA1ZH4</v>
          </cell>
          <cell r="C10176" t="str">
            <v>-</v>
          </cell>
          <cell r="D10176" t="str">
            <v>Kotak Multi Factor Passive FOF - Regular- Growth</v>
          </cell>
          <cell r="E10176">
            <v>11.061</v>
          </cell>
        </row>
        <row r="10177">
          <cell r="B10177" t="str">
            <v>INF174KA1MQ3</v>
          </cell>
          <cell r="C10177" t="str">
            <v>-</v>
          </cell>
          <cell r="D10177" t="str">
            <v>Kotak Silver ETF Fund of Fund - Direct Plan - Growth Option</v>
          </cell>
          <cell r="E10177">
            <v>29.810300000000002</v>
          </cell>
        </row>
        <row r="10178">
          <cell r="B10178" t="str">
            <v>INF174KA1MR1</v>
          </cell>
          <cell r="C10178" t="str">
            <v>-</v>
          </cell>
          <cell r="D10178" t="str">
            <v>Kotak Silver ETF Fund of Fund - Regular Plan - Growth Option</v>
          </cell>
          <cell r="E10178">
            <v>29.3706</v>
          </cell>
        </row>
        <row r="10179">
          <cell r="B10179" t="str">
            <v/>
          </cell>
          <cell r="C10179" t="str">
            <v/>
          </cell>
          <cell r="D10179" t="str">
            <v/>
          </cell>
        </row>
        <row r="10180">
          <cell r="B10180" t="str">
            <v/>
          </cell>
          <cell r="C10180" t="str">
            <v/>
          </cell>
          <cell r="D10180" t="str">
            <v/>
          </cell>
        </row>
        <row r="10181">
          <cell r="B10181" t="str">
            <v/>
          </cell>
          <cell r="C10181" t="str">
            <v/>
          </cell>
          <cell r="D10181" t="str">
            <v/>
          </cell>
        </row>
        <row r="10182">
          <cell r="B10182" t="str">
            <v>INF397L01BU4</v>
          </cell>
          <cell r="C10182" t="str">
            <v>-</v>
          </cell>
          <cell r="D10182" t="str">
            <v>LIC MF Gold ETF Fund of Fund-Direct Plan-Growth</v>
          </cell>
          <cell r="E10182">
            <v>39.311500000000002</v>
          </cell>
        </row>
        <row r="10183">
          <cell r="B10183" t="str">
            <v>INF397L01992</v>
          </cell>
          <cell r="C10183" t="str">
            <v>-</v>
          </cell>
          <cell r="D10183" t="str">
            <v>LIC MF Gold ETF Fund of Fund-Regular Plan-Growth</v>
          </cell>
          <cell r="E10183">
            <v>37.171399999999998</v>
          </cell>
        </row>
        <row r="10184">
          <cell r="B10184" t="str">
            <v/>
          </cell>
          <cell r="C10184" t="str">
            <v/>
          </cell>
          <cell r="D10184" t="str">
            <v/>
          </cell>
        </row>
        <row r="10185">
          <cell r="B10185" t="str">
            <v/>
          </cell>
          <cell r="C10185" t="str">
            <v/>
          </cell>
          <cell r="D10185" t="str">
            <v/>
          </cell>
        </row>
        <row r="10186">
          <cell r="B10186" t="str">
            <v/>
          </cell>
          <cell r="C10186" t="str">
            <v/>
          </cell>
          <cell r="D10186" t="str">
            <v/>
          </cell>
        </row>
        <row r="10187">
          <cell r="B10187" t="str">
            <v>INF174V01CU4</v>
          </cell>
          <cell r="C10187" t="str">
            <v>-</v>
          </cell>
          <cell r="D10187" t="str">
            <v>Mahindra Manulife Income Plus Arbitrage Active FOF  - Direct - Growth</v>
          </cell>
          <cell r="E10187">
            <v>10.4016</v>
          </cell>
        </row>
        <row r="10188">
          <cell r="B10188" t="str">
            <v>INF174V01CV2</v>
          </cell>
          <cell r="C10188" t="str">
            <v>INF174V01CW0</v>
          </cell>
          <cell r="D10188" t="str">
            <v>Mahindra Manulife Income Plus Arbitrage Active FOF - Direct - IDCW</v>
          </cell>
          <cell r="E10188">
            <v>10.4016</v>
          </cell>
        </row>
        <row r="10189">
          <cell r="B10189" t="str">
            <v>INF174V01CR0</v>
          </cell>
          <cell r="C10189" t="str">
            <v>-</v>
          </cell>
          <cell r="D10189" t="str">
            <v>Mahindra Manulife Income Plus Arbitrage Active FOF - Regular - Growth</v>
          </cell>
          <cell r="E10189">
            <v>10.3675</v>
          </cell>
        </row>
        <row r="10190">
          <cell r="B10190" t="str">
            <v>INF174V01CS8</v>
          </cell>
          <cell r="C10190" t="str">
            <v>INF174V01CT6</v>
          </cell>
          <cell r="D10190" t="str">
            <v>Mahindra Manulife Income Plus Arbitrage Active FOF - Regular - IDCW</v>
          </cell>
          <cell r="E10190">
            <v>10.3675</v>
          </cell>
        </row>
        <row r="10191">
          <cell r="B10191" t="str">
            <v/>
          </cell>
          <cell r="C10191" t="str">
            <v/>
          </cell>
          <cell r="D10191" t="str">
            <v/>
          </cell>
        </row>
        <row r="10192">
          <cell r="B10192" t="str">
            <v/>
          </cell>
          <cell r="C10192" t="str">
            <v/>
          </cell>
          <cell r="D10192" t="str">
            <v/>
          </cell>
        </row>
        <row r="10193">
          <cell r="B10193" t="str">
            <v/>
          </cell>
          <cell r="C10193" t="str">
            <v/>
          </cell>
          <cell r="D10193" t="str">
            <v/>
          </cell>
        </row>
        <row r="10194">
          <cell r="B10194" t="str">
            <v>INF769K01OE3</v>
          </cell>
          <cell r="C10194" t="str">
            <v>-</v>
          </cell>
          <cell r="D10194" t="str">
            <v>Mirae Asset BSE 200 Equal Weight ETF Fund of Fund - Direct Plan - Growth</v>
          </cell>
          <cell r="E10194">
            <v>11.768000000000001</v>
          </cell>
        </row>
        <row r="10195">
          <cell r="B10195" t="str">
            <v>INF769K01OG8</v>
          </cell>
          <cell r="C10195" t="str">
            <v>INF769K01OF0</v>
          </cell>
          <cell r="D10195" t="str">
            <v>Mirae Asset BSE 200 Equal Weight ETF Fund of Fund - Direct Plan - IDCW</v>
          </cell>
          <cell r="E10195">
            <v>11.765000000000001</v>
          </cell>
        </row>
        <row r="10196">
          <cell r="B10196" t="str">
            <v>INF769K01OB9</v>
          </cell>
          <cell r="C10196" t="str">
            <v>-</v>
          </cell>
          <cell r="D10196" t="str">
            <v>Mirae Asset BSE 200 Equal Weight ETF Fund of Fund - Regular Plan - Growth</v>
          </cell>
          <cell r="E10196">
            <v>11.686999999999999</v>
          </cell>
        </row>
        <row r="10197">
          <cell r="B10197" t="str">
            <v>INF769K01OD5</v>
          </cell>
          <cell r="C10197" t="str">
            <v>INF769K01OC7</v>
          </cell>
          <cell r="D10197" t="str">
            <v>Mirae Asset BSE 200 Equal Weight ETF Fund of Fund - Regular Plan - IDCW</v>
          </cell>
          <cell r="E10197">
            <v>11.685</v>
          </cell>
        </row>
        <row r="10198">
          <cell r="B10198" t="str">
            <v>INF769K01QG3</v>
          </cell>
          <cell r="C10198" t="str">
            <v>-</v>
          </cell>
          <cell r="D10198" t="str">
            <v>Mirae Asset BSE India Defence ETF FOF - Direct Plan - Growth</v>
          </cell>
          <cell r="E10198">
            <v>11.635</v>
          </cell>
        </row>
        <row r="10199">
          <cell r="B10199" t="str">
            <v>INF769K01QI9</v>
          </cell>
          <cell r="C10199" t="str">
            <v>INF769K01QH1</v>
          </cell>
          <cell r="D10199" t="str">
            <v>Mirae Asset BSE India Defence ETF FOF - Direct Plan - IDCW</v>
          </cell>
          <cell r="E10199">
            <v>11.632999999999999</v>
          </cell>
        </row>
        <row r="10200">
          <cell r="B10200" t="str">
            <v>INF769K01QD0</v>
          </cell>
          <cell r="C10200" t="str">
            <v>-</v>
          </cell>
          <cell r="D10200" t="str">
            <v>Mirae Asset BSE India Defence ETF FOF - Regular Plan - Growth</v>
          </cell>
          <cell r="E10200">
            <v>11.606</v>
          </cell>
        </row>
        <row r="10201">
          <cell r="B10201" t="str">
            <v>INF769K01QF5</v>
          </cell>
          <cell r="C10201" t="str">
            <v>INF769K01QE8</v>
          </cell>
          <cell r="D10201" t="str">
            <v>Mirae Asset BSE India Defence ETF FOF - Regular Plan - IDCW</v>
          </cell>
          <cell r="E10201">
            <v>11.606999999999999</v>
          </cell>
        </row>
        <row r="10202">
          <cell r="B10202" t="str">
            <v>INF769K01OK0</v>
          </cell>
          <cell r="C10202" t="str">
            <v>-</v>
          </cell>
          <cell r="D10202" t="str">
            <v>Mirae Asset BSE Select IPO ETF Fund of Fund - Direct Plan - Growth</v>
          </cell>
          <cell r="E10202">
            <v>11.281000000000001</v>
          </cell>
        </row>
        <row r="10203">
          <cell r="B10203" t="str">
            <v>INF769K01OM6</v>
          </cell>
          <cell r="C10203" t="str">
            <v>INF769K01OL8</v>
          </cell>
          <cell r="D10203" t="str">
            <v>Mirae Asset BSE Select IPO ETF Fund of Fund - Direct Plan - IDCW</v>
          </cell>
          <cell r="E10203">
            <v>11.279</v>
          </cell>
        </row>
        <row r="10204">
          <cell r="B10204" t="str">
            <v>INF769K01OH6</v>
          </cell>
          <cell r="C10204" t="str">
            <v>-</v>
          </cell>
          <cell r="D10204" t="str">
            <v>Mirae Asset BSE Select IPO ETF Fund of Fund - Regular Plan - Growth</v>
          </cell>
          <cell r="E10204">
            <v>11.218999999999999</v>
          </cell>
        </row>
        <row r="10205">
          <cell r="B10205" t="str">
            <v>INF769K01OJ2</v>
          </cell>
          <cell r="C10205" t="str">
            <v>INF769K01OI4</v>
          </cell>
          <cell r="D10205" t="str">
            <v>Mirae Asset BSE Select IPO ETF Fund of Fund - Regular Plan - IDCW</v>
          </cell>
          <cell r="E10205">
            <v>11.201000000000001</v>
          </cell>
        </row>
        <row r="10206">
          <cell r="B10206" t="str">
            <v>INF769K01GE9</v>
          </cell>
          <cell r="C10206" t="str">
            <v>-</v>
          </cell>
          <cell r="D10206" t="str">
            <v>Mirae Asset Diversified Equity Allocator Passive FOF - Direct Plan - Growth</v>
          </cell>
          <cell r="E10206">
            <v>25.137</v>
          </cell>
        </row>
        <row r="10207">
          <cell r="B10207" t="str">
            <v>INF769K01GD1</v>
          </cell>
          <cell r="C10207" t="str">
            <v>INF769K01GF6</v>
          </cell>
          <cell r="D10207" t="str">
            <v>Mirae Asset Diversified Equity Allocator Passive FOF - Direct Plan - IDCW</v>
          </cell>
          <cell r="E10207">
            <v>25.155999999999999</v>
          </cell>
        </row>
        <row r="10208">
          <cell r="B10208" t="str">
            <v>INF769K01GB5</v>
          </cell>
          <cell r="C10208" t="str">
            <v>-</v>
          </cell>
          <cell r="D10208" t="str">
            <v>Mirae Asset Diversified Equity Allocator Passive FOF - Regular Plan - Growth</v>
          </cell>
          <cell r="E10208">
            <v>25.027999999999999</v>
          </cell>
        </row>
        <row r="10209">
          <cell r="B10209" t="str">
            <v>INF769K01GA7</v>
          </cell>
          <cell r="C10209" t="str">
            <v>INF769K01GC3</v>
          </cell>
          <cell r="D10209" t="str">
            <v>Mirae Asset Diversified Equity Allocator Passive FOF - Regular Plan - IDCW</v>
          </cell>
          <cell r="E10209">
            <v>25.030999999999999</v>
          </cell>
        </row>
        <row r="10210">
          <cell r="B10210" t="str">
            <v>INF769K01MV1</v>
          </cell>
          <cell r="C10210" t="str">
            <v>-</v>
          </cell>
          <cell r="D10210" t="str">
            <v>Mirae Asset Gold ETF Fund of Fund - Direct Plan - Growth</v>
          </cell>
          <cell r="E10210">
            <v>18.161999999999999</v>
          </cell>
        </row>
        <row r="10211">
          <cell r="B10211" t="str">
            <v>INF769K01MW9</v>
          </cell>
          <cell r="C10211" t="str">
            <v>INF769K01MX7</v>
          </cell>
          <cell r="D10211" t="str">
            <v>Mirae Asset Gold ETF Fund of Fund - Direct Plan - IDCW</v>
          </cell>
          <cell r="E10211">
            <v>18.161000000000001</v>
          </cell>
        </row>
        <row r="10212">
          <cell r="B10212" t="str">
            <v>INF769K01MS7</v>
          </cell>
          <cell r="C10212" t="str">
            <v>-</v>
          </cell>
          <cell r="D10212" t="str">
            <v>Mirae Asset Gold ETF Fund of Fund - Regular Plan - Growth</v>
          </cell>
          <cell r="E10212">
            <v>18</v>
          </cell>
        </row>
        <row r="10213">
          <cell r="B10213" t="str">
            <v>INF769K01MT5</v>
          </cell>
          <cell r="C10213" t="str">
            <v>INF769K01MU3</v>
          </cell>
          <cell r="D10213" t="str">
            <v>Mirae Asset Gold ETF Fund of Fund - Regular Plan - IDCW</v>
          </cell>
          <cell r="E10213">
            <v>17.989000000000001</v>
          </cell>
        </row>
        <row r="10214">
          <cell r="B10214" t="str">
            <v>INF769K01PM3</v>
          </cell>
          <cell r="C10214" t="str">
            <v>-</v>
          </cell>
          <cell r="D10214" t="str">
            <v>Mirae Asset Gold Silver Passive FoF - Direct Plan - Growth</v>
          </cell>
          <cell r="E10214">
            <v>16.202999999999999</v>
          </cell>
        </row>
        <row r="10215">
          <cell r="B10215" t="str">
            <v>INF769K01PO9</v>
          </cell>
          <cell r="C10215" t="str">
            <v>INF769K01PN1</v>
          </cell>
          <cell r="D10215" t="str">
            <v>Mirae Asset Gold Silver Passive FoF - Direct Plan - IDCW</v>
          </cell>
          <cell r="E10215">
            <v>16.201000000000001</v>
          </cell>
        </row>
        <row r="10216">
          <cell r="B10216" t="str">
            <v>INF769K01PP6</v>
          </cell>
          <cell r="C10216" t="str">
            <v>-</v>
          </cell>
          <cell r="D10216" t="str">
            <v>Mirae Asset Gold Silver Passive FoF - Regular Plan - Growth</v>
          </cell>
          <cell r="E10216">
            <v>16.116</v>
          </cell>
        </row>
        <row r="10217">
          <cell r="B10217" t="str">
            <v>INF769K01PL5</v>
          </cell>
          <cell r="C10217" t="str">
            <v>INF769K01PK7</v>
          </cell>
          <cell r="D10217" t="str">
            <v>Mirae Asset Gold Silver Passive FoF - Regular Plan - IDCW</v>
          </cell>
          <cell r="E10217">
            <v>16.113</v>
          </cell>
        </row>
        <row r="10218">
          <cell r="B10218" t="str">
            <v>INF769K01HT5</v>
          </cell>
          <cell r="C10218" t="str">
            <v>-</v>
          </cell>
          <cell r="D10218" t="str">
            <v>Mirae Asset Hang Seng TECH ETF Fund of Fund Regular Plan - Growth Option</v>
          </cell>
          <cell r="E10218">
            <v>11.954000000000001</v>
          </cell>
        </row>
        <row r="10219">
          <cell r="B10219" t="str">
            <v>INF769K01HU3</v>
          </cell>
          <cell r="C10219" t="str">
            <v>-</v>
          </cell>
          <cell r="D10219" t="str">
            <v>Mirae AssetHang Seng TECH ETF Fund of Fund Direct Plan - Growth Option</v>
          </cell>
          <cell r="E10219">
            <v>12.209</v>
          </cell>
        </row>
        <row r="10220">
          <cell r="B10220" t="str">
            <v>INF769K01OY1</v>
          </cell>
          <cell r="C10220" t="str">
            <v>-</v>
          </cell>
          <cell r="D10220" t="str">
            <v>Mirae Asset Income plus Arbitrage Active FOF - Direct Plan - Growth</v>
          </cell>
          <cell r="E10220">
            <v>10.608000000000001</v>
          </cell>
        </row>
        <row r="10221">
          <cell r="B10221" t="str">
            <v>INF769K01PA8</v>
          </cell>
          <cell r="C10221" t="str">
            <v>INF769K01OZ8</v>
          </cell>
          <cell r="D10221" t="str">
            <v>Mirae Asset Income plus Arbitrage Active FOF - Direct Plan - IDCW</v>
          </cell>
          <cell r="E10221">
            <v>10.606999999999999</v>
          </cell>
        </row>
        <row r="10222">
          <cell r="B10222" t="str">
            <v>INF769K01OV7</v>
          </cell>
          <cell r="C10222" t="str">
            <v>-</v>
          </cell>
          <cell r="D10222" t="str">
            <v>Mirae Asset Income plus Arbitrage Active FOF - Regular Plan - Growth</v>
          </cell>
          <cell r="E10222">
            <v>10.581</v>
          </cell>
        </row>
        <row r="10223">
          <cell r="B10223" t="str">
            <v>INF769K01OX3</v>
          </cell>
          <cell r="C10223" t="str">
            <v>INF769K01OW5</v>
          </cell>
          <cell r="D10223" t="str">
            <v>Mirae Asset Income plus Arbitrage Active FOF - Regular Plan - IDCW</v>
          </cell>
          <cell r="E10223">
            <v>10.58</v>
          </cell>
        </row>
        <row r="10224">
          <cell r="B10224" t="str">
            <v>INF769K01PH3</v>
          </cell>
          <cell r="C10224" t="str">
            <v>-</v>
          </cell>
          <cell r="D10224" t="str">
            <v>Mirae Asset Multi Factor Passive FOF - Direct Plan - Growth</v>
          </cell>
          <cell r="E10224">
            <v>10.71</v>
          </cell>
        </row>
        <row r="10225">
          <cell r="B10225" t="str">
            <v>INF769K01PJ9</v>
          </cell>
          <cell r="C10225" t="str">
            <v>INF769K01PI1</v>
          </cell>
          <cell r="D10225" t="str">
            <v>Mirae Asset Multi Factor Passive FOF - Direct Plan - IDCW</v>
          </cell>
          <cell r="E10225">
            <v>10.708</v>
          </cell>
        </row>
        <row r="10226">
          <cell r="B10226" t="str">
            <v>INF769K01PE0</v>
          </cell>
          <cell r="C10226" t="str">
            <v>-</v>
          </cell>
          <cell r="D10226" t="str">
            <v>Mirae Asset Multi Factor Passive FOF - Regular Plan - Growth</v>
          </cell>
          <cell r="E10226">
            <v>10.659000000000001</v>
          </cell>
        </row>
        <row r="10227">
          <cell r="B10227" t="str">
            <v>INF769K01PG5</v>
          </cell>
          <cell r="C10227" t="str">
            <v>INF769K01PF7</v>
          </cell>
          <cell r="D10227" t="str">
            <v>Mirae Asset Multi Factor Passive FOF - Regular Plan - IDCW</v>
          </cell>
          <cell r="E10227">
            <v>10.641999999999999</v>
          </cell>
        </row>
        <row r="10228">
          <cell r="B10228" t="str">
            <v>INF769K01GP5</v>
          </cell>
          <cell r="C10228" t="str">
            <v>INF769K01GR1</v>
          </cell>
          <cell r="D10228" t="str">
            <v>Mirae Asset Nifty 100 ESG Sector Leaders Fund  of Fund Direct IDCW</v>
          </cell>
          <cell r="E10228">
            <v>18.347000000000001</v>
          </cell>
        </row>
        <row r="10229">
          <cell r="B10229" t="str">
            <v>INF769K01GM2</v>
          </cell>
          <cell r="C10229" t="str">
            <v>INF769K01GO8</v>
          </cell>
          <cell r="D10229" t="str">
            <v>Mirae Asset Nifty 100 ESG Sector Leaders Fund  of Fund Regular IDCW</v>
          </cell>
          <cell r="E10229">
            <v>17.948</v>
          </cell>
        </row>
        <row r="10230">
          <cell r="B10230" t="str">
            <v>INF769K01GQ3</v>
          </cell>
          <cell r="C10230" t="str">
            <v>-</v>
          </cell>
          <cell r="D10230" t="str">
            <v>Mirae Asset Nifty 100 ESG Sector Leaders Fund of Fund Direct Growth</v>
          </cell>
          <cell r="E10230">
            <v>18.350999999999999</v>
          </cell>
        </row>
        <row r="10231">
          <cell r="B10231" t="str">
            <v>INF769K01GN0</v>
          </cell>
          <cell r="C10231" t="str">
            <v>-</v>
          </cell>
          <cell r="D10231" t="str">
            <v>Mirae Asset Nifty 100 ESG Sector Leaders Fund of Fund Regular Growth</v>
          </cell>
          <cell r="E10231">
            <v>17.984000000000002</v>
          </cell>
        </row>
        <row r="10232">
          <cell r="B10232" t="str">
            <v>INF769K01HZ2</v>
          </cell>
          <cell r="C10232" t="str">
            <v>-</v>
          </cell>
          <cell r="D10232" t="str">
            <v>Mirae Asset Nifty India Manufacturing ETF FOF - Direct Plan - Growth</v>
          </cell>
          <cell r="E10232">
            <v>20.385000000000002</v>
          </cell>
        </row>
        <row r="10233">
          <cell r="B10233" t="str">
            <v>INF769K01HY5</v>
          </cell>
          <cell r="C10233" t="str">
            <v>INF769K01IA3</v>
          </cell>
          <cell r="D10233" t="str">
            <v>Mirae Asset Nifty India Manufacturing ETF FOF - Direct Plan- IDCW</v>
          </cell>
          <cell r="E10233">
            <v>20.385999999999999</v>
          </cell>
        </row>
        <row r="10234">
          <cell r="B10234" t="str">
            <v>INF769K01HW9</v>
          </cell>
          <cell r="C10234" t="str">
            <v>-</v>
          </cell>
          <cell r="D10234" t="str">
            <v>Mirae Asset Nifty India Manufacturing ETF FOF - Regular Plan - Growth</v>
          </cell>
          <cell r="E10234">
            <v>20.036000000000001</v>
          </cell>
        </row>
        <row r="10235">
          <cell r="B10235" t="str">
            <v>INF769K01HV1</v>
          </cell>
          <cell r="C10235" t="str">
            <v>INF769K01HX7</v>
          </cell>
          <cell r="D10235" t="str">
            <v>Mirae Asset Nifty India Manufacturing ETF FOF - Regular Plan - IDCW</v>
          </cell>
          <cell r="E10235">
            <v>20.111000000000001</v>
          </cell>
        </row>
        <row r="10236">
          <cell r="B10236" t="str">
            <v>INF769K01NP1</v>
          </cell>
          <cell r="C10236" t="str">
            <v>-</v>
          </cell>
          <cell r="D10236" t="str">
            <v>Mirae Asset Nifty India New Age Consumption ETF Fund of Fund - Direct Plan - Growth</v>
          </cell>
          <cell r="E10236">
            <v>9.6470000000000002</v>
          </cell>
        </row>
        <row r="10237">
          <cell r="B10237" t="str">
            <v>INF769K01NR7</v>
          </cell>
          <cell r="C10237" t="str">
            <v>INF769K01NQ9</v>
          </cell>
          <cell r="D10237" t="str">
            <v>Mirae Asset Nifty India New Age Consumption ETF Fund of Fund - Direct Plan - IDCW</v>
          </cell>
          <cell r="E10237">
            <v>9.6460000000000008</v>
          </cell>
        </row>
        <row r="10238">
          <cell r="B10238" t="str">
            <v>INF769K01NM8</v>
          </cell>
          <cell r="C10238" t="str">
            <v>-</v>
          </cell>
          <cell r="D10238" t="str">
            <v>Mirae Asset Nifty India New Age Consumption ETF Fund of Fund - Regular Plan - Growth</v>
          </cell>
          <cell r="E10238">
            <v>9.5890000000000004</v>
          </cell>
        </row>
        <row r="10239">
          <cell r="B10239" t="str">
            <v>INF769K01NO4</v>
          </cell>
          <cell r="C10239" t="str">
            <v>INF769K01NN6</v>
          </cell>
          <cell r="D10239" t="str">
            <v>Mirae Asset Nifty India New Age Consumption ETF Fund of Fund - Regular Plan - IDCW</v>
          </cell>
          <cell r="E10239">
            <v>9.5890000000000004</v>
          </cell>
        </row>
        <row r="10240">
          <cell r="B10240" t="str">
            <v>INF769K01QM1</v>
          </cell>
          <cell r="C10240" t="str">
            <v>-</v>
          </cell>
          <cell r="D10240" t="str">
            <v>Mirae Asset Nifty Metal ETF FOF - Direct Plan - Growth</v>
          </cell>
          <cell r="E10240">
            <v>10.138999999999999</v>
          </cell>
        </row>
        <row r="10241">
          <cell r="B10241" t="str">
            <v>INF769K01QO7</v>
          </cell>
          <cell r="C10241" t="str">
            <v>INF769K01QN9</v>
          </cell>
          <cell r="D10241" t="str">
            <v>Mirae Asset Nifty Metal ETF FOF - Direct Plan - IDCW</v>
          </cell>
          <cell r="E10241">
            <v>10.196999999999999</v>
          </cell>
        </row>
        <row r="10242">
          <cell r="B10242" t="str">
            <v>INF769K01QJ7</v>
          </cell>
          <cell r="C10242" t="str">
            <v>-</v>
          </cell>
          <cell r="D10242" t="str">
            <v>Mirae Asset Nifty Metal ETF FOF - Regular Plan - Growth</v>
          </cell>
          <cell r="E10242">
            <v>10.114000000000001</v>
          </cell>
        </row>
        <row r="10243">
          <cell r="B10243" t="str">
            <v>INF769K01QL3</v>
          </cell>
          <cell r="C10243" t="str">
            <v>INF769K01QK5</v>
          </cell>
          <cell r="D10243" t="str">
            <v>Mirae Asset Nifty Metal ETF FOF - Regular Plan - IDCW</v>
          </cell>
          <cell r="E10243">
            <v>10.114000000000001</v>
          </cell>
        </row>
        <row r="10244">
          <cell r="B10244" t="str">
            <v>INF769K01LN0</v>
          </cell>
          <cell r="C10244" t="str">
            <v>-</v>
          </cell>
          <cell r="D10244" t="str">
            <v>Mirae Asset Nifty MidSmallcap400 Momentum Quality 100 ETF Fund of Fund - Direct Plan - Growth</v>
          </cell>
          <cell r="E10244">
            <v>10.215</v>
          </cell>
        </row>
        <row r="10245">
          <cell r="B10245" t="str">
            <v>INF769K01LO8</v>
          </cell>
          <cell r="C10245" t="str">
            <v>INF769K01LP5</v>
          </cell>
          <cell r="D10245" t="str">
            <v>Mirae Asset Nifty MidSmallcap400 Momentum Quality 100 ETF Fund of Fund - Direct Plan - IDCW</v>
          </cell>
          <cell r="E10245">
            <v>10.214</v>
          </cell>
        </row>
        <row r="10246">
          <cell r="B10246" t="str">
            <v>INF769K01LK6</v>
          </cell>
          <cell r="C10246" t="str">
            <v>-</v>
          </cell>
          <cell r="D10246" t="str">
            <v>Mirae Asset Nifty MidSmallcap400 Momentum Quality 100 ETF Fund of Fund - Regular Plan - Growth</v>
          </cell>
          <cell r="E10246">
            <v>10.097</v>
          </cell>
        </row>
        <row r="10247">
          <cell r="B10247" t="str">
            <v>INF769K01LL4</v>
          </cell>
          <cell r="C10247" t="str">
            <v>INF769K01LM2</v>
          </cell>
          <cell r="D10247" t="str">
            <v>Mirae Asset Nifty MidSmallcap400 Momentum Quality 100 ETF Fund of Fund - Regular Plan - IDCW</v>
          </cell>
          <cell r="E10247">
            <v>10.102</v>
          </cell>
        </row>
        <row r="10248">
          <cell r="B10248" t="str">
            <v>INF769K01LG4</v>
          </cell>
          <cell r="C10248" t="str">
            <v>-</v>
          </cell>
          <cell r="D10248" t="str">
            <v>Mirae Asset Nifty Smallcap 250 Momentum Quality 100 ETF Fund of Fund - Direct Plan - Growth</v>
          </cell>
          <cell r="E10248">
            <v>10.489000000000001</v>
          </cell>
        </row>
        <row r="10249">
          <cell r="B10249" t="str">
            <v>INF769K01LH2</v>
          </cell>
          <cell r="C10249" t="str">
            <v>INF769K01LI0</v>
          </cell>
          <cell r="D10249" t="str">
            <v>Mirae Asset Nifty Smallcap 250 Momentum Quality 100 ETF Fund of Fund - Direct Plan - IDCW</v>
          </cell>
          <cell r="E10249">
            <v>10.486000000000001</v>
          </cell>
        </row>
        <row r="10250">
          <cell r="B10250" t="str">
            <v>INF769K01LD1</v>
          </cell>
          <cell r="C10250" t="str">
            <v>-</v>
          </cell>
          <cell r="D10250" t="str">
            <v>Mirae Asset Nifty Smallcap 250 Momentum Quality 100 ETF Fund of Fund - Regular Plan - Growth</v>
          </cell>
          <cell r="E10250">
            <v>10.365</v>
          </cell>
        </row>
        <row r="10251">
          <cell r="B10251" t="str">
            <v>INF769K01LE9</v>
          </cell>
          <cell r="C10251" t="str">
            <v>INF769K01LF6</v>
          </cell>
          <cell r="D10251" t="str">
            <v>Mirae Asset Nifty Smallcap 250 Momentum Quality 100 ETF Fund of Fund - Regular Plan - IDCW</v>
          </cell>
          <cell r="E10251">
            <v>10.367000000000001</v>
          </cell>
        </row>
        <row r="10252">
          <cell r="B10252" t="str">
            <v>INF769K01LU5</v>
          </cell>
          <cell r="C10252" t="str">
            <v>-</v>
          </cell>
          <cell r="D10252" t="str">
            <v>Mirae Asset Nifty200 Alpha 30 ETF Fund of Fund - Direct Plan - Growth</v>
          </cell>
          <cell r="E10252">
            <v>9.0640000000000001</v>
          </cell>
        </row>
        <row r="10253">
          <cell r="B10253" t="str">
            <v>INF769K01LV3</v>
          </cell>
          <cell r="C10253" t="str">
            <v>INF769K01LW1</v>
          </cell>
          <cell r="D10253" t="str">
            <v>Mirae Asset Nifty200 Alpha 30 ETF Fund of Fund - Direct Plan - IDCW</v>
          </cell>
          <cell r="E10253">
            <v>9.07</v>
          </cell>
        </row>
        <row r="10254">
          <cell r="B10254" t="str">
            <v>INF769K01LR1</v>
          </cell>
          <cell r="C10254" t="str">
            <v>-</v>
          </cell>
          <cell r="D10254" t="str">
            <v>Mirae Asset Nifty200 Alpha 30 ETF Fund of Fund - Regular Plan - Growth</v>
          </cell>
          <cell r="E10254">
            <v>8.9819999999999993</v>
          </cell>
        </row>
        <row r="10255">
          <cell r="B10255" t="str">
            <v>INF769K01LS9</v>
          </cell>
          <cell r="C10255" t="str">
            <v>INF769K01LT7</v>
          </cell>
          <cell r="D10255" t="str">
            <v>Mirae Asset Nifty200 Alpha 30 ETF Fund of Fund - Regular Plan - IDCW</v>
          </cell>
          <cell r="E10255">
            <v>8.9749999999999996</v>
          </cell>
        </row>
        <row r="10256">
          <cell r="B10256" t="str">
            <v>INF769K01HH0</v>
          </cell>
          <cell r="C10256" t="str">
            <v>-</v>
          </cell>
          <cell r="D10256" t="str">
            <v>Mirae Asset NYSE FANG + ETF Fund of Fund Direct Growth</v>
          </cell>
          <cell r="E10256">
            <v>41.674999999999997</v>
          </cell>
        </row>
        <row r="10257">
          <cell r="B10257" t="str">
            <v>INF769K01HG2</v>
          </cell>
          <cell r="C10257" t="str">
            <v>-</v>
          </cell>
          <cell r="D10257" t="str">
            <v>Mirae Asset NYSE FANG + ETF Fund of Fund Regular Growth</v>
          </cell>
          <cell r="E10257">
            <v>40.841000000000001</v>
          </cell>
        </row>
        <row r="10258">
          <cell r="B10258" t="str">
            <v>INF769K01HR9</v>
          </cell>
          <cell r="C10258" t="str">
            <v>-</v>
          </cell>
          <cell r="D10258" t="str">
            <v>Mirae Asset S&amp;P 500 Top 50 ETF Fund of Fund Direct Growth</v>
          </cell>
          <cell r="E10258">
            <v>28.091000000000001</v>
          </cell>
        </row>
        <row r="10259">
          <cell r="B10259" t="str">
            <v>INF769K01HQ1</v>
          </cell>
          <cell r="C10259" t="str">
            <v>-</v>
          </cell>
          <cell r="D10259" t="str">
            <v>Mirae Asset S&amp;P 500 Top 50 ETF Fund of Fund Regular Growth</v>
          </cell>
          <cell r="E10259">
            <v>27.544</v>
          </cell>
        </row>
        <row r="10260">
          <cell r="B10260" t="str">
            <v>INF769K01QS8</v>
          </cell>
          <cell r="C10260" t="str">
            <v>-</v>
          </cell>
          <cell r="D10260" t="str">
            <v>Mirae Asset Silver ETF FOF - Direct Plan - Growth</v>
          </cell>
          <cell r="E10260">
            <v>9.9369999999999994</v>
          </cell>
        </row>
        <row r="10261">
          <cell r="B10261" t="str">
            <v>INF769K01QT6</v>
          </cell>
          <cell r="C10261" t="str">
            <v>INF769K01QU4</v>
          </cell>
          <cell r="D10261" t="str">
            <v>Mirae Asset Silver ETF FOF - Direct Plan - IDCW</v>
          </cell>
          <cell r="E10261">
            <v>9.9369999999999994</v>
          </cell>
        </row>
        <row r="10262">
          <cell r="B10262" t="str">
            <v>INF769K01QP4</v>
          </cell>
          <cell r="C10262" t="str">
            <v>-</v>
          </cell>
          <cell r="D10262" t="str">
            <v>Mirae Asset Silver ETF FOF - Regular Plan - Growth</v>
          </cell>
          <cell r="E10262">
            <v>9.9169999999999998</v>
          </cell>
        </row>
        <row r="10263">
          <cell r="B10263" t="str">
            <v>INF769K01QQ2</v>
          </cell>
          <cell r="C10263" t="str">
            <v>INF769K01QR0</v>
          </cell>
          <cell r="D10263" t="str">
            <v>Mirae Asset Silver ETF FOF - Regular Plan - IDCW</v>
          </cell>
          <cell r="E10263">
            <v>9.9169999999999998</v>
          </cell>
        </row>
        <row r="10264">
          <cell r="B10264" t="str">
            <v/>
          </cell>
          <cell r="C10264" t="str">
            <v/>
          </cell>
          <cell r="D10264" t="str">
            <v/>
          </cell>
        </row>
        <row r="10265">
          <cell r="B10265" t="str">
            <v/>
          </cell>
          <cell r="C10265" t="str">
            <v/>
          </cell>
          <cell r="D10265" t="str">
            <v/>
          </cell>
        </row>
        <row r="10266">
          <cell r="B10266" t="str">
            <v/>
          </cell>
          <cell r="C10266" t="str">
            <v/>
          </cell>
          <cell r="D10266" t="str">
            <v/>
          </cell>
        </row>
        <row r="10267">
          <cell r="B10267" t="str">
            <v>INF247L01AQ1</v>
          </cell>
          <cell r="C10267" t="str">
            <v>-</v>
          </cell>
          <cell r="D10267" t="str">
            <v>Motilal Oswal 5 Year G-Sec Fund Of Fund Direct -Growth</v>
          </cell>
          <cell r="E10267">
            <v>13.253</v>
          </cell>
        </row>
        <row r="10268">
          <cell r="B10268" t="str">
            <v>INF247L01AR9</v>
          </cell>
          <cell r="C10268" t="str">
            <v>-</v>
          </cell>
          <cell r="D10268" t="str">
            <v>Motilal Oswal 5 Year G-Sec Fund Of Fund Regular -Growth</v>
          </cell>
          <cell r="E10268">
            <v>13.205299999999999</v>
          </cell>
        </row>
        <row r="10269">
          <cell r="B10269" t="str">
            <v>INF247L01AN8</v>
          </cell>
          <cell r="C10269" t="str">
            <v>-</v>
          </cell>
          <cell r="D10269" t="str">
            <v>Motilal Oswal Asset Allocation FOF- C- Direct Growth</v>
          </cell>
          <cell r="E10269">
            <v>17.929099999999998</v>
          </cell>
        </row>
        <row r="10270">
          <cell r="B10270" t="str">
            <v>INF247L01AO6</v>
          </cell>
          <cell r="C10270" t="str">
            <v>-</v>
          </cell>
          <cell r="D10270" t="str">
            <v>Motilal Oswal Asset Allocation FOF- C- Regular Growth</v>
          </cell>
          <cell r="E10270">
            <v>17.440799999999999</v>
          </cell>
        </row>
        <row r="10271">
          <cell r="B10271" t="str">
            <v>INF247L01GL9</v>
          </cell>
          <cell r="C10271" t="str">
            <v>-</v>
          </cell>
          <cell r="D10271" t="str">
            <v>Motilal Oswal Diversified Equity Flexicap Passive Fund of Funds- Direct - Growth</v>
          </cell>
          <cell r="E10271">
            <v>10.643000000000001</v>
          </cell>
        </row>
        <row r="10272">
          <cell r="B10272" t="str">
            <v>INF247L01GM7</v>
          </cell>
          <cell r="C10272" t="str">
            <v>-</v>
          </cell>
          <cell r="D10272" t="str">
            <v>Motilal Oswal Diversified Equity Flexicap Passive Fund of funds- Regular Growth</v>
          </cell>
          <cell r="E10272">
            <v>10.612500000000001</v>
          </cell>
        </row>
        <row r="10273">
          <cell r="B10273" t="str">
            <v>INF247L01BM8</v>
          </cell>
          <cell r="C10273" t="str">
            <v>-</v>
          </cell>
          <cell r="D10273" t="str">
            <v>Motilal Oswal Gold and Silver Passive Fund of Funds(Direct Plan)</v>
          </cell>
          <cell r="E10273">
            <v>29.576000000000001</v>
          </cell>
        </row>
        <row r="10274">
          <cell r="B10274" t="str">
            <v>INF247L01BN6</v>
          </cell>
          <cell r="C10274" t="str">
            <v>-</v>
          </cell>
          <cell r="D10274" t="str">
            <v>Motilal Oswal Gold and Silver Passive Fund of Funds(Regular Plan)</v>
          </cell>
          <cell r="E10274">
            <v>29.186</v>
          </cell>
        </row>
        <row r="10275">
          <cell r="B10275" t="str">
            <v>INF247L01AL2</v>
          </cell>
          <cell r="C10275" t="str">
            <v>-</v>
          </cell>
          <cell r="D10275" t="str">
            <v>Motilal Oswal Multi Asset Passive Fund of Fund - Direct Growth</v>
          </cell>
          <cell r="E10275">
            <v>19.842400000000001</v>
          </cell>
        </row>
        <row r="10276">
          <cell r="B10276" t="str">
            <v>INF247L01AM0</v>
          </cell>
          <cell r="C10276" t="str">
            <v>-</v>
          </cell>
          <cell r="D10276" t="str">
            <v>Motilal Oswal Multi Asset Passive Fund of Fund - Regular Growth</v>
          </cell>
          <cell r="E10276">
            <v>19.302600000000002</v>
          </cell>
        </row>
        <row r="10277">
          <cell r="B10277" t="str">
            <v>INF247L01GT2</v>
          </cell>
          <cell r="C10277" t="str">
            <v>-</v>
          </cell>
          <cell r="D10277" t="str">
            <v>Motilal Oswal Multi Factor Passive Fund of Funds - Direct</v>
          </cell>
          <cell r="E10277">
            <v>10.3626</v>
          </cell>
        </row>
        <row r="10278">
          <cell r="B10278" t="str">
            <v>INF247L01GU0</v>
          </cell>
          <cell r="C10278" t="str">
            <v>-</v>
          </cell>
          <cell r="D10278" t="str">
            <v>Motilal Oswal Multi Factor Passive Fund of Funds - Regular</v>
          </cell>
          <cell r="E10278">
            <v>10.339700000000001</v>
          </cell>
        </row>
        <row r="10279">
          <cell r="B10279" t="str">
            <v>INF247L01718</v>
          </cell>
          <cell r="C10279" t="str">
            <v>-</v>
          </cell>
          <cell r="D10279" t="str">
            <v>Motilal Oswal Nasdaq 100 Fund of Fund- Direct Plan Growth</v>
          </cell>
          <cell r="E10279">
            <v>68.255899999999997</v>
          </cell>
        </row>
        <row r="10280">
          <cell r="B10280" t="str">
            <v>INF247L01700</v>
          </cell>
          <cell r="C10280" t="str">
            <v>-</v>
          </cell>
          <cell r="D10280" t="str">
            <v>Motilal Oswal Nasdaq 100 Fund of Fund- Regular Plan Growth</v>
          </cell>
          <cell r="E10280">
            <v>66.273099999999999</v>
          </cell>
        </row>
        <row r="10281">
          <cell r="B10281" t="str">
            <v/>
          </cell>
          <cell r="C10281" t="str">
            <v/>
          </cell>
          <cell r="D10281" t="str">
            <v/>
          </cell>
        </row>
        <row r="10282">
          <cell r="B10282" t="str">
            <v/>
          </cell>
          <cell r="C10282" t="str">
            <v/>
          </cell>
          <cell r="D10282" t="str">
            <v/>
          </cell>
        </row>
        <row r="10283">
          <cell r="B10283" t="str">
            <v/>
          </cell>
          <cell r="C10283" t="str">
            <v/>
          </cell>
          <cell r="D10283" t="str">
            <v/>
          </cell>
        </row>
        <row r="10284">
          <cell r="B10284" t="str">
            <v>INF204KB16X6</v>
          </cell>
          <cell r="C10284" t="str">
            <v>-</v>
          </cell>
          <cell r="D10284" t="str">
            <v>Nippon India Diversified Equity Flexicap Passive FoF - Direct Plan - Growth Option</v>
          </cell>
          <cell r="E10284">
            <v>21.288599999999999</v>
          </cell>
        </row>
        <row r="10285">
          <cell r="B10285" t="str">
            <v>INF204KB14X1</v>
          </cell>
          <cell r="C10285" t="str">
            <v>INF204KB15X8</v>
          </cell>
          <cell r="D10285" t="str">
            <v>Nippon India Diversified Equity Flexicap Passive FoF - IDCW Option</v>
          </cell>
          <cell r="E10285">
            <v>20.755299999999998</v>
          </cell>
        </row>
        <row r="10286">
          <cell r="B10286" t="str">
            <v>INF204KB13X3</v>
          </cell>
          <cell r="C10286" t="str">
            <v>-</v>
          </cell>
          <cell r="D10286" t="str">
            <v>Nippon India Diversified Equity Flexicap Passive FoF - Regular Plan - Growth Option</v>
          </cell>
          <cell r="E10286">
            <v>20.755299999999998</v>
          </cell>
        </row>
        <row r="10287">
          <cell r="B10287" t="str">
            <v>INF204KB17X4</v>
          </cell>
          <cell r="C10287" t="str">
            <v>INF204KB18X2</v>
          </cell>
          <cell r="D10287" t="str">
            <v>Nippon India Diversified Equity Flexicap Passive FoF- DIRECT Plan - IDCW Option</v>
          </cell>
          <cell r="E10287">
            <v>21.288599999999999</v>
          </cell>
        </row>
        <row r="10288">
          <cell r="B10288" t="str">
            <v>INF204K01YD2</v>
          </cell>
          <cell r="C10288" t="str">
            <v>INF204K01YE0</v>
          </cell>
          <cell r="D10288" t="str">
            <v>NIPPON INDIA GOLD SAVINGS FUND - Direct Plan - IDCW Option</v>
          </cell>
          <cell r="E10288">
            <v>57.418900000000001</v>
          </cell>
        </row>
        <row r="10289">
          <cell r="B10289" t="str">
            <v>INF204K01YC4</v>
          </cell>
          <cell r="C10289" t="str">
            <v>-</v>
          </cell>
          <cell r="D10289" t="str">
            <v>Nippon India Gold Savings Fund - Direct Plan Growth Plan - Growth Option</v>
          </cell>
          <cell r="E10289">
            <v>57.418900000000001</v>
          </cell>
        </row>
        <row r="10290">
          <cell r="B10290" t="str">
            <v>INF204K01KO8</v>
          </cell>
          <cell r="C10290" t="str">
            <v>INF204K01KP5</v>
          </cell>
          <cell r="D10290" t="str">
            <v>NIPPON INDIA GOLD SAVINGS FUND - IDCW Option</v>
          </cell>
          <cell r="E10290">
            <v>54.799399999999999</v>
          </cell>
        </row>
        <row r="10291">
          <cell r="B10291" t="str">
            <v>INF204K01KN0</v>
          </cell>
          <cell r="C10291" t="str">
            <v>-</v>
          </cell>
          <cell r="D10291" t="str">
            <v>Nippon India Gold Savings Fund-Growth plan- Growth Option</v>
          </cell>
          <cell r="E10291">
            <v>54.799399999999999</v>
          </cell>
        </row>
        <row r="10292">
          <cell r="B10292" t="str">
            <v>INF204KC1FK2</v>
          </cell>
          <cell r="C10292" t="str">
            <v>INF204KC1FL0</v>
          </cell>
          <cell r="D10292" t="str">
            <v>Nippon India Income Plus Arbitrage Active Fund of Fund - Direct Plan-IDCW Payout</v>
          </cell>
          <cell r="E10292">
            <v>10.648400000000001</v>
          </cell>
        </row>
        <row r="10293">
          <cell r="B10293" t="str">
            <v>INF204KC1FH8</v>
          </cell>
          <cell r="C10293" t="str">
            <v>INF204KC1FI6</v>
          </cell>
          <cell r="D10293" t="str">
            <v>Nippon India Income Plus Arbitrage Active Fund of Fund - Regular Plan- IDCW Payout</v>
          </cell>
          <cell r="E10293">
            <v>10.6212</v>
          </cell>
        </row>
        <row r="10294">
          <cell r="B10294" t="str">
            <v>INF204KC1FG0</v>
          </cell>
          <cell r="C10294" t="str">
            <v>-</v>
          </cell>
          <cell r="D10294" t="str">
            <v>Nippon India Income Plus Arbitrage Active Fund of Fund -Regular Plan- Growth Option</v>
          </cell>
          <cell r="E10294">
            <v>10.6212</v>
          </cell>
        </row>
        <row r="10295">
          <cell r="B10295" t="str">
            <v>INF204KC1FJ4</v>
          </cell>
          <cell r="C10295" t="str">
            <v>-</v>
          </cell>
          <cell r="D10295" t="str">
            <v>Nippon India Income Plus Arbitrage Active Fund of Fund- Direct Plan- Growth Option</v>
          </cell>
          <cell r="E10295">
            <v>10.648400000000001</v>
          </cell>
        </row>
        <row r="10296">
          <cell r="B10296" t="str">
            <v>INF204KB16Y4</v>
          </cell>
          <cell r="C10296" t="str">
            <v>-</v>
          </cell>
          <cell r="D10296" t="str">
            <v>Nippon India Multi - Asset Omni FoF - Direct Plan - Growth Option</v>
          </cell>
          <cell r="E10296">
            <v>24.7576</v>
          </cell>
        </row>
        <row r="10297">
          <cell r="B10297" t="str">
            <v>INF204KB17Y2</v>
          </cell>
          <cell r="C10297" t="str">
            <v>INF204KB18Y0</v>
          </cell>
          <cell r="D10297" t="str">
            <v>Nippon India Multi - Asset Omni FoF - DIRECT Plan - IDCW Option</v>
          </cell>
          <cell r="E10297">
            <v>24.7576</v>
          </cell>
        </row>
        <row r="10298">
          <cell r="B10298" t="str">
            <v>INF204KB14Y9</v>
          </cell>
          <cell r="C10298" t="str">
            <v>INF204KB15Y6</v>
          </cell>
          <cell r="D10298" t="str">
            <v>Nippon India Multi - Asset Omni FoF - IDCW Option</v>
          </cell>
          <cell r="E10298">
            <v>23.458400000000001</v>
          </cell>
        </row>
        <row r="10299">
          <cell r="B10299" t="str">
            <v>INF204KB13Y1</v>
          </cell>
          <cell r="C10299" t="str">
            <v>-</v>
          </cell>
          <cell r="D10299" t="str">
            <v>Nippon India Multi - Asset Omni FoF - Regular Plan - Growth Option</v>
          </cell>
          <cell r="E10299">
            <v>23.458400000000001</v>
          </cell>
        </row>
        <row r="10300">
          <cell r="B10300" t="str">
            <v>INF204KB1X25</v>
          </cell>
          <cell r="C10300" t="str">
            <v>-</v>
          </cell>
          <cell r="D10300" t="str">
            <v>Nippon India Nifty Next 50 Junior BeES FoF - Direct Plan - Growth Plan - Growth Option</v>
          </cell>
          <cell r="E10300">
            <v>27.224799999999998</v>
          </cell>
        </row>
        <row r="10301">
          <cell r="B10301" t="str">
            <v>INF204KB1X41</v>
          </cell>
          <cell r="C10301" t="str">
            <v>INF204KB1X33</v>
          </cell>
          <cell r="D10301" t="str">
            <v>NIPPON INDIA NIFTY NEXT 50 JUNIOR BEES FOF - DIRECT Plan - IDCW Option</v>
          </cell>
          <cell r="E10301">
            <v>27.224799999999998</v>
          </cell>
        </row>
        <row r="10302">
          <cell r="B10302" t="str">
            <v>INF204KB1W91</v>
          </cell>
          <cell r="C10302" t="str">
            <v>-</v>
          </cell>
          <cell r="D10302" t="str">
            <v>Nippon India Nifty Next 50 Junior BeES FoF - Growth Plan - Growth Option</v>
          </cell>
          <cell r="E10302">
            <v>26.773</v>
          </cell>
        </row>
        <row r="10303">
          <cell r="B10303" t="str">
            <v>INF204KB1X17</v>
          </cell>
          <cell r="C10303" t="str">
            <v>INF204KB1X09</v>
          </cell>
          <cell r="D10303" t="str">
            <v>NIPPON INDIA NIFTY NEXT 50 JUNIOR BEES FOF - IDCW Option</v>
          </cell>
          <cell r="E10303">
            <v>26.773</v>
          </cell>
        </row>
        <row r="10304">
          <cell r="B10304" t="str">
            <v>INF204KC1378</v>
          </cell>
          <cell r="C10304" t="str">
            <v>-</v>
          </cell>
          <cell r="D10304" t="str">
            <v>Nippon India Silver ETF FOF- Direct Plan-Growth Option</v>
          </cell>
          <cell r="E10304">
            <v>33.957900000000002</v>
          </cell>
        </row>
        <row r="10305">
          <cell r="B10305" t="str">
            <v>INF204KC1386</v>
          </cell>
          <cell r="C10305" t="str">
            <v>INF204KC1394</v>
          </cell>
          <cell r="D10305" t="str">
            <v>Nippon India Silver ETF FOF- Direct Plan-IDCW Option</v>
          </cell>
          <cell r="E10305">
            <v>33.957900000000002</v>
          </cell>
        </row>
        <row r="10306">
          <cell r="B10306" t="str">
            <v>INF204KC1352</v>
          </cell>
          <cell r="C10306" t="str">
            <v>INF204KC1360</v>
          </cell>
          <cell r="D10306" t="str">
            <v>Nippon India Silver ETF FOF- Regular Plan-IDCW Option</v>
          </cell>
          <cell r="E10306">
            <v>33.395000000000003</v>
          </cell>
        </row>
        <row r="10307">
          <cell r="B10307" t="str">
            <v>INF204KC1345</v>
          </cell>
          <cell r="C10307" t="str">
            <v>-</v>
          </cell>
          <cell r="D10307" t="str">
            <v>Nippon India Silver ETF FOF-Regular Plan- Growth Option</v>
          </cell>
          <cell r="E10307">
            <v>33.395000000000003</v>
          </cell>
        </row>
        <row r="10308">
          <cell r="B10308" t="str">
            <v/>
          </cell>
          <cell r="C10308" t="str">
            <v/>
          </cell>
          <cell r="D10308" t="str">
            <v/>
          </cell>
        </row>
        <row r="10309">
          <cell r="B10309" t="str">
            <v/>
          </cell>
          <cell r="C10309" t="str">
            <v/>
          </cell>
          <cell r="D10309" t="str">
            <v/>
          </cell>
        </row>
        <row r="10310">
          <cell r="B10310" t="str">
            <v/>
          </cell>
          <cell r="C10310" t="str">
            <v/>
          </cell>
          <cell r="D10310" t="str">
            <v/>
          </cell>
        </row>
        <row r="10311">
          <cell r="B10311" t="str">
            <v>INF082J01093</v>
          </cell>
          <cell r="C10311" t="str">
            <v>-</v>
          </cell>
          <cell r="D10311" t="str">
            <v>Quantum Diversified Equity All Cap Active FOF - Direct Plan Growth Option</v>
          </cell>
          <cell r="E10311">
            <v>85.707999999999998</v>
          </cell>
        </row>
        <row r="10312">
          <cell r="B10312" t="str">
            <v>INF082J01101</v>
          </cell>
          <cell r="C10312" t="str">
            <v>INF082J01119</v>
          </cell>
          <cell r="D10312" t="str">
            <v>Quantum Diversified Equity All Cap Active FOF - Direct Plan IDCW</v>
          </cell>
          <cell r="E10312">
            <v>85.494</v>
          </cell>
        </row>
        <row r="10313">
          <cell r="B10313" t="str">
            <v>INF082J01275</v>
          </cell>
          <cell r="C10313" t="str">
            <v>-</v>
          </cell>
          <cell r="D10313" t="str">
            <v>Quantum Diversified Equity All Cap Active FOF - Regular Plan Growth Option</v>
          </cell>
          <cell r="E10313">
            <v>83.927000000000007</v>
          </cell>
        </row>
        <row r="10314">
          <cell r="B10314" t="str">
            <v>INF082J01283</v>
          </cell>
          <cell r="C10314" t="str">
            <v>INF082J01291</v>
          </cell>
          <cell r="D10314" t="str">
            <v>Quantum Diversified Equity All Cap Active FOF - Regular Plan IDCW</v>
          </cell>
          <cell r="E10314">
            <v>83.713999999999999</v>
          </cell>
        </row>
        <row r="10315">
          <cell r="B10315" t="str">
            <v>INF082J01150</v>
          </cell>
          <cell r="C10315" t="str">
            <v>-</v>
          </cell>
          <cell r="D10315" t="str">
            <v>Quantum Gold ETF FOF - Direct Plan Growth Option</v>
          </cell>
          <cell r="E10315">
            <v>55.152200000000001</v>
          </cell>
        </row>
        <row r="10316">
          <cell r="B10316" t="str">
            <v>INF082J01358</v>
          </cell>
          <cell r="C10316" t="str">
            <v>-</v>
          </cell>
          <cell r="D10316" t="str">
            <v>Quantum Gold ETF FOF - Regular Plan Growth Option</v>
          </cell>
          <cell r="E10316">
            <v>54.287300000000002</v>
          </cell>
        </row>
        <row r="10317">
          <cell r="B10317" t="str">
            <v>INF082J01168</v>
          </cell>
          <cell r="C10317" t="str">
            <v>-</v>
          </cell>
          <cell r="D10317" t="str">
            <v>Quantum Multi Asset Active FOF - Direct Plan Growth Option</v>
          </cell>
          <cell r="E10317">
            <v>37.130200000000002</v>
          </cell>
        </row>
        <row r="10318">
          <cell r="B10318" t="str">
            <v>INF082J01341</v>
          </cell>
          <cell r="C10318" t="str">
            <v>-</v>
          </cell>
          <cell r="D10318" t="str">
            <v>Quantum Multi Asset Active FOF - Regular Plan Growth Option</v>
          </cell>
          <cell r="E10318">
            <v>36.148499999999999</v>
          </cell>
        </row>
        <row r="10319">
          <cell r="B10319" t="str">
            <v>INF082J01416</v>
          </cell>
          <cell r="C10319" t="str">
            <v>-</v>
          </cell>
          <cell r="D10319" t="str">
            <v>Quantum Nifty 50 ETF FOF - Direct Plan - Growth</v>
          </cell>
          <cell r="E10319">
            <v>14.2865</v>
          </cell>
        </row>
        <row r="10320">
          <cell r="B10320" t="str">
            <v>INF082J01424</v>
          </cell>
          <cell r="C10320" t="str">
            <v>-</v>
          </cell>
          <cell r="D10320" t="str">
            <v>Quantum Nifty 50 ETF FOF - Regular Plan - Growth</v>
          </cell>
          <cell r="E10320">
            <v>14.2186</v>
          </cell>
        </row>
        <row r="10321">
          <cell r="B10321" t="str">
            <v/>
          </cell>
          <cell r="C10321" t="str">
            <v/>
          </cell>
          <cell r="D10321" t="str">
            <v/>
          </cell>
        </row>
        <row r="10322">
          <cell r="B10322" t="str">
            <v/>
          </cell>
          <cell r="C10322" t="str">
            <v/>
          </cell>
          <cell r="D10322" t="str">
            <v/>
          </cell>
        </row>
        <row r="10323">
          <cell r="B10323" t="str">
            <v/>
          </cell>
          <cell r="C10323" t="str">
            <v/>
          </cell>
          <cell r="D10323" t="str">
            <v/>
          </cell>
        </row>
        <row r="10324">
          <cell r="B10324" t="str">
            <v>INF200KB1AA9</v>
          </cell>
          <cell r="C10324" t="str">
            <v>-</v>
          </cell>
          <cell r="D10324" t="str">
            <v>SBI Dynamic Asset Allocation Active FoF - Direct Plan - Growth</v>
          </cell>
          <cell r="E10324">
            <v>10.2933</v>
          </cell>
        </row>
        <row r="10325">
          <cell r="B10325" t="str">
            <v>INF200KB1977</v>
          </cell>
          <cell r="C10325" t="str">
            <v>-</v>
          </cell>
          <cell r="D10325" t="str">
            <v>SBI Dynamic Asset Allocation Active FoF - Regular Plan - Growth</v>
          </cell>
          <cell r="E10325">
            <v>10.2033</v>
          </cell>
        </row>
        <row r="10326">
          <cell r="B10326" t="str">
            <v>INF200KB1985</v>
          </cell>
          <cell r="C10326" t="str">
            <v>INF200KB1993</v>
          </cell>
          <cell r="D10326" t="str">
            <v>SBI Dynamic Asset Allocation Active FoF - Regular Plan - Income Distribution Cum Capital Withdrawal Option</v>
          </cell>
          <cell r="E10326">
            <v>10.2033</v>
          </cell>
        </row>
        <row r="10327">
          <cell r="B10327" t="str">
            <v>INF200KB1AB7</v>
          </cell>
          <cell r="C10327" t="str">
            <v>INF200KB1AC5</v>
          </cell>
          <cell r="D10327" t="str">
            <v>SBI Dynamic Asset Allocation Active FoF- Direct Plan- Income Cum Distribution Capital Withdrawal Option</v>
          </cell>
          <cell r="E10327">
            <v>10.2926</v>
          </cell>
        </row>
        <row r="10328">
          <cell r="B10328" t="str">
            <v>INF200K01RN3</v>
          </cell>
          <cell r="C10328" t="str">
            <v>INF200K01RO1</v>
          </cell>
          <cell r="D10328" t="str">
            <v>SBI Gold Fund - Direct Plan - Income Distribution cum Capital Withdrawal Option (IDCW)</v>
          </cell>
          <cell r="E10328">
            <v>43.981900000000003</v>
          </cell>
        </row>
        <row r="10329">
          <cell r="B10329" t="str">
            <v>INF200K01HB9</v>
          </cell>
          <cell r="C10329" t="str">
            <v>INF200K01HC7</v>
          </cell>
          <cell r="D10329" t="str">
            <v>SBI Gold Fund - Regular Plan - Income Distribution cum Capital Withdrawal Option (IDCW)</v>
          </cell>
          <cell r="E10329">
            <v>42.017299999999999</v>
          </cell>
        </row>
        <row r="10330">
          <cell r="B10330" t="str">
            <v>INF200K01HA1</v>
          </cell>
          <cell r="C10330" t="str">
            <v>-</v>
          </cell>
          <cell r="D10330" t="str">
            <v>SBI GOLD FUND REGULAR PLAN - GROWTH</v>
          </cell>
          <cell r="E10330">
            <v>42.011000000000003</v>
          </cell>
        </row>
        <row r="10331">
          <cell r="B10331" t="str">
            <v>INF200K01RP8</v>
          </cell>
          <cell r="C10331" t="str">
            <v>-</v>
          </cell>
          <cell r="D10331" t="str">
            <v>SBI GOLD FUND- DIRECT PLAN - GROWTH</v>
          </cell>
          <cell r="E10331">
            <v>44.045200000000001</v>
          </cell>
        </row>
        <row r="10332">
          <cell r="B10332" t="str">
            <v>INF200KB1753</v>
          </cell>
          <cell r="C10332" t="str">
            <v>-</v>
          </cell>
          <cell r="D10332" t="str">
            <v>SBI Income Plus Arbitrage Active FOF- Direct Plan- Growth</v>
          </cell>
          <cell r="E10332">
            <v>10.698399999999999</v>
          </cell>
        </row>
        <row r="10333">
          <cell r="B10333" t="str">
            <v>INF200KB1761</v>
          </cell>
          <cell r="C10333" t="str">
            <v>INF200KB1779</v>
          </cell>
          <cell r="D10333" t="str">
            <v>SBI Income Plus Arbitrage Active FOF- Direct Plan- Income Distribution Cum Capital Withdrawal Option</v>
          </cell>
          <cell r="E10333">
            <v>10.6983</v>
          </cell>
        </row>
        <row r="10334">
          <cell r="B10334" t="str">
            <v>INF200KB1720</v>
          </cell>
          <cell r="C10334" t="str">
            <v>-</v>
          </cell>
          <cell r="D10334" t="str">
            <v>SBI Income Plus Arbitrage Active FOF- Regular Plan- Growth</v>
          </cell>
          <cell r="E10334">
            <v>10.6775</v>
          </cell>
        </row>
        <row r="10335">
          <cell r="B10335" t="str">
            <v>INF200KB1738</v>
          </cell>
          <cell r="C10335" t="str">
            <v>INF200KB1746</v>
          </cell>
          <cell r="D10335" t="str">
            <v>SBI Income Plus Arbitrage Active FOF- Regular Plan- Income Distribution Cum Capital Withdrawal Option</v>
          </cell>
          <cell r="E10335">
            <v>10.6776</v>
          </cell>
        </row>
        <row r="10336">
          <cell r="B10336" t="str">
            <v>INF200KB1225</v>
          </cell>
          <cell r="C10336" t="str">
            <v>INF200KB1274</v>
          </cell>
          <cell r="D10336" t="str">
            <v>SBI Silver ETF FOF- Regular Plan - Income Distribution Cum Capital Withdrawal Option (IDCW)</v>
          </cell>
          <cell r="E10336">
            <v>23.627199999999998</v>
          </cell>
        </row>
        <row r="10337">
          <cell r="B10337" t="str">
            <v>INF200KB1233</v>
          </cell>
          <cell r="C10337" t="str">
            <v>-</v>
          </cell>
          <cell r="D10337" t="str">
            <v>SBI Silver ETF Fund of Fund- Direct Plan - Growth</v>
          </cell>
          <cell r="E10337">
            <v>23.793800000000001</v>
          </cell>
        </row>
        <row r="10338">
          <cell r="B10338" t="str">
            <v>INF200KB1241</v>
          </cell>
          <cell r="C10338" t="str">
            <v>INF200KB1258</v>
          </cell>
          <cell r="D10338" t="str">
            <v>SBI Silver ETF Fund of Fund- Direct Plan - Income Distribution Cum Capital Withdrawal Option (IDCW)</v>
          </cell>
          <cell r="E10338">
            <v>23.793700000000001</v>
          </cell>
        </row>
        <row r="10339">
          <cell r="B10339" t="str">
            <v>INF200KB1266</v>
          </cell>
          <cell r="C10339" t="str">
            <v>-</v>
          </cell>
          <cell r="D10339" t="str">
            <v>SBI Silver ETF Fund of Fund- Regular Plan - Growth</v>
          </cell>
          <cell r="E10339">
            <v>23.624199999999998</v>
          </cell>
        </row>
        <row r="10340">
          <cell r="B10340" t="str">
            <v/>
          </cell>
          <cell r="C10340" t="str">
            <v/>
          </cell>
          <cell r="D10340" t="str">
            <v/>
          </cell>
        </row>
        <row r="10341">
          <cell r="B10341" t="str">
            <v/>
          </cell>
          <cell r="C10341" t="str">
            <v/>
          </cell>
          <cell r="D10341" t="str">
            <v/>
          </cell>
        </row>
        <row r="10342">
          <cell r="B10342" t="str">
            <v/>
          </cell>
          <cell r="C10342" t="str">
            <v/>
          </cell>
          <cell r="D10342" t="str">
            <v/>
          </cell>
        </row>
        <row r="10343">
          <cell r="B10343" t="str">
            <v>INF903JA1LZ7</v>
          </cell>
          <cell r="C10343" t="str">
            <v>-</v>
          </cell>
          <cell r="D10343" t="str">
            <v>Sundaram Income Plus Arbitrage Active FoF Fund-Direct-Growth</v>
          </cell>
          <cell r="E10343">
            <v>10.329000000000001</v>
          </cell>
        </row>
        <row r="10344">
          <cell r="B10344" t="str">
            <v>INF903JA1MA8</v>
          </cell>
          <cell r="C10344" t="str">
            <v>-</v>
          </cell>
          <cell r="D10344" t="str">
            <v>Sundaram Income Plus Arbitrage Active FoF Fund-Direct-IDCW Payout</v>
          </cell>
          <cell r="E10344">
            <v>10.329000000000001</v>
          </cell>
        </row>
        <row r="10345">
          <cell r="B10345" t="str">
            <v>INF903JA1MC4</v>
          </cell>
          <cell r="C10345" t="str">
            <v>-</v>
          </cell>
          <cell r="D10345" t="str">
            <v>Sundaram Income Plus Arbitrage Active FoF Fund-Regular-Growth</v>
          </cell>
          <cell r="E10345">
            <v>10.3146</v>
          </cell>
        </row>
        <row r="10346">
          <cell r="B10346" t="str">
            <v>INF903JA1MD2</v>
          </cell>
          <cell r="C10346" t="str">
            <v>-</v>
          </cell>
          <cell r="D10346" t="str">
            <v>Sundaram Income Plus Arbitrage Active FoF Fund-Regular-IDCW Payout</v>
          </cell>
          <cell r="E10346">
            <v>10.3146</v>
          </cell>
        </row>
        <row r="10347">
          <cell r="B10347" t="str">
            <v/>
          </cell>
          <cell r="C10347" t="str">
            <v/>
          </cell>
          <cell r="D10347" t="str">
            <v/>
          </cell>
        </row>
        <row r="10348">
          <cell r="B10348" t="str">
            <v/>
          </cell>
          <cell r="C10348" t="str">
            <v/>
          </cell>
          <cell r="D10348" t="str">
            <v/>
          </cell>
        </row>
        <row r="10349">
          <cell r="B10349" t="str">
            <v/>
          </cell>
          <cell r="C10349" t="str">
            <v/>
          </cell>
          <cell r="D10349" t="str">
            <v/>
          </cell>
        </row>
        <row r="10350">
          <cell r="B10350" t="str">
            <v>INF277KA1869</v>
          </cell>
          <cell r="C10350" t="str">
            <v>-</v>
          </cell>
          <cell r="D10350" t="str">
            <v>Tata Gold ETF Fund of Fund Direct Plan Growth Option</v>
          </cell>
          <cell r="E10350">
            <v>22.133600000000001</v>
          </cell>
        </row>
        <row r="10351">
          <cell r="B10351" t="str">
            <v>INF277KA1885</v>
          </cell>
          <cell r="C10351" t="str">
            <v>-</v>
          </cell>
          <cell r="D10351" t="str">
            <v>Tata Gold ETF Fund of Fund Direct Plan IDCW Payout Option</v>
          </cell>
          <cell r="E10351">
            <v>22.133600000000001</v>
          </cell>
        </row>
        <row r="10352">
          <cell r="B10352" t="str">
            <v>-</v>
          </cell>
          <cell r="C10352" t="str">
            <v>INF277KA1877</v>
          </cell>
          <cell r="D10352" t="str">
            <v>Tata Gold ETF Fund of Fund Direct Plan IDCW Reinvestment Option</v>
          </cell>
          <cell r="E10352">
            <v>22.133600000000001</v>
          </cell>
        </row>
        <row r="10353">
          <cell r="B10353" t="str">
            <v>INF277KA1901</v>
          </cell>
          <cell r="C10353" t="str">
            <v>-</v>
          </cell>
          <cell r="D10353" t="str">
            <v>Tata Gold ETF Fund of Fund Regular Plan Growth Option</v>
          </cell>
          <cell r="E10353">
            <v>21.8569</v>
          </cell>
        </row>
        <row r="10354">
          <cell r="B10354" t="str">
            <v>INF277KA1851</v>
          </cell>
          <cell r="C10354" t="str">
            <v>-</v>
          </cell>
          <cell r="D10354" t="str">
            <v>Tata Gold ETF Fund of Fund Regular Plan IDCW Payout Option</v>
          </cell>
          <cell r="E10354">
            <v>21.8569</v>
          </cell>
        </row>
        <row r="10355">
          <cell r="B10355" t="str">
            <v>-</v>
          </cell>
          <cell r="C10355" t="str">
            <v>INF277KA1919</v>
          </cell>
          <cell r="D10355" t="str">
            <v>Tata Gold ETF Fund of Fund Regular Plan IDCW Reinvestment Option</v>
          </cell>
          <cell r="E10355">
            <v>21.8569</v>
          </cell>
        </row>
        <row r="10356">
          <cell r="B10356" t="str">
            <v>INF277KA1DT2</v>
          </cell>
          <cell r="C10356" t="str">
            <v>-</v>
          </cell>
          <cell r="D10356" t="str">
            <v>Tata Income Plus Arbitrage Active FOF - Direct Plan Growth Option</v>
          </cell>
          <cell r="E10356">
            <v>10.6518</v>
          </cell>
        </row>
        <row r="10357">
          <cell r="B10357" t="str">
            <v>INF277KA1DV8</v>
          </cell>
          <cell r="C10357" t="str">
            <v>-</v>
          </cell>
          <cell r="D10357" t="str">
            <v>Tata Income Plus Arbitrage Active FOF - Direct Plan IDCW Payout Option</v>
          </cell>
          <cell r="E10357">
            <v>10.6518</v>
          </cell>
        </row>
        <row r="10358">
          <cell r="B10358" t="str">
            <v>-</v>
          </cell>
          <cell r="C10358" t="str">
            <v>INF277KA1DU0</v>
          </cell>
          <cell r="D10358" t="str">
            <v>Tata Income Plus Arbitrage Active FOF - Direct Plan IDCW Reinvestment Option</v>
          </cell>
          <cell r="E10358">
            <v>10.6518</v>
          </cell>
        </row>
        <row r="10359">
          <cell r="B10359" t="str">
            <v>INF277KA1DQ8</v>
          </cell>
          <cell r="C10359" t="str">
            <v>-</v>
          </cell>
          <cell r="D10359" t="str">
            <v>Tata Income Plus Arbitrage Active FOF - Regular Plan Growth Option</v>
          </cell>
          <cell r="E10359">
            <v>10.5862</v>
          </cell>
        </row>
        <row r="10360">
          <cell r="B10360" t="str">
            <v>INF277KA1DS4</v>
          </cell>
          <cell r="C10360" t="str">
            <v>-</v>
          </cell>
          <cell r="D10360" t="str">
            <v>Tata Income Plus Arbitrage Active FOF - Regular Plan IDCW Payout Option</v>
          </cell>
          <cell r="E10360">
            <v>10.5862</v>
          </cell>
        </row>
        <row r="10361">
          <cell r="B10361" t="str">
            <v>-</v>
          </cell>
          <cell r="C10361" t="str">
            <v>INF277KA1DR6</v>
          </cell>
          <cell r="D10361" t="str">
            <v>Tata Income Plus Arbitrage Active FOF - Regular Plan IDCW Reinvestment Option</v>
          </cell>
          <cell r="E10361">
            <v>10.5862</v>
          </cell>
        </row>
        <row r="10362">
          <cell r="B10362" t="str">
            <v>INF277KA1EV6</v>
          </cell>
          <cell r="C10362" t="str">
            <v>-</v>
          </cell>
          <cell r="D10362" t="str">
            <v>Tata Multi Sector Passive FOF Direct Plan Growth Option</v>
          </cell>
          <cell r="E10362">
            <v>9.8506</v>
          </cell>
        </row>
        <row r="10363">
          <cell r="B10363" t="str">
            <v>INF277KA1EX2</v>
          </cell>
          <cell r="C10363" t="str">
            <v>-</v>
          </cell>
          <cell r="D10363" t="str">
            <v>Tata Multi Sector Passive FOF Direct Plan IDCW Payout Option</v>
          </cell>
          <cell r="E10363">
            <v>9.8506</v>
          </cell>
        </row>
        <row r="10364">
          <cell r="B10364" t="str">
            <v>-</v>
          </cell>
          <cell r="C10364" t="str">
            <v>INF277KA1EW4</v>
          </cell>
          <cell r="D10364" t="str">
            <v>Tata Multi Sector Passive FOF Direct Plan IDCW Reinvestment Option</v>
          </cell>
          <cell r="E10364">
            <v>9.8506</v>
          </cell>
        </row>
        <row r="10365">
          <cell r="B10365" t="str">
            <v>INF277KA1ES2</v>
          </cell>
          <cell r="C10365" t="str">
            <v>-</v>
          </cell>
          <cell r="D10365" t="str">
            <v>Tata Multi Sector Passive FOF Regular Plan Growth Option</v>
          </cell>
          <cell r="E10365">
            <v>9.8489000000000004</v>
          </cell>
        </row>
        <row r="10366">
          <cell r="B10366" t="str">
            <v>INF277KA1EU8</v>
          </cell>
          <cell r="C10366" t="str">
            <v>-</v>
          </cell>
          <cell r="D10366" t="str">
            <v>Tata Multi Sector Passive FOF Regular Plan IDCW Payout Option</v>
          </cell>
          <cell r="E10366">
            <v>9.8489000000000004</v>
          </cell>
        </row>
        <row r="10367">
          <cell r="B10367" t="str">
            <v>-</v>
          </cell>
          <cell r="C10367" t="str">
            <v>INF277KA1ET0</v>
          </cell>
          <cell r="D10367" t="str">
            <v>Tata Multi Sector Passive FOF Regular Plan IDCW Reinvestment Option</v>
          </cell>
          <cell r="E10367">
            <v>9.8489000000000004</v>
          </cell>
        </row>
        <row r="10368">
          <cell r="B10368" t="str">
            <v>INF277KA1463</v>
          </cell>
          <cell r="C10368" t="str">
            <v>-</v>
          </cell>
          <cell r="D10368" t="str">
            <v>Tata Nifty India Digital ETF Fund of Fund -Regular Plan-Growth</v>
          </cell>
          <cell r="E10368">
            <v>12.9186</v>
          </cell>
        </row>
        <row r="10369">
          <cell r="B10369" t="str">
            <v>-</v>
          </cell>
          <cell r="C10369" t="str">
            <v>INF277KA1455</v>
          </cell>
          <cell r="D10369" t="str">
            <v>Tata Nifty India Digital ETF Fund of Fund-Direct Plan- IDCW Reinvestment</v>
          </cell>
          <cell r="E10369">
            <v>13.1632</v>
          </cell>
        </row>
        <row r="10370">
          <cell r="B10370" t="str">
            <v>INF277KA1430</v>
          </cell>
          <cell r="C10370" t="str">
            <v>-</v>
          </cell>
          <cell r="D10370" t="str">
            <v>Tata Nifty India Digital ETF Fund of Fund-Direct Plan-Growth</v>
          </cell>
          <cell r="E10370">
            <v>13.1632</v>
          </cell>
        </row>
        <row r="10371">
          <cell r="B10371" t="str">
            <v>INF277KA1448</v>
          </cell>
          <cell r="C10371" t="str">
            <v>-</v>
          </cell>
          <cell r="D10371" t="str">
            <v>Tata Nifty India Digital ETF Fund of Fund-Direct Plan-IDCW Payout</v>
          </cell>
          <cell r="E10371">
            <v>13.1632</v>
          </cell>
        </row>
        <row r="10372">
          <cell r="B10372" t="str">
            <v>INF277KA1471</v>
          </cell>
          <cell r="C10372" t="str">
            <v>-</v>
          </cell>
          <cell r="D10372" t="str">
            <v>Tata Nifty India Digital ETF Fund of Fund-Regular Plan-IDCW Payout</v>
          </cell>
          <cell r="E10372">
            <v>12.9186</v>
          </cell>
        </row>
        <row r="10373">
          <cell r="B10373" t="str">
            <v>-</v>
          </cell>
          <cell r="C10373" t="str">
            <v>INF277KA1489</v>
          </cell>
          <cell r="D10373" t="str">
            <v>Tata Nifty India Digital ETF Fund of Fund-Regular Plan-IDCW Reinvestment</v>
          </cell>
          <cell r="E10373">
            <v>12.9186</v>
          </cell>
        </row>
        <row r="10374">
          <cell r="B10374" t="str">
            <v>INF277KA1943</v>
          </cell>
          <cell r="C10374" t="str">
            <v>-</v>
          </cell>
          <cell r="D10374" t="str">
            <v>Tata Silver ETF Fund of Fund Direct Plan Growth Option</v>
          </cell>
          <cell r="E10374">
            <v>29.245799999999999</v>
          </cell>
        </row>
        <row r="10375">
          <cell r="B10375" t="str">
            <v>INF277KA1968</v>
          </cell>
          <cell r="C10375" t="str">
            <v>-</v>
          </cell>
          <cell r="D10375" t="str">
            <v>Tata Silver ETF Fund of Fund Direct Plan IDCW Payout Option</v>
          </cell>
          <cell r="E10375">
            <v>29.245799999999999</v>
          </cell>
        </row>
        <row r="10376">
          <cell r="B10376" t="str">
            <v>-</v>
          </cell>
          <cell r="C10376" t="str">
            <v>INF277KA1950</v>
          </cell>
          <cell r="D10376" t="str">
            <v>Tata Silver ETF Fund of Fund Direct Plan IDCW Reinvestment Option</v>
          </cell>
          <cell r="E10376">
            <v>29.245799999999999</v>
          </cell>
        </row>
        <row r="10377">
          <cell r="B10377" t="str">
            <v>INF277KA1893</v>
          </cell>
          <cell r="C10377" t="str">
            <v>-</v>
          </cell>
          <cell r="D10377" t="str">
            <v>Tata Silver ETF Fund of Fund Regular Plan Growth Option</v>
          </cell>
          <cell r="E10377">
            <v>28.895</v>
          </cell>
        </row>
        <row r="10378">
          <cell r="B10378" t="str">
            <v>INF277KA1935</v>
          </cell>
          <cell r="C10378" t="str">
            <v>-</v>
          </cell>
          <cell r="D10378" t="str">
            <v>Tata Silver ETF Fund of Fund Regular Plan IDCW Payout Option</v>
          </cell>
          <cell r="E10378">
            <v>28.895</v>
          </cell>
        </row>
        <row r="10379">
          <cell r="B10379" t="str">
            <v>-</v>
          </cell>
          <cell r="C10379" t="str">
            <v>INF277KA1927</v>
          </cell>
          <cell r="D10379" t="str">
            <v>Tata Silver ETF Fund of Fund Regular Plan IDCW Reinvestment Option</v>
          </cell>
          <cell r="E10379">
            <v>28.895</v>
          </cell>
        </row>
        <row r="10380">
          <cell r="B10380" t="str">
            <v/>
          </cell>
          <cell r="C10380" t="str">
            <v/>
          </cell>
          <cell r="D10380" t="str">
            <v/>
          </cell>
        </row>
        <row r="10381">
          <cell r="B10381" t="str">
            <v/>
          </cell>
          <cell r="C10381" t="str">
            <v/>
          </cell>
          <cell r="D10381" t="str">
            <v/>
          </cell>
        </row>
        <row r="10382">
          <cell r="B10382" t="str">
            <v/>
          </cell>
          <cell r="C10382" t="str">
            <v/>
          </cell>
          <cell r="D10382" t="str">
            <v/>
          </cell>
        </row>
        <row r="10383">
          <cell r="B10383" t="str">
            <v>INF2F0001412</v>
          </cell>
          <cell r="C10383" t="str">
            <v>-</v>
          </cell>
          <cell r="D10383" t="str">
            <v>THE WEALTH COMPANY GOLD ETF FOF DIRECT GROWTH</v>
          </cell>
          <cell r="E10383">
            <v>9.1635000000000009</v>
          </cell>
        </row>
        <row r="10384">
          <cell r="B10384" t="str">
            <v>INF2F0001420</v>
          </cell>
          <cell r="C10384" t="str">
            <v>INF2F0001438</v>
          </cell>
          <cell r="D10384" t="str">
            <v>THE WEALTH COMPANY GOLD ETF FOF DIRECT IDCW</v>
          </cell>
          <cell r="E10384">
            <v>9.1632999999999996</v>
          </cell>
        </row>
        <row r="10385">
          <cell r="B10385" t="str">
            <v>INF2F0001388</v>
          </cell>
          <cell r="C10385" t="str">
            <v>-</v>
          </cell>
          <cell r="D10385" t="str">
            <v>THE WEALTH COMPANY GOLD ETF FOF REGULAR GROWTH</v>
          </cell>
          <cell r="E10385">
            <v>9.1445000000000007</v>
          </cell>
        </row>
        <row r="10386">
          <cell r="B10386" t="str">
            <v>INF2F0001396</v>
          </cell>
          <cell r="C10386" t="str">
            <v>INF2F0001404</v>
          </cell>
          <cell r="D10386" t="str">
            <v>THE WEALTH COMPANY GOLD ETF FOF REGULAR IDCW</v>
          </cell>
          <cell r="E10386">
            <v>9.1442999999999994</v>
          </cell>
        </row>
        <row r="10387">
          <cell r="B10387" t="str">
            <v/>
          </cell>
          <cell r="C10387" t="str">
            <v/>
          </cell>
          <cell r="D10387" t="str">
            <v/>
          </cell>
        </row>
        <row r="10388">
          <cell r="B10388" t="str">
            <v/>
          </cell>
          <cell r="C10388" t="str">
            <v/>
          </cell>
          <cell r="D10388" t="str">
            <v/>
          </cell>
        </row>
        <row r="10389">
          <cell r="B10389" t="str">
            <v/>
          </cell>
          <cell r="C10389" t="str">
            <v/>
          </cell>
          <cell r="D10389" t="str">
            <v/>
          </cell>
        </row>
        <row r="10390">
          <cell r="B10390" t="str">
            <v>INF582M01LZ7</v>
          </cell>
          <cell r="C10390" t="str">
            <v>-</v>
          </cell>
          <cell r="D10390" t="str">
            <v>Union Diversified Equity All Cap Active FOF - Direct Plan - Growth Option</v>
          </cell>
          <cell r="E10390">
            <v>10.638500000000001</v>
          </cell>
        </row>
        <row r="10391">
          <cell r="B10391" t="str">
            <v>INF582M01MA8</v>
          </cell>
          <cell r="C10391" t="str">
            <v>INF582M01MB6</v>
          </cell>
          <cell r="D10391" t="str">
            <v>Union Diversified Equity All Cap Active FOF - Direct Plan - IDCW Option</v>
          </cell>
          <cell r="E10391">
            <v>10.638500000000001</v>
          </cell>
        </row>
        <row r="10392">
          <cell r="B10392" t="str">
            <v>INF582M01LV6</v>
          </cell>
          <cell r="C10392" t="str">
            <v>-</v>
          </cell>
          <cell r="D10392" t="str">
            <v>Union Diversified Equity All Cap Active FOF - Regular Plan - Growth Option</v>
          </cell>
          <cell r="E10392">
            <v>10.5517</v>
          </cell>
        </row>
        <row r="10393">
          <cell r="B10393" t="str">
            <v>INF582M01LW4</v>
          </cell>
          <cell r="C10393" t="str">
            <v>INF582M01LX2</v>
          </cell>
          <cell r="D10393" t="str">
            <v>Union Diversified Equity All Cap Active FOF - Regular Plan - IDCW Option</v>
          </cell>
          <cell r="E10393">
            <v>10.5517</v>
          </cell>
        </row>
        <row r="10394">
          <cell r="B10394" t="str">
            <v>INF582M01LA0</v>
          </cell>
          <cell r="C10394" t="str">
            <v>-</v>
          </cell>
          <cell r="D10394" t="str">
            <v>Union Gold ETF Fund of Fund - Direct Plan - Growth Option</v>
          </cell>
          <cell r="E10394">
            <v>16.4969</v>
          </cell>
        </row>
        <row r="10395">
          <cell r="B10395" t="str">
            <v>INF582M01KW6</v>
          </cell>
          <cell r="C10395" t="str">
            <v>INF582M01KX4</v>
          </cell>
          <cell r="D10395" t="str">
            <v>Union Gold ETF Fund of Fund - Direct Plan - IDCW Option</v>
          </cell>
          <cell r="E10395">
            <v>16.4969</v>
          </cell>
        </row>
        <row r="10396">
          <cell r="B10396" t="str">
            <v>INF582M01KT2</v>
          </cell>
          <cell r="C10396" t="str">
            <v>-</v>
          </cell>
          <cell r="D10396" t="str">
            <v>Union Gold ETF Fund of Fund - Regular Plan - Growth Option</v>
          </cell>
          <cell r="E10396">
            <v>16.434899999999999</v>
          </cell>
        </row>
        <row r="10397">
          <cell r="B10397" t="str">
            <v>INF582M01KU0</v>
          </cell>
          <cell r="C10397" t="str">
            <v>INF582M01KV8</v>
          </cell>
          <cell r="D10397" t="str">
            <v>Union Gold ETF Fund of Fund - Regular Plan - IDCW Option</v>
          </cell>
          <cell r="E10397">
            <v>16.434899999999999</v>
          </cell>
        </row>
        <row r="10398">
          <cell r="B10398" t="str">
            <v>INF582M01LF9</v>
          </cell>
          <cell r="C10398" t="str">
            <v>-</v>
          </cell>
          <cell r="D10398" t="str">
            <v>Union Income Plus Arbitrage Active FOF - Direct Plan - Growth Option</v>
          </cell>
          <cell r="E10398">
            <v>10.4656</v>
          </cell>
        </row>
        <row r="10399">
          <cell r="B10399" t="str">
            <v>INF582M01LG7</v>
          </cell>
          <cell r="C10399" t="str">
            <v>INF582M01LH5</v>
          </cell>
          <cell r="D10399" t="str">
            <v>Union Income Plus Arbitrage Active FOF - Direct Plan - IDCW Option</v>
          </cell>
          <cell r="E10399">
            <v>10.4656</v>
          </cell>
        </row>
        <row r="10400">
          <cell r="B10400" t="str">
            <v>INF582M01LB8</v>
          </cell>
          <cell r="C10400" t="str">
            <v>-</v>
          </cell>
          <cell r="D10400" t="str">
            <v>Union Income Plus Arbitrage Active FOF - Regular Plan - Growth Option</v>
          </cell>
          <cell r="E10400">
            <v>10.413</v>
          </cell>
        </row>
        <row r="10401">
          <cell r="B10401" t="str">
            <v>INF582M01LC6</v>
          </cell>
          <cell r="C10401" t="str">
            <v>INF582M01LD4</v>
          </cell>
          <cell r="D10401" t="str">
            <v>Union Income Plus Arbitrage Active FOF - Regular Plan - IDCW Option</v>
          </cell>
          <cell r="E10401">
            <v>10.413</v>
          </cell>
        </row>
        <row r="10402">
          <cell r="B10402" t="str">
            <v/>
          </cell>
          <cell r="C10402" t="str">
            <v/>
          </cell>
          <cell r="D10402" t="str">
            <v/>
          </cell>
        </row>
        <row r="10403">
          <cell r="B10403" t="str">
            <v/>
          </cell>
          <cell r="C10403" t="str">
            <v/>
          </cell>
          <cell r="D10403" t="str">
            <v/>
          </cell>
        </row>
        <row r="10404">
          <cell r="B10404" t="str">
            <v/>
          </cell>
          <cell r="C10404" t="str">
            <v/>
          </cell>
          <cell r="D10404" t="str">
            <v/>
          </cell>
        </row>
        <row r="10405">
          <cell r="B10405" t="str">
            <v>INF789F1AWB9</v>
          </cell>
          <cell r="C10405" t="str">
            <v>-</v>
          </cell>
          <cell r="D10405" t="str">
            <v>UTI Gold ETF Fund of Fund - Direct Plan - Growth Option</v>
          </cell>
          <cell r="E10405">
            <v>27.736499999999999</v>
          </cell>
        </row>
        <row r="10406">
          <cell r="B10406" t="str">
            <v>INF789F1AWA1</v>
          </cell>
          <cell r="C10406" t="str">
            <v>-</v>
          </cell>
          <cell r="D10406" t="str">
            <v>UTI Gold ETF Fund of Fund - Regular Plan - Growth Opton</v>
          </cell>
          <cell r="E10406">
            <v>27.299600000000002</v>
          </cell>
        </row>
        <row r="10407">
          <cell r="B10407" t="str">
            <v>INF789F1AB55</v>
          </cell>
          <cell r="C10407" t="str">
            <v>-</v>
          </cell>
          <cell r="D10407" t="str">
            <v>UTI Income Plus Arbitrage Active Fund of Fund - Direct Plan - Growth Option</v>
          </cell>
          <cell r="E10407">
            <v>10.827</v>
          </cell>
        </row>
        <row r="10408">
          <cell r="B10408" t="str">
            <v>INF789F1AB63</v>
          </cell>
          <cell r="C10408" t="str">
            <v>-</v>
          </cell>
          <cell r="D10408" t="str">
            <v>UTI Income Plus Arbitrage Active Fund of Fund - Regular Plan - Growth Option</v>
          </cell>
          <cell r="E10408">
            <v>10.777799999999999</v>
          </cell>
        </row>
        <row r="10409">
          <cell r="B10409" t="str">
            <v>INF789F1AYL4</v>
          </cell>
          <cell r="C10409" t="str">
            <v>-</v>
          </cell>
          <cell r="D10409" t="str">
            <v>UTI Silver ETF Fund of Fund - Direct Plan - Growth Option</v>
          </cell>
          <cell r="E10409">
            <v>28.524799999999999</v>
          </cell>
        </row>
        <row r="10410">
          <cell r="B10410" t="str">
            <v>INF789F1AYM2</v>
          </cell>
          <cell r="C10410" t="str">
            <v>-</v>
          </cell>
          <cell r="D10410" t="str">
            <v>UTI Silver ETF Fund of Fund - Regular Plan - Growth Option</v>
          </cell>
          <cell r="E10410">
            <v>28.190100000000001</v>
          </cell>
        </row>
        <row r="10411">
          <cell r="B10411" t="str">
            <v/>
          </cell>
          <cell r="C10411" t="str">
            <v/>
          </cell>
          <cell r="D10411" t="str">
            <v/>
          </cell>
        </row>
        <row r="10412">
          <cell r="B10412" t="str">
            <v/>
          </cell>
          <cell r="C10412" t="str">
            <v/>
          </cell>
          <cell r="D10412" t="str">
            <v/>
          </cell>
        </row>
        <row r="10413">
          <cell r="B10413" t="str">
            <v/>
          </cell>
          <cell r="C10413" t="str">
            <v/>
          </cell>
          <cell r="D10413" t="str">
            <v/>
          </cell>
        </row>
        <row r="10414">
          <cell r="B10414" t="str">
            <v>INF0R8F01083</v>
          </cell>
          <cell r="C10414" t="str">
            <v>-</v>
          </cell>
          <cell r="D10414" t="str">
            <v>Zerodha Gold ETF FoF-Direct Plan - Growth Option</v>
          </cell>
          <cell r="E10414">
            <v>18.8491</v>
          </cell>
        </row>
        <row r="10415">
          <cell r="B10415" t="str">
            <v>INF0R8F01117</v>
          </cell>
          <cell r="C10415" t="str">
            <v>-</v>
          </cell>
          <cell r="D10415" t="str">
            <v>Zerodha Multi Asset Passive FoF - Direct - Growth</v>
          </cell>
          <cell r="E10415">
            <v>11.392799999999999</v>
          </cell>
        </row>
        <row r="10416">
          <cell r="B10416" t="str">
            <v>INF0R8F01109</v>
          </cell>
          <cell r="C10416" t="str">
            <v>-</v>
          </cell>
          <cell r="D10416" t="str">
            <v>Zerodha Silver ETF FoF - Direct Growth</v>
          </cell>
          <cell r="E10416">
            <v>20.312100000000001</v>
          </cell>
        </row>
        <row r="10417">
          <cell r="B10417" t="str">
            <v/>
          </cell>
          <cell r="C10417" t="str">
            <v/>
          </cell>
          <cell r="D10417" t="str">
            <v/>
          </cell>
        </row>
        <row r="10418">
          <cell r="B10418" t="str">
            <v/>
          </cell>
          <cell r="C10418" t="str">
            <v/>
          </cell>
          <cell r="D10418" t="str">
            <v/>
          </cell>
        </row>
        <row r="10419">
          <cell r="B10419" t="str">
            <v/>
          </cell>
          <cell r="C10419" t="str">
            <v/>
          </cell>
          <cell r="D10419" t="str">
            <v/>
          </cell>
        </row>
        <row r="10420">
          <cell r="B10420" t="str">
            <v/>
          </cell>
          <cell r="C10420" t="str">
            <v/>
          </cell>
          <cell r="D10420" t="str">
            <v/>
          </cell>
        </row>
        <row r="10421">
          <cell r="B10421" t="str">
            <v/>
          </cell>
          <cell r="C10421" t="str">
            <v/>
          </cell>
          <cell r="D10421" t="str">
            <v/>
          </cell>
        </row>
        <row r="10422">
          <cell r="B10422" t="str">
            <v>INF084M01EC8</v>
          </cell>
          <cell r="C10422" t="str">
            <v>INF084M01ED6</v>
          </cell>
          <cell r="D10422" t="str">
            <v>Aditya Birla Sun Life Global Emerging Opportunities Fund - Direct - IDCW</v>
          </cell>
          <cell r="E10422">
            <v>31.250699999999998</v>
          </cell>
        </row>
        <row r="10423">
          <cell r="B10423" t="str">
            <v>INF084M01EB0</v>
          </cell>
          <cell r="C10423" t="str">
            <v>-</v>
          </cell>
          <cell r="D10423" t="str">
            <v>Aditya Birla Sun Life Global Emerging Opportunities Fund - Direct plan - Growth Option</v>
          </cell>
          <cell r="E10423">
            <v>35.333500000000001</v>
          </cell>
        </row>
        <row r="10424">
          <cell r="B10424" t="str">
            <v>INF084M01AU8</v>
          </cell>
          <cell r="C10424" t="str">
            <v>INF084M01AV6</v>
          </cell>
          <cell r="D10424" t="str">
            <v>Aditya Birla Sun Life Global Emerging Opportunities Fund - Regular - IDCW</v>
          </cell>
          <cell r="E10424">
            <v>33.577500000000001</v>
          </cell>
        </row>
        <row r="10425">
          <cell r="B10425" t="str">
            <v>INF084M01AT0</v>
          </cell>
          <cell r="C10425" t="str">
            <v>-</v>
          </cell>
          <cell r="D10425" t="str">
            <v>Aditya Birla SUn Life Global Emerging Opportunities Fund - Regular Plan - Growth Option</v>
          </cell>
          <cell r="E10425">
            <v>33.5715</v>
          </cell>
        </row>
        <row r="10426">
          <cell r="B10426" t="str">
            <v>INF084M01EH7</v>
          </cell>
          <cell r="C10426" t="str">
            <v>-</v>
          </cell>
          <cell r="D10426" t="str">
            <v>Aditya Birla Sun Life Global Excellence Equity Fund Of Fund - Retail Plan - Direct Plan - Growth Option</v>
          </cell>
          <cell r="E10426">
            <v>46.782899999999998</v>
          </cell>
        </row>
        <row r="10427">
          <cell r="B10427" t="str">
            <v>INF084M01AZ7</v>
          </cell>
          <cell r="C10427" t="str">
            <v>-</v>
          </cell>
          <cell r="D10427" t="str">
            <v>Aditya Birla Sun Life Global Excellence Equity Fund Of Fund- Retail Plan - Regular Plan - Growth Option</v>
          </cell>
          <cell r="E10427">
            <v>43.7224</v>
          </cell>
        </row>
        <row r="10428">
          <cell r="B10428" t="str">
            <v>INF084M01EI5</v>
          </cell>
          <cell r="C10428" t="str">
            <v>INF084M01EJ3</v>
          </cell>
          <cell r="D10428" t="str">
            <v>Aditya Birla Sun Life Global Excellence Equity Fund Of Fund-DIRECT - RETAIL - IDCW</v>
          </cell>
          <cell r="E10428">
            <v>46.806800000000003</v>
          </cell>
        </row>
        <row r="10429">
          <cell r="B10429" t="str">
            <v>INF084M01BA8</v>
          </cell>
          <cell r="C10429" t="str">
            <v>INF084M01BB6</v>
          </cell>
          <cell r="D10429" t="str">
            <v>Aditya Birla Sun Life Global Excellence Equity Fund Of Fund-REGULAR - RETAIL - IDCW</v>
          </cell>
          <cell r="E10429">
            <v>43.749600000000001</v>
          </cell>
        </row>
        <row r="10430">
          <cell r="B10430" t="str">
            <v>INF209KB16W7</v>
          </cell>
          <cell r="C10430" t="str">
            <v>-</v>
          </cell>
          <cell r="D10430" t="str">
            <v>Aditya Birla Sun Life US Treasury 1-3 Year Bond ETFs Fund Of Funds-Direct Growth</v>
          </cell>
          <cell r="E10430">
            <v>12.979699999999999</v>
          </cell>
        </row>
        <row r="10431">
          <cell r="B10431" t="str">
            <v>INF209KB17W5</v>
          </cell>
          <cell r="C10431" t="str">
            <v>INF209KB18W3</v>
          </cell>
          <cell r="D10431" t="str">
            <v>Aditya Birla Sun Life US Treasury 1-3 Year Bond ETFs Fund Of Funds-Direct IDCW Payout</v>
          </cell>
          <cell r="E10431">
            <v>12.979699999999999</v>
          </cell>
        </row>
        <row r="10432">
          <cell r="B10432" t="str">
            <v>INF209KB13W4</v>
          </cell>
          <cell r="C10432" t="str">
            <v>-</v>
          </cell>
          <cell r="D10432" t="str">
            <v>Aditya Birla Sun Life US Treasury 1-3 Year Bond ETFs Fund Of Funds-Regular Growth</v>
          </cell>
          <cell r="E10432">
            <v>12.9633</v>
          </cell>
        </row>
        <row r="10433">
          <cell r="B10433" t="str">
            <v>INF209KB14W2</v>
          </cell>
          <cell r="C10433" t="str">
            <v>INF209KB15W9</v>
          </cell>
          <cell r="D10433" t="str">
            <v>Aditya Birla Sun Life US Treasury 1-3 Year Bond ETFs Fund Of Funds-Regular IDCW</v>
          </cell>
          <cell r="E10433">
            <v>12.962</v>
          </cell>
        </row>
        <row r="10434">
          <cell r="B10434" t="str">
            <v>INF209KB12X4</v>
          </cell>
          <cell r="C10434" t="str">
            <v>-</v>
          </cell>
          <cell r="D10434" t="str">
            <v>Aditya Birla Sun Life US Treasury 3-10 Year Bond ETFs Fund Of Funds-Direct Growth</v>
          </cell>
          <cell r="E10434">
            <v>13.1477</v>
          </cell>
        </row>
        <row r="10435">
          <cell r="B10435" t="str">
            <v>INF209KB13X2</v>
          </cell>
          <cell r="C10435" t="str">
            <v>INF209KB14X0</v>
          </cell>
          <cell r="D10435" t="str">
            <v>Aditya Birla Sun Life US Treasury 3-10 Year Bond ETFs Fund Of Funds-Direct IDCW</v>
          </cell>
          <cell r="E10435">
            <v>13.1477</v>
          </cell>
        </row>
        <row r="10436">
          <cell r="B10436" t="str">
            <v>INF209KB19W1</v>
          </cell>
          <cell r="C10436" t="str">
            <v>-</v>
          </cell>
          <cell r="D10436" t="str">
            <v>Aditya Birla Sun Life US Treasury 3-10 Year Bond ETFs Fund Of Funds-Regular Growth</v>
          </cell>
          <cell r="E10436">
            <v>13.129300000000001</v>
          </cell>
        </row>
        <row r="10437">
          <cell r="B10437" t="str">
            <v>INF209KB10X8</v>
          </cell>
          <cell r="C10437" t="str">
            <v>INF209KB11X6</v>
          </cell>
          <cell r="D10437" t="str">
            <v>Aditya Birla Sun Life US Treasury 3-10 Year Bond ETFs Fund Of Funds-Regular IDCW</v>
          </cell>
          <cell r="E10437">
            <v>13.129300000000001</v>
          </cell>
        </row>
        <row r="10438">
          <cell r="B10438" t="str">
            <v/>
          </cell>
          <cell r="C10438" t="str">
            <v/>
          </cell>
          <cell r="D10438" t="str">
            <v/>
          </cell>
        </row>
        <row r="10439">
          <cell r="B10439" t="str">
            <v/>
          </cell>
          <cell r="C10439" t="str">
            <v/>
          </cell>
          <cell r="D10439" t="str">
            <v/>
          </cell>
        </row>
        <row r="10440">
          <cell r="B10440" t="str">
            <v/>
          </cell>
          <cell r="C10440" t="str">
            <v/>
          </cell>
          <cell r="D10440" t="str">
            <v/>
          </cell>
        </row>
        <row r="10441">
          <cell r="B10441" t="str">
            <v>INF846K01X06</v>
          </cell>
          <cell r="C10441" t="str">
            <v>-</v>
          </cell>
          <cell r="D10441" t="str">
            <v>Axis Global Equity Alpha Fund of Fund - Direct Plan - Growth Option</v>
          </cell>
          <cell r="E10441">
            <v>25.944299999999998</v>
          </cell>
        </row>
        <row r="10442">
          <cell r="B10442" t="str">
            <v>INF846K01X14</v>
          </cell>
          <cell r="C10442" t="str">
            <v>INF846K01X22</v>
          </cell>
          <cell r="D10442" t="str">
            <v>Axis Global Equity Alpha Fund of Fund - Direct Plan - IDCW</v>
          </cell>
          <cell r="E10442">
            <v>25.936399999999999</v>
          </cell>
        </row>
        <row r="10443">
          <cell r="B10443" t="str">
            <v>INF846K01X30</v>
          </cell>
          <cell r="C10443" t="str">
            <v>-</v>
          </cell>
          <cell r="D10443" t="str">
            <v>Axis Global Equity Alpha Fund of Fund - Regular Plan - Growth Option</v>
          </cell>
          <cell r="E10443">
            <v>24.497199999999999</v>
          </cell>
        </row>
        <row r="10444">
          <cell r="B10444" t="str">
            <v>INF846K01X48</v>
          </cell>
          <cell r="C10444" t="str">
            <v>INF846K01X55</v>
          </cell>
          <cell r="D10444" t="str">
            <v>Axis Global Equity Alpha Fund of Fund - Regular Plan - IDCW</v>
          </cell>
          <cell r="E10444">
            <v>24.497399999999999</v>
          </cell>
        </row>
        <row r="10445">
          <cell r="B10445" t="str">
            <v>INF846K01Z20</v>
          </cell>
          <cell r="C10445" t="str">
            <v>-</v>
          </cell>
          <cell r="D10445" t="str">
            <v>Axis Global Innovation Fund of Fund - Direct Plan - Growth</v>
          </cell>
          <cell r="E10445">
            <v>19.559999999999999</v>
          </cell>
        </row>
        <row r="10446">
          <cell r="B10446" t="str">
            <v>INF846K01Z38</v>
          </cell>
          <cell r="C10446" t="str">
            <v>INF846K01Z46</v>
          </cell>
          <cell r="D10446" t="str">
            <v>Axis Global Innovation Fund of Fund - Direct Plan - IDCW</v>
          </cell>
          <cell r="E10446">
            <v>19.55</v>
          </cell>
        </row>
        <row r="10447">
          <cell r="B10447" t="str">
            <v>INF846K01Z53</v>
          </cell>
          <cell r="C10447" t="str">
            <v>-</v>
          </cell>
          <cell r="D10447" t="str">
            <v>Axis Global Innovation Fund of Fund - Regular Plan - Growth</v>
          </cell>
          <cell r="E10447">
            <v>18.579999999999998</v>
          </cell>
        </row>
        <row r="10448">
          <cell r="B10448" t="str">
            <v>INF846K01Z61</v>
          </cell>
          <cell r="C10448" t="str">
            <v>INF846K01Z79</v>
          </cell>
          <cell r="D10448" t="str">
            <v>Axis Global Innovation Fund of Fund - Regular Plan - IDCW</v>
          </cell>
          <cell r="E10448">
            <v>18.579999999999998</v>
          </cell>
        </row>
        <row r="10449">
          <cell r="B10449" t="str">
            <v>INF846K01Y39</v>
          </cell>
          <cell r="C10449" t="str">
            <v>-</v>
          </cell>
          <cell r="D10449" t="str">
            <v>Axis Greater China Equity Fund of Fund - Direct Plan - Growth Option</v>
          </cell>
          <cell r="E10449">
            <v>12.33</v>
          </cell>
        </row>
        <row r="10450">
          <cell r="B10450" t="str">
            <v>INF846K01Y47</v>
          </cell>
          <cell r="C10450" t="str">
            <v>INF846K01Y54</v>
          </cell>
          <cell r="D10450" t="str">
            <v>Axis Greater China Equity Fund of Fund - Direct Plan - IDCW</v>
          </cell>
          <cell r="E10450">
            <v>12.32</v>
          </cell>
        </row>
        <row r="10451">
          <cell r="B10451" t="str">
            <v>INF846K01Y62</v>
          </cell>
          <cell r="C10451" t="str">
            <v>-</v>
          </cell>
          <cell r="D10451" t="str">
            <v>Axis Greater China Equity Fund of Fund - Regular Plan - Growth Option</v>
          </cell>
          <cell r="E10451">
            <v>11.62</v>
          </cell>
        </row>
        <row r="10452">
          <cell r="B10452" t="str">
            <v>INF846K01Y70</v>
          </cell>
          <cell r="C10452" t="str">
            <v>INF846K01Y88</v>
          </cell>
          <cell r="D10452" t="str">
            <v>Axis Greater China Equity Fund of Fund - Regular Plan - IDCW</v>
          </cell>
          <cell r="E10452">
            <v>11.61</v>
          </cell>
        </row>
        <row r="10453">
          <cell r="B10453" t="str">
            <v>INF846K012K9</v>
          </cell>
          <cell r="C10453" t="str">
            <v>-</v>
          </cell>
          <cell r="D10453" t="str">
            <v>Axis NASDAQ 100 US Specific Equity Passive FOF - Direct Plan - Growth</v>
          </cell>
          <cell r="E10453">
            <v>29.768599999999999</v>
          </cell>
        </row>
        <row r="10454">
          <cell r="B10454" t="str">
            <v>INF846K013K7</v>
          </cell>
          <cell r="C10454" t="str">
            <v>INF846K014K5</v>
          </cell>
          <cell r="D10454" t="str">
            <v>Axis NASDAQ 100 US Specific Equity Passive FOF - Direct Plan - IDCW</v>
          </cell>
          <cell r="E10454">
            <v>29.768599999999999</v>
          </cell>
        </row>
        <row r="10455">
          <cell r="B10455" t="str">
            <v>INF846K015K2</v>
          </cell>
          <cell r="C10455" t="str">
            <v>-</v>
          </cell>
          <cell r="D10455" t="str">
            <v>Axis NASDAQ 100 US Specific Equity Passive FOF - Regular Plan - Growth</v>
          </cell>
          <cell r="E10455">
            <v>29.355799999999999</v>
          </cell>
        </row>
        <row r="10456">
          <cell r="B10456" t="str">
            <v>INF846K016K0</v>
          </cell>
          <cell r="C10456" t="str">
            <v>INF846K017K8</v>
          </cell>
          <cell r="D10456" t="str">
            <v>Axis NASDAQ 100 US Specific Equity Passive FOF - Regular Plan - IDCW</v>
          </cell>
          <cell r="E10456">
            <v>29.355699999999999</v>
          </cell>
        </row>
        <row r="10457">
          <cell r="B10457" t="str">
            <v>INF846K017T9</v>
          </cell>
          <cell r="C10457" t="str">
            <v>-</v>
          </cell>
          <cell r="D10457" t="str">
            <v>Axis US Specific Treasury Dynamic Debt Passive FOF - Direct Plan - Growth Option</v>
          </cell>
          <cell r="E10457">
            <v>12.335699999999999</v>
          </cell>
        </row>
        <row r="10458">
          <cell r="B10458" t="str">
            <v>INF846K018T7</v>
          </cell>
          <cell r="C10458" t="str">
            <v>INF846K019T5</v>
          </cell>
          <cell r="D10458" t="str">
            <v>Axis US Specific Treasury Dynamic Debt Passive FOF - Direct Plan - IDCW Option</v>
          </cell>
          <cell r="E10458">
            <v>12.3347</v>
          </cell>
        </row>
        <row r="10459">
          <cell r="B10459" t="str">
            <v>INF846K013T8</v>
          </cell>
          <cell r="C10459" t="str">
            <v>-</v>
          </cell>
          <cell r="D10459" t="str">
            <v>Axis US Specific Treasury Dynamic Debt Passive FOF - Regular Plan - Growth Option</v>
          </cell>
          <cell r="E10459">
            <v>12.32</v>
          </cell>
        </row>
        <row r="10460">
          <cell r="B10460" t="str">
            <v>INF846K014T6</v>
          </cell>
          <cell r="C10460" t="str">
            <v>INF846K016T1</v>
          </cell>
          <cell r="D10460" t="str">
            <v>Axis US Specific Treasury Dynamic Debt Passive FOF - Regular Plan - IDCW Option</v>
          </cell>
          <cell r="E10460">
            <v>12.319900000000001</v>
          </cell>
        </row>
        <row r="10461">
          <cell r="B10461" t="str">
            <v/>
          </cell>
          <cell r="C10461" t="str">
            <v/>
          </cell>
          <cell r="D10461" t="str">
            <v/>
          </cell>
        </row>
        <row r="10462">
          <cell r="B10462" t="str">
            <v/>
          </cell>
          <cell r="C10462" t="str">
            <v/>
          </cell>
          <cell r="D10462" t="str">
            <v/>
          </cell>
        </row>
        <row r="10463">
          <cell r="B10463" t="str">
            <v/>
          </cell>
          <cell r="C10463" t="str">
            <v/>
          </cell>
          <cell r="D10463" t="str">
            <v/>
          </cell>
        </row>
        <row r="10464">
          <cell r="B10464" t="str">
            <v>INF194KB1CF2</v>
          </cell>
          <cell r="C10464" t="str">
            <v>-</v>
          </cell>
          <cell r="D10464" t="str">
            <v>Bandhan US specific Equity Active FOF - GROWTH - DIRECT PLAN</v>
          </cell>
          <cell r="E10464">
            <v>20.690999999999999</v>
          </cell>
        </row>
        <row r="10465">
          <cell r="B10465" t="str">
            <v>INF194KB1CC9</v>
          </cell>
          <cell r="C10465" t="str">
            <v>-</v>
          </cell>
          <cell r="D10465" t="str">
            <v>Bandhan US specific Equity Active FOF - GROWTH - REGULAR PLAN</v>
          </cell>
          <cell r="E10465">
            <v>19.664999999999999</v>
          </cell>
        </row>
        <row r="10466">
          <cell r="B10466" t="str">
            <v>INF194KB1CG0</v>
          </cell>
          <cell r="C10466" t="str">
            <v>-</v>
          </cell>
          <cell r="D10466" t="str">
            <v>Bandhan US specific Equity Active FOF - IDCW - DIRECT PLAN</v>
          </cell>
          <cell r="E10466">
            <v>20.690999999999999</v>
          </cell>
        </row>
        <row r="10467">
          <cell r="B10467" t="str">
            <v>INF194KB1CD7</v>
          </cell>
          <cell r="C10467" t="str">
            <v>-</v>
          </cell>
          <cell r="D10467" t="str">
            <v>Bandhan US specific Equity Active FOF - IDCW - REGULAR PLAN</v>
          </cell>
          <cell r="E10467">
            <v>19.664999999999999</v>
          </cell>
        </row>
        <row r="10468">
          <cell r="B10468" t="str">
            <v>INF194KB1FV2</v>
          </cell>
          <cell r="C10468" t="str">
            <v>-</v>
          </cell>
          <cell r="D10468" t="str">
            <v>Bandhan US Treasury Bond 0-1 year specific Debt Passive FOF - DIRECT PLAN - GROWTH</v>
          </cell>
          <cell r="E10468">
            <v>13.509399999999999</v>
          </cell>
        </row>
        <row r="10469">
          <cell r="B10469" t="str">
            <v>INF194KB1FW0</v>
          </cell>
          <cell r="C10469" t="str">
            <v>INF194KB1GA4</v>
          </cell>
          <cell r="D10469" t="str">
            <v>Bandhan US Treasury Bond 0-1 year specific Debt Passive FOF - DIRECT PLAN - IDCW</v>
          </cell>
          <cell r="E10469">
            <v>13.509399999999999</v>
          </cell>
        </row>
        <row r="10470">
          <cell r="B10470" t="str">
            <v>INF194KB1FT6</v>
          </cell>
          <cell r="C10470" t="str">
            <v>-</v>
          </cell>
          <cell r="D10470" t="str">
            <v>Bandhan US Treasury Bond 0-1 year specific Debt Passive FOF - REGULAR PLAN - GROWTH</v>
          </cell>
          <cell r="E10470">
            <v>13.482799999999999</v>
          </cell>
        </row>
        <row r="10471">
          <cell r="B10471" t="str">
            <v>INF194KB1FU4</v>
          </cell>
          <cell r="C10471" t="str">
            <v>INF194KB1FZ3</v>
          </cell>
          <cell r="D10471" t="str">
            <v>Bandhan US Treasury Bond 0-1 year specific Debt Passive FOF- REGULAR PLAN- IDCW</v>
          </cell>
          <cell r="E10471">
            <v>13.482799999999999</v>
          </cell>
        </row>
        <row r="10472">
          <cell r="B10472" t="str">
            <v/>
          </cell>
          <cell r="C10472" t="str">
            <v/>
          </cell>
          <cell r="D10472" t="str">
            <v/>
          </cell>
        </row>
        <row r="10473">
          <cell r="B10473" t="str">
            <v/>
          </cell>
          <cell r="C10473" t="str">
            <v/>
          </cell>
          <cell r="D10473" t="str">
            <v/>
          </cell>
        </row>
        <row r="10474">
          <cell r="B10474" t="str">
            <v/>
          </cell>
          <cell r="C10474" t="str">
            <v/>
          </cell>
          <cell r="D10474" t="str">
            <v/>
          </cell>
        </row>
        <row r="10475">
          <cell r="B10475" t="str">
            <v>INF251K01QT5</v>
          </cell>
          <cell r="C10475" t="str">
            <v>-</v>
          </cell>
          <cell r="D10475" t="str">
            <v>Baroda BNP Paribas Aqua Fund of Fund - Direct Plan - Growth Option</v>
          </cell>
          <cell r="E10475">
            <v>16.673500000000001</v>
          </cell>
        </row>
        <row r="10476">
          <cell r="B10476" t="str">
            <v>INF251K01QU3</v>
          </cell>
          <cell r="C10476" t="str">
            <v>INF251K01QV1</v>
          </cell>
          <cell r="D10476" t="str">
            <v>Baroda BNP Paribas Aqua Fund of Fund - Direct Plan - IDCW Option</v>
          </cell>
          <cell r="E10476">
            <v>16.673500000000001</v>
          </cell>
        </row>
        <row r="10477">
          <cell r="B10477" t="str">
            <v>INF251K01QR9</v>
          </cell>
          <cell r="C10477" t="str">
            <v>INF251K01QS7</v>
          </cell>
          <cell r="D10477" t="str">
            <v>Baroda BNP Paribas Aqua Fund of Fund - Regular Plan - IDCW Option</v>
          </cell>
          <cell r="E10477">
            <v>15.7789</v>
          </cell>
        </row>
        <row r="10478">
          <cell r="B10478" t="str">
            <v>INF251K01QQ1</v>
          </cell>
          <cell r="C10478" t="str">
            <v>-</v>
          </cell>
          <cell r="D10478" t="str">
            <v>Baroda BNP Paribas Aqua Fund of Fund - Regular Plan Growth</v>
          </cell>
          <cell r="E10478">
            <v>15.7789</v>
          </cell>
        </row>
        <row r="10479">
          <cell r="B10479" t="str">
            <v/>
          </cell>
          <cell r="C10479" t="str">
            <v/>
          </cell>
          <cell r="D10479" t="str">
            <v/>
          </cell>
        </row>
        <row r="10480">
          <cell r="B10480" t="str">
            <v/>
          </cell>
          <cell r="C10480" t="str">
            <v/>
          </cell>
          <cell r="D10480" t="str">
            <v/>
          </cell>
        </row>
        <row r="10481">
          <cell r="B10481" t="str">
            <v/>
          </cell>
          <cell r="C10481" t="str">
            <v/>
          </cell>
          <cell r="D10481" t="str">
            <v/>
          </cell>
        </row>
        <row r="10482">
          <cell r="B10482" t="str">
            <v>INF740K01PD3</v>
          </cell>
          <cell r="C10482" t="str">
            <v>INF740K01PE1</v>
          </cell>
          <cell r="D10482" t="str">
            <v>DSP Global Clean Energy Overseas Equity Omni FoF - Direct Plan - IDCW</v>
          </cell>
          <cell r="E10482">
            <v>21.563199999999998</v>
          </cell>
        </row>
        <row r="10483">
          <cell r="B10483" t="str">
            <v>INF740K01284</v>
          </cell>
          <cell r="C10483" t="str">
            <v>-</v>
          </cell>
          <cell r="D10483" t="str">
            <v>DSP Global Clean Energy Overseas Equity Omni FoF - Regular Plan - Growth</v>
          </cell>
          <cell r="E10483">
            <v>29.185500000000001</v>
          </cell>
        </row>
        <row r="10484">
          <cell r="B10484" t="str">
            <v>INF740K01292</v>
          </cell>
          <cell r="C10484" t="str">
            <v>INF740K01300</v>
          </cell>
          <cell r="D10484" t="str">
            <v>DSP Global Clean Energy Overseas Equity Omni FoF - Regular Plan - IDCW</v>
          </cell>
          <cell r="E10484">
            <v>20.292999999999999</v>
          </cell>
        </row>
        <row r="10485">
          <cell r="B10485" t="str">
            <v>INF740K01PC5</v>
          </cell>
          <cell r="C10485" t="str">
            <v>-</v>
          </cell>
          <cell r="D10485" t="str">
            <v>DSP Global Clean Energy Overseas Equity Omni FoF Direct Plan - Growth</v>
          </cell>
          <cell r="E10485">
            <v>30.910399999999999</v>
          </cell>
        </row>
        <row r="10486">
          <cell r="B10486" t="str">
            <v>INF740KA1QP1</v>
          </cell>
          <cell r="C10486" t="str">
            <v>-</v>
          </cell>
          <cell r="D10486" t="str">
            <v>DSP Global Innovation Overseas Equity Omni FoF - Direct - Growth</v>
          </cell>
          <cell r="E10486">
            <v>22.6267</v>
          </cell>
        </row>
        <row r="10487">
          <cell r="B10487" t="str">
            <v>INF740KA1QQ9</v>
          </cell>
          <cell r="C10487" t="str">
            <v>INF740KA1QR7</v>
          </cell>
          <cell r="D10487" t="str">
            <v>DSP Global Innovation Overseas Equity Omni FoF - Direct - IDCW</v>
          </cell>
          <cell r="E10487">
            <v>22.6267</v>
          </cell>
        </row>
        <row r="10488">
          <cell r="B10488" t="str">
            <v>INF740KA1QM8</v>
          </cell>
          <cell r="C10488" t="str">
            <v>-</v>
          </cell>
          <cell r="D10488" t="str">
            <v>DSP Global Innovation Overseas Equity Omni FoF - Regular - Growth</v>
          </cell>
          <cell r="E10488">
            <v>21.735499999999998</v>
          </cell>
        </row>
        <row r="10489">
          <cell r="B10489" t="str">
            <v>INF740KA1QN6</v>
          </cell>
          <cell r="C10489" t="str">
            <v>INF740KA1QO4</v>
          </cell>
          <cell r="D10489" t="str">
            <v>DSP Global Innovation Overseas Equity Omni FoF - Regular - IDCW</v>
          </cell>
          <cell r="E10489">
            <v>21.735499999999998</v>
          </cell>
        </row>
        <row r="10490">
          <cell r="B10490" t="str">
            <v>INF740KA1UJ6</v>
          </cell>
          <cell r="C10490" t="str">
            <v>-</v>
          </cell>
          <cell r="D10490" t="str">
            <v>DSP US Specific Debt Passive FoF - Direct - Growth</v>
          </cell>
          <cell r="E10490">
            <v>12.641400000000001</v>
          </cell>
        </row>
        <row r="10491">
          <cell r="B10491" t="str">
            <v>INF740KA1UK4</v>
          </cell>
          <cell r="C10491" t="str">
            <v>INF740KA1UL2</v>
          </cell>
          <cell r="D10491" t="str">
            <v>DSP US Specific Debt Passive FoF - Direct - IDCW</v>
          </cell>
          <cell r="E10491">
            <v>12.641400000000001</v>
          </cell>
        </row>
        <row r="10492">
          <cell r="B10492" t="str">
            <v>INF740KA1UG2</v>
          </cell>
          <cell r="C10492" t="str">
            <v>-</v>
          </cell>
          <cell r="D10492" t="str">
            <v>DSP US Specific Debt Passive FoF - Regular - Growth</v>
          </cell>
          <cell r="E10492">
            <v>12.6266</v>
          </cell>
        </row>
        <row r="10493">
          <cell r="B10493" t="str">
            <v>INF740KA1UH0</v>
          </cell>
          <cell r="C10493" t="str">
            <v>INF740KA1UI8</v>
          </cell>
          <cell r="D10493" t="str">
            <v>DSP US Specific Debt Passive FoF - Regular - IDCW</v>
          </cell>
          <cell r="E10493">
            <v>12.6266</v>
          </cell>
        </row>
        <row r="10494">
          <cell r="B10494" t="str">
            <v>INF740K01OH7</v>
          </cell>
          <cell r="C10494" t="str">
            <v>-</v>
          </cell>
          <cell r="D10494" t="str">
            <v>DSP US Specific Equity Omni FoF - Direct Plan - Growth</v>
          </cell>
          <cell r="E10494">
            <v>103.8523</v>
          </cell>
        </row>
        <row r="10495">
          <cell r="B10495" t="str">
            <v>INF740K01OI5</v>
          </cell>
          <cell r="C10495" t="str">
            <v>INF740K01OJ3</v>
          </cell>
          <cell r="D10495" t="str">
            <v>DSP US Specific Equity Omni FoF - Direct Plan - IDCW</v>
          </cell>
          <cell r="E10495">
            <v>82.636099999999999</v>
          </cell>
        </row>
        <row r="10496">
          <cell r="B10496" t="str">
            <v>INF740K01LP6</v>
          </cell>
          <cell r="C10496" t="str">
            <v>-</v>
          </cell>
          <cell r="D10496" t="str">
            <v>DSP US Specific Equity Omni FoF - Regular Plan - Growth Option</v>
          </cell>
          <cell r="E10496">
            <v>93.930899999999994</v>
          </cell>
        </row>
        <row r="10497">
          <cell r="B10497" t="str">
            <v>INF740K01LQ4</v>
          </cell>
          <cell r="C10497" t="str">
            <v>INF740K01LR2</v>
          </cell>
          <cell r="D10497" t="str">
            <v>DSP US Specific Equity Omni FoF - Regular Plan - IDCW</v>
          </cell>
          <cell r="E10497">
            <v>42.474400000000003</v>
          </cell>
        </row>
        <row r="10498">
          <cell r="B10498" t="str">
            <v>INF740K01OZ9</v>
          </cell>
          <cell r="C10498" t="str">
            <v>-</v>
          </cell>
          <cell r="D10498" t="str">
            <v>DSP World Gold Mining Overseas Equity Omni FoF - Direct Plan - Growth</v>
          </cell>
          <cell r="E10498">
            <v>55.462299999999999</v>
          </cell>
        </row>
        <row r="10499">
          <cell r="B10499" t="str">
            <v>INF740K01PA9</v>
          </cell>
          <cell r="C10499" t="str">
            <v>INF740K01PB7</v>
          </cell>
          <cell r="D10499" t="str">
            <v>DSP World Gold Mining Overseas Equity Omni FoF - Direct Plan - IDCW</v>
          </cell>
          <cell r="E10499">
            <v>33.198500000000003</v>
          </cell>
        </row>
        <row r="10500">
          <cell r="B10500" t="str">
            <v>INF740K01250</v>
          </cell>
          <cell r="C10500" t="str">
            <v>-</v>
          </cell>
          <cell r="D10500" t="str">
            <v>DSP World Gold Mining Overseas Equity Omni FoF - Regular Plan - Growth</v>
          </cell>
          <cell r="E10500">
            <v>51.527999999999999</v>
          </cell>
        </row>
        <row r="10501">
          <cell r="B10501" t="str">
            <v>INF740K01268</v>
          </cell>
          <cell r="C10501" t="str">
            <v>INF740K01276</v>
          </cell>
          <cell r="D10501" t="str">
            <v>DSP World Gold Mining Overseas Equity Omni FoF - Regular Plan - IDCW</v>
          </cell>
          <cell r="E10501">
            <v>31.214600000000001</v>
          </cell>
        </row>
        <row r="10502">
          <cell r="B10502" t="str">
            <v>INF740K01PF8</v>
          </cell>
          <cell r="C10502" t="str">
            <v>-</v>
          </cell>
          <cell r="D10502" t="str">
            <v>DSP World Mining Overseas Equity Omni FoF - Direct Plan - Growth</v>
          </cell>
          <cell r="E10502">
            <v>33.3688</v>
          </cell>
        </row>
        <row r="10503">
          <cell r="B10503" t="str">
            <v>INF740K01PG6</v>
          </cell>
          <cell r="C10503" t="str">
            <v>INF740K01PH4</v>
          </cell>
          <cell r="D10503" t="str">
            <v>DSP World Mining Overseas Equity Omni FoF - Direct Plan - IDCW</v>
          </cell>
          <cell r="E10503">
            <v>30.138500000000001</v>
          </cell>
        </row>
        <row r="10504">
          <cell r="B10504" t="str">
            <v>INF740K01730</v>
          </cell>
          <cell r="C10504" t="str">
            <v>-</v>
          </cell>
          <cell r="D10504" t="str">
            <v>DSP World Mining Overseas Equity Omni FoF - Regular Plan - Growth</v>
          </cell>
          <cell r="E10504">
            <v>30.8033</v>
          </cell>
        </row>
        <row r="10505">
          <cell r="B10505" t="str">
            <v>INF740K01748</v>
          </cell>
          <cell r="C10505" t="str">
            <v>INF740K01AL8</v>
          </cell>
          <cell r="D10505" t="str">
            <v>DSP World Mining Overseas Equity Omni FoF - Regular Plan - IDCW</v>
          </cell>
          <cell r="E10505">
            <v>27.866299999999999</v>
          </cell>
        </row>
        <row r="10506">
          <cell r="B10506" t="str">
            <v/>
          </cell>
          <cell r="C10506" t="str">
            <v/>
          </cell>
          <cell r="D10506" t="str">
            <v/>
          </cell>
        </row>
        <row r="10507">
          <cell r="B10507" t="str">
            <v/>
          </cell>
          <cell r="C10507" t="str">
            <v/>
          </cell>
          <cell r="D10507" t="str">
            <v/>
          </cell>
        </row>
        <row r="10508">
          <cell r="B10508" t="str">
            <v/>
          </cell>
          <cell r="C10508" t="str">
            <v/>
          </cell>
          <cell r="D10508" t="str">
            <v/>
          </cell>
        </row>
        <row r="10509">
          <cell r="B10509" t="str">
            <v>INF843K01AW7</v>
          </cell>
          <cell r="C10509" t="str">
            <v>-</v>
          </cell>
          <cell r="D10509" t="str">
            <v>Edelweiss ASEAN Equity Off-shore Fund - Direct Plan - Growth Option</v>
          </cell>
          <cell r="E10509">
            <v>42.423000000000002</v>
          </cell>
        </row>
        <row r="10510">
          <cell r="B10510" t="str">
            <v>INF843K01609</v>
          </cell>
          <cell r="C10510" t="str">
            <v>-</v>
          </cell>
          <cell r="D10510" t="str">
            <v>Edelweiss ASEAN Equity Off-shore Fund - Regular Plan - Growth Option</v>
          </cell>
          <cell r="E10510">
            <v>37.728000000000002</v>
          </cell>
        </row>
        <row r="10511">
          <cell r="B10511" t="str">
            <v>INF843K01IZ3</v>
          </cell>
          <cell r="C10511" t="str">
            <v>-</v>
          </cell>
          <cell r="D10511" t="str">
            <v>Edelweiss Emerging Markets Opportunities Equity Offshore Fund - Direct Plan - Growth Option</v>
          </cell>
          <cell r="E10511">
            <v>30.7818</v>
          </cell>
        </row>
        <row r="10512">
          <cell r="B10512" t="str">
            <v>INF843K01IY6</v>
          </cell>
          <cell r="C10512" t="str">
            <v>-</v>
          </cell>
          <cell r="D10512" t="str">
            <v>Edelweiss Emerging Markets Opportunities Equity Offshore Fund - Regular Plan - Growth Option</v>
          </cell>
          <cell r="E10512">
            <v>28.087800000000001</v>
          </cell>
        </row>
        <row r="10513">
          <cell r="B10513" t="str">
            <v>INF843K01GI3</v>
          </cell>
          <cell r="C10513" t="str">
            <v>-</v>
          </cell>
          <cell r="D10513" t="str">
            <v>Edelweiss Europe Dynamic Equity Offshore Fund - Growth Option - Direct Plan</v>
          </cell>
          <cell r="E10513">
            <v>35.095300000000002</v>
          </cell>
        </row>
        <row r="10514">
          <cell r="B10514" t="str">
            <v>INF843K01GJ1</v>
          </cell>
          <cell r="C10514" t="str">
            <v>-</v>
          </cell>
          <cell r="D10514" t="str">
            <v>Edelweiss Europe Dynamic Equity Offshore Fund - Growth Option - Regular Plan</v>
          </cell>
          <cell r="E10514">
            <v>31.544899999999998</v>
          </cell>
        </row>
        <row r="10515">
          <cell r="B10515" t="str">
            <v>INF843K01AU1</v>
          </cell>
          <cell r="C10515" t="str">
            <v>-</v>
          </cell>
          <cell r="D10515" t="str">
            <v>Edelweiss Greater China Equity Off-shore Fund - Direct Plan - Growth Option</v>
          </cell>
          <cell r="E10515">
            <v>72.697999999999993</v>
          </cell>
        </row>
        <row r="10516">
          <cell r="B10516" t="str">
            <v>INF843K01138</v>
          </cell>
          <cell r="C10516" t="str">
            <v>-</v>
          </cell>
          <cell r="D10516" t="str">
            <v>Edelweiss Greater China Equity Off-shore Fund - Regular Plan - Growth Option</v>
          </cell>
          <cell r="E10516">
            <v>64.120999999999995</v>
          </cell>
        </row>
        <row r="10517">
          <cell r="B10517" t="str">
            <v>INF754K01LB7</v>
          </cell>
          <cell r="C10517" t="str">
            <v>-</v>
          </cell>
          <cell r="D10517" t="str">
            <v>Edelweiss US Technology Equity Fund of Fund- Direct Plan- Growth</v>
          </cell>
          <cell r="E10517">
            <v>40.349899999999998</v>
          </cell>
        </row>
        <row r="10518">
          <cell r="B10518" t="str">
            <v>INF754K01LC5</v>
          </cell>
          <cell r="C10518" t="str">
            <v>-</v>
          </cell>
          <cell r="D10518" t="str">
            <v>Edelweiss US Technology Equity Fund of Fund- Regular Plan- Growth</v>
          </cell>
          <cell r="E10518">
            <v>37.978700000000003</v>
          </cell>
        </row>
        <row r="10519">
          <cell r="B10519" t="str">
            <v>INF843K01EC1</v>
          </cell>
          <cell r="C10519" t="str">
            <v>-</v>
          </cell>
          <cell r="D10519" t="str">
            <v>Edelweiss US Value Equity Offshore Fund - Direct Plan - Growth Option</v>
          </cell>
          <cell r="E10519">
            <v>49.101799999999997</v>
          </cell>
        </row>
        <row r="10520">
          <cell r="B10520" t="str">
            <v>INF843K01ED9</v>
          </cell>
          <cell r="C10520" t="str">
            <v>-</v>
          </cell>
          <cell r="D10520" t="str">
            <v>Edelweiss US Value Equity Offshore Fund - Regular Plan - Growth Option</v>
          </cell>
          <cell r="E10520">
            <v>44.0139</v>
          </cell>
        </row>
        <row r="10521">
          <cell r="B10521" t="str">
            <v/>
          </cell>
          <cell r="C10521" t="str">
            <v/>
          </cell>
          <cell r="D10521" t="str">
            <v/>
          </cell>
        </row>
        <row r="10522">
          <cell r="B10522" t="str">
            <v/>
          </cell>
          <cell r="C10522" t="str">
            <v/>
          </cell>
          <cell r="D10522" t="str">
            <v/>
          </cell>
        </row>
        <row r="10523">
          <cell r="B10523" t="str">
            <v/>
          </cell>
          <cell r="C10523" t="str">
            <v/>
          </cell>
          <cell r="D10523" t="str">
            <v/>
          </cell>
        </row>
        <row r="10524">
          <cell r="B10524" t="str">
            <v>INF090I01JR0</v>
          </cell>
          <cell r="C10524" t="str">
            <v>-</v>
          </cell>
          <cell r="D10524" t="str">
            <v>Franklin U.S. Opportunities Equity Active Fund of Funds - Direct - Growth</v>
          </cell>
          <cell r="E10524">
            <v>104.57980000000001</v>
          </cell>
        </row>
        <row r="10525">
          <cell r="B10525" t="str">
            <v>INF090I01JP4</v>
          </cell>
          <cell r="C10525" t="str">
            <v>INF090I01JQ2</v>
          </cell>
          <cell r="D10525" t="str">
            <v>Franklin U.S. Opportunities Equity Active Fund of Funds - Direct - IDCW</v>
          </cell>
          <cell r="E10525">
            <v>100.5476</v>
          </cell>
        </row>
        <row r="10526">
          <cell r="B10526" t="str">
            <v>INF090I01EW1</v>
          </cell>
          <cell r="C10526" t="str">
            <v>-</v>
          </cell>
          <cell r="D10526" t="str">
            <v>Franklin U.S. Opportunities Equity Active Fund of Funds - Growth</v>
          </cell>
          <cell r="E10526">
            <v>91.688800000000001</v>
          </cell>
        </row>
        <row r="10527">
          <cell r="B10527" t="str">
            <v>INF090I01EV3</v>
          </cell>
          <cell r="C10527" t="str">
            <v>INF090I01EU5</v>
          </cell>
          <cell r="D10527" t="str">
            <v>Franklin U.S. Opportunities Equity Active Fund of Funds - IDCW</v>
          </cell>
          <cell r="E10527">
            <v>89.169700000000006</v>
          </cell>
        </row>
        <row r="10528">
          <cell r="B10528" t="str">
            <v/>
          </cell>
          <cell r="C10528" t="str">
            <v/>
          </cell>
          <cell r="D10528" t="str">
            <v/>
          </cell>
        </row>
        <row r="10529">
          <cell r="B10529" t="str">
            <v/>
          </cell>
          <cell r="C10529" t="str">
            <v/>
          </cell>
          <cell r="D10529" t="str">
            <v/>
          </cell>
        </row>
        <row r="10530">
          <cell r="B10530" t="str">
            <v/>
          </cell>
          <cell r="C10530" t="str">
            <v/>
          </cell>
          <cell r="D10530" t="str">
            <v/>
          </cell>
        </row>
        <row r="10531">
          <cell r="B10531" t="str">
            <v>INF179KC1BO4</v>
          </cell>
          <cell r="C10531" t="str">
            <v>-</v>
          </cell>
          <cell r="D10531" t="str">
            <v>HDFC Developed World Overseas Equity Passive FOF - Direct Plan - Growth Option</v>
          </cell>
          <cell r="E10531">
            <v>21.786000000000001</v>
          </cell>
        </row>
        <row r="10532">
          <cell r="B10532" t="str">
            <v>INF179KC1BP1</v>
          </cell>
          <cell r="C10532" t="str">
            <v>-</v>
          </cell>
          <cell r="D10532" t="str">
            <v>HDFC Developed World Overseas Equity Passive FOF - Growth Option</v>
          </cell>
          <cell r="E10532">
            <v>21.306000000000001</v>
          </cell>
        </row>
        <row r="10533">
          <cell r="B10533" t="str">
            <v/>
          </cell>
          <cell r="C10533" t="str">
            <v/>
          </cell>
          <cell r="D10533" t="str">
            <v/>
          </cell>
        </row>
        <row r="10534">
          <cell r="B10534" t="str">
            <v/>
          </cell>
          <cell r="C10534" t="str">
            <v/>
          </cell>
          <cell r="D10534" t="str">
            <v/>
          </cell>
        </row>
        <row r="10535">
          <cell r="B10535" t="str">
            <v/>
          </cell>
          <cell r="C10535" t="str">
            <v/>
          </cell>
          <cell r="D10535" t="str">
            <v/>
          </cell>
        </row>
        <row r="10536">
          <cell r="B10536" t="str">
            <v>INF336L01HC7</v>
          </cell>
          <cell r="C10536" t="str">
            <v>-</v>
          </cell>
          <cell r="D10536" t="str">
            <v>HSBC Asia Pacific (Ex Japan) Dividend Yield Fund - Growth</v>
          </cell>
          <cell r="E10536">
            <v>36.067399999999999</v>
          </cell>
        </row>
        <row r="10537">
          <cell r="B10537" t="str">
            <v>INF336L01HF0</v>
          </cell>
          <cell r="C10537" t="str">
            <v>-</v>
          </cell>
          <cell r="D10537" t="str">
            <v>HSBC Asia Pacific (Ex Japan) Dividend Yield Fund - Growth Direct</v>
          </cell>
          <cell r="E10537">
            <v>39.122799999999998</v>
          </cell>
        </row>
        <row r="10538">
          <cell r="B10538" t="str">
            <v>INF336L01HG8</v>
          </cell>
          <cell r="C10538" t="str">
            <v>INF336L01HH6</v>
          </cell>
          <cell r="D10538" t="str">
            <v>HSBC Asia Pacific IDCW Yield Fund Direct Plan IDCW</v>
          </cell>
          <cell r="E10538">
            <v>25.3719</v>
          </cell>
        </row>
        <row r="10539">
          <cell r="B10539" t="str">
            <v>INF336L01HD5</v>
          </cell>
          <cell r="C10539" t="str">
            <v>INF336L01HE3</v>
          </cell>
          <cell r="D10539" t="str">
            <v>HSBC Asia Pacific IDCW Yield Fund IDCW</v>
          </cell>
          <cell r="E10539">
            <v>25.3813</v>
          </cell>
        </row>
        <row r="10540">
          <cell r="B10540" t="str">
            <v>INF336L01BY4</v>
          </cell>
          <cell r="C10540" t="str">
            <v>-</v>
          </cell>
          <cell r="D10540" t="str">
            <v>HSBC Brazil Fund - Growth Direct</v>
          </cell>
          <cell r="E10540">
            <v>11.5434</v>
          </cell>
        </row>
        <row r="10541">
          <cell r="B10541" t="str">
            <v>INF336L01172</v>
          </cell>
          <cell r="C10541" t="str">
            <v>INF336L01180</v>
          </cell>
          <cell r="D10541" t="str">
            <v>HSBC Brazil Fund - IDCW</v>
          </cell>
          <cell r="E10541">
            <v>10.4979</v>
          </cell>
        </row>
        <row r="10542">
          <cell r="B10542" t="str">
            <v>INF336L01BW8</v>
          </cell>
          <cell r="C10542" t="str">
            <v>INF336L01BX6</v>
          </cell>
          <cell r="D10542" t="str">
            <v>HSBC Brazil Fund - IDCW Direct Plan</v>
          </cell>
          <cell r="E10542">
            <v>11.5335</v>
          </cell>
        </row>
        <row r="10543">
          <cell r="B10543" t="str">
            <v>INF336L01164</v>
          </cell>
          <cell r="C10543" t="str">
            <v>-</v>
          </cell>
          <cell r="D10543" t="str">
            <v>HSBC Brazil Fund-Growth</v>
          </cell>
          <cell r="E10543">
            <v>10.4979</v>
          </cell>
        </row>
        <row r="10544">
          <cell r="B10544" t="str">
            <v>INF336L01CJ3</v>
          </cell>
          <cell r="C10544" t="str">
            <v>-</v>
          </cell>
          <cell r="D10544" t="str">
            <v>HSBC Global Emerging Market Fund - Growth Direct</v>
          </cell>
          <cell r="E10544">
            <v>37.454700000000003</v>
          </cell>
        </row>
        <row r="10545">
          <cell r="B10545" t="str">
            <v>INF336L01446</v>
          </cell>
          <cell r="C10545" t="str">
            <v>-</v>
          </cell>
          <cell r="D10545" t="str">
            <v>HSBC Global Emerging Markets Fund - Growth</v>
          </cell>
          <cell r="E10545">
            <v>34.0351</v>
          </cell>
        </row>
        <row r="10546">
          <cell r="B10546" t="str">
            <v>INF336L01438</v>
          </cell>
          <cell r="C10546" t="str">
            <v>INF336L01420</v>
          </cell>
          <cell r="D10546" t="str">
            <v>HSBC Global Emerging Markets Fund - IDCW</v>
          </cell>
          <cell r="E10546">
            <v>24.011299999999999</v>
          </cell>
        </row>
        <row r="10547">
          <cell r="B10547" t="str">
            <v>INF336L01CH7</v>
          </cell>
          <cell r="C10547" t="str">
            <v>INF336L01CI5</v>
          </cell>
          <cell r="D10547" t="str">
            <v>HSBC Global Emerging Markets Fund - IDCW Direct Plan</v>
          </cell>
          <cell r="E10547">
            <v>29.529800000000002</v>
          </cell>
        </row>
        <row r="10548">
          <cell r="B10548" t="str">
            <v/>
          </cell>
          <cell r="C10548" t="str">
            <v/>
          </cell>
          <cell r="D10548" t="str">
            <v/>
          </cell>
        </row>
        <row r="10549">
          <cell r="B10549" t="str">
            <v/>
          </cell>
          <cell r="C10549" t="str">
            <v/>
          </cell>
          <cell r="D10549" t="str">
            <v/>
          </cell>
        </row>
        <row r="10550">
          <cell r="B10550" t="str">
            <v/>
          </cell>
          <cell r="C10550" t="str">
            <v/>
          </cell>
          <cell r="D10550" t="str">
            <v/>
          </cell>
        </row>
        <row r="10551">
          <cell r="B10551" t="str">
            <v>INF109KA1CE0</v>
          </cell>
          <cell r="C10551" t="str">
            <v>-</v>
          </cell>
          <cell r="D10551" t="str">
            <v>ICICI Prudential Global Stable Equity Fund (FOF) - Direct - Growth</v>
          </cell>
          <cell r="E10551">
            <v>36</v>
          </cell>
        </row>
        <row r="10552">
          <cell r="B10552" t="str">
            <v>INF109KA1CG5</v>
          </cell>
          <cell r="C10552" t="str">
            <v>INF109KA1CF7</v>
          </cell>
          <cell r="D10552" t="str">
            <v>ICICI Prudential Global Stable Equity Fund (FOF) - Direct - IDCW</v>
          </cell>
          <cell r="E10552">
            <v>36</v>
          </cell>
        </row>
        <row r="10553">
          <cell r="B10553" t="str">
            <v>INF109KA1CB6</v>
          </cell>
          <cell r="C10553" t="str">
            <v>-</v>
          </cell>
          <cell r="D10553" t="str">
            <v>ICICI Prudential Global Stable Equity Fund (FOF) - Growth</v>
          </cell>
          <cell r="E10553">
            <v>33.14</v>
          </cell>
        </row>
        <row r="10554">
          <cell r="B10554" t="str">
            <v>INF109KA1CD2</v>
          </cell>
          <cell r="C10554" t="str">
            <v>INF109KA1CC4</v>
          </cell>
          <cell r="D10554" t="str">
            <v>ICICI Prudential Global Stable Equity Fund (FOF) - IDCW</v>
          </cell>
          <cell r="E10554">
            <v>33.14</v>
          </cell>
        </row>
        <row r="10555">
          <cell r="B10555" t="str">
            <v>INF109KC1Z55</v>
          </cell>
          <cell r="C10555" t="str">
            <v>-</v>
          </cell>
          <cell r="D10555" t="str">
            <v>ICICI Prudential Strategic Metal and Energy Equity Fund of Fund - Direct Plan Growth</v>
          </cell>
          <cell r="E10555">
            <v>30.567</v>
          </cell>
        </row>
        <row r="10556">
          <cell r="B10556" t="str">
            <v>INF109KC1Z63</v>
          </cell>
          <cell r="C10556" t="str">
            <v>INF109KC1Z71</v>
          </cell>
          <cell r="D10556" t="str">
            <v>ICICI Prudential Strategic Metal and Energy Equity Fund of Fund - Direct Plan IDCW</v>
          </cell>
          <cell r="E10556">
            <v>30.566500000000001</v>
          </cell>
        </row>
        <row r="10557">
          <cell r="B10557" t="str">
            <v>INF109KC1Z22</v>
          </cell>
          <cell r="C10557" t="str">
            <v>-</v>
          </cell>
          <cell r="D10557" t="str">
            <v>ICICI Prudential Strategic Metal and Energy Equity Fund of Fund - Growth</v>
          </cell>
          <cell r="E10557">
            <v>29.311299999999999</v>
          </cell>
        </row>
        <row r="10558">
          <cell r="B10558" t="str">
            <v>INF109KC1Z30</v>
          </cell>
          <cell r="C10558" t="str">
            <v>INF109KC1Z48</v>
          </cell>
          <cell r="D10558" t="str">
            <v>ICICI Prudential Strategic Metal and Energy Equity Fund of Fund - IDCW</v>
          </cell>
          <cell r="E10558">
            <v>29.306100000000001</v>
          </cell>
        </row>
        <row r="10559">
          <cell r="B10559" t="str">
            <v/>
          </cell>
          <cell r="C10559" t="str">
            <v/>
          </cell>
          <cell r="D10559" t="str">
            <v/>
          </cell>
        </row>
        <row r="10560">
          <cell r="B10560" t="str">
            <v/>
          </cell>
          <cell r="C10560" t="str">
            <v/>
          </cell>
          <cell r="D10560" t="str">
            <v/>
          </cell>
        </row>
        <row r="10561">
          <cell r="B10561" t="str">
            <v/>
          </cell>
          <cell r="C10561" t="str">
            <v/>
          </cell>
          <cell r="D10561" t="str">
            <v/>
          </cell>
        </row>
        <row r="10562">
          <cell r="B10562" t="str">
            <v>INF205KA1585</v>
          </cell>
          <cell r="C10562" t="str">
            <v>-</v>
          </cell>
          <cell r="D10562" t="str">
            <v>Invesco India - Invesco EQQQ Nasdaq-100 ETF Fund of Fund - Direct Plan - Growth</v>
          </cell>
          <cell r="E10562">
            <v>26.337800000000001</v>
          </cell>
        </row>
        <row r="10563">
          <cell r="B10563" t="str">
            <v>INF205KA1577</v>
          </cell>
          <cell r="C10563" t="str">
            <v>-</v>
          </cell>
          <cell r="D10563" t="str">
            <v>Invesco India - Invesco EQQQ Nasdaq-100 ETF Fund of Fund - Regular Plan - Growth</v>
          </cell>
          <cell r="E10563">
            <v>26.0731</v>
          </cell>
        </row>
        <row r="10564">
          <cell r="B10564" t="str">
            <v>INF205KA1270</v>
          </cell>
          <cell r="C10564" t="str">
            <v>-</v>
          </cell>
          <cell r="D10564" t="str">
            <v>Invesco India - Invesco Global Consumer Trends Fund of Fund - Direct Plan - Growth</v>
          </cell>
          <cell r="E10564">
            <v>13.7422</v>
          </cell>
        </row>
        <row r="10565">
          <cell r="B10565" t="str">
            <v>INF205KA1262</v>
          </cell>
          <cell r="C10565" t="str">
            <v>INF205KA1288</v>
          </cell>
          <cell r="D10565" t="str">
            <v>Invesco India - Invesco Global Consumer Trends Fund of Fund - Direct Plan - IDCW (Payout / Reinvestment)</v>
          </cell>
          <cell r="E10565">
            <v>13.741400000000001</v>
          </cell>
        </row>
        <row r="10566">
          <cell r="B10566" t="str">
            <v>INF205KA1247</v>
          </cell>
          <cell r="C10566" t="str">
            <v>-</v>
          </cell>
          <cell r="D10566" t="str">
            <v>Invesco India - Invesco Global Consumer Trends Fund of Fund - Regular Plan - Growth</v>
          </cell>
          <cell r="E10566">
            <v>13.0062</v>
          </cell>
        </row>
        <row r="10567">
          <cell r="B10567" t="str">
            <v>INF205KA1239</v>
          </cell>
          <cell r="C10567" t="str">
            <v>INF205KA1254</v>
          </cell>
          <cell r="D10567" t="str">
            <v>Invesco India - Invesco Global Consumer Trends Fund of Fund - Regular Plan - IDCW (Payout / Reinvestment)</v>
          </cell>
          <cell r="E10567">
            <v>13.006</v>
          </cell>
        </row>
        <row r="10568">
          <cell r="B10568" t="str">
            <v>INF205K01B49</v>
          </cell>
          <cell r="C10568" t="str">
            <v>-</v>
          </cell>
          <cell r="D10568" t="str">
            <v>Invesco India - Invesco Global Equity Income Fund of Fund - Direct Plan - Growth</v>
          </cell>
          <cell r="E10568">
            <v>42.255899999999997</v>
          </cell>
        </row>
        <row r="10569">
          <cell r="B10569" t="str">
            <v>INF205K01B56</v>
          </cell>
          <cell r="C10569" t="str">
            <v>INF205K01B64</v>
          </cell>
          <cell r="D10569" t="str">
            <v>Invesco India - Invesco Global Equity Income Fund of Fund - Direct Plan - IDCW (Payout / Reinvestment)</v>
          </cell>
          <cell r="E10569">
            <v>41.743499999999997</v>
          </cell>
        </row>
        <row r="10570">
          <cell r="B10570" t="str">
            <v>INF205K01B15</v>
          </cell>
          <cell r="C10570" t="str">
            <v>-</v>
          </cell>
          <cell r="D10570" t="str">
            <v>Invesco India - Invesco Global Equity Income Fund of Fund - Regular Plan - Growth</v>
          </cell>
          <cell r="E10570">
            <v>38.042999999999999</v>
          </cell>
        </row>
        <row r="10571">
          <cell r="B10571" t="str">
            <v>INF205K01B23</v>
          </cell>
          <cell r="C10571" t="str">
            <v>INF205K01B31</v>
          </cell>
          <cell r="D10571" t="str">
            <v>Invesco India - Invesco Global Equity Income Fund of Fund - Regular Plan - IDCW (Payout / Reinvestment)</v>
          </cell>
          <cell r="E10571">
            <v>37.988599999999998</v>
          </cell>
        </row>
        <row r="10572">
          <cell r="B10572" t="str">
            <v>INF205K01A24</v>
          </cell>
          <cell r="C10572" t="str">
            <v>-</v>
          </cell>
          <cell r="D10572" t="str">
            <v>Invesco India - Invesco Pan European Equity Fund of Fund - Direct Plan - Growth Option</v>
          </cell>
          <cell r="E10572">
            <v>29.198499999999999</v>
          </cell>
        </row>
        <row r="10573">
          <cell r="B10573" t="str">
            <v>INF205K01A32</v>
          </cell>
          <cell r="C10573" t="str">
            <v>INF205K01A40</v>
          </cell>
          <cell r="D10573" t="str">
            <v>Invesco India - Invesco Pan European Equity Fund of Fund - Direct Plan - IDCW (Payout / Reinvestment)</v>
          </cell>
          <cell r="E10573">
            <v>29.110499999999998</v>
          </cell>
        </row>
        <row r="10574">
          <cell r="B10574" t="str">
            <v>INF205K01ZZ9</v>
          </cell>
          <cell r="C10574" t="str">
            <v>-</v>
          </cell>
          <cell r="D10574" t="str">
            <v>Invesco India - Invesco Pan European Equity Fund of Fund - Regular Plan - Growth Option</v>
          </cell>
          <cell r="E10574">
            <v>26.7197</v>
          </cell>
        </row>
        <row r="10575">
          <cell r="B10575" t="str">
            <v>INF205K01A08</v>
          </cell>
          <cell r="C10575" t="str">
            <v>INF205K01A16</v>
          </cell>
          <cell r="D10575" t="str">
            <v>Invesco India - Invesco Pan European Equity Fund of Fund - Regular Plan - IDCW (Payout / Reinvestment)</v>
          </cell>
          <cell r="E10575">
            <v>26.7194</v>
          </cell>
        </row>
        <row r="10576">
          <cell r="B10576" t="str">
            <v/>
          </cell>
          <cell r="C10576" t="str">
            <v/>
          </cell>
          <cell r="D10576" t="str">
            <v/>
          </cell>
        </row>
        <row r="10577">
          <cell r="B10577" t="str">
            <v/>
          </cell>
          <cell r="C10577" t="str">
            <v/>
          </cell>
          <cell r="D10577" t="str">
            <v/>
          </cell>
        </row>
        <row r="10578">
          <cell r="B10578" t="str">
            <v/>
          </cell>
          <cell r="C10578" t="str">
            <v/>
          </cell>
          <cell r="D10578" t="str">
            <v/>
          </cell>
        </row>
        <row r="10579">
          <cell r="B10579" t="str">
            <v>INF174K01LW4</v>
          </cell>
          <cell r="C10579" t="str">
            <v>-</v>
          </cell>
          <cell r="D10579" t="str">
            <v>Kotak Global Emerging Market overseas Equity Omni FOF - Growth - Direct</v>
          </cell>
          <cell r="E10579">
            <v>42.465000000000003</v>
          </cell>
        </row>
        <row r="10580">
          <cell r="B10580" t="str">
            <v>INF174K01DX9</v>
          </cell>
          <cell r="C10580" t="str">
            <v>INF174K01DW1</v>
          </cell>
          <cell r="D10580" t="str">
            <v>Kotak Global Emerging Market Overseas Equity Omni FOF - Payout of Income Distribution cum capital withdrawal option</v>
          </cell>
          <cell r="E10580">
            <v>38.941000000000003</v>
          </cell>
        </row>
        <row r="10581">
          <cell r="B10581" t="str">
            <v>INF174K01LX2</v>
          </cell>
          <cell r="C10581" t="str">
            <v>INF174K01LY0</v>
          </cell>
          <cell r="D10581" t="str">
            <v>Kotak Global Emerging Market Overseas Equity Omni FOF - Payout of Income Distribution cum capital withdrawal option - Direct</v>
          </cell>
          <cell r="E10581">
            <v>42.643999999999998</v>
          </cell>
        </row>
        <row r="10582">
          <cell r="B10582" t="str">
            <v>INF174K01DV3</v>
          </cell>
          <cell r="C10582" t="str">
            <v>-</v>
          </cell>
          <cell r="D10582" t="str">
            <v>Kotak Global Emerging Market Overseas Equity Omni FOF- Growth</v>
          </cell>
          <cell r="E10582">
            <v>38.939</v>
          </cell>
        </row>
        <row r="10583">
          <cell r="B10583" t="str">
            <v>INF174KA1HE9</v>
          </cell>
          <cell r="C10583" t="str">
            <v>INF174KA1HF6</v>
          </cell>
          <cell r="D10583" t="str">
            <v>Kotak Global Innovation Overseas Equity Omni FOF - Regular Plan -IDCW Option</v>
          </cell>
          <cell r="E10583">
            <v>14.558299999999999</v>
          </cell>
        </row>
        <row r="10584">
          <cell r="B10584" t="str">
            <v>INF174KA1HD1</v>
          </cell>
          <cell r="C10584" t="str">
            <v>-</v>
          </cell>
          <cell r="D10584" t="str">
            <v>Kotak Global Innovation Overseas Equity Omni FOF - Regular Plan-Growth</v>
          </cell>
          <cell r="E10584">
            <v>14.5578</v>
          </cell>
        </row>
        <row r="10585">
          <cell r="B10585" t="str">
            <v>INF174KA1HH2</v>
          </cell>
          <cell r="C10585" t="str">
            <v>INF174KA1HI0</v>
          </cell>
          <cell r="D10585" t="str">
            <v>Kotak Global Innovation Overseas Equity Omni FOF- Direct Plan - IDCW Option</v>
          </cell>
          <cell r="E10585">
            <v>15.4391</v>
          </cell>
        </row>
        <row r="10586">
          <cell r="B10586" t="str">
            <v>INF174KA1HG4</v>
          </cell>
          <cell r="C10586" t="str">
            <v>-</v>
          </cell>
          <cell r="D10586" t="str">
            <v>Kotak Global Innovation Overseas Equity Omni FOF- Direct Plan -Growth</v>
          </cell>
          <cell r="E10586">
            <v>15.4413</v>
          </cell>
        </row>
        <row r="10587">
          <cell r="B10587" t="str">
            <v>INF174KA1FO2</v>
          </cell>
          <cell r="C10587" t="str">
            <v>-</v>
          </cell>
          <cell r="D10587" t="str">
            <v>Kotak International REIT Overseas Equity Omni FOF - Direct Plan - Growth</v>
          </cell>
          <cell r="E10587">
            <v>12.5975</v>
          </cell>
        </row>
        <row r="10588">
          <cell r="B10588" t="str">
            <v>INF174KA1FN4</v>
          </cell>
          <cell r="C10588" t="str">
            <v>INF174KA1FP9</v>
          </cell>
          <cell r="D10588" t="str">
            <v>Kotak International REIT Overseas Equity Omni FOF - Direct Plan - Payout of Income Distribution cum capital withdrawal option</v>
          </cell>
          <cell r="E10588">
            <v>12.5974</v>
          </cell>
        </row>
        <row r="10589">
          <cell r="B10589" t="str">
            <v>INF174KA1FL8</v>
          </cell>
          <cell r="C10589" t="str">
            <v>-</v>
          </cell>
          <cell r="D10589" t="str">
            <v>Kotak International REIT Overseas Equity Omni FOF - Regular Plan - Growth</v>
          </cell>
          <cell r="E10589">
            <v>11.9902</v>
          </cell>
        </row>
        <row r="10590">
          <cell r="B10590" t="str">
            <v>INF174KA1FK0</v>
          </cell>
          <cell r="C10590" t="str">
            <v>INF174KA1FM6</v>
          </cell>
          <cell r="D10590" t="str">
            <v>Kotak International REIT Overseas Equity Omni FOF - Regular Plan - Payout of Income Distribution cum capital withdrawal option</v>
          </cell>
          <cell r="E10590">
            <v>11.990399999999999</v>
          </cell>
        </row>
        <row r="10591">
          <cell r="B10591" t="str">
            <v>INF174KA1ZI2</v>
          </cell>
          <cell r="C10591" t="str">
            <v>-</v>
          </cell>
          <cell r="D10591" t="str">
            <v>Kotak Quality Overseas Equity Omni FOF - Direct Plan - Growth-</v>
          </cell>
          <cell r="E10591">
            <v>11.07</v>
          </cell>
        </row>
        <row r="10592">
          <cell r="B10592" t="str">
            <v>INF174KA1ZJ0</v>
          </cell>
          <cell r="C10592" t="str">
            <v>INF174KA1ZK8</v>
          </cell>
          <cell r="D10592" t="str">
            <v>Kotak Quality Overseas Equity Omni FOF - Direct Plan - IDCW</v>
          </cell>
          <cell r="E10592">
            <v>11.07</v>
          </cell>
        </row>
        <row r="10593">
          <cell r="B10593" t="str">
            <v>INF174KA1ZL6</v>
          </cell>
          <cell r="C10593" t="str">
            <v>-</v>
          </cell>
          <cell r="D10593" t="str">
            <v>Kotak Quality Overseas Equity Omni FOF - Regular Plan - Growth</v>
          </cell>
          <cell r="E10593">
            <v>11.045999999999999</v>
          </cell>
        </row>
        <row r="10594">
          <cell r="B10594" t="str">
            <v>INF174KA1ZM4</v>
          </cell>
          <cell r="C10594" t="str">
            <v>INF174KA1ZN2</v>
          </cell>
          <cell r="D10594" t="str">
            <v>Kotak Quality Overseas Equity Omni FOF - Regular Plan - IDCW</v>
          </cell>
          <cell r="E10594">
            <v>11.045999999999999</v>
          </cell>
        </row>
        <row r="10595">
          <cell r="B10595" t="str">
            <v>INF178L01CM3</v>
          </cell>
          <cell r="C10595" t="str">
            <v>INF178L01CN1</v>
          </cell>
          <cell r="D10595" t="str">
            <v>Kotak US Equity Fund - Direct Plan - Dividend option</v>
          </cell>
          <cell r="E10595">
            <v>20.129000000000001</v>
          </cell>
        </row>
        <row r="10596">
          <cell r="B10596" t="str">
            <v>INF178L01CL5</v>
          </cell>
          <cell r="C10596" t="str">
            <v>-</v>
          </cell>
          <cell r="D10596" t="str">
            <v>Kotak US Equity Fund - Direct Plan - Growth option</v>
          </cell>
          <cell r="E10596">
            <v>20.131</v>
          </cell>
        </row>
        <row r="10597">
          <cell r="B10597" t="str">
            <v>INF178L01CJ9</v>
          </cell>
          <cell r="C10597" t="str">
            <v>INF178L01CK7</v>
          </cell>
          <cell r="D10597" t="str">
            <v>Kotak US Equity Fund - Standard Plan - Dividend option</v>
          </cell>
          <cell r="E10597">
            <v>19.213000000000001</v>
          </cell>
        </row>
        <row r="10598">
          <cell r="B10598" t="str">
            <v>INF178L01CI1</v>
          </cell>
          <cell r="C10598" t="str">
            <v>-</v>
          </cell>
          <cell r="D10598" t="str">
            <v>Kotak US Equity Fund - Standard Plan - Growth option</v>
          </cell>
          <cell r="E10598">
            <v>19.216000000000001</v>
          </cell>
        </row>
        <row r="10599">
          <cell r="B10599" t="str">
            <v>INF174KA1FR5</v>
          </cell>
          <cell r="C10599" t="str">
            <v>-</v>
          </cell>
          <cell r="D10599" t="str">
            <v>Kotak US Specific Equity Passive FOF - Regular Plan - Growth</v>
          </cell>
          <cell r="E10599">
            <v>27.944099999999999</v>
          </cell>
        </row>
        <row r="10600">
          <cell r="B10600" t="str">
            <v>INF174KA1FQ7</v>
          </cell>
          <cell r="C10600" t="str">
            <v>-</v>
          </cell>
          <cell r="D10600" t="str">
            <v>Kotak US Specific Equity Passive FOF- Direct Plan - Growth</v>
          </cell>
          <cell r="E10600">
            <v>28.540600000000001</v>
          </cell>
        </row>
        <row r="10601">
          <cell r="B10601" t="str">
            <v>INF178L01145</v>
          </cell>
          <cell r="C10601" t="str">
            <v>INF178L01137</v>
          </cell>
          <cell r="D10601" t="str">
            <v>Kotak World Gold Fund - Standard Plan - Dividend Option</v>
          </cell>
          <cell r="E10601">
            <v>9.2799999999999994</v>
          </cell>
        </row>
        <row r="10602">
          <cell r="B10602" t="str">
            <v>INF178L01152</v>
          </cell>
          <cell r="C10602" t="str">
            <v>-</v>
          </cell>
          <cell r="D10602" t="str">
            <v>Kotak World Gold Fund - Standard Plan - Growth Option</v>
          </cell>
          <cell r="E10602">
            <v>11.199</v>
          </cell>
        </row>
        <row r="10603">
          <cell r="B10603" t="str">
            <v>INF178L01AM7</v>
          </cell>
          <cell r="C10603" t="str">
            <v>INF178L01AN5</v>
          </cell>
          <cell r="D10603" t="str">
            <v>Kotak World Gold Fund- Direct Plan- Dividend Option</v>
          </cell>
          <cell r="E10603">
            <v>9.7799999999999994</v>
          </cell>
        </row>
        <row r="10604">
          <cell r="B10604" t="str">
            <v>INF178L01AO3</v>
          </cell>
          <cell r="C10604" t="str">
            <v>-</v>
          </cell>
          <cell r="D10604" t="str">
            <v>Kotak World Gold Fund- Direct Plan- Growth Option</v>
          </cell>
          <cell r="E10604">
            <v>11.759</v>
          </cell>
        </row>
        <row r="10605">
          <cell r="B10605" t="str">
            <v/>
          </cell>
          <cell r="C10605" t="str">
            <v/>
          </cell>
          <cell r="D10605" t="str">
            <v/>
          </cell>
        </row>
        <row r="10606">
          <cell r="B10606" t="str">
            <v/>
          </cell>
          <cell r="C10606" t="str">
            <v/>
          </cell>
          <cell r="D10606" t="str">
            <v/>
          </cell>
        </row>
        <row r="10607">
          <cell r="B10607" t="str">
            <v/>
          </cell>
          <cell r="C10607" t="str">
            <v/>
          </cell>
          <cell r="D10607" t="str">
            <v/>
          </cell>
        </row>
        <row r="10608">
          <cell r="B10608" t="str">
            <v>INF174V01AY0</v>
          </cell>
          <cell r="C10608" t="str">
            <v>-</v>
          </cell>
          <cell r="D10608" t="str">
            <v>Mahindra Manulife Asia Pacific REITs FOF - Direct Plan - Growth</v>
          </cell>
          <cell r="E10608">
            <v>11.436500000000001</v>
          </cell>
        </row>
        <row r="10609">
          <cell r="B10609" t="str">
            <v>INF174V01BA8</v>
          </cell>
          <cell r="C10609" t="str">
            <v>INF174V01AZ7</v>
          </cell>
          <cell r="D10609" t="str">
            <v>Mahindra Manulife Asia Pacific REITs FOF - Direct Plan - IDCW</v>
          </cell>
          <cell r="E10609">
            <v>11.436500000000001</v>
          </cell>
        </row>
        <row r="10610">
          <cell r="B10610" t="str">
            <v>INF174V01AV6</v>
          </cell>
          <cell r="C10610" t="str">
            <v>-</v>
          </cell>
          <cell r="D10610" t="str">
            <v>Mahindra Manulife Asia Pacific REITs FOF - Regular Plan - Growth</v>
          </cell>
          <cell r="E10610">
            <v>10.93</v>
          </cell>
        </row>
        <row r="10611">
          <cell r="B10611" t="str">
            <v>INF174V01AX2</v>
          </cell>
          <cell r="C10611" t="str">
            <v>INF174V01AW4</v>
          </cell>
          <cell r="D10611" t="str">
            <v>Mahindra Manulife Asia Pacific REITs FOF - Regular Plan - IDCW</v>
          </cell>
          <cell r="E10611">
            <v>10.93</v>
          </cell>
        </row>
        <row r="10612">
          <cell r="B10612" t="str">
            <v/>
          </cell>
          <cell r="C10612" t="str">
            <v/>
          </cell>
          <cell r="D10612" t="str">
            <v/>
          </cell>
        </row>
        <row r="10613">
          <cell r="B10613" t="str">
            <v/>
          </cell>
          <cell r="C10613" t="str">
            <v/>
          </cell>
          <cell r="D10613" t="str">
            <v/>
          </cell>
        </row>
        <row r="10614">
          <cell r="B10614" t="str">
            <v/>
          </cell>
          <cell r="C10614" t="str">
            <v/>
          </cell>
          <cell r="D10614" t="str">
            <v/>
          </cell>
        </row>
        <row r="10615">
          <cell r="B10615" t="str">
            <v>INF769K01IQ9</v>
          </cell>
          <cell r="C10615" t="str">
            <v>-</v>
          </cell>
          <cell r="D10615" t="str">
            <v>Mirae Asset Global Electric &amp; Autonomous Vehicles Equity Passive FOF - Direct Plan - Growth</v>
          </cell>
          <cell r="E10615">
            <v>16.736999999999998</v>
          </cell>
        </row>
        <row r="10616">
          <cell r="B10616" t="str">
            <v>INF769K01IP1</v>
          </cell>
          <cell r="C10616" t="str">
            <v>-</v>
          </cell>
          <cell r="D10616" t="str">
            <v>Mirae Asset Global Electric &amp; Autonomous Vehicles Equity Passive FOF - Regular Plan - Growth</v>
          </cell>
          <cell r="E10616">
            <v>16.478999999999999</v>
          </cell>
        </row>
        <row r="10617">
          <cell r="B10617" t="str">
            <v>INF769K01IS5</v>
          </cell>
          <cell r="C10617" t="str">
            <v>-</v>
          </cell>
          <cell r="D10617" t="str">
            <v>Mirae Asset Global X Artificial Intelligence &amp; Technology ETF Fund of Fund - Direct Plan- Growth</v>
          </cell>
          <cell r="E10617">
            <v>34.073999999999998</v>
          </cell>
        </row>
        <row r="10618">
          <cell r="B10618" t="str">
            <v>INF769K01IR7</v>
          </cell>
          <cell r="C10618" t="str">
            <v>-</v>
          </cell>
          <cell r="D10618" t="str">
            <v>Mirae Asset Global X Artificial Intelligence &amp; Technology ETF Fund of Fund - Regular Plan - Growth</v>
          </cell>
          <cell r="E10618">
            <v>33.863</v>
          </cell>
        </row>
        <row r="10619">
          <cell r="B10619" t="str">
            <v/>
          </cell>
          <cell r="C10619" t="str">
            <v/>
          </cell>
          <cell r="D10619" t="str">
            <v/>
          </cell>
        </row>
        <row r="10620">
          <cell r="B10620" t="str">
            <v/>
          </cell>
          <cell r="C10620" t="str">
            <v/>
          </cell>
          <cell r="D10620" t="str">
            <v/>
          </cell>
        </row>
        <row r="10621">
          <cell r="B10621" t="str">
            <v/>
          </cell>
          <cell r="C10621" t="str">
            <v/>
          </cell>
          <cell r="D10621" t="str">
            <v/>
          </cell>
        </row>
        <row r="10622">
          <cell r="B10622" t="str">
            <v>INF247L01BT3</v>
          </cell>
          <cell r="C10622" t="str">
            <v>-</v>
          </cell>
          <cell r="D10622" t="str">
            <v>Motilal Oswal Developed Market Ex US ETFs Fund of Funds Direct Plan Growth</v>
          </cell>
          <cell r="E10622">
            <v>18.66</v>
          </cell>
        </row>
        <row r="10623">
          <cell r="B10623" t="str">
            <v>INF247L01BS5</v>
          </cell>
          <cell r="C10623" t="str">
            <v>-</v>
          </cell>
          <cell r="D10623" t="str">
            <v>Motilal Oswal Developed Market Ex US ETFs Fund of Funds Regular Plan Growth</v>
          </cell>
          <cell r="E10623">
            <v>18.392199999999999</v>
          </cell>
        </row>
        <row r="10624">
          <cell r="B10624" t="str">
            <v/>
          </cell>
          <cell r="C10624" t="str">
            <v/>
          </cell>
          <cell r="D10624" t="str">
            <v/>
          </cell>
        </row>
        <row r="10625">
          <cell r="B10625" t="str">
            <v/>
          </cell>
          <cell r="C10625" t="str">
            <v/>
          </cell>
          <cell r="D10625" t="str">
            <v/>
          </cell>
        </row>
        <row r="10626">
          <cell r="B10626" t="str">
            <v/>
          </cell>
          <cell r="C10626" t="str">
            <v/>
          </cell>
          <cell r="D10626" t="str">
            <v/>
          </cell>
        </row>
        <row r="10627">
          <cell r="B10627" t="str">
            <v>INF959L01FZ1</v>
          </cell>
          <cell r="C10627" t="str">
            <v>-</v>
          </cell>
          <cell r="D10627" t="str">
            <v>Navi NASDAQ100 US Specific Equity Passive FOF- Direct- Growth</v>
          </cell>
          <cell r="E10627">
            <v>24.974</v>
          </cell>
        </row>
        <row r="10628">
          <cell r="B10628" t="str">
            <v>INF959L01GA2</v>
          </cell>
          <cell r="C10628" t="str">
            <v>-</v>
          </cell>
          <cell r="D10628" t="str">
            <v>Navi NASDAQ100 US Specific Equity Passive FOF- Regular- Growth</v>
          </cell>
          <cell r="E10628">
            <v>24.782699999999998</v>
          </cell>
        </row>
        <row r="10629">
          <cell r="B10629" t="str">
            <v>INF959L01FV0</v>
          </cell>
          <cell r="C10629" t="str">
            <v>-</v>
          </cell>
          <cell r="D10629" t="str">
            <v>Navi Total Stock Market US Specific Equity Passive FoF- Direct Plan- Growth</v>
          </cell>
          <cell r="E10629">
            <v>22.646699999999999</v>
          </cell>
        </row>
        <row r="10630">
          <cell r="B10630" t="str">
            <v>INF959L01FW8</v>
          </cell>
          <cell r="C10630" t="str">
            <v>-</v>
          </cell>
          <cell r="D10630" t="str">
            <v>Navi Total Stock Market US Specific Equity Passive FoF- Regular Plan- Growth</v>
          </cell>
          <cell r="E10630">
            <v>22.646699999999999</v>
          </cell>
        </row>
        <row r="10631">
          <cell r="B10631" t="str">
            <v/>
          </cell>
          <cell r="C10631" t="str">
            <v/>
          </cell>
          <cell r="D10631" t="str">
            <v/>
          </cell>
        </row>
        <row r="10632">
          <cell r="B10632" t="str">
            <v/>
          </cell>
          <cell r="C10632" t="str">
            <v/>
          </cell>
          <cell r="D10632" t="str">
            <v/>
          </cell>
        </row>
        <row r="10633">
          <cell r="B10633" t="str">
            <v/>
          </cell>
          <cell r="C10633" t="str">
            <v/>
          </cell>
          <cell r="D10633" t="str">
            <v/>
          </cell>
        </row>
        <row r="10634">
          <cell r="B10634" t="str">
            <v>INF223J01NL0</v>
          </cell>
          <cell r="C10634" t="str">
            <v>-</v>
          </cell>
          <cell r="D10634" t="str">
            <v>PGIM India Emerging Markets Equity Fund of Fund - Direct Plan - Growth</v>
          </cell>
          <cell r="E10634">
            <v>25.74</v>
          </cell>
        </row>
        <row r="10635">
          <cell r="B10635" t="str">
            <v>INF223J01NJ4</v>
          </cell>
          <cell r="C10635" t="str">
            <v>-</v>
          </cell>
          <cell r="D10635" t="str">
            <v>PGIM India Emerging Markets Equity Fund of Fund- Direct Plan - Dividend</v>
          </cell>
          <cell r="E10635">
            <v>9.15</v>
          </cell>
        </row>
        <row r="10636">
          <cell r="B10636" t="str">
            <v>INF223J01AW4</v>
          </cell>
          <cell r="C10636" t="str">
            <v>INF223J01AX2</v>
          </cell>
          <cell r="D10636" t="str">
            <v>PGIM India Emerging Markets Equity Fund of Fund- Dividend</v>
          </cell>
          <cell r="E10636">
            <v>11</v>
          </cell>
        </row>
        <row r="10637">
          <cell r="B10637" t="str">
            <v>INF223J01AY0</v>
          </cell>
          <cell r="C10637" t="str">
            <v>-</v>
          </cell>
          <cell r="D10637" t="str">
            <v>PGIM India Emerging Markets Equity Fund of Fund- Growth</v>
          </cell>
          <cell r="E10637">
            <v>22.36</v>
          </cell>
        </row>
        <row r="10638">
          <cell r="B10638" t="str">
            <v>INF223J01AV6</v>
          </cell>
          <cell r="C10638" t="str">
            <v>-</v>
          </cell>
          <cell r="D10638" t="str">
            <v>PGIM India Global Equity Opportunities Fund of Fund - Bonus</v>
          </cell>
          <cell r="E10638">
            <v>11.75</v>
          </cell>
        </row>
        <row r="10639">
          <cell r="B10639" t="str">
            <v>INF223J01NG0</v>
          </cell>
          <cell r="C10639" t="str">
            <v>-</v>
          </cell>
          <cell r="D10639" t="str">
            <v>PGIM India Global Equity Opportunities Fund of Fund- Direct Plan - Dividend</v>
          </cell>
          <cell r="E10639">
            <v>29.18</v>
          </cell>
        </row>
        <row r="10640">
          <cell r="B10640" t="str">
            <v>INF223J01NF2</v>
          </cell>
          <cell r="C10640" t="str">
            <v>-</v>
          </cell>
          <cell r="D10640" t="str">
            <v>PGIM India Global Equity Opportunities Fund of Fund- Direct Plan - Growth</v>
          </cell>
          <cell r="E10640">
            <v>58.9</v>
          </cell>
        </row>
        <row r="10641">
          <cell r="B10641" t="str">
            <v>INF223J01AS2</v>
          </cell>
          <cell r="C10641" t="str">
            <v>INF223J01AT0</v>
          </cell>
          <cell r="D10641" t="str">
            <v>PGIM India Global Equity Opportunities Fund of Fund- Dividend</v>
          </cell>
          <cell r="E10641">
            <v>22.17</v>
          </cell>
        </row>
        <row r="10642">
          <cell r="B10642" t="str">
            <v>INF223J01AU8</v>
          </cell>
          <cell r="C10642" t="str">
            <v>-</v>
          </cell>
          <cell r="D10642" t="str">
            <v>PGIM India Global Equity Opportunities Fund of Fund- Growth</v>
          </cell>
          <cell r="E10642">
            <v>51.55</v>
          </cell>
        </row>
        <row r="10643">
          <cell r="B10643" t="str">
            <v>INF663L01W63</v>
          </cell>
          <cell r="C10643" t="str">
            <v>-</v>
          </cell>
          <cell r="D10643" t="str">
            <v>PGIM India Global Select Real Estate Securities Fund of Fund - Direct Plan - Growth Option</v>
          </cell>
          <cell r="E10643">
            <v>14.42</v>
          </cell>
        </row>
        <row r="10644">
          <cell r="B10644" t="str">
            <v>INF663L01W71</v>
          </cell>
          <cell r="C10644" t="str">
            <v>INF663L01W89</v>
          </cell>
          <cell r="D10644" t="str">
            <v>PGIM India Global Select Real Estate Securities Fund of Fund - Direct Plan - IDCW Option</v>
          </cell>
          <cell r="E10644">
            <v>9.01</v>
          </cell>
        </row>
        <row r="10645">
          <cell r="B10645" t="str">
            <v>INF663L01W97</v>
          </cell>
          <cell r="C10645" t="str">
            <v>-</v>
          </cell>
          <cell r="D10645" t="str">
            <v>PGIM India Global Select Real Estate Securities Fund of Fund - Regular Plan - Growth Option</v>
          </cell>
          <cell r="E10645">
            <v>13.87</v>
          </cell>
        </row>
        <row r="10646">
          <cell r="B10646" t="str">
            <v>INF663L01X05</v>
          </cell>
          <cell r="C10646" t="str">
            <v>INF663L01X13</v>
          </cell>
          <cell r="D10646" t="str">
            <v>PGIM India Global Select Real Estate Securities Fund of Fund - Regular Plan - IDCW Option</v>
          </cell>
          <cell r="E10646">
            <v>8.93</v>
          </cell>
        </row>
        <row r="10647">
          <cell r="B10647" t="str">
            <v/>
          </cell>
          <cell r="C10647" t="str">
            <v/>
          </cell>
          <cell r="D10647" t="str">
            <v/>
          </cell>
        </row>
        <row r="10648">
          <cell r="B10648" t="str">
            <v/>
          </cell>
          <cell r="C10648" t="str">
            <v/>
          </cell>
          <cell r="D10648" t="str">
            <v/>
          </cell>
        </row>
        <row r="10649">
          <cell r="B10649" t="str">
            <v/>
          </cell>
          <cell r="C10649" t="str">
            <v/>
          </cell>
          <cell r="D10649" t="str">
            <v/>
          </cell>
        </row>
        <row r="10650">
          <cell r="B10650" t="str">
            <v>INF200KA1U28</v>
          </cell>
          <cell r="C10650" t="str">
            <v>-</v>
          </cell>
          <cell r="D10650" t="str">
            <v>SBI US Specific Equity Active FoF - Direct Plan - Growth</v>
          </cell>
          <cell r="E10650">
            <v>25.319600000000001</v>
          </cell>
        </row>
        <row r="10651">
          <cell r="B10651" t="str">
            <v>INF200KA1U36</v>
          </cell>
          <cell r="C10651" t="str">
            <v>INF200KA1U44</v>
          </cell>
          <cell r="D10651" t="str">
            <v>SBI US Specific Equity Active FoF- Direct Plan - Income Distribution cum Capital Withdrawal Option (IDCW)</v>
          </cell>
          <cell r="E10651">
            <v>25.319700000000001</v>
          </cell>
        </row>
        <row r="10652">
          <cell r="B10652" t="str">
            <v>INF200KA1T96</v>
          </cell>
          <cell r="C10652" t="str">
            <v>-</v>
          </cell>
          <cell r="D10652" t="str">
            <v>SBI US Specific Equity Active FoF- Regular Plan - Growth</v>
          </cell>
          <cell r="E10652">
            <v>24.352699999999999</v>
          </cell>
        </row>
        <row r="10653">
          <cell r="B10653" t="str">
            <v>INF200KA1U02</v>
          </cell>
          <cell r="C10653" t="str">
            <v>INF200KA1U10</v>
          </cell>
          <cell r="D10653" t="str">
            <v>SBI US Specific Equity Active FoF- Regular Plan - Income Distribution cum Capital Withdrawal Option (IDCW)</v>
          </cell>
          <cell r="E10653">
            <v>24.351900000000001</v>
          </cell>
        </row>
        <row r="10654">
          <cell r="B10654" t="str">
            <v/>
          </cell>
          <cell r="C10654" t="str">
            <v/>
          </cell>
          <cell r="D10654" t="str">
            <v/>
          </cell>
        </row>
        <row r="10655">
          <cell r="B10655" t="str">
            <v/>
          </cell>
          <cell r="C10655" t="str">
            <v/>
          </cell>
          <cell r="D10655" t="str">
            <v/>
          </cell>
        </row>
        <row r="10656">
          <cell r="B10656" t="str">
            <v/>
          </cell>
          <cell r="C10656" t="str">
            <v/>
          </cell>
          <cell r="D10656" t="str">
            <v/>
          </cell>
        </row>
        <row r="10657">
          <cell r="B10657" t="str">
            <v>INF903J01OB6</v>
          </cell>
          <cell r="C10657" t="str">
            <v>-</v>
          </cell>
          <cell r="D10657" t="str">
            <v>Sundaram Global Brand Theme-Equity Active FOF - Direct Growth</v>
          </cell>
          <cell r="E10657">
            <v>47.119900000000001</v>
          </cell>
        </row>
        <row r="10658">
          <cell r="B10658" t="str">
            <v>INF903J01NZ7</v>
          </cell>
          <cell r="C10658" t="str">
            <v>INF903J01OA8</v>
          </cell>
          <cell r="D10658" t="str">
            <v>Sundaram Global Brand Theme-Equity Active FOF - Direct IDCW</v>
          </cell>
          <cell r="E10658">
            <v>39.544899999999998</v>
          </cell>
        </row>
        <row r="10659">
          <cell r="B10659" t="str">
            <v>INF903J01EX1</v>
          </cell>
          <cell r="C10659" t="str">
            <v>-</v>
          </cell>
          <cell r="D10659" t="str">
            <v>Sundaram Global Brand Theme-Equity Active FOF - Regular Growth</v>
          </cell>
          <cell r="E10659">
            <v>42.628</v>
          </cell>
        </row>
        <row r="10660">
          <cell r="B10660" t="str">
            <v>INF903J01EY9</v>
          </cell>
          <cell r="C10660" t="str">
            <v>INF903J01EZ6</v>
          </cell>
          <cell r="D10660" t="str">
            <v>Sundaram Global Brand Theme-Equity Active FOF - Regular IDCW</v>
          </cell>
          <cell r="E10660">
            <v>34.459699999999998</v>
          </cell>
        </row>
        <row r="10661">
          <cell r="B10661" t="str">
            <v/>
          </cell>
          <cell r="C10661" t="str">
            <v/>
          </cell>
          <cell r="D10661" t="str">
            <v/>
          </cell>
        </row>
        <row r="10662">
          <cell r="B10662" t="str">
            <v/>
          </cell>
          <cell r="C10662" t="str">
            <v/>
          </cell>
          <cell r="D10662" t="str">
            <v/>
          </cell>
        </row>
        <row r="10663">
          <cell r="B10663" t="str">
            <v/>
          </cell>
          <cell r="C10663" t="str">
            <v/>
          </cell>
          <cell r="D10663" t="str">
            <v/>
          </cell>
        </row>
        <row r="10664">
          <cell r="B10664" t="str">
            <v/>
          </cell>
          <cell r="C10664" t="str">
            <v/>
          </cell>
          <cell r="D10664" t="str">
            <v/>
          </cell>
        </row>
        <row r="10665">
          <cell r="B10665" t="str">
            <v/>
          </cell>
          <cell r="C10665" t="str">
            <v/>
          </cell>
          <cell r="D10665" t="str">
            <v/>
          </cell>
        </row>
        <row r="10666">
          <cell r="B10666" t="str">
            <v>INF579M01BB5</v>
          </cell>
          <cell r="C10666" t="str">
            <v>-</v>
          </cell>
          <cell r="D10666" t="str">
            <v>360 ONE Gold ETF</v>
          </cell>
          <cell r="E10666">
            <v>140.6405</v>
          </cell>
        </row>
        <row r="10667">
          <cell r="B10667" t="str">
            <v/>
          </cell>
          <cell r="C10667" t="str">
            <v/>
          </cell>
          <cell r="D10667" t="str">
            <v/>
          </cell>
        </row>
        <row r="10668">
          <cell r="B10668" t="str">
            <v/>
          </cell>
          <cell r="C10668" t="str">
            <v/>
          </cell>
          <cell r="D10668" t="str">
            <v/>
          </cell>
        </row>
        <row r="10669">
          <cell r="B10669" t="str">
            <v/>
          </cell>
          <cell r="C10669" t="str">
            <v/>
          </cell>
          <cell r="D10669" t="str">
            <v/>
          </cell>
        </row>
        <row r="10670">
          <cell r="B10670" t="str">
            <v>INF1J2R01114</v>
          </cell>
          <cell r="C10670" t="str">
            <v>-</v>
          </cell>
          <cell r="D10670" t="str">
            <v>ANGEL ONE GOLD ETF</v>
          </cell>
          <cell r="E10670">
            <v>13.4588</v>
          </cell>
        </row>
        <row r="10671">
          <cell r="B10671" t="str">
            <v/>
          </cell>
          <cell r="C10671" t="str">
            <v/>
          </cell>
          <cell r="D10671" t="str">
            <v/>
          </cell>
        </row>
        <row r="10672">
          <cell r="B10672" t="str">
            <v/>
          </cell>
          <cell r="C10672" t="str">
            <v/>
          </cell>
          <cell r="D10672" t="str">
            <v/>
          </cell>
        </row>
        <row r="10673">
          <cell r="B10673" t="str">
            <v/>
          </cell>
          <cell r="C10673" t="str">
            <v/>
          </cell>
          <cell r="D10673" t="str">
            <v/>
          </cell>
        </row>
        <row r="10674">
          <cell r="B10674" t="str">
            <v>INF846K01W80</v>
          </cell>
          <cell r="C10674" t="str">
            <v>-</v>
          </cell>
          <cell r="D10674" t="str">
            <v>Axis Gold ETF</v>
          </cell>
          <cell r="E10674">
            <v>120.03189999999999</v>
          </cell>
        </row>
        <row r="10675">
          <cell r="B10675" t="str">
            <v/>
          </cell>
          <cell r="C10675" t="str">
            <v/>
          </cell>
          <cell r="D10675" t="str">
            <v/>
          </cell>
        </row>
        <row r="10676">
          <cell r="B10676" t="str">
            <v/>
          </cell>
          <cell r="C10676" t="str">
            <v/>
          </cell>
          <cell r="D10676" t="str">
            <v/>
          </cell>
        </row>
        <row r="10677">
          <cell r="B10677" t="str">
            <v/>
          </cell>
          <cell r="C10677" t="str">
            <v/>
          </cell>
          <cell r="D10677" t="str">
            <v/>
          </cell>
        </row>
        <row r="10678">
          <cell r="B10678" t="str">
            <v>INF194KB1KJ7</v>
          </cell>
          <cell r="C10678" t="str">
            <v>-</v>
          </cell>
          <cell r="D10678" t="str">
            <v>Bandhan Gold ETF</v>
          </cell>
          <cell r="E10678">
            <v>143.93090000000001</v>
          </cell>
        </row>
        <row r="10679">
          <cell r="B10679" t="str">
            <v/>
          </cell>
          <cell r="C10679" t="str">
            <v/>
          </cell>
          <cell r="D10679" t="str">
            <v/>
          </cell>
        </row>
        <row r="10680">
          <cell r="B10680" t="str">
            <v/>
          </cell>
          <cell r="C10680" t="str">
            <v/>
          </cell>
          <cell r="D10680" t="str">
            <v/>
          </cell>
        </row>
        <row r="10681">
          <cell r="B10681" t="str">
            <v/>
          </cell>
          <cell r="C10681" t="str">
            <v/>
          </cell>
          <cell r="D10681" t="str">
            <v/>
          </cell>
        </row>
        <row r="10682">
          <cell r="B10682" t="str">
            <v>INF251K01SU9</v>
          </cell>
          <cell r="C10682" t="str">
            <v>-</v>
          </cell>
          <cell r="D10682" t="str">
            <v>Baroda BNP Paribas Gold ETF</v>
          </cell>
          <cell r="E10682">
            <v>139.465</v>
          </cell>
        </row>
        <row r="10683">
          <cell r="B10683" t="str">
            <v/>
          </cell>
          <cell r="C10683" t="str">
            <v/>
          </cell>
          <cell r="D10683" t="str">
            <v/>
          </cell>
        </row>
        <row r="10684">
          <cell r="B10684" t="str">
            <v/>
          </cell>
          <cell r="C10684" t="str">
            <v/>
          </cell>
          <cell r="D10684" t="str">
            <v/>
          </cell>
        </row>
        <row r="10685">
          <cell r="B10685" t="str">
            <v/>
          </cell>
          <cell r="C10685" t="str">
            <v/>
          </cell>
          <cell r="D10685" t="str">
            <v/>
          </cell>
        </row>
        <row r="10686">
          <cell r="B10686" t="str">
            <v>INF2KCX01012</v>
          </cell>
          <cell r="C10686" t="str">
            <v>-</v>
          </cell>
          <cell r="D10686" t="str">
            <v>Choice Gold ETF</v>
          </cell>
          <cell r="E10686">
            <v>143.01740000000001</v>
          </cell>
        </row>
        <row r="10687">
          <cell r="B10687" t="str">
            <v/>
          </cell>
          <cell r="C10687" t="str">
            <v/>
          </cell>
          <cell r="D10687" t="str">
            <v/>
          </cell>
        </row>
        <row r="10688">
          <cell r="B10688" t="str">
            <v/>
          </cell>
          <cell r="C10688" t="str">
            <v/>
          </cell>
          <cell r="D10688" t="str">
            <v/>
          </cell>
        </row>
        <row r="10689">
          <cell r="B10689" t="str">
            <v/>
          </cell>
          <cell r="C10689" t="str">
            <v/>
          </cell>
          <cell r="D10689" t="str">
            <v/>
          </cell>
        </row>
        <row r="10690">
          <cell r="B10690" t="str">
            <v>INF740KA1SW3</v>
          </cell>
          <cell r="C10690" t="str">
            <v>-</v>
          </cell>
          <cell r="D10690" t="str">
            <v>DSP Gold ETF</v>
          </cell>
          <cell r="E10690">
            <v>139.93530000000001</v>
          </cell>
        </row>
        <row r="10691">
          <cell r="B10691" t="str">
            <v/>
          </cell>
          <cell r="C10691" t="str">
            <v/>
          </cell>
          <cell r="D10691" t="str">
            <v/>
          </cell>
        </row>
        <row r="10692">
          <cell r="B10692" t="str">
            <v/>
          </cell>
          <cell r="C10692" t="str">
            <v/>
          </cell>
          <cell r="D10692" t="str">
            <v/>
          </cell>
        </row>
        <row r="10693">
          <cell r="B10693" t="str">
            <v/>
          </cell>
          <cell r="C10693" t="str">
            <v/>
          </cell>
          <cell r="D10693" t="str">
            <v/>
          </cell>
        </row>
        <row r="10694">
          <cell r="B10694" t="str">
            <v>INF754K01SE6</v>
          </cell>
          <cell r="C10694" t="str">
            <v>-</v>
          </cell>
          <cell r="D10694" t="str">
            <v>Edelweiss Gold ETF</v>
          </cell>
          <cell r="E10694">
            <v>143.9572</v>
          </cell>
        </row>
        <row r="10695">
          <cell r="B10695" t="str">
            <v/>
          </cell>
          <cell r="C10695" t="str">
            <v/>
          </cell>
          <cell r="D10695" t="str">
            <v/>
          </cell>
        </row>
        <row r="10696">
          <cell r="B10696" t="str">
            <v/>
          </cell>
          <cell r="C10696" t="str">
            <v/>
          </cell>
          <cell r="D10696" t="str">
            <v/>
          </cell>
        </row>
        <row r="10697">
          <cell r="B10697" t="str">
            <v/>
          </cell>
          <cell r="C10697" t="str">
            <v/>
          </cell>
          <cell r="D10697" t="str">
            <v/>
          </cell>
        </row>
        <row r="10698">
          <cell r="B10698" t="str">
            <v>INF666M01OE7</v>
          </cell>
          <cell r="C10698" t="str">
            <v>-</v>
          </cell>
          <cell r="D10698" t="str">
            <v>Groww Gold ETF</v>
          </cell>
          <cell r="E10698">
            <v>14.079700000000001</v>
          </cell>
        </row>
        <row r="10699">
          <cell r="B10699" t="str">
            <v/>
          </cell>
          <cell r="C10699" t="str">
            <v/>
          </cell>
          <cell r="D10699" t="str">
            <v/>
          </cell>
        </row>
        <row r="10700">
          <cell r="B10700" t="str">
            <v/>
          </cell>
          <cell r="C10700" t="str">
            <v/>
          </cell>
          <cell r="D10700" t="str">
            <v/>
          </cell>
        </row>
        <row r="10701">
          <cell r="B10701" t="str">
            <v/>
          </cell>
          <cell r="C10701" t="str">
            <v/>
          </cell>
          <cell r="D10701" t="str">
            <v/>
          </cell>
        </row>
        <row r="10702">
          <cell r="B10702" t="str">
            <v>INF179KC1981</v>
          </cell>
          <cell r="C10702" t="str">
            <v>-</v>
          </cell>
          <cell r="D10702" t="str">
            <v>HDFC Gold ETF - Growth Option</v>
          </cell>
          <cell r="E10702">
            <v>123.04949999999999</v>
          </cell>
        </row>
        <row r="10703">
          <cell r="B10703" t="str">
            <v/>
          </cell>
          <cell r="C10703" t="str">
            <v/>
          </cell>
          <cell r="D10703" t="str">
            <v/>
          </cell>
        </row>
        <row r="10704">
          <cell r="B10704" t="str">
            <v/>
          </cell>
          <cell r="C10704" t="str">
            <v/>
          </cell>
          <cell r="D10704" t="str">
            <v/>
          </cell>
        </row>
        <row r="10705">
          <cell r="B10705" t="str">
            <v/>
          </cell>
          <cell r="C10705" t="str">
            <v/>
          </cell>
          <cell r="D10705" t="str">
            <v/>
          </cell>
        </row>
        <row r="10706">
          <cell r="B10706" t="str">
            <v>INF336L01RX2</v>
          </cell>
          <cell r="C10706" t="str">
            <v>-</v>
          </cell>
          <cell r="D10706" t="str">
            <v>HSBC Gold ETF</v>
          </cell>
          <cell r="E10706">
            <v>125.38890000000001</v>
          </cell>
        </row>
        <row r="10707">
          <cell r="B10707" t="str">
            <v/>
          </cell>
          <cell r="C10707" t="str">
            <v/>
          </cell>
          <cell r="D10707" t="str">
            <v/>
          </cell>
        </row>
        <row r="10708">
          <cell r="B10708" t="str">
            <v/>
          </cell>
          <cell r="C10708" t="str">
            <v/>
          </cell>
          <cell r="D10708" t="str">
            <v/>
          </cell>
        </row>
        <row r="10709">
          <cell r="B10709" t="str">
            <v/>
          </cell>
          <cell r="C10709" t="str">
            <v/>
          </cell>
          <cell r="D10709" t="str">
            <v/>
          </cell>
        </row>
        <row r="10710">
          <cell r="B10710" t="str">
            <v>INF109KC1NT3</v>
          </cell>
          <cell r="C10710" t="str">
            <v>-</v>
          </cell>
          <cell r="D10710" t="str">
            <v>ICICI Prudential Gold ETF</v>
          </cell>
          <cell r="E10710">
            <v>123.3523</v>
          </cell>
        </row>
        <row r="10711">
          <cell r="B10711" t="str">
            <v/>
          </cell>
          <cell r="C10711" t="str">
            <v/>
          </cell>
          <cell r="D10711" t="str">
            <v/>
          </cell>
        </row>
        <row r="10712">
          <cell r="B10712" t="str">
            <v/>
          </cell>
          <cell r="C10712" t="str">
            <v/>
          </cell>
          <cell r="D10712" t="str">
            <v/>
          </cell>
        </row>
        <row r="10713">
          <cell r="B10713" t="str">
            <v/>
          </cell>
          <cell r="C10713" t="str">
            <v/>
          </cell>
          <cell r="D10713" t="str">
            <v/>
          </cell>
        </row>
        <row r="10714">
          <cell r="B10714" t="str">
            <v>INF205KA1BP1</v>
          </cell>
          <cell r="C10714" t="str">
            <v>-</v>
          </cell>
          <cell r="D10714" t="str">
            <v>Invesco India Gold Exchange Traded Fund</v>
          </cell>
          <cell r="E10714">
            <v>125.2433</v>
          </cell>
        </row>
        <row r="10715">
          <cell r="B10715" t="str">
            <v/>
          </cell>
          <cell r="C10715" t="str">
            <v/>
          </cell>
          <cell r="D10715" t="str">
            <v/>
          </cell>
        </row>
        <row r="10716">
          <cell r="B10716" t="str">
            <v/>
          </cell>
          <cell r="C10716" t="str">
            <v/>
          </cell>
          <cell r="D10716" t="str">
            <v/>
          </cell>
        </row>
        <row r="10717">
          <cell r="B10717" t="str">
            <v/>
          </cell>
          <cell r="C10717" t="str">
            <v/>
          </cell>
          <cell r="D10717" t="str">
            <v/>
          </cell>
        </row>
        <row r="10718">
          <cell r="B10718" t="str">
            <v>INF174KA1HJ8</v>
          </cell>
          <cell r="C10718" t="str">
            <v>-</v>
          </cell>
          <cell r="D10718" t="str">
            <v>KOTAK GOLD ETF</v>
          </cell>
          <cell r="E10718">
            <v>120.2056</v>
          </cell>
        </row>
        <row r="10719">
          <cell r="B10719" t="str">
            <v/>
          </cell>
          <cell r="C10719" t="str">
            <v/>
          </cell>
          <cell r="D10719" t="str">
            <v/>
          </cell>
        </row>
        <row r="10720">
          <cell r="B10720" t="str">
            <v/>
          </cell>
          <cell r="C10720" t="str">
            <v/>
          </cell>
          <cell r="D10720" t="str">
            <v/>
          </cell>
        </row>
        <row r="10721">
          <cell r="B10721" t="str">
            <v/>
          </cell>
          <cell r="C10721" t="str">
            <v/>
          </cell>
          <cell r="D10721" t="str">
            <v/>
          </cell>
        </row>
        <row r="10722">
          <cell r="B10722" t="str">
            <v>INF767K01SM1</v>
          </cell>
          <cell r="C10722" t="str">
            <v>-</v>
          </cell>
          <cell r="D10722" t="str">
            <v>LIC MF Gold Exchange Traded Fund</v>
          </cell>
          <cell r="E10722">
            <v>129.79689999999999</v>
          </cell>
        </row>
        <row r="10723">
          <cell r="B10723" t="str">
            <v/>
          </cell>
          <cell r="C10723" t="str">
            <v/>
          </cell>
          <cell r="D10723" t="str">
            <v/>
          </cell>
        </row>
        <row r="10724">
          <cell r="B10724" t="str">
            <v/>
          </cell>
          <cell r="C10724" t="str">
            <v/>
          </cell>
          <cell r="D10724" t="str">
            <v/>
          </cell>
        </row>
        <row r="10725">
          <cell r="B10725" t="str">
            <v/>
          </cell>
          <cell r="C10725" t="str">
            <v/>
          </cell>
          <cell r="D10725" t="str">
            <v/>
          </cell>
        </row>
        <row r="10726">
          <cell r="B10726" t="str">
            <v>INF769K01JP9</v>
          </cell>
          <cell r="C10726" t="str">
            <v>-</v>
          </cell>
          <cell r="D10726" t="str">
            <v>Mirae Asset Gold ETF</v>
          </cell>
          <cell r="E10726">
            <v>140.03739999999999</v>
          </cell>
        </row>
        <row r="10727">
          <cell r="B10727" t="str">
            <v/>
          </cell>
          <cell r="C10727" t="str">
            <v/>
          </cell>
          <cell r="D10727" t="str">
            <v/>
          </cell>
        </row>
        <row r="10728">
          <cell r="B10728" t="str">
            <v/>
          </cell>
          <cell r="C10728" t="str">
            <v/>
          </cell>
          <cell r="D10728" t="str">
            <v/>
          </cell>
        </row>
        <row r="10729">
          <cell r="B10729" t="str">
            <v/>
          </cell>
          <cell r="C10729" t="str">
            <v/>
          </cell>
          <cell r="D10729" t="str">
            <v/>
          </cell>
        </row>
        <row r="10730">
          <cell r="B10730" t="str">
            <v>INF247L01FY4</v>
          </cell>
          <cell r="C10730" t="str">
            <v>-</v>
          </cell>
          <cell r="D10730" t="str">
            <v>Motilal Oswal Gold ETF</v>
          </cell>
          <cell r="E10730">
            <v>142.5103</v>
          </cell>
        </row>
        <row r="10731">
          <cell r="B10731" t="str">
            <v/>
          </cell>
          <cell r="C10731" t="str">
            <v/>
          </cell>
          <cell r="D10731" t="str">
            <v/>
          </cell>
        </row>
        <row r="10732">
          <cell r="B10732" t="str">
            <v/>
          </cell>
          <cell r="C10732" t="str">
            <v/>
          </cell>
          <cell r="D10732" t="str">
            <v/>
          </cell>
        </row>
        <row r="10733">
          <cell r="B10733" t="str">
            <v/>
          </cell>
          <cell r="C10733" t="str">
            <v/>
          </cell>
          <cell r="D10733" t="str">
            <v/>
          </cell>
        </row>
        <row r="10734">
          <cell r="B10734" t="str">
            <v>INF204KB17I5</v>
          </cell>
          <cell r="C10734" t="str">
            <v>-</v>
          </cell>
          <cell r="D10734" t="str">
            <v>Nippon India ETF Gold BeES</v>
          </cell>
          <cell r="E10734">
            <v>119.1131</v>
          </cell>
        </row>
        <row r="10735">
          <cell r="B10735" t="str">
            <v/>
          </cell>
          <cell r="C10735" t="str">
            <v/>
          </cell>
          <cell r="D10735" t="str">
            <v/>
          </cell>
        </row>
        <row r="10736">
          <cell r="B10736" t="str">
            <v/>
          </cell>
          <cell r="C10736" t="str">
            <v/>
          </cell>
          <cell r="D10736" t="str">
            <v/>
          </cell>
        </row>
        <row r="10737">
          <cell r="B10737" t="str">
            <v/>
          </cell>
          <cell r="C10737" t="str">
            <v/>
          </cell>
          <cell r="D10737" t="str">
            <v/>
          </cell>
        </row>
        <row r="10738">
          <cell r="B10738" t="str">
            <v>INF082J01408</v>
          </cell>
          <cell r="C10738" t="str">
            <v>-</v>
          </cell>
          <cell r="D10738" t="str">
            <v>Quantum Gold ETF</v>
          </cell>
          <cell r="E10738">
            <v>119.3343</v>
          </cell>
        </row>
        <row r="10739">
          <cell r="B10739" t="str">
            <v/>
          </cell>
          <cell r="C10739" t="str">
            <v/>
          </cell>
          <cell r="D10739" t="str">
            <v/>
          </cell>
        </row>
        <row r="10740">
          <cell r="B10740" t="str">
            <v/>
          </cell>
          <cell r="C10740" t="str">
            <v/>
          </cell>
          <cell r="D10740" t="str">
            <v/>
          </cell>
        </row>
        <row r="10741">
          <cell r="B10741" t="str">
            <v/>
          </cell>
          <cell r="C10741" t="str">
            <v/>
          </cell>
          <cell r="D10741" t="str">
            <v/>
          </cell>
        </row>
        <row r="10742">
          <cell r="B10742" t="str">
            <v>INF200KA16D8</v>
          </cell>
          <cell r="C10742" t="str">
            <v>-</v>
          </cell>
          <cell r="D10742" t="str">
            <v>SBI Gold ETF</v>
          </cell>
          <cell r="E10742">
            <v>122.82510000000001</v>
          </cell>
        </row>
        <row r="10743">
          <cell r="B10743" t="str">
            <v/>
          </cell>
          <cell r="C10743" t="str">
            <v/>
          </cell>
          <cell r="D10743" t="str">
            <v/>
          </cell>
        </row>
        <row r="10744">
          <cell r="B10744" t="str">
            <v/>
          </cell>
          <cell r="C10744" t="str">
            <v/>
          </cell>
          <cell r="D10744" t="str">
            <v/>
          </cell>
        </row>
        <row r="10745">
          <cell r="B10745" t="str">
            <v/>
          </cell>
          <cell r="C10745" t="str">
            <v/>
          </cell>
          <cell r="D10745" t="str">
            <v/>
          </cell>
        </row>
        <row r="10746">
          <cell r="B10746" t="str">
            <v>INF277KA1976</v>
          </cell>
          <cell r="C10746" t="str">
            <v>-</v>
          </cell>
          <cell r="D10746" t="str">
            <v>Tata Gold Exchange Traded Fund</v>
          </cell>
          <cell r="E10746">
            <v>13.9994</v>
          </cell>
        </row>
        <row r="10747">
          <cell r="B10747" t="str">
            <v/>
          </cell>
          <cell r="C10747" t="str">
            <v/>
          </cell>
          <cell r="D10747" t="str">
            <v/>
          </cell>
        </row>
        <row r="10748">
          <cell r="B10748" t="str">
            <v/>
          </cell>
          <cell r="C10748" t="str">
            <v/>
          </cell>
          <cell r="D10748" t="str">
            <v/>
          </cell>
        </row>
        <row r="10749">
          <cell r="B10749" t="str">
            <v/>
          </cell>
          <cell r="C10749" t="str">
            <v/>
          </cell>
          <cell r="D10749" t="str">
            <v/>
          </cell>
        </row>
        <row r="10750">
          <cell r="B10750" t="str">
            <v>INF2F0001370</v>
          </cell>
          <cell r="C10750" t="str">
            <v>-</v>
          </cell>
          <cell r="D10750" t="str">
            <v>The Wealth Company Gold ETF</v>
          </cell>
          <cell r="E10750">
            <v>143.46860000000001</v>
          </cell>
        </row>
        <row r="10751">
          <cell r="B10751" t="str">
            <v/>
          </cell>
          <cell r="C10751" t="str">
            <v/>
          </cell>
          <cell r="D10751" t="str">
            <v/>
          </cell>
        </row>
        <row r="10752">
          <cell r="B10752" t="str">
            <v/>
          </cell>
          <cell r="C10752" t="str">
            <v/>
          </cell>
          <cell r="D10752" t="str">
            <v/>
          </cell>
        </row>
        <row r="10753">
          <cell r="B10753" t="str">
            <v/>
          </cell>
          <cell r="C10753" t="str">
            <v/>
          </cell>
          <cell r="D10753" t="str">
            <v/>
          </cell>
        </row>
        <row r="10754">
          <cell r="B10754" t="str">
            <v>INF582M01KS4</v>
          </cell>
          <cell r="C10754" t="str">
            <v>-</v>
          </cell>
          <cell r="D10754" t="str">
            <v>Union Gold ETF</v>
          </cell>
          <cell r="E10754">
            <v>141.04560000000001</v>
          </cell>
        </row>
        <row r="10755">
          <cell r="B10755" t="str">
            <v/>
          </cell>
          <cell r="C10755" t="str">
            <v/>
          </cell>
          <cell r="D10755" t="str">
            <v/>
          </cell>
        </row>
        <row r="10756">
          <cell r="B10756" t="str">
            <v/>
          </cell>
          <cell r="C10756" t="str">
            <v/>
          </cell>
          <cell r="D10756" t="str">
            <v/>
          </cell>
        </row>
        <row r="10757">
          <cell r="B10757" t="str">
            <v/>
          </cell>
          <cell r="C10757" t="str">
            <v/>
          </cell>
          <cell r="D10757" t="str">
            <v/>
          </cell>
        </row>
        <row r="10758">
          <cell r="B10758" t="str">
            <v>INF789F1AUX7</v>
          </cell>
          <cell r="C10758" t="str">
            <v>-</v>
          </cell>
          <cell r="D10758" t="str">
            <v>UTI GOLD Exchange Traded Fund</v>
          </cell>
          <cell r="E10758">
            <v>121.2004</v>
          </cell>
        </row>
        <row r="10759">
          <cell r="B10759" t="str">
            <v/>
          </cell>
          <cell r="C10759" t="str">
            <v/>
          </cell>
          <cell r="D10759" t="str">
            <v/>
          </cell>
        </row>
        <row r="10760">
          <cell r="B10760" t="str">
            <v/>
          </cell>
          <cell r="C10760" t="str">
            <v/>
          </cell>
          <cell r="D10760" t="str">
            <v/>
          </cell>
        </row>
        <row r="10761">
          <cell r="B10761" t="str">
            <v/>
          </cell>
          <cell r="C10761" t="str">
            <v/>
          </cell>
          <cell r="D10761" t="str">
            <v/>
          </cell>
        </row>
        <row r="10762">
          <cell r="B10762" t="str">
            <v>INF0R8F01042</v>
          </cell>
          <cell r="C10762" t="str">
            <v>-</v>
          </cell>
          <cell r="D10762" t="str">
            <v>Zerodha Gold ETF</v>
          </cell>
          <cell r="E10762">
            <v>22.6677</v>
          </cell>
        </row>
        <row r="10763">
          <cell r="B10763" t="str">
            <v/>
          </cell>
          <cell r="C10763" t="str">
            <v/>
          </cell>
          <cell r="D10763" t="str">
            <v/>
          </cell>
        </row>
        <row r="10764">
          <cell r="B10764" t="str">
            <v/>
          </cell>
          <cell r="C10764" t="str">
            <v/>
          </cell>
          <cell r="D10764" t="str">
            <v/>
          </cell>
        </row>
        <row r="10765">
          <cell r="B10765" t="str">
            <v/>
          </cell>
          <cell r="C10765" t="str">
            <v/>
          </cell>
          <cell r="D10765" t="str">
            <v/>
          </cell>
        </row>
        <row r="10766">
          <cell r="B10766" t="str">
            <v/>
          </cell>
          <cell r="C10766" t="str">
            <v/>
          </cell>
          <cell r="D10766" t="str">
            <v/>
          </cell>
        </row>
        <row r="10767">
          <cell r="B10767" t="str">
            <v/>
          </cell>
          <cell r="C10767" t="str">
            <v/>
          </cell>
          <cell r="D10767" t="str">
            <v/>
          </cell>
        </row>
        <row r="10768">
          <cell r="B10768" t="str">
            <v>INF209KB14N1</v>
          </cell>
          <cell r="C10768" t="str">
            <v>-</v>
          </cell>
          <cell r="D10768" t="str">
            <v>Aditya Birla Sun Life Crisil IBX 50:50 Gilt Plus SDL Apr 2028 Index Fund-Direct Growth</v>
          </cell>
          <cell r="E10768">
            <v>13.2829</v>
          </cell>
        </row>
        <row r="10769">
          <cell r="B10769" t="str">
            <v>INF209KB15N8</v>
          </cell>
          <cell r="C10769" t="str">
            <v>-</v>
          </cell>
          <cell r="D10769" t="str">
            <v>Aditya Birla Sun Life Crisil IBX 50:50 Gilt Plus SDL APR 2028 Index Fund-Direct IDCW</v>
          </cell>
          <cell r="E10769">
            <v>13.2807</v>
          </cell>
        </row>
        <row r="10770">
          <cell r="B10770" t="str">
            <v>INF209KB12N5</v>
          </cell>
          <cell r="C10770" t="str">
            <v>-</v>
          </cell>
          <cell r="D10770" t="str">
            <v>Aditya Birla Sun Life Crisil IBX 50:50 Gilt Plus SDL Apr 2028 Index Fund-Regular Growth</v>
          </cell>
          <cell r="E10770">
            <v>13.206200000000001</v>
          </cell>
        </row>
        <row r="10771">
          <cell r="B10771" t="str">
            <v>INF209KB13N3</v>
          </cell>
          <cell r="C10771" t="str">
            <v>-</v>
          </cell>
          <cell r="D10771" t="str">
            <v>Aditya Birla Sun Life Crisil IBX 50:50 Gilt Plus SDL Apr 2028 Index Fund-Regular IDCW</v>
          </cell>
          <cell r="E10771">
            <v>13.2074</v>
          </cell>
        </row>
        <row r="10772">
          <cell r="B10772" t="str">
            <v>INF209KB10P4</v>
          </cell>
          <cell r="C10772" t="str">
            <v>-</v>
          </cell>
          <cell r="D10772" t="str">
            <v>Aditya Birla Sun Life Crisil IBX 60:40 SDL + AAA PSU APR 2026 Index Fund-Direct Growth</v>
          </cell>
          <cell r="E10772">
            <v>12.597899999999999</v>
          </cell>
        </row>
        <row r="10773">
          <cell r="B10773" t="str">
            <v>INF209KB11P2</v>
          </cell>
          <cell r="C10773" t="str">
            <v>-</v>
          </cell>
          <cell r="D10773" t="str">
            <v>Aditya Birla Sun Life Crisil IBX 60:40 SDL+ AAA PSU APR 2026 Index Fund-Direct IDCW Payout</v>
          </cell>
          <cell r="E10773">
            <v>10</v>
          </cell>
        </row>
        <row r="10774">
          <cell r="B10774" t="str">
            <v>INF209KB18O0</v>
          </cell>
          <cell r="C10774" t="str">
            <v>-</v>
          </cell>
          <cell r="D10774" t="str">
            <v>Aditya Birla Sun Life Crisil IBX 60:40 SDL+AAA PSU APR 2026 Index Fund-Regular Growth</v>
          </cell>
          <cell r="E10774">
            <v>12.498699999999999</v>
          </cell>
        </row>
        <row r="10775">
          <cell r="B10775" t="str">
            <v>INF209KB19O8</v>
          </cell>
          <cell r="C10775" t="str">
            <v>-</v>
          </cell>
          <cell r="D10775" t="str">
            <v>Aditya Birla Sun Life Crisil IBX 60:40 SDL+AAA PSU APR 2026 Index Fund-Regular IDCW Payout</v>
          </cell>
          <cell r="E10775">
            <v>10</v>
          </cell>
        </row>
        <row r="10776">
          <cell r="B10776" t="str">
            <v>INF209KB19H2</v>
          </cell>
          <cell r="C10776" t="str">
            <v>-</v>
          </cell>
          <cell r="D10776" t="str">
            <v>Aditya Birla Sun Life Crisil IBX 60:40 SDL+AAA PSU-Apr 2027 Index Fund-Direct Growth</v>
          </cell>
          <cell r="E10776">
            <v>13.067399999999999</v>
          </cell>
        </row>
        <row r="10777">
          <cell r="B10777" t="str">
            <v>INF209KB10I9</v>
          </cell>
          <cell r="C10777" t="str">
            <v>-</v>
          </cell>
          <cell r="D10777" t="str">
            <v>Aditya Birla Sun Life Crisil IBX 60:40 SDL+AAA PSU-Apr 2027 Index Fund-Direct IDCW</v>
          </cell>
          <cell r="E10777">
            <v>13.069599999999999</v>
          </cell>
        </row>
        <row r="10778">
          <cell r="B10778" t="str">
            <v>INF209KB17H6</v>
          </cell>
          <cell r="C10778" t="str">
            <v>-</v>
          </cell>
          <cell r="D10778" t="str">
            <v>Aditya Birla Sun Life Crisil IBX 60:40 SDL+AAA PSU-Apr 2027 Index Fund-Regular Growth</v>
          </cell>
          <cell r="E10778">
            <v>12.9733</v>
          </cell>
        </row>
        <row r="10779">
          <cell r="B10779" t="str">
            <v>INF209KB18H4</v>
          </cell>
          <cell r="C10779" t="str">
            <v>-</v>
          </cell>
          <cell r="D10779" t="str">
            <v>Aditya Birla Sun Life Crisil IBX 60:40 SDL+AAA PSU-Apr 2027 Index Fund-Regular IDCW</v>
          </cell>
          <cell r="E10779">
            <v>12.9697</v>
          </cell>
        </row>
        <row r="10780">
          <cell r="B10780" t="str">
            <v>INF209KB13O1</v>
          </cell>
          <cell r="C10780" t="str">
            <v>-</v>
          </cell>
          <cell r="D10780" t="str">
            <v>Aditya Birla Sun Life Crisil IBX Gilt-Apr 2029 Index Fund-Direct IDCW</v>
          </cell>
          <cell r="E10780">
            <v>10.7296</v>
          </cell>
        </row>
        <row r="10781">
          <cell r="B10781" t="str">
            <v>INF209KB10O7</v>
          </cell>
          <cell r="C10781" t="str">
            <v>-</v>
          </cell>
          <cell r="D10781" t="str">
            <v>Aditya Birla Sun Life Crisil IBX Gilt-Apr 2029 Index Fund-Regular Growth</v>
          </cell>
          <cell r="E10781">
            <v>13.327999999999999</v>
          </cell>
        </row>
        <row r="10782">
          <cell r="B10782" t="str">
            <v>INF209KB11O5</v>
          </cell>
          <cell r="C10782" t="str">
            <v>-</v>
          </cell>
          <cell r="D10782" t="str">
            <v>Aditya Birla Sun Life Crisil IBX Gilt-Apr 2029 Index Fund-Regular IDCW</v>
          </cell>
          <cell r="E10782">
            <v>10.6303</v>
          </cell>
        </row>
        <row r="10783">
          <cell r="B10783" t="str">
            <v>INF209KB12O3</v>
          </cell>
          <cell r="C10783" t="str">
            <v>-</v>
          </cell>
          <cell r="D10783" t="str">
            <v>Aditya Birla Sun Life Crisil IBX Gilt-Apr-2029 Index Fund-Direct Growth</v>
          </cell>
          <cell r="E10783">
            <v>13.409800000000001</v>
          </cell>
        </row>
        <row r="10784">
          <cell r="B10784" t="str">
            <v>INF209KB11U2</v>
          </cell>
          <cell r="C10784" t="str">
            <v>-</v>
          </cell>
          <cell r="D10784" t="str">
            <v>Aditya Birla Sun Life Crisil IBX Gilt Apr 2028 Index Fund-Direct Growth</v>
          </cell>
          <cell r="E10784">
            <v>12.6333</v>
          </cell>
        </row>
        <row r="10785">
          <cell r="B10785" t="str">
            <v>INF209KB12U0</v>
          </cell>
          <cell r="C10785" t="str">
            <v>-</v>
          </cell>
          <cell r="D10785" t="str">
            <v>Aditya Birla Sun Life Crisil IBX Gilt Apr 2028 Index Fund-Direct IDCW</v>
          </cell>
          <cell r="E10785">
            <v>12.636699999999999</v>
          </cell>
        </row>
        <row r="10786">
          <cell r="B10786" t="str">
            <v>INF209KB19T7</v>
          </cell>
          <cell r="C10786" t="str">
            <v>-</v>
          </cell>
          <cell r="D10786" t="str">
            <v>Aditya Birla Sun Life Crisil IBX Gilt Apr 2028 Index Fund-Regular Growth</v>
          </cell>
          <cell r="E10786">
            <v>12.524900000000001</v>
          </cell>
        </row>
        <row r="10787">
          <cell r="B10787" t="str">
            <v>INF209KB10U4</v>
          </cell>
          <cell r="C10787" t="str">
            <v>-</v>
          </cell>
          <cell r="D10787" t="str">
            <v>Aditya Birla Sun Life Crisil IBX Gilt Apr 2028 Index Fund-Regular IDCW</v>
          </cell>
          <cell r="E10787">
            <v>12.5243</v>
          </cell>
        </row>
        <row r="10788">
          <cell r="B10788" t="str">
            <v>INF209KB19Y7</v>
          </cell>
          <cell r="C10788" t="str">
            <v>-</v>
          </cell>
          <cell r="D10788" t="str">
            <v>Aditya Birla Sun Life Crisil IBX Gilt Apr 2033 Index Fund-Direct Growth</v>
          </cell>
          <cell r="E10788">
            <v>12.238899999999999</v>
          </cell>
        </row>
        <row r="10789">
          <cell r="B10789" t="str">
            <v>INF209KB10Z3</v>
          </cell>
          <cell r="C10789" t="str">
            <v>-</v>
          </cell>
          <cell r="D10789" t="str">
            <v>Aditya Birla Sun Life Crisil IBX Gilt Apr 2033 Index Fund-Direct IDCW Payout</v>
          </cell>
          <cell r="E10789">
            <v>12.2386</v>
          </cell>
        </row>
        <row r="10790">
          <cell r="B10790" t="str">
            <v>INF209KB17Y1</v>
          </cell>
          <cell r="C10790" t="str">
            <v>-</v>
          </cell>
          <cell r="D10790" t="str">
            <v>Aditya Birla Sun Life Crisil IBX Gilt Apr 2033 Index Fund-Regular Growth</v>
          </cell>
          <cell r="E10790">
            <v>12.163600000000001</v>
          </cell>
        </row>
        <row r="10791">
          <cell r="B10791" t="str">
            <v>INF209KB18Y9</v>
          </cell>
          <cell r="C10791" t="str">
            <v>-</v>
          </cell>
          <cell r="D10791" t="str">
            <v>Aditya Birla Sun Life Crisil IBX Gilt Apr 2033 Index Fund-Regular IDCW payout</v>
          </cell>
          <cell r="E10791">
            <v>12.1639</v>
          </cell>
        </row>
        <row r="10792">
          <cell r="B10792" t="str">
            <v>INF209KC1076</v>
          </cell>
          <cell r="C10792" t="str">
            <v>-</v>
          </cell>
          <cell r="D10792" t="str">
            <v>Aditya Birla Sun Life Crisil IBX Gilt June 2027 Index Fund-Direct Growth</v>
          </cell>
          <cell r="E10792">
            <v>11.6229</v>
          </cell>
        </row>
        <row r="10793">
          <cell r="B10793" t="str">
            <v>INF209KC1084</v>
          </cell>
          <cell r="C10793" t="str">
            <v>-</v>
          </cell>
          <cell r="D10793" t="str">
            <v>Aditya Birla Sun Life Crisil Ibx Gilt June 2027 Index Fund-Direct IDCW Payout</v>
          </cell>
          <cell r="E10793">
            <v>11.6234</v>
          </cell>
        </row>
        <row r="10794">
          <cell r="B10794" t="str">
            <v>INF209KC1050</v>
          </cell>
          <cell r="C10794" t="str">
            <v>-</v>
          </cell>
          <cell r="D10794" t="str">
            <v>Aditya Birla Sun Life Crisil IBX Gilt June 2027 Index Fund-Regular Growth</v>
          </cell>
          <cell r="E10794">
            <v>11.5586</v>
          </cell>
        </row>
        <row r="10795">
          <cell r="B10795" t="str">
            <v>INF209KC1068</v>
          </cell>
          <cell r="C10795" t="str">
            <v>-</v>
          </cell>
          <cell r="D10795" t="str">
            <v>Aditya Birla Sun Life Crisil IBX Gilt June 2027 Index Fund-Regular IDCW Payout</v>
          </cell>
          <cell r="E10795">
            <v>11.5586</v>
          </cell>
        </row>
        <row r="10796">
          <cell r="B10796" t="str">
            <v>INF209KB11N7</v>
          </cell>
          <cell r="C10796" t="str">
            <v>-</v>
          </cell>
          <cell r="D10796" t="str">
            <v>Aditya Birla Sun Life Crisil IBX Gilt- April 2026 Index Fund-Direct IDCW</v>
          </cell>
          <cell r="E10796">
            <v>10</v>
          </cell>
        </row>
        <row r="10797">
          <cell r="B10797" t="str">
            <v>INF209KB10N9</v>
          </cell>
          <cell r="C10797" t="str">
            <v>-</v>
          </cell>
          <cell r="D10797" t="str">
            <v>Aditya Birla Sun Life Crisil IBX Gilt-April 2026 Index Fund-Direct Growth</v>
          </cell>
          <cell r="E10797">
            <v>12.789400000000001</v>
          </cell>
        </row>
        <row r="10798">
          <cell r="B10798" t="str">
            <v>INF209KB18M4</v>
          </cell>
          <cell r="C10798" t="str">
            <v>-</v>
          </cell>
          <cell r="D10798" t="str">
            <v>Aditya Birla Sun Life Crisil IBX Gilt-April 2026 Index Fund-Regular Growth</v>
          </cell>
          <cell r="E10798">
            <v>12.717499999999999</v>
          </cell>
        </row>
        <row r="10799">
          <cell r="B10799" t="str">
            <v>INF209KB19M2</v>
          </cell>
          <cell r="C10799" t="str">
            <v>-</v>
          </cell>
          <cell r="D10799" t="str">
            <v>Aditya Birla Sun Life Crisil IBX Gilt-April 2026 Index Fund-Regular IDCW</v>
          </cell>
          <cell r="E10799">
            <v>10</v>
          </cell>
        </row>
        <row r="10800">
          <cell r="B10800" t="str">
            <v>INF209KB14S0</v>
          </cell>
          <cell r="C10800" t="str">
            <v>-</v>
          </cell>
          <cell r="D10800" t="str">
            <v>Aditya Birla Sun Life CRISIL IBX SDL Jun 2032 INDEX FUND - Direct Growth</v>
          </cell>
          <cell r="E10800">
            <v>13.0799</v>
          </cell>
        </row>
        <row r="10801">
          <cell r="B10801" t="str">
            <v>INF209KB15S7</v>
          </cell>
          <cell r="C10801" t="str">
            <v>-</v>
          </cell>
          <cell r="D10801" t="str">
            <v>Aditya Birla Sun Life CRISIL IBX SDL Jun 2032 INDEX FUND - Direct IDCW Payout</v>
          </cell>
          <cell r="E10801">
            <v>13.0822</v>
          </cell>
        </row>
        <row r="10802">
          <cell r="B10802" t="str">
            <v>INF209KB12S4</v>
          </cell>
          <cell r="C10802" t="str">
            <v>-</v>
          </cell>
          <cell r="D10802" t="str">
            <v>Aditya Birla Sun Life CRISIL IBX SDL Jun 2032 INDEX FUND - Regular Growth</v>
          </cell>
          <cell r="E10802">
            <v>12.920199999999999</v>
          </cell>
        </row>
        <row r="10803">
          <cell r="B10803" t="str">
            <v>INF209KB13S2</v>
          </cell>
          <cell r="C10803" t="str">
            <v>-</v>
          </cell>
          <cell r="D10803" t="str">
            <v>Aditya Birla Sun Life CRISIL IBX SDL Jun 2032 INDEX FUND - Regular IDCW Payout</v>
          </cell>
          <cell r="E10803">
            <v>12.920400000000001</v>
          </cell>
        </row>
        <row r="10804">
          <cell r="B10804" t="str">
            <v>INF209KC1290</v>
          </cell>
          <cell r="C10804" t="str">
            <v>-</v>
          </cell>
          <cell r="D10804" t="str">
            <v>Aditya Birla Sun Life Crisil-IBX AAA Financial Services Index-Sep 2027 Fund-Direct Growth</v>
          </cell>
          <cell r="E10804">
            <v>11.316000000000001</v>
          </cell>
        </row>
        <row r="10805">
          <cell r="B10805" t="str">
            <v>INF209KC1308</v>
          </cell>
          <cell r="C10805" t="str">
            <v>-</v>
          </cell>
          <cell r="D10805" t="str">
            <v>Aditya Birla Sun Life Crisil-IBX AAA Financial Services Index-Sep 2027 Fund-Direct IDCW Payout</v>
          </cell>
          <cell r="E10805">
            <v>11.3162</v>
          </cell>
        </row>
        <row r="10806">
          <cell r="B10806" t="str">
            <v>INF209KC1316</v>
          </cell>
          <cell r="C10806" t="str">
            <v>-</v>
          </cell>
          <cell r="D10806" t="str">
            <v>Aditya Birla Sun Life Crisil-IBX AAA Financial Services Index-Sep 2027 Fund-Regular Growth</v>
          </cell>
          <cell r="E10806">
            <v>11.276400000000001</v>
          </cell>
        </row>
        <row r="10807">
          <cell r="B10807" t="str">
            <v>INF209KC1324</v>
          </cell>
          <cell r="C10807" t="str">
            <v>-</v>
          </cell>
          <cell r="D10807" t="str">
            <v>Aditya Birla Sun Life Crisil-IBX AAA Financial Services Index-Sep 2027 Fund-Regular IDCW Payout</v>
          </cell>
          <cell r="E10807">
            <v>11.2765</v>
          </cell>
        </row>
        <row r="10808">
          <cell r="B10808" t="str">
            <v>INF209KC1217</v>
          </cell>
          <cell r="C10808" t="str">
            <v>-</v>
          </cell>
          <cell r="D10808" t="str">
            <v>Aditya Birla Sun Life Crisil-IBX AAA NBFC-HFC Index-Sep 2026 Fund-Direct Growth</v>
          </cell>
          <cell r="E10808">
            <v>11.4206</v>
          </cell>
        </row>
        <row r="10809">
          <cell r="B10809" t="str">
            <v>INF209KC1225</v>
          </cell>
          <cell r="C10809" t="str">
            <v>-</v>
          </cell>
          <cell r="D10809" t="str">
            <v>Aditya Birla Sun Life Crisil-IBX AAA NBFC-HFC INDEX-Sep 2026 Fund-Direct IDCW Payout</v>
          </cell>
          <cell r="E10809">
            <v>11.4206</v>
          </cell>
        </row>
        <row r="10810">
          <cell r="B10810" t="str">
            <v>INF209KC1233</v>
          </cell>
          <cell r="C10810" t="str">
            <v>-</v>
          </cell>
          <cell r="D10810" t="str">
            <v>Aditya Birla Sun Life Crisil-IBX AAA NBFC-HFC Index-Sep 2026 Fund-Regular Growth</v>
          </cell>
          <cell r="E10810">
            <v>11.363200000000001</v>
          </cell>
        </row>
        <row r="10811">
          <cell r="B10811" t="str">
            <v>INF209KC1241</v>
          </cell>
          <cell r="C10811" t="str">
            <v>-</v>
          </cell>
          <cell r="D10811" t="str">
            <v>Aditya Birla Sun Life Crisil-IBX AAA NBFC-HFC Index-Sep 2026 Fund-Regular IDCW Payout</v>
          </cell>
          <cell r="E10811">
            <v>11.363200000000001</v>
          </cell>
        </row>
        <row r="10812">
          <cell r="B10812" t="str">
            <v>INF209KC1480</v>
          </cell>
          <cell r="C10812" t="str">
            <v>-</v>
          </cell>
          <cell r="D10812" t="str">
            <v>Aditya Birla Sun Life Crisil-IBX Financial Services 3 to 6 Months  Debt Index Fund-Regular IDCW Payout</v>
          </cell>
          <cell r="E10812">
            <v>11.1469</v>
          </cell>
        </row>
        <row r="10813">
          <cell r="B10813" t="str">
            <v>INF209KC1456</v>
          </cell>
          <cell r="C10813" t="str">
            <v>-</v>
          </cell>
          <cell r="D10813" t="str">
            <v>Aditya Birla Sun Life Crisil-IBX financial Services 3 to 6 months Debt Index Fund-Direct Growth</v>
          </cell>
          <cell r="E10813">
            <v>11.185499999999999</v>
          </cell>
        </row>
        <row r="10814">
          <cell r="B10814" t="str">
            <v>INF209KC1464</v>
          </cell>
          <cell r="C10814" t="str">
            <v>-</v>
          </cell>
          <cell r="D10814" t="str">
            <v>Aditya Birla Sun Life Crisil-IBX Financial Services 3 to 6 months Debt Index Fund-Direct IDCW Payout</v>
          </cell>
          <cell r="E10814">
            <v>11.185600000000001</v>
          </cell>
        </row>
        <row r="10815">
          <cell r="B10815" t="str">
            <v>INF209KC1472</v>
          </cell>
          <cell r="C10815" t="str">
            <v>-</v>
          </cell>
          <cell r="D10815" t="str">
            <v>Aditya Birla Sun Life Crisil-IBX Financial Services 3 to 6 Months Debt Index Fund-Regular Growth</v>
          </cell>
          <cell r="E10815">
            <v>11.146800000000001</v>
          </cell>
        </row>
        <row r="10816">
          <cell r="B10816" t="str">
            <v>INF209KC1498</v>
          </cell>
          <cell r="C10816" t="str">
            <v>-</v>
          </cell>
          <cell r="D10816" t="str">
            <v>Aditya Birla Sun Life Crisil-IBX Financial Services 9-12 Months Debt Index Fund-Direct Growth</v>
          </cell>
          <cell r="E10816">
            <v>10.9511</v>
          </cell>
        </row>
        <row r="10817">
          <cell r="B10817" t="str">
            <v>INF209KC1506</v>
          </cell>
          <cell r="C10817" t="str">
            <v>-</v>
          </cell>
          <cell r="D10817" t="str">
            <v>Aditya Birla Sun Life Crisil-IBX Financial Services 9-12 Months Debt Index Fund-Direct IDCW Payout</v>
          </cell>
          <cell r="E10817">
            <v>10.9519</v>
          </cell>
        </row>
        <row r="10818">
          <cell r="B10818" t="str">
            <v>INF209KC1514</v>
          </cell>
          <cell r="C10818" t="str">
            <v>-</v>
          </cell>
          <cell r="D10818" t="str">
            <v>Aditya Birla Sun Life Crisil-IBX Financial Services 9-12 Months Debt Index Fund-Regular Growth</v>
          </cell>
          <cell r="E10818">
            <v>10.9222</v>
          </cell>
        </row>
        <row r="10819">
          <cell r="B10819" t="str">
            <v>INF209K01VY3</v>
          </cell>
          <cell r="C10819" t="str">
            <v>-</v>
          </cell>
          <cell r="D10819" t="str">
            <v>Aditya Birla Sun Life Nifty 50 Index Fund - Growth - Direct Plan</v>
          </cell>
          <cell r="E10819">
            <v>250.29300000000001</v>
          </cell>
        </row>
        <row r="10820">
          <cell r="B10820" t="str">
            <v>INF209K01LB2</v>
          </cell>
          <cell r="C10820" t="str">
            <v>-</v>
          </cell>
          <cell r="D10820" t="str">
            <v>Aditya Birla Sun Life Nifty 50 Index Fund - Growth - Regular Plan</v>
          </cell>
          <cell r="E10820">
            <v>244.17689999999999</v>
          </cell>
        </row>
        <row r="10821">
          <cell r="B10821" t="str">
            <v>INF209K01VX5</v>
          </cell>
          <cell r="C10821" t="str">
            <v>-</v>
          </cell>
          <cell r="D10821" t="str">
            <v>Aditya Birla Sun Life Nifty 50 Index Fund -DIRECT - IDCW</v>
          </cell>
          <cell r="E10821">
            <v>25.355399999999999</v>
          </cell>
        </row>
        <row r="10822">
          <cell r="B10822" t="str">
            <v>INF209K01LA4</v>
          </cell>
          <cell r="C10822" t="str">
            <v>INF209K01LC0</v>
          </cell>
          <cell r="D10822" t="str">
            <v>Aditya Birla Sun Life Nifty 50 Index Fund -REGULAR - IDCW</v>
          </cell>
          <cell r="E10822">
            <v>24.450399999999998</v>
          </cell>
        </row>
        <row r="10823">
          <cell r="B10823" t="str">
            <v>INF209KB11F3</v>
          </cell>
          <cell r="C10823" t="str">
            <v>-</v>
          </cell>
          <cell r="D10823" t="str">
            <v>Aditya Birla Sun Life Nifty SDL Apr 2027 Index Fund-Direct Growth</v>
          </cell>
          <cell r="E10823">
            <v>13.238</v>
          </cell>
        </row>
        <row r="10824">
          <cell r="B10824" t="str">
            <v>INF209KB12F1</v>
          </cell>
          <cell r="C10824" t="str">
            <v>-</v>
          </cell>
          <cell r="D10824" t="str">
            <v>Aditya Birla Sun Life Nifty SDL Apr 2027 Index Fund-Direct IDCW Payout</v>
          </cell>
          <cell r="E10824">
            <v>13.2378</v>
          </cell>
        </row>
        <row r="10825">
          <cell r="B10825" t="str">
            <v>INF209KB19E9</v>
          </cell>
          <cell r="C10825" t="str">
            <v>-</v>
          </cell>
          <cell r="D10825" t="str">
            <v>Aditya Birla Sun Life Nifty SDL Apr 2027 Index Fund-Regular Growth</v>
          </cell>
          <cell r="E10825">
            <v>13.059900000000001</v>
          </cell>
        </row>
        <row r="10826">
          <cell r="B10826" t="str">
            <v>INF209KB10F5</v>
          </cell>
          <cell r="C10826" t="str">
            <v>-</v>
          </cell>
          <cell r="D10826" t="str">
            <v>Aditya Birla Sun Life Nifty SDL Apr 2027 Index Fund-Regular-IDCW Payout</v>
          </cell>
          <cell r="E10826">
            <v>13.059900000000001</v>
          </cell>
        </row>
        <row r="10827">
          <cell r="B10827" t="str">
            <v>INF209KB18B7</v>
          </cell>
          <cell r="C10827" t="str">
            <v>-</v>
          </cell>
          <cell r="D10827" t="str">
            <v>Aditya Birla Sun Life Nifty SDL Plus PSU Bond SEP 2026 60:40 Index Fund-Direct Growth</v>
          </cell>
          <cell r="E10827">
            <v>13.224299999999999</v>
          </cell>
        </row>
        <row r="10828">
          <cell r="B10828" t="str">
            <v>INF209KB19B5</v>
          </cell>
          <cell r="C10828" t="str">
            <v>-</v>
          </cell>
          <cell r="D10828" t="str">
            <v>Aditya Birla Sun Life Nifty SDL Plus PSU Bond SEP 2026 60:40 Index Fund-Direct IDCW</v>
          </cell>
          <cell r="E10828">
            <v>13.224500000000001</v>
          </cell>
        </row>
        <row r="10829">
          <cell r="B10829" t="str">
            <v>INF209KB16B1</v>
          </cell>
          <cell r="C10829" t="str">
            <v>-</v>
          </cell>
          <cell r="D10829" t="str">
            <v>Aditya Birla Sun Life Nifty SDL Plus PSU Bond SEP 2026 60:40 Index Fund-Regular Growth</v>
          </cell>
          <cell r="E10829">
            <v>13.126099999999999</v>
          </cell>
        </row>
        <row r="10830">
          <cell r="B10830" t="str">
            <v>INF209KB17B9</v>
          </cell>
          <cell r="C10830" t="str">
            <v>-</v>
          </cell>
          <cell r="D10830" t="str">
            <v>Aditya Birla Sun Life Nifty SDL Plus PSU Bond SEP 2026 60:40 Index Fund-Regular IDCW</v>
          </cell>
          <cell r="E10830">
            <v>13.126899999999999</v>
          </cell>
        </row>
        <row r="10831">
          <cell r="B10831" t="str">
            <v>INF209KB10M1</v>
          </cell>
          <cell r="C10831" t="str">
            <v>-</v>
          </cell>
          <cell r="D10831" t="str">
            <v>Aditya Birla Sun Life Nifty SDL Sep 2025 Index Fund-Direct Growth</v>
          </cell>
          <cell r="E10831">
            <v>12.2949</v>
          </cell>
        </row>
        <row r="10832">
          <cell r="B10832" t="str">
            <v>INF209KB11M9</v>
          </cell>
          <cell r="C10832" t="str">
            <v>-</v>
          </cell>
          <cell r="D10832" t="str">
            <v>Aditya Birla Sun Life Nifty SDL Sep 2025 Index Fund-Direct IDCW</v>
          </cell>
          <cell r="E10832">
            <v>10</v>
          </cell>
        </row>
        <row r="10833">
          <cell r="B10833" t="str">
            <v>INF209KB18L6</v>
          </cell>
          <cell r="C10833" t="str">
            <v>-</v>
          </cell>
          <cell r="D10833" t="str">
            <v>Aditya Birla Sun Life Nifty SDL SEP 2025 Index Fund-Regular Growth</v>
          </cell>
          <cell r="E10833">
            <v>12.235200000000001</v>
          </cell>
        </row>
        <row r="10834">
          <cell r="B10834" t="str">
            <v>INF209KB19L4</v>
          </cell>
          <cell r="C10834" t="str">
            <v>-</v>
          </cell>
          <cell r="D10834" t="str">
            <v>Aditya Birla Sun Life Nifty SDL Sep 2025 Index Fund-Regular IDCW</v>
          </cell>
          <cell r="E10834">
            <v>10</v>
          </cell>
        </row>
        <row r="10835">
          <cell r="B10835" t="str">
            <v>INF209KB16T3</v>
          </cell>
          <cell r="C10835" t="str">
            <v>-</v>
          </cell>
          <cell r="D10835" t="str">
            <v>Aditya Birla Sun Life Nifty SDL SEP 2027 Index Fund-Direct Growth</v>
          </cell>
          <cell r="E10835">
            <v>12.8741</v>
          </cell>
        </row>
        <row r="10836">
          <cell r="B10836" t="str">
            <v>INF209KB17T1</v>
          </cell>
          <cell r="C10836" t="str">
            <v>-</v>
          </cell>
          <cell r="D10836" t="str">
            <v>Aditya Birla Sun Life Nifty SDL SEP 2027 Index Fund-Direct IDCW</v>
          </cell>
          <cell r="E10836">
            <v>12.8728</v>
          </cell>
        </row>
        <row r="10837">
          <cell r="B10837" t="str">
            <v>INF209KB14T8</v>
          </cell>
          <cell r="C10837" t="str">
            <v>-</v>
          </cell>
          <cell r="D10837" t="str">
            <v>Aditya Birla Sun Life Nifty SDL SEP 2027 Index Fund-Regular Growth</v>
          </cell>
          <cell r="E10837">
            <v>12.7765</v>
          </cell>
        </row>
        <row r="10838">
          <cell r="B10838" t="str">
            <v>INF209KB15T5</v>
          </cell>
          <cell r="C10838" t="str">
            <v>-</v>
          </cell>
          <cell r="D10838" t="str">
            <v>Aditya Birla Sun Life Nifty SDL SEP 2027 Index Fund-Regular IDCW</v>
          </cell>
          <cell r="E10838">
            <v>12.776400000000001</v>
          </cell>
        </row>
        <row r="10839">
          <cell r="B10839" t="str">
            <v/>
          </cell>
          <cell r="C10839" t="str">
            <v/>
          </cell>
          <cell r="D10839" t="str">
            <v/>
          </cell>
        </row>
        <row r="10840">
          <cell r="B10840" t="str">
            <v/>
          </cell>
          <cell r="C10840" t="str">
            <v/>
          </cell>
          <cell r="D10840" t="str">
            <v/>
          </cell>
        </row>
        <row r="10841">
          <cell r="B10841" t="str">
            <v/>
          </cell>
          <cell r="C10841" t="str">
            <v/>
          </cell>
          <cell r="D10841" t="str">
            <v/>
          </cell>
        </row>
        <row r="10842">
          <cell r="B10842" t="str">
            <v>INF1J2R01072</v>
          </cell>
          <cell r="C10842" t="str">
            <v>-</v>
          </cell>
          <cell r="D10842" t="str">
            <v>ANGEL ONE NIFTY 50 INDEX FUND-DIRECT-GROWTH</v>
          </cell>
          <cell r="E10842">
            <v>9.8713999999999995</v>
          </cell>
        </row>
        <row r="10843">
          <cell r="B10843" t="str">
            <v>INF1J2R01080</v>
          </cell>
          <cell r="C10843" t="str">
            <v>-</v>
          </cell>
          <cell r="D10843" t="str">
            <v>ANGEL ONE NIFTY 50 INDEX FUND-REGULAR-GROWTH</v>
          </cell>
          <cell r="E10843">
            <v>9.8142999999999994</v>
          </cell>
        </row>
        <row r="10844">
          <cell r="B10844" t="str">
            <v>INF1J2R01023</v>
          </cell>
          <cell r="C10844" t="str">
            <v>-</v>
          </cell>
          <cell r="D10844" t="str">
            <v>ANGEL ONE NIFTY TOTAL MARKET INDEX FUND DIRECT PLAN GROWTH OPTION</v>
          </cell>
          <cell r="E10844">
            <v>11.788399999999999</v>
          </cell>
        </row>
        <row r="10845">
          <cell r="B10845" t="str">
            <v>INF1J2R01031</v>
          </cell>
          <cell r="C10845" t="str">
            <v>-</v>
          </cell>
          <cell r="D10845" t="str">
            <v>ANGEL ONE NIFTY TOTAL MARKET INDEX FUND REGULAR PLAN GROWTH OPTION</v>
          </cell>
          <cell r="E10845">
            <v>11.6662</v>
          </cell>
        </row>
        <row r="10846">
          <cell r="B10846" t="str">
            <v>INF1J2R01122</v>
          </cell>
          <cell r="C10846" t="str">
            <v>-</v>
          </cell>
          <cell r="D10846" t="str">
            <v>ANGEL ONE NIFTY TOTAL MARKET MOMENTUM QUALITY 50 INDEX FUND - DIRECT GROWTH</v>
          </cell>
          <cell r="E10846">
            <v>10.0725</v>
          </cell>
        </row>
        <row r="10847">
          <cell r="B10847" t="str">
            <v>INF1J2R01130</v>
          </cell>
          <cell r="C10847" t="str">
            <v>-</v>
          </cell>
          <cell r="D10847" t="str">
            <v>ANGEL ONE NIFTY TOTAL MARKET MOMENTUM QUALITY 50 INDEX FUND - REGULAR GROWTH</v>
          </cell>
          <cell r="E10847">
            <v>10.026</v>
          </cell>
        </row>
        <row r="10848">
          <cell r="B10848" t="str">
            <v/>
          </cell>
          <cell r="C10848" t="str">
            <v/>
          </cell>
          <cell r="D10848" t="str">
            <v/>
          </cell>
        </row>
        <row r="10849">
          <cell r="B10849" t="str">
            <v/>
          </cell>
          <cell r="C10849" t="str">
            <v/>
          </cell>
          <cell r="D10849" t="str">
            <v/>
          </cell>
        </row>
        <row r="10850">
          <cell r="B10850" t="str">
            <v/>
          </cell>
          <cell r="C10850" t="str">
            <v/>
          </cell>
          <cell r="D10850" t="str">
            <v/>
          </cell>
        </row>
        <row r="10851">
          <cell r="B10851" t="str">
            <v>INF846KA1424</v>
          </cell>
          <cell r="C10851" t="str">
            <v>-</v>
          </cell>
          <cell r="D10851" t="str">
            <v>Axis BSE India Sectors Leaders Index Fund- Direct Plan- Growth Option</v>
          </cell>
          <cell r="E10851">
            <v>9.5785</v>
          </cell>
        </row>
        <row r="10852">
          <cell r="B10852" t="str">
            <v>INF846KA1416</v>
          </cell>
          <cell r="C10852" t="str">
            <v>-</v>
          </cell>
          <cell r="D10852" t="str">
            <v>Axis BSE India Sectors Leaders Index Fund- Regular Plan- Growth Option</v>
          </cell>
          <cell r="E10852">
            <v>9.5440000000000005</v>
          </cell>
        </row>
        <row r="10853">
          <cell r="B10853" t="str">
            <v>INF846K012V6</v>
          </cell>
          <cell r="C10853" t="str">
            <v>-</v>
          </cell>
          <cell r="D10853" t="str">
            <v>Axis BSE Sensex Index Fund - Direct Plan - Growth</v>
          </cell>
          <cell r="E10853">
            <v>10.792299999999999</v>
          </cell>
        </row>
        <row r="10854">
          <cell r="B10854" t="str">
            <v>INF846K013V4</v>
          </cell>
          <cell r="C10854" t="str">
            <v>INF846K015V9</v>
          </cell>
          <cell r="D10854" t="str">
            <v>Axis BSE Sensex Index Fund - Direct Plan - IDCW</v>
          </cell>
          <cell r="E10854">
            <v>10.792299999999999</v>
          </cell>
        </row>
        <row r="10855">
          <cell r="B10855" t="str">
            <v>INF846K014V2</v>
          </cell>
          <cell r="C10855" t="str">
            <v>-</v>
          </cell>
          <cell r="D10855" t="str">
            <v>Axis BSE Sensex Index Fund - Regular Plan - Growth</v>
          </cell>
          <cell r="E10855">
            <v>10.6455</v>
          </cell>
        </row>
        <row r="10856">
          <cell r="B10856" t="str">
            <v>INF846K010V0</v>
          </cell>
          <cell r="C10856" t="str">
            <v>INF846K011V8</v>
          </cell>
          <cell r="D10856" t="str">
            <v>Axis BSE Sensex Index Fund - Regular Plan - IDCW</v>
          </cell>
          <cell r="E10856">
            <v>10.645200000000001</v>
          </cell>
        </row>
        <row r="10857">
          <cell r="B10857" t="str">
            <v>INF846K010N7</v>
          </cell>
          <cell r="C10857" t="str">
            <v>-</v>
          </cell>
          <cell r="D10857" t="str">
            <v>Axis CRISIL IBX 50:50 Gilt Plus SDL June 2028 Index Fund - Direct Plan - Growth</v>
          </cell>
          <cell r="E10857">
            <v>12.880599999999999</v>
          </cell>
        </row>
        <row r="10858">
          <cell r="B10858" t="str">
            <v>INF846K011N5</v>
          </cell>
          <cell r="C10858" t="str">
            <v>INF846K012N3</v>
          </cell>
          <cell r="D10858" t="str">
            <v>Axis CRISIL IBX 50:50 Gilt Plus SDL June 2028 Index Fund - Direct Plan - IDCW</v>
          </cell>
          <cell r="E10858">
            <v>12.8858</v>
          </cell>
        </row>
        <row r="10859">
          <cell r="B10859" t="str">
            <v>INF846K013N1</v>
          </cell>
          <cell r="C10859" t="str">
            <v>-</v>
          </cell>
          <cell r="D10859" t="str">
            <v>Axis CRISIL IBX 50:50 Gilt Plus SDL June 2028 Index Fund - Regular Plan - Growth</v>
          </cell>
          <cell r="E10859">
            <v>12.7967</v>
          </cell>
        </row>
        <row r="10860">
          <cell r="B10860" t="str">
            <v>INF846K014N9</v>
          </cell>
          <cell r="C10860" t="str">
            <v>INF846K015N6</v>
          </cell>
          <cell r="D10860" t="str">
            <v>Axis CRISIL IBX 50:50 Gilt Plus SDL June 2028 Index Fund - Regular Plan - IDCW</v>
          </cell>
          <cell r="E10860">
            <v>12.7966</v>
          </cell>
        </row>
        <row r="10861">
          <cell r="B10861" t="str">
            <v>INF846K013O9</v>
          </cell>
          <cell r="C10861" t="str">
            <v>INF846K014O7</v>
          </cell>
          <cell r="D10861" t="str">
            <v>AXIS CRISIL IBX 50:50 Gilt Plus SDL September 2027 Index Fund- DIRECT PLAN- IDCW</v>
          </cell>
          <cell r="E10861">
            <v>12.8607</v>
          </cell>
        </row>
        <row r="10862">
          <cell r="B10862" t="str">
            <v>INF846K012O1</v>
          </cell>
          <cell r="C10862" t="str">
            <v>-</v>
          </cell>
          <cell r="D10862" t="str">
            <v>AXIS CRISIL IBX 50:50 Gilt Plus SDL September 2027 Index Fund- DIRECT PLAN-GROWTH</v>
          </cell>
          <cell r="E10862">
            <v>12.860900000000001</v>
          </cell>
        </row>
        <row r="10863">
          <cell r="B10863" t="str">
            <v>INF846K015O4</v>
          </cell>
          <cell r="C10863" t="str">
            <v>-</v>
          </cell>
          <cell r="D10863" t="str">
            <v>AXIS CRISIL IBX 50:50 Gilt Plus SDL September 2027 Index Fund- REGULAR PLAN-GROWTH</v>
          </cell>
          <cell r="E10863">
            <v>12.778700000000001</v>
          </cell>
        </row>
        <row r="10864">
          <cell r="B10864" t="str">
            <v>INF846K016O2</v>
          </cell>
          <cell r="C10864" t="str">
            <v>INF846K017O0</v>
          </cell>
          <cell r="D10864" t="str">
            <v>AXIS CRISIL IBX 50:50 Gilt Plus SDL September 2027 Index Fund- REGULAR PLAN-IDCW</v>
          </cell>
          <cell r="E10864">
            <v>12.774800000000001</v>
          </cell>
        </row>
        <row r="10865">
          <cell r="B10865" t="str">
            <v>INF846K017G6</v>
          </cell>
          <cell r="C10865" t="str">
            <v>-</v>
          </cell>
          <cell r="D10865" t="str">
            <v>Axis CRISIL IBX SDL May 2027 Index Fund - Direct Plan - Growth</v>
          </cell>
          <cell r="E10865">
            <v>13.157400000000001</v>
          </cell>
        </row>
        <row r="10866">
          <cell r="B10866" t="str">
            <v>INF846K018G4</v>
          </cell>
          <cell r="C10866" t="str">
            <v>INF846K019G2</v>
          </cell>
          <cell r="D10866" t="str">
            <v>Axis CRISIL IBX SDL May 2027 Index Fund - Direct Plan - IDCW</v>
          </cell>
          <cell r="E10866">
            <v>13.1569</v>
          </cell>
        </row>
        <row r="10867">
          <cell r="B10867" t="str">
            <v>INF846K010H9</v>
          </cell>
          <cell r="C10867" t="str">
            <v>-</v>
          </cell>
          <cell r="D10867" t="str">
            <v>Axis CRISIL IBX SDL May 2027 Index Fund - Regular Plan - Growth</v>
          </cell>
          <cell r="E10867">
            <v>13.0768</v>
          </cell>
        </row>
        <row r="10868">
          <cell r="B10868" t="str">
            <v>INF846K011H7</v>
          </cell>
          <cell r="C10868" t="str">
            <v>INF846K012H5</v>
          </cell>
          <cell r="D10868" t="str">
            <v>Axis CRISIL IBX SDL May 2027 Index Fund - Regular Plan - IDCW</v>
          </cell>
          <cell r="E10868">
            <v>13.077</v>
          </cell>
        </row>
        <row r="10869">
          <cell r="B10869" t="str">
            <v>INF846K015Y3</v>
          </cell>
          <cell r="C10869" t="str">
            <v>-</v>
          </cell>
          <cell r="D10869" t="str">
            <v>Axis CRISIL-IBX AAA Bond Financial Services - Sep 2027 Index Fund - Direct Plan - Growth Option</v>
          </cell>
          <cell r="E10869">
            <v>11.2721</v>
          </cell>
        </row>
        <row r="10870">
          <cell r="B10870" t="str">
            <v>INF846K017Y9</v>
          </cell>
          <cell r="C10870" t="str">
            <v>INF846K019Y5</v>
          </cell>
          <cell r="D10870" t="str">
            <v>Axis CRISIL-IBX AAA Bond Financial Services - Sep 2027 Index Fund - Direct Plan - IDCW Option</v>
          </cell>
          <cell r="E10870">
            <v>11.2721</v>
          </cell>
        </row>
        <row r="10871">
          <cell r="B10871" t="str">
            <v>INF846K014Y6</v>
          </cell>
          <cell r="C10871" t="str">
            <v>-</v>
          </cell>
          <cell r="D10871" t="str">
            <v>Axis CRISIL-IBX AAA Bond Financial Services - Sep 2027 Index Fund - Regular Plan - Growth Option</v>
          </cell>
          <cell r="E10871">
            <v>11.254200000000001</v>
          </cell>
        </row>
        <row r="10872">
          <cell r="B10872" t="str">
            <v>INF846K016Y1</v>
          </cell>
          <cell r="C10872" t="str">
            <v>INF846K018Y7</v>
          </cell>
          <cell r="D10872" t="str">
            <v>Axis CRISIL-IBX AAA Bond Financial Services - Sep 2027 Index Fund - Regular Plan - IDCW Option</v>
          </cell>
          <cell r="E10872">
            <v>11.2538</v>
          </cell>
        </row>
        <row r="10873">
          <cell r="B10873" t="str">
            <v>INF846K017X1</v>
          </cell>
          <cell r="C10873" t="str">
            <v>-</v>
          </cell>
          <cell r="D10873" t="str">
            <v>Axis CRISIL-IBX AAA Bond NBFC - Jun 2027 Index Fund - Direct Plan - Growth Option</v>
          </cell>
          <cell r="E10873">
            <v>11.457599999999999</v>
          </cell>
        </row>
        <row r="10874">
          <cell r="B10874" t="str">
            <v>INF846K019X7</v>
          </cell>
          <cell r="C10874" t="str">
            <v>INF846K011Y2</v>
          </cell>
          <cell r="D10874" t="str">
            <v>Axis CRISIL-IBX AAA Bond NBFC - Jun 2027 Index Fund - Direct Plan - IDCW Option</v>
          </cell>
          <cell r="E10874">
            <v>11.4575</v>
          </cell>
        </row>
        <row r="10875">
          <cell r="B10875" t="str">
            <v>INF846K016X3</v>
          </cell>
          <cell r="C10875" t="str">
            <v>-</v>
          </cell>
          <cell r="D10875" t="str">
            <v>Axis CRISIL-IBX AAA Bond NBFC - Jun 2027 Index Fund - Regular Plan - Growth Option</v>
          </cell>
          <cell r="E10875">
            <v>11.3894</v>
          </cell>
        </row>
        <row r="10876">
          <cell r="B10876" t="str">
            <v>INF846K018X9</v>
          </cell>
          <cell r="C10876" t="str">
            <v>INF846K010Y4</v>
          </cell>
          <cell r="D10876" t="str">
            <v>Axis CRISIL-IBX AAA Bond NBFC - Jun 2027 Index Fund - Regular Plan - IDCW Option</v>
          </cell>
          <cell r="E10876">
            <v>11.3895</v>
          </cell>
        </row>
        <row r="10877">
          <cell r="B10877" t="str">
            <v>INF846KA1028</v>
          </cell>
          <cell r="C10877" t="str">
            <v>-</v>
          </cell>
          <cell r="D10877" t="str">
            <v>Axis CRISIL-IBX AAA Bond NBFC-HFC - Jun 2027 Index Fund - Direct Plan - Growth option</v>
          </cell>
          <cell r="E10877">
            <v>11.226000000000001</v>
          </cell>
        </row>
        <row r="10878">
          <cell r="B10878" t="str">
            <v>INF846K018Z4</v>
          </cell>
          <cell r="C10878" t="str">
            <v>INF846KA1010</v>
          </cell>
          <cell r="D10878" t="str">
            <v>Axis CRISIL-IBX AAA Bond NBFC-HFC - Jun 2027 Index Fund - Direct Plan - IDCW option</v>
          </cell>
          <cell r="E10878">
            <v>11.236499999999999</v>
          </cell>
        </row>
        <row r="10879">
          <cell r="B10879" t="str">
            <v>INF846K016Z8</v>
          </cell>
          <cell r="C10879" t="str">
            <v>-</v>
          </cell>
          <cell r="D10879" t="str">
            <v>Axis CRISIL-IBX AAA Bond NBFC-HFC - Jun 2027 Index Fund - Regular Plan - Growth option</v>
          </cell>
          <cell r="E10879">
            <v>11.202500000000001</v>
          </cell>
        </row>
        <row r="10880">
          <cell r="B10880" t="str">
            <v>INF846K017Z6</v>
          </cell>
          <cell r="C10880" t="str">
            <v>INF846K019Z2</v>
          </cell>
          <cell r="D10880" t="str">
            <v>Axis CRISIL-IBX AAA Bond NBFC-HFC - Jun 2027 Index Fund - Regular Plan - IDCW option</v>
          </cell>
          <cell r="E10880">
            <v>11.2026</v>
          </cell>
        </row>
        <row r="10881">
          <cell r="B10881" t="str">
            <v>INF846KA1226</v>
          </cell>
          <cell r="C10881" t="str">
            <v>-</v>
          </cell>
          <cell r="D10881" t="str">
            <v>Axis CRISIL-IBX Financial Services 3-6 Months Debt Index Fund - Direct Plan - Growth option</v>
          </cell>
          <cell r="E10881">
            <v>10.5542</v>
          </cell>
        </row>
        <row r="10882">
          <cell r="B10882" t="str">
            <v>INF846KA1242</v>
          </cell>
          <cell r="C10882" t="str">
            <v>INF846KA1267</v>
          </cell>
          <cell r="D10882" t="str">
            <v>Axis CRISIL-IBX Financial Services 3-6 Months Debt Index Fund - Direct Plan - IDCW option</v>
          </cell>
          <cell r="E10882">
            <v>10.5542</v>
          </cell>
        </row>
        <row r="10883">
          <cell r="B10883" t="str">
            <v>INF846KA1218</v>
          </cell>
          <cell r="C10883" t="str">
            <v>-</v>
          </cell>
          <cell r="D10883" t="str">
            <v>Axis CRISIL-IBX Financial Services 3-6 Months Debt Index Fund - Regular Plan - Growth option</v>
          </cell>
          <cell r="E10883">
            <v>10.545199999999999</v>
          </cell>
        </row>
        <row r="10884">
          <cell r="B10884" t="str">
            <v>INF846KA1234</v>
          </cell>
          <cell r="C10884" t="str">
            <v>INF846KA1259</v>
          </cell>
          <cell r="D10884" t="str">
            <v>Axis CRISIL-IBX Financial Services 3-6 Months Debt Index Fund - Regular Plan - IDCW option</v>
          </cell>
          <cell r="E10884">
            <v>10.5443</v>
          </cell>
        </row>
        <row r="10885">
          <cell r="B10885" t="str">
            <v>INF846K01S29</v>
          </cell>
          <cell r="C10885" t="str">
            <v>-</v>
          </cell>
          <cell r="D10885" t="str">
            <v>Axis Nifty 100 Index Fund - Direct Plan - Growth Option</v>
          </cell>
          <cell r="E10885">
            <v>22.451499999999999</v>
          </cell>
        </row>
        <row r="10886">
          <cell r="B10886" t="str">
            <v>INF846K01S37</v>
          </cell>
          <cell r="C10886" t="str">
            <v>INF846K01S45</v>
          </cell>
          <cell r="D10886" t="str">
            <v>Axis Nifty 100 Index Fund - Direct Plan - IDCW</v>
          </cell>
          <cell r="E10886">
            <v>21.329599999999999</v>
          </cell>
        </row>
        <row r="10887">
          <cell r="B10887" t="str">
            <v>INF846K01S52</v>
          </cell>
          <cell r="C10887" t="str">
            <v>-</v>
          </cell>
          <cell r="D10887" t="str">
            <v>Axis Nifty 100 Index Fund - Regular Plan - Growth Option</v>
          </cell>
          <cell r="E10887">
            <v>21.3217</v>
          </cell>
        </row>
        <row r="10888">
          <cell r="B10888" t="str">
            <v>INF846K01S60</v>
          </cell>
          <cell r="C10888" t="str">
            <v>INF846K01S78</v>
          </cell>
          <cell r="D10888" t="str">
            <v>Axis Nifty 100 Index Fund - Regular Plan - IDCW</v>
          </cell>
          <cell r="E10888">
            <v>20.223299999999998</v>
          </cell>
        </row>
        <row r="10889">
          <cell r="B10889" t="str">
            <v>INF846K013D2</v>
          </cell>
          <cell r="C10889" t="str">
            <v>-</v>
          </cell>
          <cell r="D10889" t="str">
            <v>Axis Nifty 50 Index Fund - Direct Plan - Growth</v>
          </cell>
          <cell r="E10889">
            <v>14.5754</v>
          </cell>
        </row>
        <row r="10890">
          <cell r="B10890" t="str">
            <v>INF846K014D0</v>
          </cell>
          <cell r="C10890" t="str">
            <v>INF846K015D7</v>
          </cell>
          <cell r="D10890" t="str">
            <v>Axis Nifty 50 Index Fund - Direct Plan - IDCW</v>
          </cell>
          <cell r="E10890">
            <v>13.8245</v>
          </cell>
        </row>
        <row r="10891">
          <cell r="B10891" t="str">
            <v>INF846K016D5</v>
          </cell>
          <cell r="C10891" t="str">
            <v>-</v>
          </cell>
          <cell r="D10891" t="str">
            <v>Axis Nifty 50 Index Fund - Regular Plan - Growth Option</v>
          </cell>
          <cell r="E10891">
            <v>14.380100000000001</v>
          </cell>
        </row>
        <row r="10892">
          <cell r="B10892" t="str">
            <v>INF846K017D3</v>
          </cell>
          <cell r="C10892" t="str">
            <v>INF846K018D1</v>
          </cell>
          <cell r="D10892" t="str">
            <v>Axis Nifty 50 Index Fund - Regular Plan - IDCW</v>
          </cell>
          <cell r="E10892">
            <v>13.6402</v>
          </cell>
        </row>
        <row r="10893">
          <cell r="B10893" t="str">
            <v>INF846K019W9</v>
          </cell>
          <cell r="C10893" t="str">
            <v>-</v>
          </cell>
          <cell r="D10893" t="str">
            <v>Axis Nifty 500 Index Fund - Direct Plan - Growth Option</v>
          </cell>
          <cell r="E10893">
            <v>10.1607</v>
          </cell>
        </row>
        <row r="10894">
          <cell r="B10894" t="str">
            <v>INF846K018W1</v>
          </cell>
          <cell r="C10894" t="str">
            <v>-</v>
          </cell>
          <cell r="D10894" t="str">
            <v>Axis Nifty 500 Index Fund - Regular Plan - Growth Option</v>
          </cell>
          <cell r="E10894">
            <v>9.9769000000000005</v>
          </cell>
        </row>
        <row r="10895">
          <cell r="B10895" t="str">
            <v>INF846K015W7</v>
          </cell>
          <cell r="C10895" t="str">
            <v>-</v>
          </cell>
          <cell r="D10895" t="str">
            <v>Axis Nifty Bank Index Fund - Direct Plan - Growth Option</v>
          </cell>
          <cell r="E10895">
            <v>11.8028</v>
          </cell>
        </row>
        <row r="10896">
          <cell r="B10896" t="str">
            <v>INF846K016W5</v>
          </cell>
          <cell r="C10896" t="str">
            <v>INF846K017W3</v>
          </cell>
          <cell r="D10896" t="str">
            <v>Axis Nifty Bank Index Fund - Direct Plan - IDCW Option</v>
          </cell>
          <cell r="E10896">
            <v>11.802899999999999</v>
          </cell>
        </row>
        <row r="10897">
          <cell r="B10897" t="str">
            <v>INF846K012W4</v>
          </cell>
          <cell r="C10897" t="str">
            <v>-</v>
          </cell>
          <cell r="D10897" t="str">
            <v>Axis Nifty Bank Index Fund - Regular Plan - Growth Option</v>
          </cell>
          <cell r="E10897">
            <v>11.59</v>
          </cell>
        </row>
        <row r="10898">
          <cell r="B10898" t="str">
            <v>INF846K013W2</v>
          </cell>
          <cell r="C10898" t="str">
            <v>INF846K014W0</v>
          </cell>
          <cell r="D10898" t="str">
            <v>Axis Nifty Bank Index Fund - Regular Plan - IDCW Option</v>
          </cell>
          <cell r="E10898">
            <v>11.589600000000001</v>
          </cell>
        </row>
        <row r="10899">
          <cell r="B10899" t="str">
            <v>INF846KA1549</v>
          </cell>
          <cell r="C10899" t="str">
            <v>-</v>
          </cell>
          <cell r="D10899" t="str">
            <v>Axis Nifty Capital Markets Index Fund- Direct Plan</v>
          </cell>
          <cell r="E10899">
            <v>9.5230999999999995</v>
          </cell>
        </row>
        <row r="10900">
          <cell r="B10900" t="str">
            <v>INF846KA1531</v>
          </cell>
          <cell r="C10900" t="str">
            <v>-</v>
          </cell>
          <cell r="D10900" t="str">
            <v>Axis Nifty Capital Markets Index Fund- Regular Plan</v>
          </cell>
          <cell r="E10900">
            <v>9.5097000000000005</v>
          </cell>
        </row>
        <row r="10901">
          <cell r="B10901" t="str">
            <v>INF846KA1523</v>
          </cell>
          <cell r="C10901" t="str">
            <v>-</v>
          </cell>
          <cell r="D10901" t="str">
            <v>Axis Nifty India Defence Index Fund - Direct Plan - Growth</v>
          </cell>
          <cell r="E10901">
            <v>10.4429</v>
          </cell>
        </row>
        <row r="10902">
          <cell r="B10902" t="str">
            <v>INF846KA1515</v>
          </cell>
          <cell r="C10902" t="str">
            <v>-</v>
          </cell>
          <cell r="D10902" t="str">
            <v>Axis Nifty India Defence Index Fund - Regular Plan - Growth</v>
          </cell>
          <cell r="E10902">
            <v>10.423400000000001</v>
          </cell>
        </row>
        <row r="10903">
          <cell r="B10903" t="str">
            <v>INF846K017R3</v>
          </cell>
          <cell r="C10903" t="str">
            <v>-</v>
          </cell>
          <cell r="D10903" t="str">
            <v>Axis Nifty IT Index Fund - Direct Plan - Growth</v>
          </cell>
          <cell r="E10903">
            <v>10.0402</v>
          </cell>
        </row>
        <row r="10904">
          <cell r="B10904" t="str">
            <v>INF846K018R1</v>
          </cell>
          <cell r="C10904" t="str">
            <v>INF846K019R9</v>
          </cell>
          <cell r="D10904" t="str">
            <v>Axis Nifty IT Index Fund - Direct Plan - IDCW</v>
          </cell>
          <cell r="E10904">
            <v>10.0402</v>
          </cell>
        </row>
        <row r="10905">
          <cell r="B10905" t="str">
            <v>INF846K010S6</v>
          </cell>
          <cell r="C10905" t="str">
            <v>-</v>
          </cell>
          <cell r="D10905" t="str">
            <v>Axis Nifty IT Index Fund - Regular Plan - Growth</v>
          </cell>
          <cell r="E10905">
            <v>9.8368000000000002</v>
          </cell>
        </row>
        <row r="10906">
          <cell r="B10906" t="str">
            <v>INF846K011S4</v>
          </cell>
          <cell r="C10906" t="str">
            <v>INF846K012S2</v>
          </cell>
          <cell r="D10906" t="str">
            <v>Axis Nifty IT Index Fund - Regular Plan - IDCW</v>
          </cell>
          <cell r="E10906">
            <v>9.8369</v>
          </cell>
        </row>
        <row r="10907">
          <cell r="B10907" t="str">
            <v>INF846K019H0</v>
          </cell>
          <cell r="C10907" t="str">
            <v>-</v>
          </cell>
          <cell r="D10907" t="str">
            <v>Axis Nifty Midcap 50 Index Fund - Direct Plan - Growth Option</v>
          </cell>
          <cell r="E10907">
            <v>21.7453</v>
          </cell>
        </row>
        <row r="10908">
          <cell r="B10908" t="str">
            <v>INF846K010I7</v>
          </cell>
          <cell r="C10908" t="str">
            <v>INF846K011I5</v>
          </cell>
          <cell r="D10908" t="str">
            <v>Axis Nifty Midcap 50 Index Fund - Direct Plan - IDCW Option</v>
          </cell>
          <cell r="E10908">
            <v>21.744599999999998</v>
          </cell>
        </row>
        <row r="10909">
          <cell r="B10909" t="str">
            <v>INF846K012I3</v>
          </cell>
          <cell r="C10909" t="str">
            <v>-</v>
          </cell>
          <cell r="D10909" t="str">
            <v>Axis Nifty Midcap 50 Index Fund - Regular Plan - Growth Option</v>
          </cell>
          <cell r="E10909">
            <v>21.0581</v>
          </cell>
        </row>
        <row r="10910">
          <cell r="B10910" t="str">
            <v>INF846K013I1</v>
          </cell>
          <cell r="C10910" t="str">
            <v>INF846K014I9</v>
          </cell>
          <cell r="D10910" t="str">
            <v>Axis Nifty Midcap 50 Index Fund - Regular Plan - IDCW Option</v>
          </cell>
          <cell r="E10910">
            <v>21.0581</v>
          </cell>
        </row>
        <row r="10911">
          <cell r="B10911" t="str">
            <v>INF846K019E7</v>
          </cell>
          <cell r="C10911" t="str">
            <v>-</v>
          </cell>
          <cell r="D10911" t="str">
            <v>Axis Nifty Next 50 Index Fund - Direct Plan - Growth</v>
          </cell>
          <cell r="E10911">
            <v>17.928599999999999</v>
          </cell>
        </row>
        <row r="10912">
          <cell r="B10912" t="str">
            <v>INF846K010F3</v>
          </cell>
          <cell r="C10912" t="str">
            <v>INF846K011F1</v>
          </cell>
          <cell r="D10912" t="str">
            <v>Axis Nifty Next 50 Index Fund - Direct Plan - IDCW</v>
          </cell>
          <cell r="E10912">
            <v>17.012599999999999</v>
          </cell>
        </row>
        <row r="10913">
          <cell r="B10913" t="str">
            <v>INF846K012F9</v>
          </cell>
          <cell r="C10913" t="str">
            <v>-</v>
          </cell>
          <cell r="D10913" t="str">
            <v>Axis Nifty Next 50 Index Fund - Regular Plan - Growth</v>
          </cell>
          <cell r="E10913">
            <v>17.381799999999998</v>
          </cell>
        </row>
        <row r="10914">
          <cell r="B10914" t="str">
            <v>INF846K013F7</v>
          </cell>
          <cell r="C10914" t="str">
            <v>INF846K014F5</v>
          </cell>
          <cell r="D10914" t="str">
            <v>Axis Nifty Next 50 Index Fund - Regular Plan - IDCW</v>
          </cell>
          <cell r="E10914">
            <v>16.490600000000001</v>
          </cell>
        </row>
        <row r="10915">
          <cell r="B10915" t="str">
            <v>INF846K018K6</v>
          </cell>
          <cell r="C10915" t="str">
            <v>-</v>
          </cell>
          <cell r="D10915" t="str">
            <v>Axis Nifty SDL September 2026 Debt Index Fund - Direct Plan - Growth</v>
          </cell>
          <cell r="E10915">
            <v>12.9398</v>
          </cell>
        </row>
        <row r="10916">
          <cell r="B10916" t="str">
            <v>INF846K019K4</v>
          </cell>
          <cell r="C10916" t="str">
            <v>INF846K010L1</v>
          </cell>
          <cell r="D10916" t="str">
            <v>Axis Nifty SDL September 2026 Debt Index Fund - Direct Plan - IDCW</v>
          </cell>
          <cell r="E10916">
            <v>12.9398</v>
          </cell>
        </row>
        <row r="10917">
          <cell r="B10917" t="str">
            <v>INF846K012L7</v>
          </cell>
          <cell r="C10917" t="str">
            <v>INF846K013L5</v>
          </cell>
          <cell r="D10917" t="str">
            <v>Axis Nifty SDL September 2026 Debt Index Fund - Regular Plan -  IDCW</v>
          </cell>
          <cell r="E10917">
            <v>12.880699999999999</v>
          </cell>
        </row>
        <row r="10918">
          <cell r="B10918" t="str">
            <v>INF846K011L9</v>
          </cell>
          <cell r="C10918" t="str">
            <v>-</v>
          </cell>
          <cell r="D10918" t="str">
            <v>Axis Nifty SDL September 2026 Debt Index Fund - Regular Plan - Growth</v>
          </cell>
          <cell r="E10918">
            <v>12.882099999999999</v>
          </cell>
        </row>
        <row r="10919">
          <cell r="B10919" t="str">
            <v>INF846K013H3</v>
          </cell>
          <cell r="C10919" t="str">
            <v>-</v>
          </cell>
          <cell r="D10919" t="str">
            <v>Axis Nifty Smallcap 50 Index Fund - Direct Plan - Growth Option</v>
          </cell>
          <cell r="E10919">
            <v>20.171700000000001</v>
          </cell>
        </row>
        <row r="10920">
          <cell r="B10920" t="str">
            <v>INF846K014H1</v>
          </cell>
          <cell r="C10920" t="str">
            <v>INF846K015H8</v>
          </cell>
          <cell r="D10920" t="str">
            <v>Axis Nifty Smallcap 50 Index Fund - Direct Plan - IDCW</v>
          </cell>
          <cell r="E10920">
            <v>20.171600000000002</v>
          </cell>
        </row>
        <row r="10921">
          <cell r="B10921" t="str">
            <v>INF846K016H6</v>
          </cell>
          <cell r="C10921" t="str">
            <v>-</v>
          </cell>
          <cell r="D10921" t="str">
            <v>Axis Nifty Smallcap 50 Index Fund - Regular Plan - Growth Option</v>
          </cell>
          <cell r="E10921">
            <v>19.535699999999999</v>
          </cell>
        </row>
        <row r="10922">
          <cell r="B10922" t="str">
            <v>INF846K017H4</v>
          </cell>
          <cell r="C10922" t="str">
            <v>INF846K018H2</v>
          </cell>
          <cell r="D10922" t="str">
            <v>Axis Nifty Smallcap 50 Index Fund - Regular Plan - IDCW</v>
          </cell>
          <cell r="E10922">
            <v>19.535900000000002</v>
          </cell>
        </row>
        <row r="10923">
          <cell r="B10923" t="str">
            <v>INF846KA1044</v>
          </cell>
          <cell r="C10923" t="str">
            <v>-</v>
          </cell>
          <cell r="D10923" t="str">
            <v>Axis Nifty500 Momentum 50 Index Fund - Direct Plan - Growth Option</v>
          </cell>
          <cell r="E10923">
            <v>11.041700000000001</v>
          </cell>
        </row>
        <row r="10924">
          <cell r="B10924" t="str">
            <v>INF846KA1036</v>
          </cell>
          <cell r="C10924" t="str">
            <v>-</v>
          </cell>
          <cell r="D10924" t="str">
            <v>Axis Nifty500 Momentum 50 Index Fund - Regular Plan - Growth Option</v>
          </cell>
          <cell r="E10924">
            <v>10.901999999999999</v>
          </cell>
        </row>
        <row r="10925">
          <cell r="B10925" t="str">
            <v>INF846KA1200</v>
          </cell>
          <cell r="C10925" t="str">
            <v>-</v>
          </cell>
          <cell r="D10925" t="str">
            <v>Axis Nifty500 Quality 50 Index Fund - Direct Plan - Growth Option</v>
          </cell>
          <cell r="E10925">
            <v>10.165699999999999</v>
          </cell>
        </row>
        <row r="10926">
          <cell r="B10926" t="str">
            <v>INF846KA1192</v>
          </cell>
          <cell r="C10926" t="str">
            <v>-</v>
          </cell>
          <cell r="D10926" t="str">
            <v>Axis Nifty500 Quality 50 Index Fund - Regular Plan - Growth Option</v>
          </cell>
          <cell r="E10926">
            <v>10.092000000000001</v>
          </cell>
        </row>
        <row r="10927">
          <cell r="B10927" t="str">
            <v>INF846K013Y8</v>
          </cell>
          <cell r="C10927" t="str">
            <v>-</v>
          </cell>
          <cell r="D10927" t="str">
            <v>Axis Nifty500 Value 50 Index Fund - Direct Plan - Growth Option</v>
          </cell>
          <cell r="E10927">
            <v>11.4565</v>
          </cell>
        </row>
        <row r="10928">
          <cell r="B10928" t="str">
            <v>INF846K012Y0</v>
          </cell>
          <cell r="C10928" t="str">
            <v>-</v>
          </cell>
          <cell r="D10928" t="str">
            <v>Axis Nifty500 Value 50 Index Fund - Regular Plan - Growth Option</v>
          </cell>
          <cell r="E10928">
            <v>11.2822</v>
          </cell>
        </row>
        <row r="10929">
          <cell r="B10929" t="str">
            <v/>
          </cell>
          <cell r="C10929" t="str">
            <v/>
          </cell>
          <cell r="D10929" t="str">
            <v/>
          </cell>
        </row>
        <row r="10930">
          <cell r="B10930" t="str">
            <v/>
          </cell>
          <cell r="C10930" t="str">
            <v/>
          </cell>
          <cell r="D10930" t="str">
            <v/>
          </cell>
        </row>
        <row r="10931">
          <cell r="B10931" t="str">
            <v/>
          </cell>
          <cell r="C10931" t="str">
            <v/>
          </cell>
          <cell r="D10931" t="str">
            <v/>
          </cell>
        </row>
        <row r="10932">
          <cell r="B10932" t="str">
            <v>INF0QA701BA9</v>
          </cell>
          <cell r="C10932" t="str">
            <v>-</v>
          </cell>
          <cell r="D10932" t="str">
            <v>Bajaj Finserv Nifty 50 Index Fund - Direct - Growth</v>
          </cell>
          <cell r="E10932">
            <v>9.7909000000000006</v>
          </cell>
        </row>
        <row r="10933">
          <cell r="B10933" t="str">
            <v>INF0QA701BB7</v>
          </cell>
          <cell r="C10933" t="str">
            <v>INF0QA701BC5</v>
          </cell>
          <cell r="D10933" t="str">
            <v>Bajaj Finserv Nifty 50 Index Fund - Direct - IDCW</v>
          </cell>
          <cell r="E10933">
            <v>9.7909000000000006</v>
          </cell>
        </row>
        <row r="10934">
          <cell r="B10934" t="str">
            <v>INF0QA701AY1</v>
          </cell>
          <cell r="C10934" t="str">
            <v>-</v>
          </cell>
          <cell r="D10934" t="str">
            <v>Bajaj Finserv Nifty 50 Index Fund - Regular - Growth</v>
          </cell>
          <cell r="E10934">
            <v>9.7119999999999997</v>
          </cell>
        </row>
        <row r="10935">
          <cell r="B10935" t="str">
            <v>INF0QA701BJ0</v>
          </cell>
          <cell r="C10935" t="str">
            <v>INF0QA701AZ8</v>
          </cell>
          <cell r="D10935" t="str">
            <v>Bajaj Finserv Nifty 50 Index Fund - Regular - IDCW</v>
          </cell>
          <cell r="E10935">
            <v>9.7119999999999997</v>
          </cell>
        </row>
        <row r="10936">
          <cell r="B10936" t="str">
            <v>INF0QA701BG6</v>
          </cell>
          <cell r="C10936" t="str">
            <v>-</v>
          </cell>
          <cell r="D10936" t="str">
            <v>Bajaj Finserv Nifty Next 50 Index Fund - Direct - Growth</v>
          </cell>
          <cell r="E10936">
            <v>11.5016</v>
          </cell>
        </row>
        <row r="10937">
          <cell r="B10937" t="str">
            <v>INF0QA701BH4</v>
          </cell>
          <cell r="C10937" t="str">
            <v>INF0QA701BI2</v>
          </cell>
          <cell r="D10937" t="str">
            <v>Bajaj Finserv Nifty Next 50 Index Fund - Direct - IDCW</v>
          </cell>
          <cell r="E10937">
            <v>11.5016</v>
          </cell>
        </row>
        <row r="10938">
          <cell r="B10938" t="str">
            <v>INF0QA701BD3</v>
          </cell>
          <cell r="C10938" t="str">
            <v>-</v>
          </cell>
          <cell r="D10938" t="str">
            <v>Bajaj Finserv Nifty Next 50 Index Fund - Regular - Growth</v>
          </cell>
          <cell r="E10938">
            <v>11.410299999999999</v>
          </cell>
        </row>
        <row r="10939">
          <cell r="B10939" t="str">
            <v>INF0QA701BE1</v>
          </cell>
          <cell r="C10939" t="str">
            <v>INF0QA701BF8</v>
          </cell>
          <cell r="D10939" t="str">
            <v>Bajaj Finserv Nifty Next 50 Index Fund - Regular - IDCW</v>
          </cell>
          <cell r="E10939">
            <v>11.410299999999999</v>
          </cell>
        </row>
        <row r="10940">
          <cell r="B10940" t="str">
            <v/>
          </cell>
          <cell r="C10940" t="str">
            <v/>
          </cell>
          <cell r="D10940" t="str">
            <v/>
          </cell>
        </row>
        <row r="10941">
          <cell r="B10941" t="str">
            <v/>
          </cell>
          <cell r="C10941" t="str">
            <v/>
          </cell>
          <cell r="D10941" t="str">
            <v/>
          </cell>
        </row>
        <row r="10942">
          <cell r="B10942" t="str">
            <v/>
          </cell>
          <cell r="C10942" t="str">
            <v/>
          </cell>
          <cell r="D10942" t="str">
            <v/>
          </cell>
        </row>
        <row r="10943">
          <cell r="B10943" t="str">
            <v>INF194KB1IS2</v>
          </cell>
          <cell r="C10943" t="str">
            <v>-</v>
          </cell>
          <cell r="D10943" t="str">
            <v>Bandhan BSE Healthcare Index Fund Direct Plan - Growth</v>
          </cell>
          <cell r="E10943">
            <v>11.5</v>
          </cell>
        </row>
        <row r="10944">
          <cell r="B10944" t="str">
            <v>INF194KB1IR4</v>
          </cell>
          <cell r="C10944" t="str">
            <v>-</v>
          </cell>
          <cell r="D10944" t="str">
            <v>Bandhan BSE Healthcare Index Fund Regular Plan - Growth</v>
          </cell>
          <cell r="E10944">
            <v>11.3286</v>
          </cell>
        </row>
        <row r="10945">
          <cell r="B10945" t="str">
            <v>INF194KB1KB4</v>
          </cell>
          <cell r="C10945" t="str">
            <v>-</v>
          </cell>
          <cell r="D10945" t="str">
            <v>Bandhan BSE India Sector Leaders Index Fund - Direct Plan - Growth</v>
          </cell>
          <cell r="E10945">
            <v>9.6626999999999992</v>
          </cell>
        </row>
        <row r="10946">
          <cell r="B10946" t="str">
            <v>INF194KB1KA6</v>
          </cell>
          <cell r="C10946" t="str">
            <v>-</v>
          </cell>
          <cell r="D10946" t="str">
            <v>Bandhan BSE India Sector Leaders Index Fund - Regular Plan - Growth</v>
          </cell>
          <cell r="E10946">
            <v>9.6033000000000008</v>
          </cell>
        </row>
        <row r="10947">
          <cell r="B10947" t="str">
            <v>INF194KB1EN2</v>
          </cell>
          <cell r="C10947" t="str">
            <v>-</v>
          </cell>
          <cell r="D10947" t="str">
            <v>BANDHAN CRISIL IBX 90:10 SDL PLUS GILT APRIL 2032 INDEX FUND - DIRECT GROWTH</v>
          </cell>
          <cell r="E10947">
            <v>13.2492</v>
          </cell>
        </row>
        <row r="10948">
          <cell r="B10948" t="str">
            <v>INF194KB1EO0</v>
          </cell>
          <cell r="C10948" t="str">
            <v>INF194KB1EP7</v>
          </cell>
          <cell r="D10948" t="str">
            <v>BANDHAN CRISIL IBX 90:10 SDL PLUS GILT APRIL 2032 INDEX FUND - DIRECT IDCW</v>
          </cell>
          <cell r="E10948">
            <v>10.8521</v>
          </cell>
        </row>
        <row r="10949">
          <cell r="B10949" t="str">
            <v>INF194KB1EQ5</v>
          </cell>
          <cell r="C10949" t="str">
            <v>-</v>
          </cell>
          <cell r="D10949" t="str">
            <v>BANDHAN CRISIL IBX 90:10 SDL PLUS GILT APRIL 2032 INDEX FUND - REGULAR GROWTH</v>
          </cell>
          <cell r="E10949">
            <v>13.1653</v>
          </cell>
        </row>
        <row r="10950">
          <cell r="B10950" t="str">
            <v>INF194KB1ER3</v>
          </cell>
          <cell r="C10950" t="str">
            <v>INF194KB1ES1</v>
          </cell>
          <cell r="D10950" t="str">
            <v>BANDHAN CRISIL IBX 90:10 SDL PLUS GILT APRIL 2032 INDEX FUND - REGULAR IDCW</v>
          </cell>
          <cell r="E10950">
            <v>10.785399999999999</v>
          </cell>
        </row>
        <row r="10951">
          <cell r="B10951" t="str">
            <v>INF194KB1ET9</v>
          </cell>
          <cell r="C10951" t="str">
            <v>-</v>
          </cell>
          <cell r="D10951" t="str">
            <v>BANDHAN CRISIL IBX 90:10 SDL PLUS GILT - NOV 2026 INDEX FUND - DIRECT GROWTH</v>
          </cell>
          <cell r="E10951">
            <v>12.9802</v>
          </cell>
        </row>
        <row r="10952">
          <cell r="B10952" t="str">
            <v>INF194KB1EU7</v>
          </cell>
          <cell r="C10952" t="str">
            <v>INF194KB1EV5</v>
          </cell>
          <cell r="D10952" t="str">
            <v>BANDHAN CRISIL IBX 90:10 SDL PLUS GILT - NOV 2026 INDEX FUND - DIRECT IDCW</v>
          </cell>
          <cell r="E10952">
            <v>10.5662</v>
          </cell>
        </row>
        <row r="10953">
          <cell r="B10953" t="str">
            <v>INF194KB1EW3</v>
          </cell>
          <cell r="C10953" t="str">
            <v>-</v>
          </cell>
          <cell r="D10953" t="str">
            <v>BANDHAN CRISIL IBX 90:10 SDL PLUS GILT - NOV 2026 INDEX FUND - REGULAR GROWTH</v>
          </cell>
          <cell r="E10953">
            <v>12.861000000000001</v>
          </cell>
        </row>
        <row r="10954">
          <cell r="B10954" t="str">
            <v>INF194KB1EX1</v>
          </cell>
          <cell r="C10954" t="str">
            <v>INF194KB1EY9</v>
          </cell>
          <cell r="D10954" t="str">
            <v>BANDHAN CRISIL IBX 90:10 SDL PLUS GILT - NOV 2026 INDEX FUND - REGULAR IDCW</v>
          </cell>
          <cell r="E10954">
            <v>10.4209</v>
          </cell>
        </row>
        <row r="10955">
          <cell r="B10955" t="str">
            <v>INF194KB1EZ6</v>
          </cell>
          <cell r="C10955" t="str">
            <v>-</v>
          </cell>
          <cell r="D10955" t="str">
            <v>BANDHAN CRISIL IBX 90:10 SDL PLUS GILT - SEP27 INDEX FUND - DIRECT GROWTH</v>
          </cell>
          <cell r="E10955">
            <v>13.061</v>
          </cell>
        </row>
        <row r="10956">
          <cell r="B10956" t="str">
            <v>INF194KB1FA6</v>
          </cell>
          <cell r="C10956" t="str">
            <v>INF194KB1FB4</v>
          </cell>
          <cell r="D10956" t="str">
            <v>BANDHAN CRISIL IBX 90:10 SDL PLUS GILT SEP27 INDEX FUND - DIRECT IDCW</v>
          </cell>
          <cell r="E10956">
            <v>10.486800000000001</v>
          </cell>
        </row>
        <row r="10957">
          <cell r="B10957" t="str">
            <v>INF194KB1FC2</v>
          </cell>
          <cell r="C10957" t="str">
            <v>-</v>
          </cell>
          <cell r="D10957" t="str">
            <v>BANDHAN CRISIL IBX 90:10 SDL PLUS GILT SEP27 INDEX FUND - REGULAR GROWTH</v>
          </cell>
          <cell r="E10957">
            <v>12.942</v>
          </cell>
        </row>
        <row r="10958">
          <cell r="B10958" t="str">
            <v>INF194KB1FD0</v>
          </cell>
          <cell r="C10958" t="str">
            <v>INF194KB1FE8</v>
          </cell>
          <cell r="D10958" t="str">
            <v>BANDHAN CRISIL IBX 90:10 SDL PLUS GILT SEP27 INDEX FUND - REGULAR IDCW</v>
          </cell>
          <cell r="E10958">
            <v>10.4756</v>
          </cell>
        </row>
        <row r="10959">
          <cell r="B10959" t="str">
            <v>INF194KB1EH4</v>
          </cell>
          <cell r="C10959" t="str">
            <v>-</v>
          </cell>
          <cell r="D10959" t="str">
            <v>BANDHAN CRISIL IBX GILT APRIL 2026 INDEX FUND - DIRECT PLAN - GROWTH</v>
          </cell>
          <cell r="E10959">
            <v>12.771125140000001</v>
          </cell>
        </row>
        <row r="10960">
          <cell r="B10960" t="str">
            <v>INF194KB1EI2</v>
          </cell>
          <cell r="C10960" t="str">
            <v>INF194KB1EJ0</v>
          </cell>
          <cell r="D10960" t="str">
            <v>BANDHAN CRISIL IBX GILT APRIL 2026 INDEX FUND - DIRECT PLAN - IDCW</v>
          </cell>
          <cell r="E10960">
            <v>10.47545502</v>
          </cell>
        </row>
        <row r="10961">
          <cell r="B10961" t="str">
            <v>INF194KB1EK8</v>
          </cell>
          <cell r="C10961" t="str">
            <v>-</v>
          </cell>
          <cell r="D10961" t="str">
            <v>BANDHAN CRISIL IBX GILT APRIL 2026 INDEX FUND - REGULAR PLAN - GROWTH</v>
          </cell>
          <cell r="E10961">
            <v>12.658679530000001</v>
          </cell>
        </row>
        <row r="10962">
          <cell r="B10962" t="str">
            <v>INF194KB1EL6</v>
          </cell>
          <cell r="C10962" t="str">
            <v>INF194KB1EM4</v>
          </cell>
          <cell r="D10962" t="str">
            <v>BANDHAN CRISIL IBX GILT APRIL 2026 INDEX FUND - REGULAR PLAN - IDCW</v>
          </cell>
          <cell r="E10962">
            <v>10.385135379999999</v>
          </cell>
        </row>
        <row r="10963">
          <cell r="B10963" t="str">
            <v>INF194KB1BV1</v>
          </cell>
          <cell r="C10963" t="str">
            <v>-</v>
          </cell>
          <cell r="D10963" t="str">
            <v>BANDHAN CRISIL IBX Gilt April 2028 Index Fund Direct Plan-Growth</v>
          </cell>
          <cell r="E10963">
            <v>13.9168</v>
          </cell>
        </row>
        <row r="10964">
          <cell r="B10964" t="str">
            <v>INF194KB1BW9</v>
          </cell>
          <cell r="C10964" t="str">
            <v>INF194KB1BX7</v>
          </cell>
          <cell r="D10964" t="str">
            <v>BANDHAN CRISIL IBX Gilt April 2028 Index Fund Direct Plan-IDCW</v>
          </cell>
          <cell r="E10964">
            <v>10.344099999999999</v>
          </cell>
        </row>
        <row r="10965">
          <cell r="B10965" t="str">
            <v>INF194KB1BS7</v>
          </cell>
          <cell r="C10965" t="str">
            <v>-</v>
          </cell>
          <cell r="D10965" t="str">
            <v>BANDHAN CRISIL IBX Gilt April 2028 Index Fund Regular Plan-Growth</v>
          </cell>
          <cell r="E10965">
            <v>13.7324</v>
          </cell>
        </row>
        <row r="10966">
          <cell r="B10966" t="str">
            <v>INF194KB1BT5</v>
          </cell>
          <cell r="C10966" t="str">
            <v>INF194KB1BU3</v>
          </cell>
          <cell r="D10966" t="str">
            <v>BANDHAN CRISIL IBX Gilt April 2028 Index Fund Regular Plan-IDCW</v>
          </cell>
          <cell r="E10966">
            <v>10.341200000000001</v>
          </cell>
        </row>
        <row r="10967">
          <cell r="B10967" t="str">
            <v>INF194KB1FF5</v>
          </cell>
          <cell r="C10967" t="str">
            <v>-</v>
          </cell>
          <cell r="D10967" t="str">
            <v>BANDHAN CRISIL IBX GILT APRIL 2032 INDEX FUND - DIRECT GROWTH</v>
          </cell>
          <cell r="E10967">
            <v>13.1365</v>
          </cell>
        </row>
        <row r="10968">
          <cell r="B10968" t="str">
            <v>INF194KB1FG3</v>
          </cell>
          <cell r="C10968" t="str">
            <v>INF194KB1FH1</v>
          </cell>
          <cell r="D10968" t="str">
            <v>BANDHAN CRISIL IBX GILT APRIL 2032 INDEX FUND - DIRECT IDCW</v>
          </cell>
          <cell r="E10968">
            <v>11.135</v>
          </cell>
        </row>
        <row r="10969">
          <cell r="B10969" t="str">
            <v>INF194KB1FI9</v>
          </cell>
          <cell r="C10969" t="str">
            <v>-</v>
          </cell>
          <cell r="D10969" t="str">
            <v>BANDHAN CRISIL IBX GILT APRIL 2032 INDEX FUND - REGULAR GROWTH</v>
          </cell>
          <cell r="E10969">
            <v>13.022500000000001</v>
          </cell>
        </row>
        <row r="10970">
          <cell r="B10970" t="str">
            <v>INF194KB1FJ7</v>
          </cell>
          <cell r="C10970" t="str">
            <v>INF194KB1FK5</v>
          </cell>
          <cell r="D10970" t="str">
            <v>BANDHAN CRISIL IBX GILT APRIL 2032 INDEX FUND - REGULAR IDCW</v>
          </cell>
          <cell r="E10970">
            <v>10.960699999999999</v>
          </cell>
        </row>
        <row r="10971">
          <cell r="B10971" t="str">
            <v>INF194KB1BP3</v>
          </cell>
          <cell r="C10971" t="str">
            <v>-</v>
          </cell>
          <cell r="D10971" t="str">
            <v>BANDHAN CRISIL IBX Gilt June 2027 Index Fund Direct Plan-Growth</v>
          </cell>
          <cell r="E10971">
            <v>13.823399999999999</v>
          </cell>
        </row>
        <row r="10972">
          <cell r="B10972" t="str">
            <v>INF194KB1BQ1</v>
          </cell>
          <cell r="C10972" t="str">
            <v>INF194KB1BR9</v>
          </cell>
          <cell r="D10972" t="str">
            <v>BANDHAN CRISIL IBX Gilt June 2027 Index Fund Direct Plan-IDCW</v>
          </cell>
          <cell r="E10972">
            <v>10.352499999999999</v>
          </cell>
        </row>
        <row r="10973">
          <cell r="B10973" t="str">
            <v>INF194KB1BL2</v>
          </cell>
          <cell r="C10973" t="str">
            <v>-</v>
          </cell>
          <cell r="D10973" t="str">
            <v>BANDHAN CRISIL IBX Gilt June 2027 Index Fund Regular Plan-Growth</v>
          </cell>
          <cell r="E10973">
            <v>13.6402</v>
          </cell>
        </row>
        <row r="10974">
          <cell r="B10974" t="str">
            <v>INF194KB1BM0</v>
          </cell>
          <cell r="C10974" t="str">
            <v>INF194KB1BO6</v>
          </cell>
          <cell r="D10974" t="str">
            <v>BANDHAN CRISIL IBX Gilt June 2027 Index Fund Regular Plan-IDCW</v>
          </cell>
          <cell r="E10974">
            <v>10.3413</v>
          </cell>
        </row>
        <row r="10975">
          <cell r="B10975" t="str">
            <v>INF194KB1JL5</v>
          </cell>
          <cell r="C10975" t="str">
            <v>-</v>
          </cell>
          <cell r="D10975" t="str">
            <v>Bandhan CRISIL-IBX 10:90 Gilt Plus SDL Index - Dec 2029 Fund-Direct Plan-Growth</v>
          </cell>
          <cell r="E10975">
            <v>10.9621</v>
          </cell>
        </row>
        <row r="10976">
          <cell r="B10976" t="str">
            <v>INF194KB1JM3</v>
          </cell>
          <cell r="C10976" t="str">
            <v>INF194KB1JN1</v>
          </cell>
          <cell r="D10976" t="str">
            <v>Bandhan CRISIL-IBX 10:90 Gilt Plus SDL Index - Dec 2029 Fund-Direct Plan-IDCW</v>
          </cell>
          <cell r="E10976">
            <v>10.395200000000001</v>
          </cell>
        </row>
        <row r="10977">
          <cell r="B10977" t="str">
            <v>INF194KB1JO9</v>
          </cell>
          <cell r="C10977" t="str">
            <v>-</v>
          </cell>
          <cell r="D10977" t="str">
            <v>Bandhan CRISIL-IBX 10:90 Gilt Plus SDL Index - Dec 2029 Fund-Regular Plan-Growth</v>
          </cell>
          <cell r="E10977">
            <v>10.9216</v>
          </cell>
        </row>
        <row r="10978">
          <cell r="B10978" t="str">
            <v>INF194KB1JP6</v>
          </cell>
          <cell r="C10978" t="str">
            <v>INF194KB1JQ4</v>
          </cell>
          <cell r="D10978" t="str">
            <v>Bandhan CRISIL-IBX 10:90 Gilt Plus SDL Index - Dec 2029 Fund-Regular Plan-IDCW</v>
          </cell>
          <cell r="E10978">
            <v>10.263999999999999</v>
          </cell>
        </row>
        <row r="10979">
          <cell r="B10979" t="str">
            <v>INF194KB1JR2</v>
          </cell>
          <cell r="C10979" t="str">
            <v>-</v>
          </cell>
          <cell r="D10979" t="str">
            <v>Bandhan CRISIL-IBX Financial Services 3-6 Months Debt Index Fund - Direct Plan - Growth</v>
          </cell>
          <cell r="E10979">
            <v>10.987399999999999</v>
          </cell>
        </row>
        <row r="10980">
          <cell r="B10980" t="str">
            <v>INF194KB1JS0</v>
          </cell>
          <cell r="C10980" t="str">
            <v>-</v>
          </cell>
          <cell r="D10980" t="str">
            <v>Bandhan CRISIL-IBX Financial Services 3-6 Months Debt Index Fund - Regular Plan - Growth</v>
          </cell>
          <cell r="E10980">
            <v>10.888400000000001</v>
          </cell>
        </row>
        <row r="10981">
          <cell r="B10981" t="str">
            <v>INF194KB1CR7</v>
          </cell>
          <cell r="C10981" t="str">
            <v>-</v>
          </cell>
          <cell r="D10981" t="str">
            <v>BANDHAN NIFTY 100 INDEX FUND - DIRECT PLAN - GROWTH</v>
          </cell>
          <cell r="E10981">
            <v>15.0387</v>
          </cell>
        </row>
        <row r="10982">
          <cell r="B10982" t="str">
            <v>INF194KB1CS5</v>
          </cell>
          <cell r="C10982" t="str">
            <v>INF194KB1CT3</v>
          </cell>
          <cell r="D10982" t="str">
            <v>BANDHAN NIFTY 100 INDEX FUND - DIRECT PLAN - IDCW</v>
          </cell>
          <cell r="E10982">
            <v>15.035299999999999</v>
          </cell>
        </row>
        <row r="10983">
          <cell r="B10983" t="str">
            <v>INF194KB1CO4</v>
          </cell>
          <cell r="C10983" t="str">
            <v>-</v>
          </cell>
          <cell r="D10983" t="str">
            <v>BANDHAN NIFTY 100 INDEX FUND - REGULAR PLAN - GROWTH</v>
          </cell>
          <cell r="E10983">
            <v>14.714499999999999</v>
          </cell>
        </row>
        <row r="10984">
          <cell r="B10984" t="str">
            <v>INF194KB1CP1</v>
          </cell>
          <cell r="C10984" t="str">
            <v>INF194KB1CQ9</v>
          </cell>
          <cell r="D10984" t="str">
            <v>BANDHAN NIFTY 100 INDEX FUND - REGULAR PLAN - IDCW</v>
          </cell>
          <cell r="E10984">
            <v>14.716799999999999</v>
          </cell>
        </row>
        <row r="10985">
          <cell r="B10985" t="str">
            <v>INF194KB1JA8</v>
          </cell>
          <cell r="C10985" t="str">
            <v>-</v>
          </cell>
          <cell r="D10985" t="str">
            <v>Bandhan Nifty 200 Quality 30 Index Fund - Direct Plan - Growth</v>
          </cell>
          <cell r="E10985">
            <v>9.5825999999999993</v>
          </cell>
        </row>
        <row r="10986">
          <cell r="B10986" t="str">
            <v>INF194KB1IZ7</v>
          </cell>
          <cell r="C10986" t="str">
            <v>-</v>
          </cell>
          <cell r="D10986" t="str">
            <v>Bandhan Nifty 200 Quality 30 Index Fund - Regular Plan - Growth</v>
          </cell>
          <cell r="E10986">
            <v>9.4811999999999994</v>
          </cell>
        </row>
        <row r="10987">
          <cell r="B10987" t="str">
            <v>INF194K01920</v>
          </cell>
          <cell r="C10987" t="str">
            <v>-</v>
          </cell>
          <cell r="D10987" t="str">
            <v>BANDHAN Nifty 50 Index Fund - Regular Plan - Growth</v>
          </cell>
          <cell r="E10987">
            <v>51.8568</v>
          </cell>
        </row>
        <row r="10988">
          <cell r="B10988" t="str">
            <v>INF194K01938</v>
          </cell>
          <cell r="C10988" t="str">
            <v>INF194K01946</v>
          </cell>
          <cell r="D10988" t="str">
            <v>BANDHAN Nifty 50 Index Fund - Regular Plan - IDCW</v>
          </cell>
          <cell r="E10988">
            <v>47.066299999999998</v>
          </cell>
        </row>
        <row r="10989">
          <cell r="B10989" t="str">
            <v>INF194K012A8</v>
          </cell>
          <cell r="C10989" t="str">
            <v>-</v>
          </cell>
          <cell r="D10989" t="str">
            <v>BANDHAN Nifty 50 Index Fund-Direct Plan-Growth</v>
          </cell>
          <cell r="E10989">
            <v>53.6633</v>
          </cell>
        </row>
        <row r="10990">
          <cell r="B10990" t="str">
            <v>INF194K013A6</v>
          </cell>
          <cell r="C10990" t="str">
            <v>INF194K014A4</v>
          </cell>
          <cell r="D10990" t="str">
            <v>BANDHAN Nifty 50 Index Fund-Direct Plan-IDCW</v>
          </cell>
          <cell r="E10990">
            <v>48.774000000000001</v>
          </cell>
        </row>
        <row r="10991">
          <cell r="B10991" t="str">
            <v>INF194KB1IY0</v>
          </cell>
          <cell r="C10991" t="str">
            <v>-</v>
          </cell>
          <cell r="D10991" t="str">
            <v>Bandhan Nifty 500 Momentum 50 Index Fund Direct Plan-Growth</v>
          </cell>
          <cell r="E10991">
            <v>8.9396000000000004</v>
          </cell>
        </row>
        <row r="10992">
          <cell r="B10992" t="str">
            <v>INF194KB1IX2</v>
          </cell>
          <cell r="C10992" t="str">
            <v>-</v>
          </cell>
          <cell r="D10992" t="str">
            <v>Bandhan Nifty 500 Momentum 50 Index Fund Regular Plan-Growth</v>
          </cell>
          <cell r="E10992">
            <v>8.8397000000000006</v>
          </cell>
        </row>
        <row r="10993">
          <cell r="B10993" t="str">
            <v>INF194KB1IW4</v>
          </cell>
          <cell r="C10993" t="str">
            <v>-</v>
          </cell>
          <cell r="D10993" t="str">
            <v>Bandhan Nifty 500 Value 50 Index Fund Direct Plan - Growth</v>
          </cell>
          <cell r="E10993">
            <v>11.334099999999999</v>
          </cell>
        </row>
        <row r="10994">
          <cell r="B10994" t="str">
            <v>INF194KB1IV6</v>
          </cell>
          <cell r="C10994" t="str">
            <v>-</v>
          </cell>
          <cell r="D10994" t="str">
            <v>Bandhan Nifty 500 Value 50 Index Fund Regular Plan - Growth</v>
          </cell>
          <cell r="E10994">
            <v>11.2072</v>
          </cell>
        </row>
        <row r="10995">
          <cell r="B10995" t="str">
            <v>INF194KB1HA2</v>
          </cell>
          <cell r="C10995" t="str">
            <v>-</v>
          </cell>
          <cell r="D10995" t="str">
            <v>Bandhan Nifty Alpha 50 Index Fund - Direct Plan - Growth</v>
          </cell>
          <cell r="E10995">
            <v>14.206200000000001</v>
          </cell>
        </row>
        <row r="10996">
          <cell r="B10996" t="str">
            <v>INF194KB1HB0</v>
          </cell>
          <cell r="C10996" t="str">
            <v>INF194KB1HC8</v>
          </cell>
          <cell r="D10996" t="str">
            <v>Bandhan Nifty Alpha 50 Index Fund - Direct Plan - IDCW</v>
          </cell>
          <cell r="E10996">
            <v>14.1975</v>
          </cell>
        </row>
        <row r="10997">
          <cell r="B10997" t="str">
            <v>INF194KB1GX6</v>
          </cell>
          <cell r="C10997" t="str">
            <v>-</v>
          </cell>
          <cell r="D10997" t="str">
            <v>Bandhan Nifty Alpha 50 Index Fund - Regular Plan - Growth</v>
          </cell>
          <cell r="E10997">
            <v>13.950100000000001</v>
          </cell>
        </row>
        <row r="10998">
          <cell r="B10998" t="str">
            <v>INF194KB1GY4</v>
          </cell>
          <cell r="C10998" t="str">
            <v>INF194KB1GZ1</v>
          </cell>
          <cell r="D10998" t="str">
            <v>Bandhan Nifty Alpha 50 Index Fund - Regular Plan - IDCW</v>
          </cell>
          <cell r="E10998">
            <v>13.9499</v>
          </cell>
        </row>
        <row r="10999">
          <cell r="B10999" t="str">
            <v>INF194KB1JC4</v>
          </cell>
          <cell r="C10999" t="str">
            <v>-</v>
          </cell>
          <cell r="D10999" t="str">
            <v>Bandhan Nifty Alpha Low Volatility 30 Index Fund - Direct Plan - Growth</v>
          </cell>
          <cell r="E10999">
            <v>10.374700000000001</v>
          </cell>
        </row>
        <row r="11000">
          <cell r="B11000" t="str">
            <v>INF194KB1JB6</v>
          </cell>
          <cell r="C11000" t="str">
            <v>-</v>
          </cell>
          <cell r="D11000" t="str">
            <v>Bandhan Nifty Alpha Low Volatility 30 Index Fund - Regular Plan - Growth</v>
          </cell>
          <cell r="E11000">
            <v>10.259</v>
          </cell>
        </row>
        <row r="11001">
          <cell r="B11001" t="str">
            <v>INF194KB1IO1</v>
          </cell>
          <cell r="C11001" t="str">
            <v>-</v>
          </cell>
          <cell r="D11001" t="str">
            <v>Bandhan Nifty Bank Index Fund - Direct Plan - Growth</v>
          </cell>
          <cell r="E11001">
            <v>11.222300000000001</v>
          </cell>
        </row>
        <row r="11002">
          <cell r="B11002" t="str">
            <v>INF194KB1IN3</v>
          </cell>
          <cell r="C11002" t="str">
            <v>-</v>
          </cell>
          <cell r="D11002" t="str">
            <v>Bandhan Nifty Bank Index Fund - Regular Plan - Growth</v>
          </cell>
          <cell r="E11002">
            <v>11.0527</v>
          </cell>
        </row>
        <row r="11003">
          <cell r="B11003" t="str">
            <v>INF194KB1GK3</v>
          </cell>
          <cell r="C11003" t="str">
            <v>-</v>
          </cell>
          <cell r="D11003" t="str">
            <v>Bandhan Nifty IT Index Fund - Direct Plan - Growth</v>
          </cell>
          <cell r="E11003">
            <v>9.7210000000000001</v>
          </cell>
        </row>
        <row r="11004">
          <cell r="B11004" t="str">
            <v>INF194KB1GL1</v>
          </cell>
          <cell r="C11004" t="str">
            <v>INF194KB1GM9</v>
          </cell>
          <cell r="D11004" t="str">
            <v>Bandhan Nifty IT Index Fund - Direct Plan - IDCW</v>
          </cell>
          <cell r="E11004">
            <v>9.7241</v>
          </cell>
        </row>
        <row r="11005">
          <cell r="B11005" t="str">
            <v>INF194KB1GH9</v>
          </cell>
          <cell r="C11005" t="str">
            <v>-</v>
          </cell>
          <cell r="D11005" t="str">
            <v>Bandhan Nifty IT Index Fund - Regular Plan - Growth</v>
          </cell>
          <cell r="E11005">
            <v>9.5404</v>
          </cell>
        </row>
        <row r="11006">
          <cell r="B11006" t="str">
            <v>INF194KB1GI7</v>
          </cell>
          <cell r="C11006" t="str">
            <v>INF194KB1GJ5</v>
          </cell>
          <cell r="D11006" t="str">
            <v>Bandhan Nifty IT Index Fund - Regular Plan - IDCW</v>
          </cell>
          <cell r="E11006">
            <v>9.5395000000000003</v>
          </cell>
        </row>
        <row r="11007">
          <cell r="B11007" t="str">
            <v>INF194KB1IT0</v>
          </cell>
          <cell r="C11007" t="str">
            <v>-</v>
          </cell>
          <cell r="D11007" t="str">
            <v>Bandhan Nifty Midcap 150 Index Fund-Direct Plan-Growth</v>
          </cell>
          <cell r="E11007">
            <v>10.432600000000001</v>
          </cell>
        </row>
        <row r="11008">
          <cell r="B11008" t="str">
            <v>INF194KB1IU8</v>
          </cell>
          <cell r="C11008" t="str">
            <v>-</v>
          </cell>
          <cell r="D11008" t="str">
            <v>Bandhan Nifty Midcap 150 Index Fund-Regular Plan-Growth</v>
          </cell>
          <cell r="E11008">
            <v>10.2981</v>
          </cell>
        </row>
        <row r="11009">
          <cell r="B11009" t="str">
            <v>INF194KB1JK7</v>
          </cell>
          <cell r="C11009" t="str">
            <v>-</v>
          </cell>
          <cell r="D11009" t="str">
            <v>Bandhan Nifty Next 50 Index Fund - Direct Plan - Growth</v>
          </cell>
          <cell r="E11009">
            <v>12.7437</v>
          </cell>
        </row>
        <row r="11010">
          <cell r="B11010" t="str">
            <v>INF194KB1JJ9</v>
          </cell>
          <cell r="C11010" t="str">
            <v>-</v>
          </cell>
          <cell r="D11010" t="str">
            <v>Bandhan Nifty Next 50 Index Fund - Regular Plan - Growth</v>
          </cell>
          <cell r="E11010">
            <v>12.605499999999999</v>
          </cell>
        </row>
        <row r="11011">
          <cell r="B11011" t="str">
            <v>INF194KB1HG9</v>
          </cell>
          <cell r="C11011" t="str">
            <v>-</v>
          </cell>
          <cell r="D11011" t="str">
            <v>BANDHAN Nifty Smallcap 250 Index Fund - Direct Plan - Growth</v>
          </cell>
          <cell r="E11011">
            <v>12.9549</v>
          </cell>
        </row>
        <row r="11012">
          <cell r="B11012" t="str">
            <v>INF194KB1HH7</v>
          </cell>
          <cell r="C11012" t="str">
            <v>INF194KB1HI5</v>
          </cell>
          <cell r="D11012" t="str">
            <v>BANDHAN Nifty Smallcap 250 Index Fund - Direct Plan - IDCW</v>
          </cell>
          <cell r="E11012">
            <v>12.9551</v>
          </cell>
        </row>
        <row r="11013">
          <cell r="B11013" t="str">
            <v>INF194KB1HD6</v>
          </cell>
          <cell r="C11013" t="str">
            <v>-</v>
          </cell>
          <cell r="D11013" t="str">
            <v>BANDHAN Nifty Smallcap 250 Index Fund - Regular Plan - Growth</v>
          </cell>
          <cell r="E11013">
            <v>12.7255</v>
          </cell>
        </row>
        <row r="11014">
          <cell r="B11014" t="str">
            <v>INF194KB1HE4</v>
          </cell>
          <cell r="C11014" t="str">
            <v>INF194KB1HF1</v>
          </cell>
          <cell r="D11014" t="str">
            <v>BANDHAN Nifty Smallcap 250 Index Fund - Regular Plan - IDCW</v>
          </cell>
          <cell r="E11014">
            <v>12.726000000000001</v>
          </cell>
        </row>
        <row r="11015">
          <cell r="B11015" t="str">
            <v>INF194KB1IK9</v>
          </cell>
          <cell r="C11015" t="str">
            <v>-</v>
          </cell>
          <cell r="D11015" t="str">
            <v>Bandhan Nifty Total Market Index Fund - Direct Plan - Growth</v>
          </cell>
          <cell r="E11015">
            <v>10.176600000000001</v>
          </cell>
        </row>
        <row r="11016">
          <cell r="B11016" t="str">
            <v>INF194KB1IH5</v>
          </cell>
          <cell r="C11016" t="str">
            <v>-</v>
          </cell>
          <cell r="D11016" t="str">
            <v>Bandhan Nifty Total Market Index Fund - Regular Plan - Growth</v>
          </cell>
          <cell r="E11016">
            <v>10.0425</v>
          </cell>
        </row>
        <row r="11017">
          <cell r="B11017" t="str">
            <v>INF194KB1DV7</v>
          </cell>
          <cell r="C11017" t="str">
            <v>-</v>
          </cell>
          <cell r="D11017" t="str">
            <v>BANDHAN NIFTY100 LOW VOLATILITY 30 INDEX FUND - GROWTH - DIRECT PLAN</v>
          </cell>
          <cell r="E11017">
            <v>15.8736</v>
          </cell>
        </row>
        <row r="11018">
          <cell r="B11018" t="str">
            <v>INF194KB1DY1</v>
          </cell>
          <cell r="C11018" t="str">
            <v>-</v>
          </cell>
          <cell r="D11018" t="str">
            <v>BANDHAN NIFTY100 LOW VOLATILITY 30 INDEX FUND - GROWTH - REGULAR PLAN</v>
          </cell>
          <cell r="E11018">
            <v>15.4511</v>
          </cell>
        </row>
        <row r="11019">
          <cell r="B11019" t="str">
            <v>INF194KB1DW5</v>
          </cell>
          <cell r="C11019" t="str">
            <v>INF194KB1DX3</v>
          </cell>
          <cell r="D11019" t="str">
            <v>BANDHAN NIFTY100 LOW VOLATILITY 30 INDEX FUND - IDCW - DIRECT PLAN</v>
          </cell>
          <cell r="E11019">
            <v>15.795</v>
          </cell>
        </row>
        <row r="11020">
          <cell r="B11020" t="str">
            <v>INF194KB1DZ8</v>
          </cell>
          <cell r="C11020" t="str">
            <v>INF194KB1EA9</v>
          </cell>
          <cell r="D11020" t="str">
            <v>BANDHAN NIFTY100 LOW VOLATILITY 30 INDEX FUND - IDCW - REGULAR PLAN</v>
          </cell>
          <cell r="E11020">
            <v>15.450799999999999</v>
          </cell>
        </row>
        <row r="11021">
          <cell r="B11021" t="str">
            <v>INF194KB1DP9</v>
          </cell>
          <cell r="C11021" t="str">
            <v>-</v>
          </cell>
          <cell r="D11021" t="str">
            <v>BANDHAN NIFTY200 MOMENTUM 30 INDEX FUND - GROWTH - DIRECT PLAN</v>
          </cell>
          <cell r="E11021">
            <v>15.6081</v>
          </cell>
        </row>
        <row r="11022">
          <cell r="B11022" t="str">
            <v>INF194KB1DS3</v>
          </cell>
          <cell r="C11022" t="str">
            <v>-</v>
          </cell>
          <cell r="D11022" t="str">
            <v>BANDHAN NIFTY200 MOMENTUM 30 INDEX FUND - GROWTH - REGULAR PLAN</v>
          </cell>
          <cell r="E11022">
            <v>15.2356</v>
          </cell>
        </row>
        <row r="11023">
          <cell r="B11023" t="str">
            <v>INF194KB1DQ7</v>
          </cell>
          <cell r="C11023" t="str">
            <v>INF194KB1DR5</v>
          </cell>
          <cell r="D11023" t="str">
            <v>BANDHAN NIFTY200 MOMENTUM 30 INDEX FUND - IDCW - DIRECT PLAN</v>
          </cell>
          <cell r="E11023">
            <v>15.5822</v>
          </cell>
        </row>
        <row r="11024">
          <cell r="B11024" t="str">
            <v>INF194KB1DT1</v>
          </cell>
          <cell r="C11024" t="str">
            <v>INF194KB1DU9</v>
          </cell>
          <cell r="D11024" t="str">
            <v>BANDHAN NIFTY200 MOMENTUM 30 INDEX FUND - IDCW - REGULAR PLAN</v>
          </cell>
          <cell r="E11024">
            <v>15.234999999999999</v>
          </cell>
        </row>
        <row r="11025">
          <cell r="B11025" t="str">
            <v/>
          </cell>
          <cell r="C11025" t="str">
            <v/>
          </cell>
          <cell r="D11025" t="str">
            <v/>
          </cell>
        </row>
        <row r="11026">
          <cell r="B11026" t="str">
            <v/>
          </cell>
          <cell r="C11026" t="str">
            <v/>
          </cell>
          <cell r="D11026" t="str">
            <v/>
          </cell>
        </row>
        <row r="11027">
          <cell r="B11027" t="str">
            <v/>
          </cell>
          <cell r="C11027" t="str">
            <v/>
          </cell>
          <cell r="D11027" t="str">
            <v/>
          </cell>
        </row>
        <row r="11028">
          <cell r="B11028" t="str">
            <v>INF251K01SY1</v>
          </cell>
          <cell r="C11028" t="str">
            <v>-</v>
          </cell>
          <cell r="D11028" t="str">
            <v>Baroda BNP Paribas Nifty 50 Index Fund - Direct Plan - Growth option</v>
          </cell>
          <cell r="E11028">
            <v>11.3163</v>
          </cell>
        </row>
        <row r="11029">
          <cell r="B11029" t="str">
            <v>INF251K01SZ8</v>
          </cell>
          <cell r="C11029" t="str">
            <v>INF251K01TA9</v>
          </cell>
          <cell r="D11029" t="str">
            <v>Baroda BNP Paribas Nifty 50 Index Fund - Direct Plan - IDCW option</v>
          </cell>
          <cell r="E11029">
            <v>11.3163</v>
          </cell>
        </row>
        <row r="11030">
          <cell r="B11030" t="str">
            <v>INF251K01SV7</v>
          </cell>
          <cell r="C11030" t="str">
            <v>-</v>
          </cell>
          <cell r="D11030" t="str">
            <v>Baroda BNP Paribas Nifty 50 Index Fund - Regular Plan - Growth option</v>
          </cell>
          <cell r="E11030">
            <v>11.208399999999999</v>
          </cell>
        </row>
        <row r="11031">
          <cell r="B11031" t="str">
            <v>INF251K01SW5</v>
          </cell>
          <cell r="C11031" t="str">
            <v>INF251K01SX3</v>
          </cell>
          <cell r="D11031" t="str">
            <v>Baroda BNP Paribas Nifty 50 Index Fund - Regular Plan - IDCW option</v>
          </cell>
          <cell r="E11031">
            <v>11.208399999999999</v>
          </cell>
        </row>
        <row r="11032">
          <cell r="B11032" t="str">
            <v>INF251K01UA7</v>
          </cell>
          <cell r="C11032" t="str">
            <v>-</v>
          </cell>
          <cell r="D11032" t="str">
            <v>Baroda BNP Paribas Nifty Midcap 150 Index Fund - Direct Plan - Growth Option</v>
          </cell>
          <cell r="E11032">
            <v>11.036300000000001</v>
          </cell>
        </row>
        <row r="11033">
          <cell r="B11033" t="str">
            <v>INF251K01UB5</v>
          </cell>
          <cell r="C11033" t="str">
            <v>-</v>
          </cell>
          <cell r="D11033" t="str">
            <v>Baroda BNP Paribas Nifty Midcap 150 Index Fund - Regular Plan - Growth Option</v>
          </cell>
          <cell r="E11033">
            <v>10.9069</v>
          </cell>
        </row>
        <row r="11034">
          <cell r="B11034" t="str">
            <v>INF251K01RL0</v>
          </cell>
          <cell r="C11034" t="str">
            <v>-</v>
          </cell>
          <cell r="D11034" t="str">
            <v>Baroda BNP Paribas Nifty SDL December 2026 Index Fund - Direct Plan - Growth Option</v>
          </cell>
          <cell r="E11034">
            <v>12.816000000000001</v>
          </cell>
        </row>
        <row r="11035">
          <cell r="B11035" t="str">
            <v>INF251K01RM8</v>
          </cell>
          <cell r="C11035" t="str">
            <v>-</v>
          </cell>
          <cell r="D11035" t="str">
            <v>Baroda BNP Paribas Nifty SDL December 2026 Index Fund - Direct Plan - IDCW Option</v>
          </cell>
          <cell r="E11035">
            <v>10</v>
          </cell>
        </row>
        <row r="11036">
          <cell r="B11036" t="str">
            <v>INF251K01RI6</v>
          </cell>
          <cell r="C11036" t="str">
            <v>-</v>
          </cell>
          <cell r="D11036" t="str">
            <v>Baroda BNP Paribas Nifty SDL December 2026 Index Fund - Regular Plan - Growth Option</v>
          </cell>
          <cell r="E11036">
            <v>12.684200000000001</v>
          </cell>
        </row>
        <row r="11037">
          <cell r="B11037" t="str">
            <v>INF251K01RJ4</v>
          </cell>
          <cell r="C11037" t="str">
            <v>-</v>
          </cell>
          <cell r="D11037" t="str">
            <v>Baroda BNP Paribas Nifty SDL December 2026 Index Fund - Regular Plan - IDCW Option</v>
          </cell>
          <cell r="E11037">
            <v>12.6844</v>
          </cell>
        </row>
        <row r="11038">
          <cell r="B11038" t="str">
            <v>INF251K01RR7</v>
          </cell>
          <cell r="C11038" t="str">
            <v>-</v>
          </cell>
          <cell r="D11038" t="str">
            <v>Baroda BNP Paribas NIFTY SDL December 2028 Index Fund - Direct Plan - Growth Option</v>
          </cell>
          <cell r="E11038">
            <v>12.8695</v>
          </cell>
        </row>
        <row r="11039">
          <cell r="B11039" t="str">
            <v>INF251K01RS5</v>
          </cell>
          <cell r="C11039" t="str">
            <v>INF251K01RT3</v>
          </cell>
          <cell r="D11039" t="str">
            <v>Baroda BNP Paribas NIFTY SDL December 2028 Index Fund - Direct Plan - IDCW Option</v>
          </cell>
          <cell r="E11039">
            <v>12.0761</v>
          </cell>
        </row>
        <row r="11040">
          <cell r="B11040" t="str">
            <v>INF251K01RO4</v>
          </cell>
          <cell r="C11040" t="str">
            <v>-</v>
          </cell>
          <cell r="D11040" t="str">
            <v>Baroda BNP Paribas NIFTY SDL December 2028 Index Fund - Regular Plan - Growth Option</v>
          </cell>
          <cell r="E11040">
            <v>12.7422</v>
          </cell>
        </row>
        <row r="11041">
          <cell r="B11041" t="str">
            <v>INF251K01RP1</v>
          </cell>
          <cell r="C11041" t="str">
            <v>INF251K01RQ9</v>
          </cell>
          <cell r="D11041" t="str">
            <v>Baroda BNP Paribas NIFTY SDL December 2028 Index Fund - Regular Plan - IDCW Option</v>
          </cell>
          <cell r="E11041">
            <v>11.8812</v>
          </cell>
        </row>
        <row r="11042">
          <cell r="B11042" t="str">
            <v>INF251K01TY9</v>
          </cell>
          <cell r="C11042" t="str">
            <v>-</v>
          </cell>
          <cell r="D11042" t="str">
            <v>Baroda BNP Paribas Nifty200 Momentum 30 Index Fund - Direct Plan - Growth Option</v>
          </cell>
          <cell r="E11042">
            <v>8.0789000000000009</v>
          </cell>
        </row>
        <row r="11043">
          <cell r="B11043" t="str">
            <v>INF251K01TZ6</v>
          </cell>
          <cell r="C11043" t="str">
            <v>-</v>
          </cell>
          <cell r="D11043" t="str">
            <v>Baroda BNP Paribas Nifty200 Momentum 30 Index Fund - Regular Plan - Growth Option</v>
          </cell>
          <cell r="E11043">
            <v>7.9904000000000002</v>
          </cell>
        </row>
        <row r="11044">
          <cell r="B11044" t="str">
            <v/>
          </cell>
          <cell r="C11044" t="str">
            <v/>
          </cell>
          <cell r="D11044" t="str">
            <v/>
          </cell>
        </row>
        <row r="11045">
          <cell r="B11045" t="str">
            <v/>
          </cell>
          <cell r="C11045" t="str">
            <v/>
          </cell>
          <cell r="D11045" t="str">
            <v/>
          </cell>
        </row>
        <row r="11046">
          <cell r="B11046" t="str">
            <v/>
          </cell>
          <cell r="C11046" t="str">
            <v/>
          </cell>
          <cell r="D11046" t="str">
            <v/>
          </cell>
        </row>
        <row r="11047">
          <cell r="B11047" t="str">
            <v>INF2KCX01020</v>
          </cell>
          <cell r="C11047" t="str">
            <v>-</v>
          </cell>
          <cell r="D11047" t="str">
            <v>Choice Nifty 50 Index Fund - Direct Plan Growth</v>
          </cell>
          <cell r="E11047">
            <v>10.379300000000001</v>
          </cell>
        </row>
        <row r="11048">
          <cell r="B11048" t="str">
            <v>INF2KCX01038</v>
          </cell>
          <cell r="C11048" t="str">
            <v>-</v>
          </cell>
          <cell r="D11048" t="str">
            <v>Choice Nifty 50 Index Fund - Regular Plan Growth</v>
          </cell>
          <cell r="E11048">
            <v>10.3703</v>
          </cell>
        </row>
        <row r="11049">
          <cell r="B11049" t="str">
            <v>INF2KCX01046</v>
          </cell>
          <cell r="C11049" t="str">
            <v>-</v>
          </cell>
          <cell r="D11049" t="str">
            <v>Choice Nifty Next 50 Index Fund - Direct Plan Growth</v>
          </cell>
          <cell r="E11049">
            <v>11.2189</v>
          </cell>
        </row>
        <row r="11050">
          <cell r="B11050" t="str">
            <v>INF2KCX01053</v>
          </cell>
          <cell r="C11050" t="str">
            <v>-</v>
          </cell>
          <cell r="D11050" t="str">
            <v>Choice Nifty Next 50 Index Fund - Regular Plan Growth</v>
          </cell>
          <cell r="E11050">
            <v>11.2058</v>
          </cell>
        </row>
        <row r="11051">
          <cell r="B11051" t="str">
            <v/>
          </cell>
          <cell r="C11051" t="str">
            <v/>
          </cell>
          <cell r="D11051" t="str">
            <v/>
          </cell>
        </row>
        <row r="11052">
          <cell r="B11052" t="str">
            <v/>
          </cell>
          <cell r="C11052" t="str">
            <v/>
          </cell>
          <cell r="D11052" t="str">
            <v/>
          </cell>
        </row>
        <row r="11053">
          <cell r="B11053" t="str">
            <v/>
          </cell>
          <cell r="C11053" t="str">
            <v/>
          </cell>
          <cell r="D11053" t="str">
            <v/>
          </cell>
        </row>
        <row r="11054">
          <cell r="B11054" t="str">
            <v>INF740KA1VB1</v>
          </cell>
          <cell r="C11054" t="str">
            <v>-</v>
          </cell>
          <cell r="D11054" t="str">
            <v>DSP BSE SENSEX Next 30 Index Fund - Direct - Growth</v>
          </cell>
          <cell r="E11054">
            <v>12.168699999999999</v>
          </cell>
        </row>
        <row r="11055">
          <cell r="B11055" t="str">
            <v>INF740KA1VC9</v>
          </cell>
          <cell r="C11055" t="str">
            <v>INF740KA1VD7</v>
          </cell>
          <cell r="D11055" t="str">
            <v>DSP BSE SENSEX Next 30 Index Fund - Direct - IDCW</v>
          </cell>
          <cell r="E11055">
            <v>12.168699999999999</v>
          </cell>
        </row>
        <row r="11056">
          <cell r="B11056" t="str">
            <v>INF740KA1UY5</v>
          </cell>
          <cell r="C11056" t="str">
            <v>-</v>
          </cell>
          <cell r="D11056" t="str">
            <v>DSP BSE SENSEX Next 30 Index Fund - Regular - Growth</v>
          </cell>
          <cell r="E11056">
            <v>12.055999999999999</v>
          </cell>
        </row>
        <row r="11057">
          <cell r="B11057" t="str">
            <v>INF740KA1UZ2</v>
          </cell>
          <cell r="C11057" t="str">
            <v>INF740KA1VA3</v>
          </cell>
          <cell r="D11057" t="str">
            <v>DSP BSE SENSEX Next 30 Index Fund - Regular - IDCW</v>
          </cell>
          <cell r="E11057">
            <v>12.055999999999999</v>
          </cell>
        </row>
        <row r="11058">
          <cell r="B11058" t="str">
            <v>INF740KA1SB7</v>
          </cell>
          <cell r="C11058" t="str">
            <v>-</v>
          </cell>
          <cell r="D11058" t="str">
            <v>DSP CRISIL-IBX 50:50 Gilt Plus SDL - April 2033 Index Fund - Direct - Growth</v>
          </cell>
          <cell r="E11058">
            <v>13.103400000000001</v>
          </cell>
        </row>
        <row r="11059">
          <cell r="B11059" t="str">
            <v>INF740KA1SC5</v>
          </cell>
          <cell r="C11059" t="str">
            <v>INF740KA1SD3</v>
          </cell>
          <cell r="D11059" t="str">
            <v>DSP CRISIL-IBX 50:50 Gilt Plus SDL - April 2033 Index Fund - Direct - IDCW</v>
          </cell>
          <cell r="E11059">
            <v>13.103400000000001</v>
          </cell>
        </row>
        <row r="11060">
          <cell r="B11060" t="str">
            <v>INF740KA1RY1</v>
          </cell>
          <cell r="C11060" t="str">
            <v>-</v>
          </cell>
          <cell r="D11060" t="str">
            <v>DSP CRISIL-IBX 50:50 Gilt Plus SDL - April 2033 Index Fund - Regular - Growth</v>
          </cell>
          <cell r="E11060">
            <v>12.987500000000001</v>
          </cell>
        </row>
        <row r="11061">
          <cell r="B11061" t="str">
            <v>INF740KA1RZ8</v>
          </cell>
          <cell r="C11061" t="str">
            <v>INF740KA1SA9</v>
          </cell>
          <cell r="D11061" t="str">
            <v>DSP CRISIL-IBX 50:50 Gilt Plus SDL - April 2033 Index Fund - Regular - IDCW</v>
          </cell>
          <cell r="E11061">
            <v>12.987500000000001</v>
          </cell>
        </row>
        <row r="11062">
          <cell r="B11062" t="str">
            <v>INF740KA1CR7</v>
          </cell>
          <cell r="C11062" t="str">
            <v>-</v>
          </cell>
          <cell r="D11062" t="str">
            <v>DSP Nifty 50 Equal Weight Index Fund - Direct Plan - Growth</v>
          </cell>
          <cell r="E11062">
            <v>27.408999999999999</v>
          </cell>
        </row>
        <row r="11063">
          <cell r="B11063" t="str">
            <v>INF740KA1CS5</v>
          </cell>
          <cell r="C11063" t="str">
            <v>INF740KA1CT3</v>
          </cell>
          <cell r="D11063" t="str">
            <v>DSP Nifty 50 Equal Weight Index Fund - Direct Plan - IDCW</v>
          </cell>
          <cell r="E11063">
            <v>22.428699999999999</v>
          </cell>
        </row>
        <row r="11064">
          <cell r="B11064" t="str">
            <v>INF740KA1CO4</v>
          </cell>
          <cell r="C11064" t="str">
            <v>-</v>
          </cell>
          <cell r="D11064" t="str">
            <v>DSP Nifty 50 Equal Weight Index Fund - Regular Plan - Growth</v>
          </cell>
          <cell r="E11064">
            <v>26.248000000000001</v>
          </cell>
        </row>
        <row r="11065">
          <cell r="B11065" t="str">
            <v>INF740KA1CP1</v>
          </cell>
          <cell r="C11065" t="str">
            <v>INF740KA1CQ9</v>
          </cell>
          <cell r="D11065" t="str">
            <v>DSP Nifty 50 Equal Weight Index Fund - Regular Plan - IDCW</v>
          </cell>
          <cell r="E11065">
            <v>21.532499999999999</v>
          </cell>
        </row>
        <row r="11066">
          <cell r="B11066" t="str">
            <v>INF740KA1MM7</v>
          </cell>
          <cell r="C11066" t="str">
            <v>-</v>
          </cell>
          <cell r="D11066" t="str">
            <v>DSP Nifty 50 Index Fund - Direct Plan - Growth</v>
          </cell>
          <cell r="E11066">
            <v>23.664899999999999</v>
          </cell>
        </row>
        <row r="11067">
          <cell r="B11067" t="str">
            <v>INF740KA1MN5</v>
          </cell>
          <cell r="C11067" t="str">
            <v>INF740KA1MO3</v>
          </cell>
          <cell r="D11067" t="str">
            <v>DSP Nifty 50 Index Fund - Direct Plan - IDCW</v>
          </cell>
          <cell r="E11067">
            <v>20.249099999999999</v>
          </cell>
        </row>
        <row r="11068">
          <cell r="B11068" t="str">
            <v>INF740KA1MJ3</v>
          </cell>
          <cell r="C11068" t="str">
            <v>-</v>
          </cell>
          <cell r="D11068" t="str">
            <v>DSP Nifty 50 Index Fund - Regular Plan - Growth</v>
          </cell>
          <cell r="E11068">
            <v>23.319900000000001</v>
          </cell>
        </row>
        <row r="11069">
          <cell r="B11069" t="str">
            <v>INF740KA1MK1</v>
          </cell>
          <cell r="C11069" t="str">
            <v>INF740KA1ML9</v>
          </cell>
          <cell r="D11069" t="str">
            <v>DSP Nifty 50 Index Fund - Regular Plan - IDCW</v>
          </cell>
          <cell r="E11069">
            <v>19.016500000000001</v>
          </cell>
        </row>
        <row r="11070">
          <cell r="B11070" t="str">
            <v>INF740KA1XY9</v>
          </cell>
          <cell r="C11070" t="str">
            <v>-</v>
          </cell>
          <cell r="D11070" t="str">
            <v>DSP Nifty 500 Index Fund - Direct - Growth</v>
          </cell>
          <cell r="E11070">
            <v>9.6499000000000006</v>
          </cell>
        </row>
        <row r="11071">
          <cell r="B11071" t="str">
            <v>INF740KA1XZ6</v>
          </cell>
          <cell r="C11071" t="str">
            <v>INF740KA1YA7</v>
          </cell>
          <cell r="D11071" t="str">
            <v>DSP Nifty 500 Index Fund - Direct - IDCW</v>
          </cell>
          <cell r="E11071">
            <v>9.6499000000000006</v>
          </cell>
        </row>
        <row r="11072">
          <cell r="B11072" t="str">
            <v>INF740KA1XV5</v>
          </cell>
          <cell r="C11072" t="str">
            <v>-</v>
          </cell>
          <cell r="D11072" t="str">
            <v>DSP Nifty 500 Index Fund - Regular - Growth</v>
          </cell>
          <cell r="E11072">
            <v>9.6110000000000007</v>
          </cell>
        </row>
        <row r="11073">
          <cell r="B11073" t="str">
            <v>INF740KA1XW3</v>
          </cell>
          <cell r="C11073" t="str">
            <v>INF740KA1XX1</v>
          </cell>
          <cell r="D11073" t="str">
            <v>DSP Nifty 500 Index Fund - Regular - IDCW</v>
          </cell>
          <cell r="E11073">
            <v>9.6110000000000007</v>
          </cell>
        </row>
        <row r="11074">
          <cell r="B11074" t="str">
            <v>INF740KA1UO6</v>
          </cell>
          <cell r="C11074" t="str">
            <v>-</v>
          </cell>
          <cell r="D11074" t="str">
            <v>DSP Nifty Bank Index Fund - Direct - Growth</v>
          </cell>
          <cell r="E11074">
            <v>11.7676</v>
          </cell>
        </row>
        <row r="11075">
          <cell r="B11075" t="str">
            <v>INF740KA1UN8</v>
          </cell>
          <cell r="C11075" t="str">
            <v>-</v>
          </cell>
          <cell r="D11075" t="str">
            <v>DSP Nifty Bank Index Fund - Regular - Growth</v>
          </cell>
          <cell r="E11075">
            <v>11.604200000000001</v>
          </cell>
        </row>
        <row r="11076">
          <cell r="B11076" t="str">
            <v>INF740KA1WG8</v>
          </cell>
          <cell r="C11076" t="str">
            <v>INF740KA1WH6</v>
          </cell>
          <cell r="D11076" t="str">
            <v>DSP Nifty Healthcare Index Fund - Direct - IDCW</v>
          </cell>
          <cell r="E11076">
            <v>11.631</v>
          </cell>
        </row>
        <row r="11077">
          <cell r="B11077" t="str">
            <v>INF740KA1WF0</v>
          </cell>
          <cell r="C11077" t="str">
            <v>-</v>
          </cell>
          <cell r="D11077" t="str">
            <v>DSP Nifty Healthcare Index Fund - Direct- Growth</v>
          </cell>
          <cell r="E11077">
            <v>11.631</v>
          </cell>
        </row>
        <row r="11078">
          <cell r="B11078" t="str">
            <v>INF740KA1WC7</v>
          </cell>
          <cell r="C11078" t="str">
            <v>-</v>
          </cell>
          <cell r="D11078" t="str">
            <v>DSP Nifty Healthcare Index Fund - Regular - Growth</v>
          </cell>
          <cell r="E11078">
            <v>11.5457</v>
          </cell>
        </row>
        <row r="11079">
          <cell r="B11079" t="str">
            <v>INF740KA1WD5</v>
          </cell>
          <cell r="C11079" t="str">
            <v>INF740KA1WE3</v>
          </cell>
          <cell r="D11079" t="str">
            <v>DSP Nifty Healthcare Index Fund - Regular - IDCW</v>
          </cell>
          <cell r="E11079">
            <v>11.5457</v>
          </cell>
        </row>
        <row r="11080">
          <cell r="B11080" t="str">
            <v>INF740KA1WL8</v>
          </cell>
          <cell r="C11080" t="str">
            <v>-</v>
          </cell>
          <cell r="D11080" t="str">
            <v>DSP Nifty IT Index Fund - Direct - Growth</v>
          </cell>
          <cell r="E11080">
            <v>7.4889000000000001</v>
          </cell>
        </row>
        <row r="11081">
          <cell r="B11081" t="str">
            <v>INF740KA1WM6</v>
          </cell>
          <cell r="C11081" t="str">
            <v>INF740KA1WN4</v>
          </cell>
          <cell r="D11081" t="str">
            <v>DSP Nifty IT Index Fund - Direct - IDCW</v>
          </cell>
          <cell r="E11081">
            <v>7.4889000000000001</v>
          </cell>
        </row>
        <row r="11082">
          <cell r="B11082" t="str">
            <v>INF740KA1WI4</v>
          </cell>
          <cell r="C11082" t="str">
            <v>-</v>
          </cell>
          <cell r="D11082" t="str">
            <v>DSP Nifty IT Index Fund - Regular - Growth</v>
          </cell>
          <cell r="E11082">
            <v>7.4305000000000003</v>
          </cell>
        </row>
        <row r="11083">
          <cell r="B11083" t="str">
            <v>INF740KA1WJ2</v>
          </cell>
          <cell r="C11083" t="str">
            <v>INF740KA1WK0</v>
          </cell>
          <cell r="D11083" t="str">
            <v>DSP Nifty IT Index Fund - Regular - IDCW</v>
          </cell>
          <cell r="E11083">
            <v>7.4305000000000003</v>
          </cell>
        </row>
        <row r="11084">
          <cell r="B11084" t="str">
            <v>INF740KA1XB7</v>
          </cell>
          <cell r="C11084" t="str">
            <v>-</v>
          </cell>
          <cell r="D11084" t="str">
            <v>DSP Nifty Midcap 150 Index Fund - Direct - Growth</v>
          </cell>
          <cell r="E11084">
            <v>10.468</v>
          </cell>
        </row>
        <row r="11085">
          <cell r="B11085" t="str">
            <v>INF740KA1XC5</v>
          </cell>
          <cell r="C11085" t="str">
            <v>INF740KA1XD3</v>
          </cell>
          <cell r="D11085" t="str">
            <v>DSP Nifty Midcap 150 Index Fund - Direct - IDCW</v>
          </cell>
          <cell r="E11085">
            <v>10.468</v>
          </cell>
        </row>
        <row r="11086">
          <cell r="B11086" t="str">
            <v>INF740KA1WY1</v>
          </cell>
          <cell r="C11086" t="str">
            <v>-</v>
          </cell>
          <cell r="D11086" t="str">
            <v>DSP Nifty Midcap 150 Index Fund - Regular - Growth</v>
          </cell>
          <cell r="E11086">
            <v>10.421799999999999</v>
          </cell>
        </row>
        <row r="11087">
          <cell r="B11087" t="str">
            <v>INF740KA1WZ8</v>
          </cell>
          <cell r="C11087" t="str">
            <v>INF740KA1XA9</v>
          </cell>
          <cell r="D11087" t="str">
            <v>DSP Nifty Midcap 150 Index Fund - Regular - IDCW</v>
          </cell>
          <cell r="E11087">
            <v>10.421799999999999</v>
          </cell>
        </row>
        <row r="11088">
          <cell r="B11088" t="str">
            <v>INF740KA1RB9</v>
          </cell>
          <cell r="C11088" t="str">
            <v>-</v>
          </cell>
          <cell r="D11088" t="str">
            <v>DSP Nifty Midcap 150 Quality 50 Index Fund - Direct - Growth</v>
          </cell>
          <cell r="E11088">
            <v>14.6904</v>
          </cell>
        </row>
        <row r="11089">
          <cell r="B11089" t="str">
            <v>INF740KA1RC7</v>
          </cell>
          <cell r="C11089" t="str">
            <v>INF740KA1RD5</v>
          </cell>
          <cell r="D11089" t="str">
            <v>DSP Nifty Midcap 150 Quality 50 Index Fund - Direct - IDCW</v>
          </cell>
          <cell r="E11089">
            <v>13.955500000000001</v>
          </cell>
        </row>
        <row r="11090">
          <cell r="B11090" t="str">
            <v>INF740KA1QY3</v>
          </cell>
          <cell r="C11090" t="str">
            <v>-</v>
          </cell>
          <cell r="D11090" t="str">
            <v>DSP Nifty Midcap 150 Quality 50 Index Fund - Regular - Growth</v>
          </cell>
          <cell r="E11090">
            <v>14.3201</v>
          </cell>
        </row>
        <row r="11091">
          <cell r="B11091" t="str">
            <v>INF740KA1QZ0</v>
          </cell>
          <cell r="C11091" t="str">
            <v>INF740KA1RA1</v>
          </cell>
          <cell r="D11091" t="str">
            <v>DSP Nifty Midcap 150 Quality 50 Index Fund - Regular - IDCW</v>
          </cell>
          <cell r="E11091">
            <v>12.865</v>
          </cell>
        </row>
        <row r="11092">
          <cell r="B11092" t="str">
            <v>INF740KA1MG9</v>
          </cell>
          <cell r="C11092" t="str">
            <v>-</v>
          </cell>
          <cell r="D11092" t="str">
            <v>DSP Nifty Next 50 Index Fund - Direct Plan - Growth</v>
          </cell>
          <cell r="E11092">
            <v>28.6066</v>
          </cell>
        </row>
        <row r="11093">
          <cell r="B11093" t="str">
            <v>INF740KA1MH7</v>
          </cell>
          <cell r="C11093" t="str">
            <v>INF740KA1MI5</v>
          </cell>
          <cell r="D11093" t="str">
            <v>DSP Nifty Next 50 Index Fund - Direct Plan - IDCW</v>
          </cell>
          <cell r="E11093">
            <v>23.432500000000001</v>
          </cell>
        </row>
        <row r="11094">
          <cell r="B11094" t="str">
            <v>INF740KA1MD6</v>
          </cell>
          <cell r="C11094" t="str">
            <v>-</v>
          </cell>
          <cell r="D11094" t="str">
            <v>DSP Nifty Next 50 Index Fund - Regular Plan - Growth</v>
          </cell>
          <cell r="E11094">
            <v>27.9114</v>
          </cell>
        </row>
        <row r="11095">
          <cell r="B11095" t="str">
            <v>INF740KA1ME4</v>
          </cell>
          <cell r="C11095" t="str">
            <v>INF740KA1MF1</v>
          </cell>
          <cell r="D11095" t="str">
            <v>DSP Nifty Next 50 Index Fund - Regular Plan - IDCW</v>
          </cell>
          <cell r="E11095">
            <v>22.883600000000001</v>
          </cell>
        </row>
        <row r="11096">
          <cell r="B11096" t="str">
            <v>INF740KA1VN6</v>
          </cell>
          <cell r="C11096" t="str">
            <v>-</v>
          </cell>
          <cell r="D11096" t="str">
            <v>DSP Nifty Private Bank Index Fund - Direct - Growth</v>
          </cell>
          <cell r="E11096">
            <v>11.307700000000001</v>
          </cell>
        </row>
        <row r="11097">
          <cell r="B11097" t="str">
            <v>INF740KA1VO4</v>
          </cell>
          <cell r="C11097" t="str">
            <v>INF740KA1VP1</v>
          </cell>
          <cell r="D11097" t="str">
            <v>DSP Nifty Private Bank Index Fund - Direct - IDCW</v>
          </cell>
          <cell r="E11097">
            <v>10.733000000000001</v>
          </cell>
        </row>
        <row r="11098">
          <cell r="B11098" t="str">
            <v>INF740KA1VK2</v>
          </cell>
          <cell r="C11098" t="str">
            <v>-</v>
          </cell>
          <cell r="D11098" t="str">
            <v>DSP Nifty Private Bank Index Fund - Regular - Growth</v>
          </cell>
          <cell r="E11098">
            <v>11.196099999999999</v>
          </cell>
        </row>
        <row r="11099">
          <cell r="B11099" t="str">
            <v>INF740KA1VL0</v>
          </cell>
          <cell r="C11099" t="str">
            <v>INF740KA1VM8</v>
          </cell>
          <cell r="D11099" t="str">
            <v>DSP Nifty Private Bank Index Fund - Regular - IDCW</v>
          </cell>
          <cell r="E11099">
            <v>10.6233</v>
          </cell>
        </row>
        <row r="11100">
          <cell r="B11100" t="str">
            <v>INF740KA1QV9</v>
          </cell>
          <cell r="C11100" t="str">
            <v>-</v>
          </cell>
          <cell r="D11100" t="str">
            <v>DSP Nifty SDL Plus G-Sec Jun 2028 30:70 Index Fund - Direct - Growth</v>
          </cell>
          <cell r="E11100">
            <v>13.291</v>
          </cell>
        </row>
        <row r="11101">
          <cell r="B11101" t="str">
            <v>INF740KA1QW7</v>
          </cell>
          <cell r="C11101" t="str">
            <v>INF740KA1QX5</v>
          </cell>
          <cell r="D11101" t="str">
            <v>DSP Nifty SDL Plus G-Sec Jun 2028 30:70 Index Fund - Direct - IDCW</v>
          </cell>
          <cell r="E11101">
            <v>13.291</v>
          </cell>
        </row>
        <row r="11102">
          <cell r="B11102" t="str">
            <v>INF740KA1QS5</v>
          </cell>
          <cell r="C11102" t="str">
            <v>-</v>
          </cell>
          <cell r="D11102" t="str">
            <v>DSP Nifty SDL Plus G-Sec Jun 2028 30:70 Index Fund - Regular - Growth</v>
          </cell>
          <cell r="E11102">
            <v>13.2044</v>
          </cell>
        </row>
        <row r="11103">
          <cell r="B11103" t="str">
            <v>INF740KA1QT3</v>
          </cell>
          <cell r="C11103" t="str">
            <v>INF740KA1QU1</v>
          </cell>
          <cell r="D11103" t="str">
            <v>DSP Nifty SDL Plus G-Sec Jun 2028 30:70 Index Fund - Regular - IDCW</v>
          </cell>
          <cell r="E11103">
            <v>13.2044</v>
          </cell>
        </row>
        <row r="11104">
          <cell r="B11104" t="str">
            <v>INF740KA1SH4</v>
          </cell>
          <cell r="C11104" t="str">
            <v>-</v>
          </cell>
          <cell r="D11104" t="str">
            <v>DSP Nifty SDL Plus G-Sec Sep 2027 50:50 Index Fund - Direct - Growth</v>
          </cell>
          <cell r="E11104">
            <v>12.889699999999999</v>
          </cell>
        </row>
        <row r="11105">
          <cell r="B11105" t="str">
            <v>INF740KA1SI2</v>
          </cell>
          <cell r="C11105" t="str">
            <v>INF740KA1SJ0</v>
          </cell>
          <cell r="D11105" t="str">
            <v>DSP Nifty SDL Plus G-Sec Sep 2027 50:50 Index Fund - Direct - IDCW</v>
          </cell>
          <cell r="E11105">
            <v>12.889699999999999</v>
          </cell>
        </row>
        <row r="11106">
          <cell r="B11106" t="str">
            <v>INF740KA1SE1</v>
          </cell>
          <cell r="C11106" t="str">
            <v>-</v>
          </cell>
          <cell r="D11106" t="str">
            <v>DSP Nifty SDL Plus G-Sec Sep 2027 50:50 Index Fund - Regular - Growth</v>
          </cell>
          <cell r="E11106">
            <v>12.812799999999999</v>
          </cell>
        </row>
        <row r="11107">
          <cell r="B11107" t="str">
            <v>INF740KA1SF8</v>
          </cell>
          <cell r="C11107" t="str">
            <v>INF740KA1SG6</v>
          </cell>
          <cell r="D11107" t="str">
            <v>DSP Nifty SDL Plus G-Sec Sep 2027 50:50 Index Fund - Regular - IDCW</v>
          </cell>
          <cell r="E11107">
            <v>12.812799999999999</v>
          </cell>
        </row>
        <row r="11108">
          <cell r="B11108" t="str">
            <v>INF740KA1XH4</v>
          </cell>
          <cell r="C11108" t="str">
            <v>-</v>
          </cell>
          <cell r="D11108" t="str">
            <v>DSP Nifty Smallcap 250 Index Fund - Direct - Growth</v>
          </cell>
          <cell r="E11108">
            <v>10.972899999999999</v>
          </cell>
        </row>
        <row r="11109">
          <cell r="B11109" t="str">
            <v>INF740KA1XI2</v>
          </cell>
          <cell r="C11109" t="str">
            <v>INF740KA1XJ0</v>
          </cell>
          <cell r="D11109" t="str">
            <v>DSP Nifty Smallcap 250 Index Fund - Direct - IDCW</v>
          </cell>
          <cell r="E11109">
            <v>10.972899999999999</v>
          </cell>
        </row>
        <row r="11110">
          <cell r="B11110" t="str">
            <v>INF740KA1XE1</v>
          </cell>
          <cell r="C11110" t="str">
            <v>-</v>
          </cell>
          <cell r="D11110" t="str">
            <v>DSP Nifty Smallcap 250 Index Fund - Regular - Growth</v>
          </cell>
          <cell r="E11110">
            <v>10.925800000000001</v>
          </cell>
        </row>
        <row r="11111">
          <cell r="B11111" t="str">
            <v>INF740KA1XF8</v>
          </cell>
          <cell r="C11111" t="str">
            <v>INF740KA1XG6</v>
          </cell>
          <cell r="D11111" t="str">
            <v>DSP Nifty Smallcap 250 Index Fund - Regular - IDCW</v>
          </cell>
          <cell r="E11111">
            <v>10.925800000000001</v>
          </cell>
        </row>
        <row r="11112">
          <cell r="B11112" t="str">
            <v>INF740KA1TW1</v>
          </cell>
          <cell r="C11112" t="str">
            <v>-</v>
          </cell>
          <cell r="D11112" t="str">
            <v>DSP Nifty Smallcap250 Quality 50 Index Fund - Direct - Growth</v>
          </cell>
          <cell r="E11112">
            <v>11.1334</v>
          </cell>
        </row>
        <row r="11113">
          <cell r="B11113" t="str">
            <v>INF740KA1TX9</v>
          </cell>
          <cell r="C11113" t="str">
            <v>INF740KA1TY7</v>
          </cell>
          <cell r="D11113" t="str">
            <v>DSP Nifty Smallcap250 Quality 50 Index Fund - Direct - IDCW</v>
          </cell>
          <cell r="E11113">
            <v>11.1334</v>
          </cell>
        </row>
        <row r="11114">
          <cell r="B11114" t="str">
            <v>INF740KA1TT7</v>
          </cell>
          <cell r="C11114" t="str">
            <v>-</v>
          </cell>
          <cell r="D11114" t="str">
            <v>DSP Nifty Smallcap250 Quality 50 Index Fund - Regular - Growth</v>
          </cell>
          <cell r="E11114">
            <v>10.933999999999999</v>
          </cell>
        </row>
        <row r="11115">
          <cell r="B11115" t="str">
            <v>INF740KA1TU5</v>
          </cell>
          <cell r="C11115" t="str">
            <v>INF740KA1TV3</v>
          </cell>
          <cell r="D11115" t="str">
            <v>DSP Nifty Smallcap250 Quality 50 Index Fund - Regular - IDCW</v>
          </cell>
          <cell r="E11115">
            <v>10.3406</v>
          </cell>
        </row>
        <row r="11116">
          <cell r="B11116" t="str">
            <v>INF740KA1UQ1</v>
          </cell>
          <cell r="C11116" t="str">
            <v>-</v>
          </cell>
          <cell r="D11116" t="str">
            <v>DSP Nifty Top 10 Equal Weight Index Fund - Direct - Growth</v>
          </cell>
          <cell r="E11116">
            <v>8.8703000000000003</v>
          </cell>
        </row>
        <row r="11117">
          <cell r="B11117" t="str">
            <v>INF740KA1UP3</v>
          </cell>
          <cell r="C11117" t="str">
            <v>-</v>
          </cell>
          <cell r="D11117" t="str">
            <v>DSP Nifty Top 10 Equal Weight Index Fund - Regular - Growth</v>
          </cell>
          <cell r="E11117">
            <v>8.7553999999999998</v>
          </cell>
        </row>
        <row r="11118">
          <cell r="B11118" t="str">
            <v>INF740KA1WR5</v>
          </cell>
          <cell r="C11118" t="str">
            <v>-</v>
          </cell>
          <cell r="D11118" t="str">
            <v>DSP Nifty500 Flexicap Quality 30 Index Fund - Direct - Growth</v>
          </cell>
          <cell r="E11118">
            <v>9.6399000000000008</v>
          </cell>
        </row>
        <row r="11119">
          <cell r="B11119" t="str">
            <v>INF740KA1WS3</v>
          </cell>
          <cell r="C11119" t="str">
            <v>INF740KA1WT1</v>
          </cell>
          <cell r="D11119" t="str">
            <v>DSP Nifty500 Flexicap Quality 30 Index Fund - Direct - IDCW</v>
          </cell>
          <cell r="E11119">
            <v>9.6399000000000008</v>
          </cell>
        </row>
        <row r="11120">
          <cell r="B11120" t="str">
            <v>INF740KA1WO2</v>
          </cell>
          <cell r="C11120" t="str">
            <v>-</v>
          </cell>
          <cell r="D11120" t="str">
            <v>DSP Nifty500 Flexicap Quality 30 Index Fund - Regular - Growth</v>
          </cell>
          <cell r="E11120">
            <v>9.5808999999999997</v>
          </cell>
        </row>
        <row r="11121">
          <cell r="B11121" t="str">
            <v>INF740KA1WP9</v>
          </cell>
          <cell r="C11121" t="str">
            <v>INF740KA1WQ7</v>
          </cell>
          <cell r="D11121" t="str">
            <v>DSP Nifty500 Flexicap Quality 30 Index Fund - Regular - IDCW</v>
          </cell>
          <cell r="E11121">
            <v>9.5808999999999997</v>
          </cell>
        </row>
        <row r="11122">
          <cell r="B11122" t="str">
            <v/>
          </cell>
          <cell r="C11122" t="str">
            <v/>
          </cell>
          <cell r="D11122" t="str">
            <v/>
          </cell>
        </row>
        <row r="11123">
          <cell r="B11123" t="str">
            <v/>
          </cell>
          <cell r="C11123" t="str">
            <v/>
          </cell>
          <cell r="D11123" t="str">
            <v/>
          </cell>
        </row>
        <row r="11124">
          <cell r="B11124" t="str">
            <v/>
          </cell>
          <cell r="C11124" t="str">
            <v/>
          </cell>
          <cell r="D11124" t="str">
            <v/>
          </cell>
        </row>
        <row r="11125">
          <cell r="B11125" t="str">
            <v>INF754K01UX2</v>
          </cell>
          <cell r="C11125" t="str">
            <v>-</v>
          </cell>
          <cell r="D11125" t="str">
            <v>Edelweiss BSE Internet Economy Index Fund - Direct Plan - Growth</v>
          </cell>
          <cell r="E11125">
            <v>10.8788</v>
          </cell>
        </row>
        <row r="11126">
          <cell r="B11126" t="str">
            <v>INF754K01UY0</v>
          </cell>
          <cell r="C11126" t="str">
            <v>INF754K01UZ7</v>
          </cell>
          <cell r="D11126" t="str">
            <v>Edelweiss BSE Internet Economy Index Fund - Direct Plan - IDCW</v>
          </cell>
          <cell r="E11126">
            <v>10.8788</v>
          </cell>
        </row>
        <row r="11127">
          <cell r="B11127" t="str">
            <v>INF754K01VB6</v>
          </cell>
          <cell r="C11127" t="str">
            <v>-</v>
          </cell>
          <cell r="D11127" t="str">
            <v>Edelweiss BSE Internet Economy Index Fund - Regular Plan - Growth</v>
          </cell>
          <cell r="E11127">
            <v>10.793200000000001</v>
          </cell>
        </row>
        <row r="11128">
          <cell r="B11128" t="str">
            <v>INF754K01VC4</v>
          </cell>
          <cell r="C11128" t="str">
            <v>INF754K01VD2</v>
          </cell>
          <cell r="D11128" t="str">
            <v>Edelweiss BSE Internet Economy Index Fund - Regular Plan - IDCW</v>
          </cell>
          <cell r="E11128">
            <v>10.793200000000001</v>
          </cell>
        </row>
        <row r="11129">
          <cell r="B11129" t="str">
            <v>INF754K01PF9</v>
          </cell>
          <cell r="C11129" t="str">
            <v>-</v>
          </cell>
          <cell r="D11129" t="str">
            <v>Edelweiss CRISIL IBX 50:50 Gilt Plus SDL April 2037 Index Fund - Direct Plan - Growth</v>
          </cell>
          <cell r="E11129">
            <v>13.507099999999999</v>
          </cell>
        </row>
        <row r="11130">
          <cell r="B11130" t="str">
            <v>INF754K01PG7</v>
          </cell>
          <cell r="C11130" t="str">
            <v>INF754K01PH5</v>
          </cell>
          <cell r="D11130" t="str">
            <v>Edelweiss CRISIL IBX 50:50 Gilt Plus SDL April 2037 Index Fund - Direct Plan - IDCW Option</v>
          </cell>
          <cell r="E11130">
            <v>13.507</v>
          </cell>
        </row>
        <row r="11131">
          <cell r="B11131" t="str">
            <v>INF754K01PB8</v>
          </cell>
          <cell r="C11131" t="str">
            <v>-</v>
          </cell>
          <cell r="D11131" t="str">
            <v>Edelweiss CRISIL IBX 50:50 Gilt Plus SDL April 2037 Index Fund - Regular Plan - Growth</v>
          </cell>
          <cell r="E11131">
            <v>13.3649</v>
          </cell>
        </row>
        <row r="11132">
          <cell r="B11132" t="str">
            <v>INF754K01PC6</v>
          </cell>
          <cell r="C11132" t="str">
            <v>INF754K01PD4</v>
          </cell>
          <cell r="D11132" t="str">
            <v>Edelweiss CRISIL IBX 50:50 Gilt Plus SDL April 2037 Index Fund - Regular Plan - IDCW Option</v>
          </cell>
          <cell r="E11132">
            <v>13.3651</v>
          </cell>
        </row>
        <row r="11133">
          <cell r="B11133" t="str">
            <v>INF754K01PN3</v>
          </cell>
          <cell r="C11133" t="str">
            <v>-</v>
          </cell>
          <cell r="D11133" t="str">
            <v>Edelweiss CRISIL IBX 50:50 Gilt Plus SDL June 2027 Index Fund - Direct Plan - Growth</v>
          </cell>
          <cell r="E11133">
            <v>13.161300000000001</v>
          </cell>
        </row>
        <row r="11134">
          <cell r="B11134" t="str">
            <v>INF754K01PO1</v>
          </cell>
          <cell r="C11134" t="str">
            <v>INF754K01PP8</v>
          </cell>
          <cell r="D11134" t="str">
            <v>Edelweiss CRISIL IBX 50:50 Gilt Plus SDL June 2027 Index Fund - Direct Plan - IDCW</v>
          </cell>
          <cell r="E11134">
            <v>13.1609</v>
          </cell>
        </row>
        <row r="11135">
          <cell r="B11135" t="str">
            <v>INF754K01PJ1</v>
          </cell>
          <cell r="C11135" t="str">
            <v>-</v>
          </cell>
          <cell r="D11135" t="str">
            <v>Edelweiss CRISIL IBX 50:50 Gilt Plus SDL June 2027 Index Fund - Regular Plan - Growth</v>
          </cell>
          <cell r="E11135">
            <v>13.040699999999999</v>
          </cell>
        </row>
        <row r="11136">
          <cell r="B11136" t="str">
            <v>INF754K01PK9</v>
          </cell>
          <cell r="C11136" t="str">
            <v>INF754K01PL7</v>
          </cell>
          <cell r="D11136" t="str">
            <v>Edelweiss CRISIL IBX 50:50 Gilt Plus SDL June 2027 Index Fund - Regular Plan - IDCW</v>
          </cell>
          <cell r="E11136">
            <v>13.040900000000001</v>
          </cell>
        </row>
        <row r="11137">
          <cell r="B11137" t="str">
            <v>INF754K01PV6</v>
          </cell>
          <cell r="C11137" t="str">
            <v>-</v>
          </cell>
          <cell r="D11137" t="str">
            <v>Edelweiss CRISIL IBX 50:50 Gilt Plus SDL Sep 2028 Index Fund - Direct Plan - Growth</v>
          </cell>
          <cell r="E11137">
            <v>13.221</v>
          </cell>
        </row>
        <row r="11138">
          <cell r="B11138" t="str">
            <v>INF754K01PW4</v>
          </cell>
          <cell r="C11138" t="str">
            <v>INF754K01PX2</v>
          </cell>
          <cell r="D11138" t="str">
            <v>Edelweiss CRISIL IBX 50:50 Gilt Plus SDL Sep 2028 Index Fund - Direct Plan - IDCW</v>
          </cell>
          <cell r="E11138">
            <v>13.221299999999999</v>
          </cell>
        </row>
        <row r="11139">
          <cell r="B11139" t="str">
            <v>INF754K01PR4</v>
          </cell>
          <cell r="C11139" t="str">
            <v>-</v>
          </cell>
          <cell r="D11139" t="str">
            <v>Edelweiss CRISIL IBX 50:50 Gilt Plus SDL Sep 2028 Index Fund - Regular Plan - Growth</v>
          </cell>
          <cell r="E11139">
            <v>13.0946</v>
          </cell>
        </row>
        <row r="11140">
          <cell r="B11140" t="str">
            <v>INF754K01PS2</v>
          </cell>
          <cell r="C11140" t="str">
            <v>INF754K01PT0</v>
          </cell>
          <cell r="D11140" t="str">
            <v>Edelweiss CRISIL IBX 50:50 Gilt Plus SDL Sep 2028 Index Fund - Regular Plan - IDCW</v>
          </cell>
          <cell r="E11140">
            <v>13.0945</v>
          </cell>
        </row>
        <row r="11141">
          <cell r="B11141" t="str">
            <v>INF754K01RK5</v>
          </cell>
          <cell r="C11141" t="str">
            <v>-</v>
          </cell>
          <cell r="D11141" t="str">
            <v>Edelweiss CRISIL IBX 50:50 Gilt Plus SDL Short Duration Index fund - Direct Plan - Growth</v>
          </cell>
          <cell r="E11141">
            <v>12.854100000000001</v>
          </cell>
        </row>
        <row r="11142">
          <cell r="B11142" t="str">
            <v>INF754K01RL3</v>
          </cell>
          <cell r="C11142" t="str">
            <v>INF754K01RM1</v>
          </cell>
          <cell r="D11142" t="str">
            <v>Edelweiss CRISIL IBX 50:50 Gilt Plus SDL Short Duration Index fund - Direct Plan - IDCW</v>
          </cell>
          <cell r="E11142">
            <v>12.8546</v>
          </cell>
        </row>
        <row r="11143">
          <cell r="B11143" t="str">
            <v>INF754K01RG3</v>
          </cell>
          <cell r="C11143" t="str">
            <v>-</v>
          </cell>
          <cell r="D11143" t="str">
            <v>Edelweiss CRISIL IBX 50:50 Gilt Plus SDL Short Duration Index fund - Regular Plan - Growth</v>
          </cell>
          <cell r="E11143">
            <v>12.668799999999999</v>
          </cell>
        </row>
        <row r="11144">
          <cell r="B11144" t="str">
            <v>INF754K01RH1</v>
          </cell>
          <cell r="C11144" t="str">
            <v>INF754K01RI9</v>
          </cell>
          <cell r="D11144" t="str">
            <v>Edelweiss CRISIL IBX 50:50 Gilt Plus SDL Short Duration Index fund - Regular Plan - IDCW</v>
          </cell>
          <cell r="E11144">
            <v>12.669600000000001</v>
          </cell>
        </row>
        <row r="11145">
          <cell r="B11145" t="str">
            <v>INF754K01UG7</v>
          </cell>
          <cell r="C11145" t="str">
            <v>-</v>
          </cell>
          <cell r="D11145" t="str">
            <v>Edelweiss CRISIL IBX AAA Bond NBFC HFC Jun 2027 Index Fund - Direct Plan - Growth Option</v>
          </cell>
          <cell r="E11145">
            <v>11.1187</v>
          </cell>
        </row>
        <row r="11146">
          <cell r="B11146" t="str">
            <v>INF754K01UH5</v>
          </cell>
          <cell r="C11146" t="str">
            <v>INF754K01UI3</v>
          </cell>
          <cell r="D11146" t="str">
            <v>Edelweiss CRISIL IBX AAA Bond NBFC HFC Jun 2027 Index Fund - Direct Plan - IDCW Option</v>
          </cell>
          <cell r="E11146">
            <v>11.1187</v>
          </cell>
        </row>
        <row r="11147">
          <cell r="B11147" t="str">
            <v>INF754K01UK9</v>
          </cell>
          <cell r="C11147" t="str">
            <v>-</v>
          </cell>
          <cell r="D11147" t="str">
            <v>Edelweiss CRISIL IBX AAA Bond NBFC HFC Jun 2027 Index Fund - Regular Plan - Growth Option</v>
          </cell>
          <cell r="E11147">
            <v>11.0876</v>
          </cell>
        </row>
        <row r="11148">
          <cell r="B11148" t="str">
            <v>INF754K01UL7</v>
          </cell>
          <cell r="C11148" t="str">
            <v>INF754K01UM5</v>
          </cell>
          <cell r="D11148" t="str">
            <v>Edelweiss CRISIL IBX AAA Bond NBFC HFC Jun 2027 Index Fund - Regular Plan - IDCW Option</v>
          </cell>
          <cell r="E11148">
            <v>11.0876</v>
          </cell>
        </row>
        <row r="11149">
          <cell r="B11149" t="str">
            <v>INF754K01TP0</v>
          </cell>
          <cell r="C11149" t="str">
            <v>-</v>
          </cell>
          <cell r="D11149" t="str">
            <v>Edelweiss CRISIL IBX AAA Financial Services - Jan 2028 Index Fund - Direct - Growth</v>
          </cell>
          <cell r="E11149">
            <v>11.289</v>
          </cell>
        </row>
        <row r="11150">
          <cell r="B11150" t="str">
            <v>INF754K01TQ8</v>
          </cell>
          <cell r="C11150" t="str">
            <v>INF754K01TR6</v>
          </cell>
          <cell r="D11150" t="str">
            <v>Edelweiss CRISIL IBX AAA Financial Services - Jan 2028 Index Fund - Direct - IDCW - Payout</v>
          </cell>
          <cell r="E11150">
            <v>11.289</v>
          </cell>
        </row>
        <row r="11151">
          <cell r="B11151" t="str">
            <v>INF754K01TT2</v>
          </cell>
          <cell r="C11151" t="str">
            <v>-</v>
          </cell>
          <cell r="D11151" t="str">
            <v>Edelweiss CRISIL IBX AAA Financial Services - Jan 2028 Index Fund - Regular - Growth</v>
          </cell>
          <cell r="E11151">
            <v>11.249000000000001</v>
          </cell>
        </row>
        <row r="11152">
          <cell r="B11152" t="str">
            <v>INF754K01TU0</v>
          </cell>
          <cell r="C11152" t="str">
            <v>INF754K01TV8</v>
          </cell>
          <cell r="D11152" t="str">
            <v>Edelweiss CRISIL IBX AAA Financial Services - Jan 2028 Index Fund - Regular - IDCW - Payout</v>
          </cell>
          <cell r="E11152">
            <v>11.249000000000001</v>
          </cell>
        </row>
        <row r="11153">
          <cell r="B11153" t="str">
            <v>INF754K01OH8</v>
          </cell>
          <cell r="C11153" t="str">
            <v>INF754K01OI6</v>
          </cell>
          <cell r="D11153" t="str">
            <v>Edelweiss CRISIL PSU Plus SDL 50:50 Oct 2025 Index Fund - Direct Plan - IDCW Payout</v>
          </cell>
          <cell r="E11153">
            <v>12.389200000000001</v>
          </cell>
        </row>
        <row r="11154">
          <cell r="B11154" t="str">
            <v>INF754K01OG0</v>
          </cell>
          <cell r="C11154" t="str">
            <v>-</v>
          </cell>
          <cell r="D11154" t="str">
            <v>Edelweiss CRISIL PSU Plus SDL 50:50 Oct 2025 Index Fund - Direct Plan Growth</v>
          </cell>
          <cell r="E11154">
            <v>12.3889</v>
          </cell>
        </row>
        <row r="11155">
          <cell r="B11155" t="str">
            <v>INF754K01OD7</v>
          </cell>
          <cell r="C11155" t="str">
            <v>INF754K01OE5</v>
          </cell>
          <cell r="D11155" t="str">
            <v>Edelweiss CRISIL PSU Plus SDL 50:50 Oct 2025 Index Fund - Regular Plan - IDCW Payout</v>
          </cell>
          <cell r="E11155">
            <v>12.303000000000001</v>
          </cell>
        </row>
        <row r="11156">
          <cell r="B11156" t="str">
            <v>INF754K01OC9</v>
          </cell>
          <cell r="C11156" t="str">
            <v>-</v>
          </cell>
          <cell r="D11156" t="str">
            <v>Edelweiss CRISIL PSU Plus SDL 50:50 Oct 2025 Index Fund - Regular Plan Growth</v>
          </cell>
          <cell r="E11156">
            <v>12.3027</v>
          </cell>
        </row>
        <row r="11157">
          <cell r="B11157" t="str">
            <v>INF754K01LW3</v>
          </cell>
          <cell r="C11157" t="str">
            <v>INF754K01LX1</v>
          </cell>
          <cell r="D11157" t="str">
            <v>Edelweiss MSCI India Domestic &amp; World Healthcare 45 Index Fund - Direct Plan - IDCW Option</v>
          </cell>
          <cell r="E11157">
            <v>24.1113</v>
          </cell>
        </row>
        <row r="11158">
          <cell r="B11158" t="str">
            <v>INF754K01LS1</v>
          </cell>
          <cell r="C11158" t="str">
            <v>INF754K01LT9</v>
          </cell>
          <cell r="D11158" t="str">
            <v>Edelweiss MSCI India Domestic &amp; World Healthcare 45 Index Fund - Regular Plan - IDCW Option</v>
          </cell>
          <cell r="E11158">
            <v>23.3399</v>
          </cell>
        </row>
        <row r="11159">
          <cell r="B11159" t="str">
            <v>INF754K01LV5</v>
          </cell>
          <cell r="C11159" t="str">
            <v>-</v>
          </cell>
          <cell r="D11159" t="str">
            <v>Edelweiss MSCI India Domestic &amp; World Healthcare 45 Index Fund Direct Plan - Growth</v>
          </cell>
          <cell r="E11159">
            <v>24.1113</v>
          </cell>
        </row>
        <row r="11160">
          <cell r="B11160" t="str">
            <v>INF754K01LR3</v>
          </cell>
          <cell r="C11160" t="str">
            <v>-</v>
          </cell>
          <cell r="D11160" t="str">
            <v>Edelweiss MSCI India Domestic &amp; World Healthcare 45 index Fund Regular Plan - Growth</v>
          </cell>
          <cell r="E11160">
            <v>23.3399</v>
          </cell>
        </row>
        <row r="11161">
          <cell r="B11161" t="str">
            <v>INF754K01NJ6</v>
          </cell>
          <cell r="C11161" t="str">
            <v>-</v>
          </cell>
          <cell r="D11161" t="str">
            <v>Edelweiss Nifty 100 Quality 30 Index Fund Direct Plan Growth</v>
          </cell>
          <cell r="E11161">
            <v>14.579599999999999</v>
          </cell>
        </row>
        <row r="11162">
          <cell r="B11162" t="str">
            <v>INF754K01NK4</v>
          </cell>
          <cell r="C11162" t="str">
            <v>INF754K01NL2</v>
          </cell>
          <cell r="D11162" t="str">
            <v>Edelweiss Nifty 100 Quality 30 Index Fund Direct Plan IDCW</v>
          </cell>
          <cell r="E11162">
            <v>14.3756</v>
          </cell>
        </row>
        <row r="11163">
          <cell r="B11163" t="str">
            <v>INF754K01NF4</v>
          </cell>
          <cell r="C11163" t="str">
            <v>-</v>
          </cell>
          <cell r="D11163" t="str">
            <v>Edelweiss Nifty 100 Quality 30 Index Fund Regular Plan Growth</v>
          </cell>
          <cell r="E11163">
            <v>14.144500000000001</v>
          </cell>
        </row>
        <row r="11164">
          <cell r="B11164" t="str">
            <v>INF754K01NG2</v>
          </cell>
          <cell r="C11164" t="str">
            <v>INF754K01NH0</v>
          </cell>
          <cell r="D11164" t="str">
            <v>Edelweiss Nifty 100 Quality 30 Index Fund Regular Plan IDCW</v>
          </cell>
          <cell r="E11164">
            <v>14.1435</v>
          </cell>
        </row>
        <row r="11165">
          <cell r="B11165" t="str">
            <v>INF754K01NB3</v>
          </cell>
          <cell r="C11165" t="str">
            <v>-</v>
          </cell>
          <cell r="D11165" t="str">
            <v>Edelweiss Nifty 50 Index Fund Direct Plan Growth</v>
          </cell>
          <cell r="E11165">
            <v>14.2094</v>
          </cell>
        </row>
        <row r="11166">
          <cell r="B11166" t="str">
            <v>INF754K01NC1</v>
          </cell>
          <cell r="C11166" t="str">
            <v>INF754K01ND9</v>
          </cell>
          <cell r="D11166" t="str">
            <v>Edelweiss Nifty 50 Index Fund Direct Plan IDCW</v>
          </cell>
          <cell r="E11166">
            <v>14.0129</v>
          </cell>
        </row>
        <row r="11167">
          <cell r="B11167" t="str">
            <v>INF754K01MX9</v>
          </cell>
          <cell r="C11167" t="str">
            <v>-</v>
          </cell>
          <cell r="D11167" t="str">
            <v>Edelweiss Nifty 50 Index Fund Regular Plan Growth</v>
          </cell>
          <cell r="E11167">
            <v>13.713699999999999</v>
          </cell>
        </row>
        <row r="11168">
          <cell r="B11168" t="str">
            <v>INF754K01MY7</v>
          </cell>
          <cell r="C11168" t="str">
            <v>INF754K01MZ4</v>
          </cell>
          <cell r="D11168" t="str">
            <v>Edelweiss Nifty 50 Index Fund Regular Plan IDCW</v>
          </cell>
          <cell r="E11168">
            <v>13.7135</v>
          </cell>
        </row>
        <row r="11169">
          <cell r="B11169" t="str">
            <v>INF754K01SS6</v>
          </cell>
          <cell r="C11169" t="str">
            <v>-</v>
          </cell>
          <cell r="D11169" t="str">
            <v>Edelweiss Nifty Alpha Low Volatility 30 Index Fund - Direct Plan - Growth</v>
          </cell>
          <cell r="E11169">
            <v>10.203099999999999</v>
          </cell>
        </row>
        <row r="11170">
          <cell r="B11170" t="str">
            <v>INF754K01ST4</v>
          </cell>
          <cell r="C11170" t="str">
            <v>INF754K01SU2</v>
          </cell>
          <cell r="D11170" t="str">
            <v>Edelweiss Nifty Alpha Low Volatility 30 Index Fund - Direct Plan - IDCW Payout</v>
          </cell>
          <cell r="E11170">
            <v>10.203099999999999</v>
          </cell>
        </row>
        <row r="11171">
          <cell r="B11171" t="str">
            <v>INF754K01SO5</v>
          </cell>
          <cell r="C11171" t="str">
            <v>-</v>
          </cell>
          <cell r="D11171" t="str">
            <v>Edelweiss Nifty Alpha Low Volatility 30 Index Fund - Regular Plan - Growth</v>
          </cell>
          <cell r="E11171">
            <v>10.0419</v>
          </cell>
        </row>
        <row r="11172">
          <cell r="B11172" t="str">
            <v>INF754K01SP2</v>
          </cell>
          <cell r="C11172" t="str">
            <v>INF754K01SQ0</v>
          </cell>
          <cell r="D11172" t="str">
            <v>Edelweiss Nifty Alpha Low Volatility 30 Index Fund - Regular Plan - IDCW Payout</v>
          </cell>
          <cell r="E11172">
            <v>10.0419</v>
          </cell>
        </row>
        <row r="11173">
          <cell r="B11173" t="str">
            <v>INF754K01NR9</v>
          </cell>
          <cell r="C11173" t="str">
            <v>-</v>
          </cell>
          <cell r="D11173" t="str">
            <v>Edelweiss NIFTY Large Midcap 250 Index Fund - Direct Plan Growth</v>
          </cell>
          <cell r="E11173">
            <v>17.3126</v>
          </cell>
        </row>
        <row r="11174">
          <cell r="B11174" t="str">
            <v>INF754K01NS7</v>
          </cell>
          <cell r="C11174" t="str">
            <v>INF754K01NT5</v>
          </cell>
          <cell r="D11174" t="str">
            <v>Edelweiss NIFTY Large Midcap 250 Index Fund - Direct Plan Payout</v>
          </cell>
          <cell r="E11174">
            <v>17.3127</v>
          </cell>
        </row>
        <row r="11175">
          <cell r="B11175" t="str">
            <v>INF754K01NN8</v>
          </cell>
          <cell r="C11175" t="str">
            <v>-</v>
          </cell>
          <cell r="D11175" t="str">
            <v>Edelweiss NIFTY Large Midcap 250 Index Fund - Regular Plan Growth</v>
          </cell>
          <cell r="E11175">
            <v>16.791699999999999</v>
          </cell>
        </row>
        <row r="11176">
          <cell r="B11176" t="str">
            <v>INF754K01NO6</v>
          </cell>
          <cell r="C11176" t="str">
            <v>INF754K01NP3</v>
          </cell>
          <cell r="D11176" t="str">
            <v>Edelweiss NIFTY Large Midcap 250 Index Fund - Regular Plan Payout</v>
          </cell>
          <cell r="E11176">
            <v>16.791</v>
          </cell>
        </row>
        <row r="11177">
          <cell r="B11177" t="str">
            <v>INF754K01WR0</v>
          </cell>
          <cell r="C11177" t="str">
            <v>-</v>
          </cell>
          <cell r="D11177" t="str">
            <v>Edelweiss Nifty LargeMidcap 250 Plus 8-13 yr G-Sec 70-30 Index Fund Direct Plan Growth</v>
          </cell>
          <cell r="E11177">
            <v>10.7967</v>
          </cell>
        </row>
        <row r="11178">
          <cell r="B11178" t="str">
            <v>INF754K01WV2</v>
          </cell>
          <cell r="C11178" t="str">
            <v>-</v>
          </cell>
          <cell r="D11178" t="str">
            <v>Edelweiss Nifty LargeMidcap 250 Plus 8-13 yr G-Sec 70-30 Index Fund Regular Plan Growth</v>
          </cell>
          <cell r="E11178">
            <v>10.7753</v>
          </cell>
        </row>
        <row r="11179">
          <cell r="B11179" t="str">
            <v>INF754K01WZ3</v>
          </cell>
          <cell r="C11179" t="str">
            <v>INF754K01XA4</v>
          </cell>
          <cell r="D11179" t="str">
            <v>Edelweiss Nifty LargeMidcap250 Plus 8-13 yr G-Sec 70-30 Index Fund - Direct Plan - Quarterly IDCW</v>
          </cell>
          <cell r="E11179">
            <v>10.7967</v>
          </cell>
        </row>
        <row r="11180">
          <cell r="B11180" t="str">
            <v>INF754K01XC0</v>
          </cell>
          <cell r="C11180" t="str">
            <v>INF754K01XD8</v>
          </cell>
          <cell r="D11180" t="str">
            <v>Edelweiss Nifty LargeMidcap250 Plus 8-13 yr G-Sec 70-30 Index Fund - Regular Plan - Quarterly IDCW</v>
          </cell>
          <cell r="E11180">
            <v>10.7753</v>
          </cell>
        </row>
        <row r="11181">
          <cell r="B11181" t="str">
            <v>INF754K01WS8</v>
          </cell>
          <cell r="C11181" t="str">
            <v>INF754K01WT6</v>
          </cell>
          <cell r="D11181" t="str">
            <v>Edelweiss Nifty LargeMidcap250 Plus 8-13 yr G-Sec 70-30 Index Fund Direct Plan Monthly IDCW</v>
          </cell>
          <cell r="E11181">
            <v>10.7966</v>
          </cell>
        </row>
        <row r="11182">
          <cell r="B11182" t="str">
            <v>INF754K01WW0</v>
          </cell>
          <cell r="C11182" t="str">
            <v>INF754K01WX8</v>
          </cell>
          <cell r="D11182" t="str">
            <v>Edelweiss Nifty LargeMidcap250 Plus 8-13 yr G-Sec 70-30 Index Fund Regular Plan Monthly IDCW</v>
          </cell>
          <cell r="E11182">
            <v>10.7753</v>
          </cell>
        </row>
        <row r="11183">
          <cell r="B11183" t="str">
            <v>INF754K01QD2</v>
          </cell>
          <cell r="C11183" t="str">
            <v>-</v>
          </cell>
          <cell r="D11183" t="str">
            <v>Edelweiss Nifty Midcap150 Momentum 50 Index Fund - Direct Plan - Growth</v>
          </cell>
          <cell r="E11183">
            <v>18.378599999999999</v>
          </cell>
        </row>
        <row r="11184">
          <cell r="B11184" t="str">
            <v>INF754K01QE0</v>
          </cell>
          <cell r="C11184" t="str">
            <v>INF754K01QF7</v>
          </cell>
          <cell r="D11184" t="str">
            <v>Edelweiss Nifty Midcap150 Momentum 50 Index Fund - Direct Plan - IDCW</v>
          </cell>
          <cell r="E11184">
            <v>18.381499999999999</v>
          </cell>
        </row>
        <row r="11185">
          <cell r="B11185" t="str">
            <v>INF754K01PZ7</v>
          </cell>
          <cell r="C11185" t="str">
            <v>-</v>
          </cell>
          <cell r="D11185" t="str">
            <v>Edelweiss Nifty Midcap150 Momentum 50 Index Fund - Regular Plan - Growth</v>
          </cell>
          <cell r="E11185">
            <v>17.915700000000001</v>
          </cell>
        </row>
        <row r="11186">
          <cell r="B11186" t="str">
            <v>INF754K01QA8</v>
          </cell>
          <cell r="C11186" t="str">
            <v>INF754K01QB6</v>
          </cell>
          <cell r="D11186" t="str">
            <v>Edelweiss Nifty Midcap150 Momentum 50 Index Fund - Regular Plan - IDCW</v>
          </cell>
          <cell r="E11186">
            <v>17.915700000000001</v>
          </cell>
        </row>
        <row r="11187">
          <cell r="B11187" t="str">
            <v>INF754K01QL5</v>
          </cell>
          <cell r="C11187" t="str">
            <v>-</v>
          </cell>
          <cell r="D11187" t="str">
            <v>Edelweiss Nifty Next 50 Index Fund - Direct Plan - Growth</v>
          </cell>
          <cell r="E11187">
            <v>16.852499999999999</v>
          </cell>
        </row>
        <row r="11188">
          <cell r="B11188" t="str">
            <v>INF754K01QM3</v>
          </cell>
          <cell r="C11188" t="str">
            <v>INF754K01QN1</v>
          </cell>
          <cell r="D11188" t="str">
            <v>Edelweiss Nifty Next 50 Index Fund - Direct Plan - IDCW</v>
          </cell>
          <cell r="E11188">
            <v>16.8522</v>
          </cell>
        </row>
        <row r="11189">
          <cell r="B11189" t="str">
            <v>INF754K01QH3</v>
          </cell>
          <cell r="C11189" t="str">
            <v>-</v>
          </cell>
          <cell r="D11189" t="str">
            <v>Edelweiss Nifty Next 50 Index Fund - Regular Plan - Growth</v>
          </cell>
          <cell r="E11189">
            <v>16.4207</v>
          </cell>
        </row>
        <row r="11190">
          <cell r="B11190" t="str">
            <v>INF754K01QI1</v>
          </cell>
          <cell r="C11190" t="str">
            <v>INF754K01QJ9</v>
          </cell>
          <cell r="D11190" t="str">
            <v>Edelweiss Nifty Next 50 Index Fund - Regular Plan - IDCW</v>
          </cell>
          <cell r="E11190">
            <v>16.4206</v>
          </cell>
        </row>
        <row r="11191">
          <cell r="B11191" t="str">
            <v>INF754K01MA7</v>
          </cell>
          <cell r="C11191" t="str">
            <v>INF754K01MB5</v>
          </cell>
          <cell r="D11191" t="str">
            <v>Edelweiss NIFTY PSU Bond Plus SDL Apr 2026 50: 50 Index Fund - Regular Plan - IDCW Option</v>
          </cell>
          <cell r="E11191">
            <v>13.5913</v>
          </cell>
        </row>
        <row r="11192">
          <cell r="B11192" t="str">
            <v>INF754K01MD1</v>
          </cell>
          <cell r="C11192" t="str">
            <v>-</v>
          </cell>
          <cell r="D11192" t="str">
            <v>Edelweiss NIFTY PSU Bond Plus SDL Apr 2026 50:50 Index Fund - Direct Plan - Growth</v>
          </cell>
          <cell r="E11192">
            <v>13.7188</v>
          </cell>
        </row>
        <row r="11193">
          <cell r="B11193" t="str">
            <v>INF754K01ME9</v>
          </cell>
          <cell r="C11193" t="str">
            <v>INF754K01MF6</v>
          </cell>
          <cell r="D11193" t="str">
            <v>Edelweiss NIFTY PSU Bond Plus SDL Apr 2026 50:50 Index Fund - Direct Plan - IDCW Option</v>
          </cell>
          <cell r="E11193">
            <v>13.7194</v>
          </cell>
        </row>
        <row r="11194">
          <cell r="B11194" t="str">
            <v>INF754K01LZ6</v>
          </cell>
          <cell r="C11194" t="str">
            <v>-</v>
          </cell>
          <cell r="D11194" t="str">
            <v>Edelweiss NIFTY PSU Bond Plus SDL Apr 2026 50:50 Index Fund - Regular Plan - Growth</v>
          </cell>
          <cell r="E11194">
            <v>13.590199999999999</v>
          </cell>
        </row>
        <row r="11195">
          <cell r="B11195" t="str">
            <v>INF754K01MU5</v>
          </cell>
          <cell r="C11195" t="str">
            <v>INF754K01MV3</v>
          </cell>
          <cell r="D11195" t="str">
            <v>Edelweiss NIFTY PSU Bond Plus SDL Apr 2027 50:50 Index Fund - Direct Plan - IDCW</v>
          </cell>
          <cell r="E11195">
            <v>13.3009</v>
          </cell>
        </row>
        <row r="11196">
          <cell r="B11196" t="str">
            <v>INF754K01MT7</v>
          </cell>
          <cell r="C11196" t="str">
            <v>-</v>
          </cell>
          <cell r="D11196" t="str">
            <v>Edelweiss NIFTY PSU Bond Plus SDL Apr 2027 50:50 Index Fund - Direct Plan Growth</v>
          </cell>
          <cell r="E11196">
            <v>13.3028</v>
          </cell>
        </row>
        <row r="11197">
          <cell r="B11197" t="str">
            <v>INF754K01MP5</v>
          </cell>
          <cell r="C11197" t="str">
            <v>-</v>
          </cell>
          <cell r="D11197" t="str">
            <v>Edelweiss NIFTY PSU Bond Plus SDL Apr 2027 50:50 Index Fund - Regular Plan - Growth</v>
          </cell>
          <cell r="E11197">
            <v>13.180999999999999</v>
          </cell>
        </row>
        <row r="11198">
          <cell r="B11198" t="str">
            <v>INF754K01MQ3</v>
          </cell>
          <cell r="C11198" t="str">
            <v>INF754K01MR1</v>
          </cell>
          <cell r="D11198" t="str">
            <v>Edelweiss NIFTY PSU Bond Plus SDL Apr 2027 50:50 Index Fund - Regular Plan - IDCW</v>
          </cell>
          <cell r="E11198">
            <v>13.1816</v>
          </cell>
        </row>
        <row r="11199">
          <cell r="B11199" t="str">
            <v>INF754K01QT8</v>
          </cell>
          <cell r="C11199" t="str">
            <v>-</v>
          </cell>
          <cell r="D11199" t="str">
            <v>Edelweiss Nifty Smallcap 250 Index Fund - Direct Plan - Growth</v>
          </cell>
          <cell r="E11199">
            <v>18.605799999999999</v>
          </cell>
        </row>
        <row r="11200">
          <cell r="B11200" t="str">
            <v>INF754K01QU6</v>
          </cell>
          <cell r="C11200" t="str">
            <v>INF754K01QV4</v>
          </cell>
          <cell r="D11200" t="str">
            <v>Edelweiss Nifty Smallcap 250 Index Fund - Direct Plan - IDCW</v>
          </cell>
          <cell r="E11200">
            <v>18.606300000000001</v>
          </cell>
        </row>
        <row r="11201">
          <cell r="B11201" t="str">
            <v>INF754K01QP6</v>
          </cell>
          <cell r="C11201" t="str">
            <v>-</v>
          </cell>
          <cell r="D11201" t="str">
            <v>Edelweiss Nifty Smallcap 250 Index Fund - Regular Plan - Growth</v>
          </cell>
          <cell r="E11201">
            <v>18.151399999999999</v>
          </cell>
        </row>
        <row r="11202">
          <cell r="B11202" t="str">
            <v>INF754K01QQ4</v>
          </cell>
          <cell r="C11202" t="str">
            <v>INF754K01QR2</v>
          </cell>
          <cell r="D11202" t="str">
            <v>Edelweiss Nifty Smallcap 250 Index Fund - Regular Plan - IDCW</v>
          </cell>
          <cell r="E11202">
            <v>18.151299999999999</v>
          </cell>
        </row>
        <row r="11203">
          <cell r="B11203" t="str">
            <v>INF754K01TN5</v>
          </cell>
          <cell r="C11203" t="str">
            <v>-</v>
          </cell>
          <cell r="D11203" t="str">
            <v>Edelweiss Nifty500 Multicap Momentum Quality 50 Index Fund - Direct - Growth</v>
          </cell>
          <cell r="E11203">
            <v>9.0244999999999997</v>
          </cell>
        </row>
        <row r="11204">
          <cell r="B11204" t="str">
            <v>INF754K01TG9</v>
          </cell>
          <cell r="C11204" t="str">
            <v>INF754K01TH7</v>
          </cell>
          <cell r="D11204" t="str">
            <v>Edelweiss Nifty500 Multicap Momentum Quality 50 Index Fund - Direct - IDCW - Payout</v>
          </cell>
          <cell r="E11204">
            <v>9.0244999999999997</v>
          </cell>
        </row>
        <row r="11205">
          <cell r="B11205" t="str">
            <v>INF754K01TJ3</v>
          </cell>
          <cell r="C11205" t="str">
            <v>-</v>
          </cell>
          <cell r="D11205" t="str">
            <v>Edelweiss Nifty500 Multicap Momentum Quality 50 Index Fund - Regular - Growth</v>
          </cell>
          <cell r="E11205">
            <v>8.9199000000000002</v>
          </cell>
        </row>
        <row r="11206">
          <cell r="B11206" t="str">
            <v>INF754K01TK1</v>
          </cell>
          <cell r="C11206" t="str">
            <v>INF754K01TL9</v>
          </cell>
          <cell r="D11206" t="str">
            <v>Edelweiss Nifty500 Multicap Momentum Quality 50 Index Fund - Regular - IDCW - Payout</v>
          </cell>
          <cell r="E11206">
            <v>8.9199000000000002</v>
          </cell>
        </row>
        <row r="11207">
          <cell r="B11207" t="str">
            <v/>
          </cell>
          <cell r="C11207" t="str">
            <v/>
          </cell>
          <cell r="D11207" t="str">
            <v/>
          </cell>
        </row>
        <row r="11208">
          <cell r="B11208" t="str">
            <v/>
          </cell>
          <cell r="C11208" t="str">
            <v/>
          </cell>
          <cell r="D11208" t="str">
            <v/>
          </cell>
        </row>
        <row r="11209">
          <cell r="B11209" t="str">
            <v/>
          </cell>
          <cell r="C11209" t="str">
            <v/>
          </cell>
          <cell r="D11209" t="str">
            <v/>
          </cell>
        </row>
        <row r="11210">
          <cell r="B11210" t="str">
            <v>INF090I01GQ8</v>
          </cell>
          <cell r="C11210" t="str">
            <v>INF090I01GR6</v>
          </cell>
          <cell r="D11210" t="str">
            <v>Franklin India INDEX FUND- NSE Nifty 50 Index Fund - Direct - IDCW</v>
          </cell>
          <cell r="E11210">
            <v>178.59469999999999</v>
          </cell>
        </row>
        <row r="11211">
          <cell r="B11211" t="str">
            <v>INF090I01890</v>
          </cell>
          <cell r="C11211" t="str">
            <v>-</v>
          </cell>
          <cell r="D11211" t="str">
            <v>Franklin India Index Fund- NSE Nifty 50 Index Fund - Growth</v>
          </cell>
          <cell r="E11211">
            <v>194.44220000000001</v>
          </cell>
        </row>
        <row r="11212">
          <cell r="B11212" t="str">
            <v>INF090I01874</v>
          </cell>
          <cell r="C11212" t="str">
            <v>INF090I01882</v>
          </cell>
          <cell r="D11212" t="str">
            <v>Franklin India INDEX FUND- NSE NIFTY 50 INDEX FUND - IDCW</v>
          </cell>
          <cell r="E11212">
            <v>168.1438</v>
          </cell>
        </row>
        <row r="11213">
          <cell r="B11213" t="str">
            <v>INF090I01GS4</v>
          </cell>
          <cell r="C11213" t="str">
            <v>-</v>
          </cell>
          <cell r="D11213" t="str">
            <v>Franklin India INDEX FUND- NSE NIFTY 50 INDEX FUND- Direct - Growth</v>
          </cell>
          <cell r="E11213">
            <v>205.0153</v>
          </cell>
        </row>
        <row r="11214">
          <cell r="B11214" t="str">
            <v/>
          </cell>
          <cell r="C11214" t="str">
            <v/>
          </cell>
          <cell r="D11214" t="str">
            <v/>
          </cell>
        </row>
        <row r="11215">
          <cell r="B11215" t="str">
            <v/>
          </cell>
          <cell r="C11215" t="str">
            <v/>
          </cell>
          <cell r="D11215" t="str">
            <v/>
          </cell>
        </row>
        <row r="11216">
          <cell r="B11216" t="str">
            <v/>
          </cell>
          <cell r="C11216" t="str">
            <v/>
          </cell>
          <cell r="D11216" t="str">
            <v/>
          </cell>
        </row>
        <row r="11217">
          <cell r="B11217" t="str">
            <v>INF666M01KT3</v>
          </cell>
          <cell r="C11217" t="str">
            <v>-</v>
          </cell>
          <cell r="D11217" t="str">
            <v>Groww Nifty 50 Index Fund Direct Growth</v>
          </cell>
          <cell r="E11217">
            <v>9.6157000000000004</v>
          </cell>
        </row>
        <row r="11218">
          <cell r="B11218" t="str">
            <v>INF666M01KU1</v>
          </cell>
          <cell r="C11218" t="str">
            <v>INF666M01KV9</v>
          </cell>
          <cell r="D11218" t="str">
            <v>Groww Nifty 50 Index Fund Direct IDCW</v>
          </cell>
          <cell r="E11218">
            <v>9.6157000000000004</v>
          </cell>
        </row>
        <row r="11219">
          <cell r="B11219" t="str">
            <v>INF666M01KW7</v>
          </cell>
          <cell r="C11219" t="str">
            <v>-</v>
          </cell>
          <cell r="D11219" t="str">
            <v>Groww Nifty 50 Index Fund Regular Growth</v>
          </cell>
          <cell r="E11219">
            <v>9.5488</v>
          </cell>
        </row>
        <row r="11220">
          <cell r="B11220" t="str">
            <v>INF666M01LJ2</v>
          </cell>
          <cell r="C11220" t="str">
            <v>INF666M01LK0</v>
          </cell>
          <cell r="D11220" t="str">
            <v>Groww Nifty 50 Index Fund Regular IDCW</v>
          </cell>
          <cell r="E11220">
            <v>9.5488</v>
          </cell>
        </row>
        <row r="11221">
          <cell r="B11221" t="str">
            <v>INF666M01JK4</v>
          </cell>
          <cell r="C11221" t="str">
            <v>-</v>
          </cell>
          <cell r="D11221" t="str">
            <v>Groww Nifty India Railways PSU Index Fund - Direct Plan - Growth</v>
          </cell>
          <cell r="E11221">
            <v>7.7767999999999997</v>
          </cell>
        </row>
        <row r="11222">
          <cell r="B11222" t="str">
            <v>INF666M01JL2</v>
          </cell>
          <cell r="C11222" t="str">
            <v>INF666M01JM0</v>
          </cell>
          <cell r="D11222" t="str">
            <v>Groww Nifty India Railways PSU Index Fund - Direct Plan - IDCW</v>
          </cell>
          <cell r="E11222">
            <v>7.7765000000000004</v>
          </cell>
        </row>
        <row r="11223">
          <cell r="B11223" t="str">
            <v>INF666M01JN8</v>
          </cell>
          <cell r="C11223" t="str">
            <v>-</v>
          </cell>
          <cell r="D11223" t="str">
            <v>Groww Nifty India Railways PSU Index Fund - Regular Plan - Growth</v>
          </cell>
          <cell r="E11223">
            <v>7.7146999999999997</v>
          </cell>
        </row>
        <row r="11224">
          <cell r="B11224" t="str">
            <v>INF666M01JO6</v>
          </cell>
          <cell r="C11224" t="str">
            <v>INF666M01JP3</v>
          </cell>
          <cell r="D11224" t="str">
            <v>Groww Nifty India Railways PSU Index Fund - Regular Plan - IDCW</v>
          </cell>
          <cell r="E11224">
            <v>7.7122000000000002</v>
          </cell>
        </row>
        <row r="11225">
          <cell r="B11225" t="str">
            <v>INF666M01MP7</v>
          </cell>
          <cell r="C11225" t="str">
            <v>-</v>
          </cell>
          <cell r="D11225" t="str">
            <v>Groww Nifty Midcap 150 Index Fund Direct Growth</v>
          </cell>
          <cell r="E11225">
            <v>10.2683</v>
          </cell>
        </row>
        <row r="11226">
          <cell r="B11226" t="str">
            <v>INF666M01MQ5</v>
          </cell>
          <cell r="C11226" t="str">
            <v>INF666M01MR3</v>
          </cell>
          <cell r="D11226" t="str">
            <v>Groww Nifty Midcap 150 Index fund Direct IDCW</v>
          </cell>
          <cell r="E11226">
            <v>10.2683</v>
          </cell>
        </row>
        <row r="11227">
          <cell r="B11227" t="str">
            <v>INF666M01MS1</v>
          </cell>
          <cell r="C11227" t="str">
            <v>-</v>
          </cell>
          <cell r="D11227" t="str">
            <v>Groww Nifty Midcap 150 Index Fund Regular Growth</v>
          </cell>
          <cell r="E11227">
            <v>10.2224</v>
          </cell>
        </row>
        <row r="11228">
          <cell r="B11228" t="str">
            <v>INF666M01MT9</v>
          </cell>
          <cell r="C11228" t="str">
            <v>INF666M01MU7</v>
          </cell>
          <cell r="D11228" t="str">
            <v>Groww Nifty Midcap 150 Index Fund Regular IDCW</v>
          </cell>
          <cell r="E11228">
            <v>10.2224</v>
          </cell>
        </row>
        <row r="11229">
          <cell r="B11229" t="str">
            <v>INF666M01LT1</v>
          </cell>
          <cell r="C11229" t="str">
            <v>-</v>
          </cell>
          <cell r="D11229" t="str">
            <v>Groww Nifty Next 50 Index Fund Direct Growth</v>
          </cell>
          <cell r="E11229">
            <v>10.693</v>
          </cell>
        </row>
        <row r="11230">
          <cell r="B11230" t="str">
            <v>INF666M01LU9</v>
          </cell>
          <cell r="C11230" t="str">
            <v>INF666M01LV7</v>
          </cell>
          <cell r="D11230" t="str">
            <v>Groww Nifty Next 50 Index Fund Direct IDCW</v>
          </cell>
          <cell r="E11230">
            <v>10.693</v>
          </cell>
        </row>
        <row r="11231">
          <cell r="B11231" t="str">
            <v>INF666M01LW5</v>
          </cell>
          <cell r="C11231" t="str">
            <v>-</v>
          </cell>
          <cell r="D11231" t="str">
            <v>Groww Nifty Next 50 Index Fund Regular Growth</v>
          </cell>
          <cell r="E11231">
            <v>10.6258</v>
          </cell>
        </row>
        <row r="11232">
          <cell r="B11232" t="str">
            <v>INF666M01LX3</v>
          </cell>
          <cell r="C11232" t="str">
            <v>INF666M01LY1</v>
          </cell>
          <cell r="D11232" t="str">
            <v>Groww Nifty Next 50 Index Fund Regular IDCW</v>
          </cell>
          <cell r="E11232">
            <v>10.6258</v>
          </cell>
        </row>
        <row r="11233">
          <cell r="B11233" t="str">
            <v>INF666M01IF6</v>
          </cell>
          <cell r="C11233" t="str">
            <v>INF666M01IG4</v>
          </cell>
          <cell r="D11233" t="str">
            <v>Groww Nifty Non-Cyclical Consumer Index Fund - Direct Plan - IDCW</v>
          </cell>
          <cell r="E11233">
            <v>10.452500000000001</v>
          </cell>
        </row>
        <row r="11234">
          <cell r="B11234" t="str">
            <v>INF666M01IE9</v>
          </cell>
          <cell r="C11234" t="str">
            <v>-</v>
          </cell>
          <cell r="D11234" t="str">
            <v>Groww Nifty Non-Cyclical Consumer Index Fund - Direct Plan Growth</v>
          </cell>
          <cell r="E11234">
            <v>10.452500000000001</v>
          </cell>
        </row>
        <row r="11235">
          <cell r="B11235" t="str">
            <v>INF666M01IC3</v>
          </cell>
          <cell r="C11235" t="str">
            <v>INF666M01ID1</v>
          </cell>
          <cell r="D11235" t="str">
            <v>Groww Nifty Non-Cyclical Consumer Index Fund - IDCW</v>
          </cell>
          <cell r="E11235">
            <v>10.321899999999999</v>
          </cell>
        </row>
        <row r="11236">
          <cell r="B11236" t="str">
            <v>INF666M01IB5</v>
          </cell>
          <cell r="C11236" t="str">
            <v>-</v>
          </cell>
          <cell r="D11236" t="str">
            <v>Groww Nifty Non-Cyclical Consumer Index Fund - Regular Plan - Growth</v>
          </cell>
          <cell r="E11236">
            <v>10.3231</v>
          </cell>
        </row>
        <row r="11237">
          <cell r="B11237" t="str">
            <v>INF666M01OU3</v>
          </cell>
          <cell r="C11237" t="str">
            <v>-</v>
          </cell>
          <cell r="D11237" t="str">
            <v>Groww Nifty Private Bank Index Fund Direct Growth</v>
          </cell>
          <cell r="E11237">
            <v>10.229900000000001</v>
          </cell>
        </row>
        <row r="11238">
          <cell r="B11238" t="str">
            <v>INF666M01OV1</v>
          </cell>
          <cell r="C11238" t="str">
            <v>INF666M01OW9</v>
          </cell>
          <cell r="D11238" t="str">
            <v>Groww Nifty Private Bank Index Fund Direct IDCW</v>
          </cell>
          <cell r="E11238">
            <v>10.229900000000001</v>
          </cell>
        </row>
        <row r="11239">
          <cell r="B11239" t="str">
            <v>INF666M01OX7</v>
          </cell>
          <cell r="C11239" t="str">
            <v>-</v>
          </cell>
          <cell r="D11239" t="str">
            <v>Groww Nifty Private Bank Index Fund Regular Growth</v>
          </cell>
          <cell r="E11239">
            <v>10.2188</v>
          </cell>
        </row>
        <row r="11240">
          <cell r="B11240" t="str">
            <v>INF666M01OY5</v>
          </cell>
          <cell r="C11240" t="str">
            <v>INF666M01OZ2</v>
          </cell>
          <cell r="D11240" t="str">
            <v>Groww Nifty Private Bank Index Fund Regular IDCW</v>
          </cell>
          <cell r="E11240">
            <v>10.2188</v>
          </cell>
        </row>
        <row r="11241">
          <cell r="B11241" t="str">
            <v>INF666M01OH0</v>
          </cell>
          <cell r="C11241" t="str">
            <v>-</v>
          </cell>
          <cell r="D11241" t="str">
            <v>Groww Nifty PSU Bank Index Fund Direct Growth</v>
          </cell>
          <cell r="E11241">
            <v>9.9932999999999996</v>
          </cell>
        </row>
        <row r="11242">
          <cell r="B11242" t="str">
            <v>INF666M01OI8</v>
          </cell>
          <cell r="C11242" t="str">
            <v>INF666M01OJ6</v>
          </cell>
          <cell r="D11242" t="str">
            <v>Groww Nifty PSU Bank Index Fund Direct IDCW</v>
          </cell>
          <cell r="E11242">
            <v>9.9920000000000009</v>
          </cell>
        </row>
        <row r="11243">
          <cell r="B11243" t="str">
            <v>INF666M01OK4</v>
          </cell>
          <cell r="C11243" t="str">
            <v>-</v>
          </cell>
          <cell r="D11243" t="str">
            <v>Groww Nifty PSU Bank Index Fund Regular Growth</v>
          </cell>
          <cell r="E11243">
            <v>9.9751999999999992</v>
          </cell>
        </row>
        <row r="11244">
          <cell r="B11244" t="str">
            <v>INF666M01OL2</v>
          </cell>
          <cell r="C11244" t="str">
            <v>INF666M01OM0</v>
          </cell>
          <cell r="D11244" t="str">
            <v>Groww Nifty PSU Bank Index Fund Regular IDCW</v>
          </cell>
          <cell r="E11244">
            <v>9.9753000000000007</v>
          </cell>
        </row>
        <row r="11245">
          <cell r="B11245" t="str">
            <v>INF666M01HY9</v>
          </cell>
          <cell r="C11245" t="str">
            <v>-</v>
          </cell>
          <cell r="D11245" t="str">
            <v>Groww Nifty Smallcap 250 Index Fund - Direct Plan - Growth</v>
          </cell>
          <cell r="E11245">
            <v>11.918100000000001</v>
          </cell>
        </row>
        <row r="11246">
          <cell r="B11246" t="str">
            <v>INF666M01HZ6</v>
          </cell>
          <cell r="C11246" t="str">
            <v>INF666M01IA7</v>
          </cell>
          <cell r="D11246" t="str">
            <v>Groww Nifty Smallcap 250 Index Fund - Direct Plan - IDCW</v>
          </cell>
          <cell r="E11246">
            <v>11.923</v>
          </cell>
        </row>
        <row r="11247">
          <cell r="B11247" t="str">
            <v>INF666M01HV5</v>
          </cell>
          <cell r="C11247" t="str">
            <v>-</v>
          </cell>
          <cell r="D11247" t="str">
            <v>Groww Nifty Smallcap 250 Index Fund - Regular Plan - Growth</v>
          </cell>
          <cell r="E11247">
            <v>11.765599999999999</v>
          </cell>
        </row>
        <row r="11248">
          <cell r="B11248" t="str">
            <v>INF666M01HW3</v>
          </cell>
          <cell r="C11248" t="str">
            <v>INF666M01HX1</v>
          </cell>
          <cell r="D11248" t="str">
            <v>Groww Nifty Smallcap 250 Index Fund - Regular Plan - Regular Plan - IDCW</v>
          </cell>
          <cell r="E11248">
            <v>11.7515</v>
          </cell>
        </row>
        <row r="11249">
          <cell r="B11249" t="str">
            <v>INF666M01PA2</v>
          </cell>
          <cell r="C11249" t="str">
            <v>-</v>
          </cell>
          <cell r="D11249" t="str">
            <v>Groww Nifty Smallcap 250 Momentum Quality 100 Index Fund Direct Growth</v>
          </cell>
          <cell r="E11249">
            <v>10.327</v>
          </cell>
        </row>
        <row r="11250">
          <cell r="B11250" t="str">
            <v>INF666M01PB0</v>
          </cell>
          <cell r="C11250" t="str">
            <v>INF666M01PC8</v>
          </cell>
          <cell r="D11250" t="str">
            <v>Groww Nifty Smallcap 250 Momentum Quality 100 Index Fund Direct IDCW</v>
          </cell>
          <cell r="E11250">
            <v>10.327</v>
          </cell>
        </row>
        <row r="11251">
          <cell r="B11251" t="str">
            <v>INF666M01PD6</v>
          </cell>
          <cell r="C11251" t="str">
            <v>-</v>
          </cell>
          <cell r="D11251" t="str">
            <v>Groww Nifty Smallcap 250 Momentum Quality 100 Index Fund Regular Growth</v>
          </cell>
          <cell r="E11251">
            <v>10.321199999999999</v>
          </cell>
        </row>
        <row r="11252">
          <cell r="B11252" t="str">
            <v>INF666M01PE4</v>
          </cell>
          <cell r="C11252" t="str">
            <v>INF666M01PF1</v>
          </cell>
          <cell r="D11252" t="str">
            <v>Groww Nifty Smallcap 250 Momentum Quality 100 Index Fund Regular IDCW</v>
          </cell>
          <cell r="E11252">
            <v>10.321199999999999</v>
          </cell>
        </row>
        <row r="11253">
          <cell r="B11253" t="str">
            <v>INF666M01HM4</v>
          </cell>
          <cell r="C11253" t="str">
            <v>-</v>
          </cell>
          <cell r="D11253" t="str">
            <v>Groww Nifty Total Market Index Fund - Direct Plan - Growth</v>
          </cell>
          <cell r="E11253">
            <v>13.923999999999999</v>
          </cell>
        </row>
        <row r="11254">
          <cell r="B11254" t="str">
            <v>INF666M01HN2</v>
          </cell>
          <cell r="C11254" t="str">
            <v>INF666M01HO0</v>
          </cell>
          <cell r="D11254" t="str">
            <v>Groww Nifty Total Market Index Fund - Direct Plan - IDCW</v>
          </cell>
          <cell r="E11254">
            <v>13.9237</v>
          </cell>
        </row>
        <row r="11255">
          <cell r="B11255" t="str">
            <v>INF666M01HJ0</v>
          </cell>
          <cell r="C11255" t="str">
            <v>-</v>
          </cell>
          <cell r="D11255" t="str">
            <v>Groww Nifty Total Market Index Fund - Regular Plan - Growth</v>
          </cell>
          <cell r="E11255">
            <v>13.6684</v>
          </cell>
        </row>
        <row r="11256">
          <cell r="B11256" t="str">
            <v>INF666M01HK8</v>
          </cell>
          <cell r="C11256" t="str">
            <v>INF666M01HL6</v>
          </cell>
          <cell r="D11256" t="str">
            <v>Groww Nifty Total Market Index Fund - Regular Plan - IDCW</v>
          </cell>
          <cell r="E11256">
            <v>13.6691</v>
          </cell>
        </row>
        <row r="11257">
          <cell r="B11257" t="str">
            <v/>
          </cell>
          <cell r="C11257" t="str">
            <v/>
          </cell>
          <cell r="D11257" t="str">
            <v/>
          </cell>
        </row>
        <row r="11258">
          <cell r="B11258" t="str">
            <v/>
          </cell>
          <cell r="C11258" t="str">
            <v/>
          </cell>
          <cell r="D11258" t="str">
            <v/>
          </cell>
        </row>
        <row r="11259">
          <cell r="B11259" t="str">
            <v/>
          </cell>
          <cell r="C11259" t="str">
            <v/>
          </cell>
          <cell r="D11259" t="str">
            <v/>
          </cell>
        </row>
        <row r="11260">
          <cell r="B11260" t="str">
            <v>INF179KC1GG9</v>
          </cell>
          <cell r="C11260" t="str">
            <v>-</v>
          </cell>
          <cell r="D11260" t="str">
            <v>HDFC BSE 500 Index Fund - Growth Option - Direct Plan</v>
          </cell>
          <cell r="E11260">
            <v>15.624599999999999</v>
          </cell>
        </row>
        <row r="11261">
          <cell r="B11261" t="str">
            <v>INF179KC1GH7</v>
          </cell>
          <cell r="C11261" t="str">
            <v>-</v>
          </cell>
          <cell r="D11261" t="str">
            <v>HDFC BSE 500 Index Fund - Regular Plan - Growth Option</v>
          </cell>
          <cell r="E11261">
            <v>15.3398</v>
          </cell>
        </row>
        <row r="11262">
          <cell r="B11262" t="str">
            <v>INF179KC1JX8</v>
          </cell>
          <cell r="C11262" t="str">
            <v>-</v>
          </cell>
          <cell r="D11262" t="str">
            <v>HDFC BSE India Sector Leaders Index Fund - Regular Plan - Growth Option</v>
          </cell>
          <cell r="E11262">
            <v>9.4437999999999995</v>
          </cell>
        </row>
        <row r="11263">
          <cell r="B11263" t="str">
            <v>INF179KC1JY6</v>
          </cell>
          <cell r="C11263" t="str">
            <v>-</v>
          </cell>
          <cell r="D11263" t="str">
            <v>HDFC BSE India Sector Leaders India Fund - Direct Plan - Growth Option</v>
          </cell>
          <cell r="E11263">
            <v>9.4755000000000003</v>
          </cell>
        </row>
        <row r="11264">
          <cell r="B11264" t="str">
            <v>INF179K01WN9</v>
          </cell>
          <cell r="C11264" t="str">
            <v>-</v>
          </cell>
          <cell r="D11264" t="str">
            <v>HDFC BSE Sensex Index Fund - Direct Plan</v>
          </cell>
          <cell r="E11264">
            <v>733.58240000000001</v>
          </cell>
        </row>
        <row r="11265">
          <cell r="B11265" t="str">
            <v>INF179K01LA9</v>
          </cell>
          <cell r="C11265" t="str">
            <v>-</v>
          </cell>
          <cell r="D11265" t="str">
            <v>HDFC BSE Sensex Index Fund - Growth Plan</v>
          </cell>
          <cell r="E11265">
            <v>715.12750000000005</v>
          </cell>
        </row>
        <row r="11266">
          <cell r="B11266" t="str">
            <v>INF179KC1JK5</v>
          </cell>
          <cell r="C11266" t="str">
            <v>-</v>
          </cell>
          <cell r="D11266" t="str">
            <v>HDFC CRISIL-IBX Financial Services 3-6 Months Debt Index Fund - Direct Growth Plan</v>
          </cell>
          <cell r="E11266">
            <v>10.8688</v>
          </cell>
        </row>
        <row r="11267">
          <cell r="B11267" t="str">
            <v>INF179KC1JJ7</v>
          </cell>
          <cell r="C11267" t="str">
            <v>-</v>
          </cell>
          <cell r="D11267" t="str">
            <v>HDFC CRISIL-IBX Financial Services 3-6 Months Debt Index Fund - Regular Growth Plan</v>
          </cell>
          <cell r="E11267">
            <v>10.8452</v>
          </cell>
        </row>
        <row r="11268">
          <cell r="B11268" t="str">
            <v>INF179KC1KI7</v>
          </cell>
          <cell r="C11268" t="str">
            <v>-</v>
          </cell>
          <cell r="D11268" t="str">
            <v>HDFC CRISIL-IBX Financial Services 9-12 Months Debt Index Fund - Direct Growth Plan</v>
          </cell>
          <cell r="E11268">
            <v>10.2585</v>
          </cell>
        </row>
        <row r="11269">
          <cell r="B11269" t="str">
            <v>INF179KC1KH9</v>
          </cell>
          <cell r="C11269" t="str">
            <v>-</v>
          </cell>
          <cell r="D11269" t="str">
            <v>HDFC CRISIL-IBX Financial Services 9-12 Months Debt Index Fund - Regular Growth Plan</v>
          </cell>
          <cell r="E11269">
            <v>10.251300000000001</v>
          </cell>
        </row>
        <row r="11270">
          <cell r="B11270" t="str">
            <v>INF179KC1CA1</v>
          </cell>
          <cell r="C11270" t="str">
            <v>-</v>
          </cell>
          <cell r="D11270" t="str">
            <v>HDFC Nifty 100 Equal Weight Index Fund - Direct Plan - Growth Option</v>
          </cell>
          <cell r="E11270">
            <v>17.523</v>
          </cell>
        </row>
        <row r="11271">
          <cell r="B11271" t="str">
            <v>INF179KC1CB9</v>
          </cell>
          <cell r="C11271" t="str">
            <v>-</v>
          </cell>
          <cell r="D11271" t="str">
            <v>HDFC Nifty 100 Equal Weight Index Fund - Growth Option</v>
          </cell>
          <cell r="E11271">
            <v>17.1617</v>
          </cell>
        </row>
        <row r="11272">
          <cell r="B11272" t="str">
            <v>INF179KC1BY3</v>
          </cell>
          <cell r="C11272" t="str">
            <v>-</v>
          </cell>
          <cell r="D11272" t="str">
            <v>HDFC NIFTY 100 Index Fund - Direct Plan - Growth Option</v>
          </cell>
          <cell r="E11272">
            <v>14.9533</v>
          </cell>
        </row>
        <row r="11273">
          <cell r="B11273" t="str">
            <v>INF179KC1BZ0</v>
          </cell>
          <cell r="C11273" t="str">
            <v>-</v>
          </cell>
          <cell r="D11273" t="str">
            <v>HDFC NIFTY 100 Index Fund - Growth Option</v>
          </cell>
          <cell r="E11273">
            <v>14.6327</v>
          </cell>
        </row>
        <row r="11274">
          <cell r="B11274" t="str">
            <v>INF179K01WM1</v>
          </cell>
          <cell r="C11274" t="str">
            <v>-</v>
          </cell>
          <cell r="D11274" t="str">
            <v>HDFC Nifty 50 Index Fund - Direct Plan</v>
          </cell>
          <cell r="E11274">
            <v>234.46799999999999</v>
          </cell>
        </row>
        <row r="11275">
          <cell r="B11275" t="str">
            <v>INF179K01KZ8</v>
          </cell>
          <cell r="C11275" t="str">
            <v>-</v>
          </cell>
          <cell r="D11275" t="str">
            <v>HDFC Nifty 50 Index Fund - Growth Plan</v>
          </cell>
          <cell r="E11275">
            <v>228.99299999999999</v>
          </cell>
        </row>
        <row r="11276">
          <cell r="B11276" t="str">
            <v>INF179KC1KQ0</v>
          </cell>
          <cell r="C11276" t="str">
            <v>-</v>
          </cell>
          <cell r="D11276" t="str">
            <v>HDFC Nifty Auto Index Fund- Direct Plan- Growth Option</v>
          </cell>
          <cell r="E11276">
            <v>9.9916999999999998</v>
          </cell>
        </row>
        <row r="11277">
          <cell r="B11277" t="str">
            <v>INF179KC1KP2</v>
          </cell>
          <cell r="C11277" t="str">
            <v>-</v>
          </cell>
          <cell r="D11277" t="str">
            <v>HDFC Nifty Auto Index Fund- Growth Option</v>
          </cell>
          <cell r="E11277">
            <v>9.9894999999999996</v>
          </cell>
        </row>
        <row r="11278">
          <cell r="B11278" t="str">
            <v>INF179KC1FR8</v>
          </cell>
          <cell r="C11278" t="str">
            <v>-</v>
          </cell>
          <cell r="D11278" t="str">
            <v>HDFC Nifty G-Sec Apr 2029 Index Fund - Growth Option</v>
          </cell>
          <cell r="E11278">
            <v>12.928100000000001</v>
          </cell>
        </row>
        <row r="11279">
          <cell r="B11279" t="str">
            <v>INF179KC1FQ0</v>
          </cell>
          <cell r="C11279" t="str">
            <v>-</v>
          </cell>
          <cell r="D11279" t="str">
            <v>HDFC Nifty G-Sec Apr 2029 Index Fund - Growth Option - Direct Plan</v>
          </cell>
          <cell r="E11279">
            <v>12.9979</v>
          </cell>
        </row>
        <row r="11280">
          <cell r="B11280" t="str">
            <v>INF179KC1EG4</v>
          </cell>
          <cell r="C11280" t="str">
            <v>-</v>
          </cell>
          <cell r="D11280" t="str">
            <v>HDFC Nifty G-Sec Dec 2026 Index Fund - Growth Option</v>
          </cell>
          <cell r="E11280">
            <v>12.884</v>
          </cell>
        </row>
        <row r="11281">
          <cell r="B11281" t="str">
            <v>INF179KC1EE9</v>
          </cell>
          <cell r="C11281" t="str">
            <v>-</v>
          </cell>
          <cell r="D11281" t="str">
            <v>HDFC Nifty G-Sec Dec 2026 Index Fund - Growth Option - Direct Plan</v>
          </cell>
          <cell r="E11281">
            <v>12.9564</v>
          </cell>
        </row>
        <row r="11282">
          <cell r="B11282" t="str">
            <v>INF179KC1EI0</v>
          </cell>
          <cell r="C11282" t="str">
            <v>-</v>
          </cell>
          <cell r="D11282" t="str">
            <v>HDFC Nifty G-Sec July 2031 Index Fund - Growth Option</v>
          </cell>
          <cell r="E11282">
            <v>13.287800000000001</v>
          </cell>
        </row>
        <row r="11283">
          <cell r="B11283" t="str">
            <v>INF179KC1EH2</v>
          </cell>
          <cell r="C11283" t="str">
            <v>-</v>
          </cell>
          <cell r="D11283" t="str">
            <v>HDFC Nifty G-Sec July 2031 Index Fund - Growth Option - Direct Plan</v>
          </cell>
          <cell r="E11283">
            <v>13.3675</v>
          </cell>
        </row>
        <row r="11284">
          <cell r="B11284" t="str">
            <v>INF179KC1EK6</v>
          </cell>
          <cell r="C11284" t="str">
            <v>-</v>
          </cell>
          <cell r="D11284" t="str">
            <v>HDFC Nifty G-Sec Jun 2027 Index Fund - Growth Option</v>
          </cell>
          <cell r="E11284">
            <v>12.866</v>
          </cell>
        </row>
        <row r="11285">
          <cell r="B11285" t="str">
            <v>INF179KC1EJ8</v>
          </cell>
          <cell r="C11285" t="str">
            <v>-</v>
          </cell>
          <cell r="D11285" t="str">
            <v>HDFC Nifty G-Sec Jun 2027 Index Fund - Growth Option - Direct Plan</v>
          </cell>
          <cell r="E11285">
            <v>12.9375</v>
          </cell>
        </row>
        <row r="11286">
          <cell r="B11286" t="str">
            <v>INF179KC1FT4</v>
          </cell>
          <cell r="C11286" t="str">
            <v>-</v>
          </cell>
          <cell r="D11286" t="str">
            <v>HDFC Nifty G-Sec Jun 2036 Index Fund - Growth Option</v>
          </cell>
          <cell r="E11286">
            <v>13.0703</v>
          </cell>
        </row>
        <row r="11287">
          <cell r="B11287" t="str">
            <v>INF179KC1FS6</v>
          </cell>
          <cell r="C11287" t="str">
            <v>-</v>
          </cell>
          <cell r="D11287" t="str">
            <v>HDFC Nifty G-Sec Jun 2036 Index Fund - Growth Option - Direct Plan</v>
          </cell>
          <cell r="E11287">
            <v>13.1516</v>
          </cell>
        </row>
        <row r="11288">
          <cell r="B11288" t="str">
            <v>INF179KC1EM2</v>
          </cell>
          <cell r="C11288" t="str">
            <v>-</v>
          </cell>
          <cell r="D11288" t="str">
            <v>HDFC Nifty G-Sec Sep 2032 Index Fund - Growth Option</v>
          </cell>
          <cell r="E11288">
            <v>13.165699999999999</v>
          </cell>
        </row>
        <row r="11289">
          <cell r="B11289" t="str">
            <v>INF179KC1EL4</v>
          </cell>
          <cell r="C11289" t="str">
            <v>-</v>
          </cell>
          <cell r="D11289" t="str">
            <v>HDFC Nifty G-Sec Sep 2032 Index Fund - Growth Option - Direct Plan</v>
          </cell>
          <cell r="E11289">
            <v>13.2478</v>
          </cell>
        </row>
        <row r="11290">
          <cell r="B11290" t="str">
            <v>INF179KC1JZ3</v>
          </cell>
          <cell r="C11290" t="str">
            <v>-</v>
          </cell>
          <cell r="D11290" t="str">
            <v>HDFC Nifty India Consumption Index  Fund - Regular Growth Plan</v>
          </cell>
          <cell r="E11290">
            <v>9.8879999999999999</v>
          </cell>
        </row>
        <row r="11291">
          <cell r="B11291" t="str">
            <v>INF179KC1KA4</v>
          </cell>
          <cell r="C11291" t="str">
            <v>-</v>
          </cell>
          <cell r="D11291" t="str">
            <v>HDFC Nifty India Consumption Index Fund - Direct Growth Plan</v>
          </cell>
          <cell r="E11291">
            <v>9.9071999999999996</v>
          </cell>
        </row>
        <row r="11292">
          <cell r="B11292" t="str">
            <v>INF179KC1JB4</v>
          </cell>
          <cell r="C11292" t="str">
            <v>-</v>
          </cell>
          <cell r="D11292" t="str">
            <v>HDFC Nifty India Digital Index Fund - Growth Option - Direct</v>
          </cell>
          <cell r="E11292">
            <v>8.1984999999999992</v>
          </cell>
        </row>
        <row r="11293">
          <cell r="B11293" t="str">
            <v>INF179KC1JA6</v>
          </cell>
          <cell r="C11293" t="str">
            <v>-</v>
          </cell>
          <cell r="D11293" t="str">
            <v>HDFC Nifty India Digital Index Fund - Growth Option - Regular</v>
          </cell>
          <cell r="E11293">
            <v>8.1348000000000003</v>
          </cell>
        </row>
        <row r="11294">
          <cell r="B11294" t="str">
            <v>INF179KC1IP6</v>
          </cell>
          <cell r="C11294" t="str">
            <v>-</v>
          </cell>
          <cell r="D11294" t="str">
            <v>HDFC NIFTY LargeMidcap 250 Index Fund - Growth Option</v>
          </cell>
          <cell r="E11294">
            <v>10.052899999999999</v>
          </cell>
        </row>
        <row r="11295">
          <cell r="B11295" t="str">
            <v>INF179KC1IQ4</v>
          </cell>
          <cell r="C11295" t="str">
            <v>-</v>
          </cell>
          <cell r="D11295" t="str">
            <v>HDFC NIFTY LargeMidcap 250 Index Fund - Growth Option - Direct</v>
          </cell>
          <cell r="E11295">
            <v>10.14</v>
          </cell>
        </row>
        <row r="11296">
          <cell r="B11296" t="str">
            <v>INF179KC1GD6</v>
          </cell>
          <cell r="C11296" t="str">
            <v>-</v>
          </cell>
          <cell r="D11296" t="str">
            <v>HDFC NIFTY Midcap 150 Index Fund - Growth Option</v>
          </cell>
          <cell r="E11296">
            <v>19.222100000000001</v>
          </cell>
        </row>
        <row r="11297">
          <cell r="B11297" t="str">
            <v>INF179KC1GC8</v>
          </cell>
          <cell r="C11297" t="str">
            <v>-</v>
          </cell>
          <cell r="D11297" t="str">
            <v>HDFC NIFTY Midcap 150 Index Fund - Growth Option - Direct Plan</v>
          </cell>
          <cell r="E11297">
            <v>19.577000000000002</v>
          </cell>
        </row>
        <row r="11298">
          <cell r="B11298" t="str">
            <v>INF179KC1BQ9</v>
          </cell>
          <cell r="C11298" t="str">
            <v>-</v>
          </cell>
          <cell r="D11298" t="str">
            <v>HDFC NIFTY Next 50 Index Fund - Direct Plan - Growth Option</v>
          </cell>
          <cell r="E11298">
            <v>17.079999999999998</v>
          </cell>
        </row>
        <row r="11299">
          <cell r="B11299" t="str">
            <v>INF179KC1BR7</v>
          </cell>
          <cell r="C11299" t="str">
            <v>-</v>
          </cell>
          <cell r="D11299" t="str">
            <v>HDFC NIFTY Next 50 Index Fund - Growth Option</v>
          </cell>
          <cell r="E11299">
            <v>16.739699999999999</v>
          </cell>
        </row>
        <row r="11300">
          <cell r="B11300" t="str">
            <v>INF179KC1ID2</v>
          </cell>
          <cell r="C11300" t="str">
            <v>-</v>
          </cell>
          <cell r="D11300" t="str">
            <v>HDFC NIFTY Reality Index Fund - Regular Plan</v>
          </cell>
          <cell r="E11300">
            <v>10.0069</v>
          </cell>
        </row>
        <row r="11301">
          <cell r="B11301" t="str">
            <v>INF179KC1IE0</v>
          </cell>
          <cell r="C11301" t="str">
            <v>-</v>
          </cell>
          <cell r="D11301" t="str">
            <v>HDFC NIFTY Realty Index Fund - Direct Plan</v>
          </cell>
          <cell r="E11301">
            <v>10.1189</v>
          </cell>
        </row>
        <row r="11302">
          <cell r="B11302" t="str">
            <v>INF179KC1FJ5</v>
          </cell>
          <cell r="C11302" t="str">
            <v>-</v>
          </cell>
          <cell r="D11302" t="str">
            <v>HDFC Nifty SDL Oct 2026 Index Fund - Growth Option</v>
          </cell>
          <cell r="E11302">
            <v>12.709199999999999</v>
          </cell>
        </row>
        <row r="11303">
          <cell r="B11303" t="str">
            <v>INF179KC1FI7</v>
          </cell>
          <cell r="C11303" t="str">
            <v>-</v>
          </cell>
          <cell r="D11303" t="str">
            <v>HDFC Nifty SDL Oct 2026 Index Fund - Growth Option - Direct Plan</v>
          </cell>
          <cell r="E11303">
            <v>12.7768</v>
          </cell>
        </row>
        <row r="11304">
          <cell r="B11304" t="str">
            <v>INF179KC1GB0</v>
          </cell>
          <cell r="C11304" t="str">
            <v>-</v>
          </cell>
          <cell r="D11304" t="str">
            <v>HDFC NIFTY SDL Plus G-Sec Jun 2027 40:60 Index Fund - Growth Option</v>
          </cell>
          <cell r="E11304">
            <v>12.6532</v>
          </cell>
        </row>
        <row r="11305">
          <cell r="B11305" t="str">
            <v>INF179KC1GA2</v>
          </cell>
          <cell r="C11305" t="str">
            <v>-</v>
          </cell>
          <cell r="D11305" t="str">
            <v>HDFC NIFTY SDL Plus G-Sec Jun 2027 40:60 Index Fund - Growth Option - Direct Plan</v>
          </cell>
          <cell r="E11305">
            <v>12.7148</v>
          </cell>
        </row>
        <row r="11306">
          <cell r="B11306" t="str">
            <v>INF179KC1GF1</v>
          </cell>
          <cell r="C11306" t="str">
            <v>-</v>
          </cell>
          <cell r="D11306" t="str">
            <v>HDFC NIFTY Smallcap 250 Index Fund - Growth Option</v>
          </cell>
          <cell r="E11306">
            <v>19.115500000000001</v>
          </cell>
        </row>
        <row r="11307">
          <cell r="B11307" t="str">
            <v>INF179KC1GE4</v>
          </cell>
          <cell r="C11307" t="str">
            <v>-</v>
          </cell>
          <cell r="D11307" t="str">
            <v>HDFC NIFTY Smallcap 250 Index Fund - Growth Option - Direct Plan</v>
          </cell>
          <cell r="E11307">
            <v>19.459299999999999</v>
          </cell>
        </row>
        <row r="11308">
          <cell r="B11308" t="str">
            <v>INF179KC1JI9</v>
          </cell>
          <cell r="C11308" t="str">
            <v>-</v>
          </cell>
          <cell r="D11308" t="str">
            <v>HDFC Nifty Top 20 Equal Weight Index Fund - Direct</v>
          </cell>
          <cell r="E11308">
            <v>10.025</v>
          </cell>
        </row>
        <row r="11309">
          <cell r="B11309" t="str">
            <v>INF179KC1JH1</v>
          </cell>
          <cell r="C11309" t="str">
            <v>-</v>
          </cell>
          <cell r="D11309" t="str">
            <v>HDFC Nifty Top 20 Equal Weight Index Fund - Regular Growth</v>
          </cell>
          <cell r="E11309">
            <v>9.9543999999999997</v>
          </cell>
        </row>
        <row r="11310">
          <cell r="B11310" t="str">
            <v>INF179KC1IM3</v>
          </cell>
          <cell r="C11310" t="str">
            <v>HDFCNIVODG</v>
          </cell>
          <cell r="D11310" t="str">
            <v>HDFC NIFTY100 Low Volatility 30 Index Fund - Direct Plan</v>
          </cell>
          <cell r="E11310">
            <v>10.446999999999999</v>
          </cell>
        </row>
        <row r="11311">
          <cell r="B11311" t="str">
            <v>INF179KC1IL5</v>
          </cell>
          <cell r="C11311" t="str">
            <v>-</v>
          </cell>
          <cell r="D11311" t="str">
            <v>HDFC NIFTY100 Low Volatility 30 Index Fund - Regular Plan</v>
          </cell>
          <cell r="E11311">
            <v>10.340299999999999</v>
          </cell>
        </row>
        <row r="11312">
          <cell r="B11312" t="str">
            <v>INF179KC1JF5</v>
          </cell>
          <cell r="C11312" t="str">
            <v>-</v>
          </cell>
          <cell r="D11312" t="str">
            <v>HDFC Nifty100 Quality 30 Index Fund - Direct Plan</v>
          </cell>
          <cell r="E11312">
            <v>10.727600000000001</v>
          </cell>
        </row>
        <row r="11313">
          <cell r="B11313" t="str">
            <v>INF179KC1JE8</v>
          </cell>
          <cell r="C11313" t="str">
            <v>-</v>
          </cell>
          <cell r="D11313" t="str">
            <v>HDFC Nifty100 Quality 30 Index Fund - Regular Plan</v>
          </cell>
          <cell r="E11313">
            <v>10.6554</v>
          </cell>
        </row>
        <row r="11314">
          <cell r="B11314" t="str">
            <v>INF179KC1IC4</v>
          </cell>
          <cell r="C11314" t="str">
            <v>-</v>
          </cell>
          <cell r="D11314" t="str">
            <v>HDFC NIFTY200 Momentum 30 Index Fund - Direct Plan</v>
          </cell>
          <cell r="E11314">
            <v>10.2384</v>
          </cell>
        </row>
        <row r="11315">
          <cell r="B11315" t="str">
            <v>INF179KC1IB6</v>
          </cell>
          <cell r="C11315" t="str">
            <v>-</v>
          </cell>
          <cell r="D11315" t="str">
            <v>HDFC NIFTY200 Momentum 30 Index Fund - Regular Plan</v>
          </cell>
          <cell r="E11315">
            <v>10.119300000000001</v>
          </cell>
        </row>
        <row r="11316">
          <cell r="B11316" t="str">
            <v>INF179KC1BM8</v>
          </cell>
          <cell r="C11316" t="str">
            <v>-</v>
          </cell>
          <cell r="D11316" t="str">
            <v>HDFC NIFTY50 Equal weight Index Fund - Direct Plan - Growth Option</v>
          </cell>
          <cell r="E11316">
            <v>18.584</v>
          </cell>
        </row>
        <row r="11317">
          <cell r="B11317" t="str">
            <v>INF179KC1BN6</v>
          </cell>
          <cell r="C11317" t="str">
            <v>-</v>
          </cell>
          <cell r="D11317" t="str">
            <v>HDFC NIFTY50 Equal weight Index Fund - Growth Option</v>
          </cell>
          <cell r="E11317">
            <v>18.1203</v>
          </cell>
        </row>
        <row r="11318">
          <cell r="B11318" t="str">
            <v>INF179KC1IO9</v>
          </cell>
          <cell r="C11318" t="str">
            <v>-</v>
          </cell>
          <cell r="D11318" t="str">
            <v>HDFC NIFTY500 Multicap 50:25:25 Index Fund - Direct Plan</v>
          </cell>
          <cell r="E11318">
            <v>10.0665</v>
          </cell>
        </row>
        <row r="11319">
          <cell r="B11319" t="str">
            <v>INF179KC1IN1</v>
          </cell>
          <cell r="C11319" t="str">
            <v>-</v>
          </cell>
          <cell r="D11319" t="str">
            <v>HDFC NIFTY500 Multicap 50:25:25 index Fund - Regular Plan</v>
          </cell>
          <cell r="E11319">
            <v>9.9739000000000004</v>
          </cell>
        </row>
        <row r="11320">
          <cell r="B11320" t="str">
            <v/>
          </cell>
          <cell r="C11320" t="str">
            <v/>
          </cell>
          <cell r="D11320" t="str">
            <v/>
          </cell>
        </row>
        <row r="11321">
          <cell r="B11321" t="str">
            <v/>
          </cell>
          <cell r="C11321" t="str">
            <v/>
          </cell>
          <cell r="D11321" t="str">
            <v/>
          </cell>
        </row>
        <row r="11322">
          <cell r="B11322" t="str">
            <v/>
          </cell>
          <cell r="C11322" t="str">
            <v/>
          </cell>
          <cell r="D11322" t="str">
            <v/>
          </cell>
        </row>
        <row r="11323">
          <cell r="B11323" t="str">
            <v>INF336L01QH7</v>
          </cell>
          <cell r="C11323" t="str">
            <v>-</v>
          </cell>
          <cell r="D11323" t="str">
            <v>HSBC CRISIL IBX 50:50 Gilt Plus SDL Apr 2028 Index Fund - Direct - Growth</v>
          </cell>
          <cell r="E11323">
            <v>13.279</v>
          </cell>
        </row>
        <row r="11324">
          <cell r="B11324" t="str">
            <v>INF336L01QI5</v>
          </cell>
          <cell r="C11324" t="str">
            <v>INF336L01QJ3</v>
          </cell>
          <cell r="D11324" t="str">
            <v>HSBC CRISIL IBX 50:50 Gilt Plus SDL Apr 2028 Index Fund - Direct - Payout of IDCW</v>
          </cell>
          <cell r="E11324">
            <v>13.2789</v>
          </cell>
        </row>
        <row r="11325">
          <cell r="B11325" t="str">
            <v>INF336L01QK1</v>
          </cell>
          <cell r="C11325" t="str">
            <v>-</v>
          </cell>
          <cell r="D11325" t="str">
            <v>HSBC CRISIL IBX 50:50 Gilt Plus SDL Apr 2028 Index Fund - Regular - Growth</v>
          </cell>
          <cell r="E11325">
            <v>13.175700000000001</v>
          </cell>
        </row>
        <row r="11326">
          <cell r="B11326" t="str">
            <v>INF336L01QL9</v>
          </cell>
          <cell r="C11326" t="str">
            <v>INF336L01QM7</v>
          </cell>
          <cell r="D11326" t="str">
            <v>HSBC CRISIL IBX 50:50 Gilt Plus SDL Apr 2028 Index Fund - Regular - payout of IDCW</v>
          </cell>
          <cell r="E11326">
            <v>13.175599999999999</v>
          </cell>
        </row>
        <row r="11327">
          <cell r="B11327" t="str">
            <v>INF336L01QT2</v>
          </cell>
          <cell r="C11327" t="str">
            <v>-</v>
          </cell>
          <cell r="D11327" t="str">
            <v>HSBC CRISIL IBX Gilt June 2027 Index Fund - Direct - Growth</v>
          </cell>
          <cell r="E11327">
            <v>12.707000000000001</v>
          </cell>
        </row>
        <row r="11328">
          <cell r="B11328" t="str">
            <v>INF336L01QU0</v>
          </cell>
          <cell r="C11328" t="str">
            <v>INF336L01QV8</v>
          </cell>
          <cell r="D11328" t="str">
            <v>HSBC CRISIL IBX Gilt June 2027 Index Fund - Direct - IDCW</v>
          </cell>
          <cell r="E11328">
            <v>12.707100000000001</v>
          </cell>
        </row>
        <row r="11329">
          <cell r="B11329" t="str">
            <v>INF336L01QW6</v>
          </cell>
          <cell r="C11329" t="str">
            <v>-</v>
          </cell>
          <cell r="D11329" t="str">
            <v>HSBC CRISIL IBX Gilt June 2027 Index Fund - Regular - Growth</v>
          </cell>
          <cell r="E11329">
            <v>12.6</v>
          </cell>
        </row>
        <row r="11330">
          <cell r="B11330" t="str">
            <v>INF336L01QX4</v>
          </cell>
          <cell r="C11330" t="str">
            <v>INF336L01QY2</v>
          </cell>
          <cell r="D11330" t="str">
            <v>HSBC CRISIL IBX Gilt June 2027 Index Fund - Regular - IDCW</v>
          </cell>
          <cell r="E11330">
            <v>12.600099999999999</v>
          </cell>
        </row>
        <row r="11331">
          <cell r="B11331" t="str">
            <v>INF917K01D12</v>
          </cell>
          <cell r="C11331" t="str">
            <v>-</v>
          </cell>
          <cell r="D11331" t="str">
            <v>HSBC NIFTY 50 INDEX FUND - Direct Growth</v>
          </cell>
          <cell r="E11331">
            <v>28.3781</v>
          </cell>
        </row>
        <row r="11332">
          <cell r="B11332" t="str">
            <v>INF917K01C96</v>
          </cell>
          <cell r="C11332" t="str">
            <v>INF917K01D04</v>
          </cell>
          <cell r="D11332" t="str">
            <v>HSBC NIFTY 50 INDEX FUND - Direct IDCW</v>
          </cell>
          <cell r="E11332">
            <v>28.378</v>
          </cell>
        </row>
        <row r="11333">
          <cell r="B11333" t="str">
            <v>INF917K01D38</v>
          </cell>
          <cell r="C11333" t="str">
            <v>-</v>
          </cell>
          <cell r="D11333" t="str">
            <v>HSBC NIFTY 50 INDEX FUND - Regular Growth</v>
          </cell>
          <cell r="E11333">
            <v>27.857600000000001</v>
          </cell>
        </row>
        <row r="11334">
          <cell r="B11334" t="str">
            <v>INF917K01D20</v>
          </cell>
          <cell r="C11334" t="str">
            <v>INF917K01D46</v>
          </cell>
          <cell r="D11334" t="str">
            <v>HSBC NIFTY 50 INDEX FUND - Regular IDCW</v>
          </cell>
          <cell r="E11334">
            <v>27.857500000000002</v>
          </cell>
        </row>
        <row r="11335">
          <cell r="B11335" t="str">
            <v>INF917K01D79</v>
          </cell>
          <cell r="C11335" t="str">
            <v>-</v>
          </cell>
          <cell r="D11335" t="str">
            <v>HSBC NIFTY NEXT 50 INDEX FUND - Direct Growth</v>
          </cell>
          <cell r="E11335">
            <v>31.6845</v>
          </cell>
        </row>
        <row r="11336">
          <cell r="B11336" t="str">
            <v>INF917K01D53</v>
          </cell>
          <cell r="C11336" t="str">
            <v>INF917K01D61</v>
          </cell>
          <cell r="D11336" t="str">
            <v>HSBC NIFTY NEXT 50 INDEX FUND - Direct IDCW</v>
          </cell>
          <cell r="E11336">
            <v>31.6845</v>
          </cell>
        </row>
        <row r="11337">
          <cell r="B11337" t="str">
            <v>INF917K01D95</v>
          </cell>
          <cell r="C11337" t="str">
            <v>-</v>
          </cell>
          <cell r="D11337" t="str">
            <v>HSBC NIFTY NEXT 50 INDEX FUND - Regular Growth</v>
          </cell>
          <cell r="E11337">
            <v>30.828800000000001</v>
          </cell>
        </row>
        <row r="11338">
          <cell r="B11338" t="str">
            <v>INF917K01D87</v>
          </cell>
          <cell r="C11338" t="str">
            <v>INF917K01E03</v>
          </cell>
          <cell r="D11338" t="str">
            <v>HSBC NIFTY NEXT 50 INDEX FUND - Regular IDCW</v>
          </cell>
          <cell r="E11338">
            <v>30.829000000000001</v>
          </cell>
        </row>
        <row r="11339">
          <cell r="B11339" t="str">
            <v/>
          </cell>
          <cell r="C11339" t="str">
            <v/>
          </cell>
          <cell r="D11339" t="str">
            <v/>
          </cell>
        </row>
        <row r="11340">
          <cell r="B11340" t="str">
            <v/>
          </cell>
          <cell r="C11340" t="str">
            <v/>
          </cell>
          <cell r="D11340" t="str">
            <v/>
          </cell>
        </row>
        <row r="11341">
          <cell r="B11341" t="str">
            <v/>
          </cell>
          <cell r="C11341" t="str">
            <v/>
          </cell>
          <cell r="D11341" t="str">
            <v/>
          </cell>
        </row>
        <row r="11342">
          <cell r="B11342" t="str">
            <v>INF109KB17W7</v>
          </cell>
          <cell r="C11342" t="str">
            <v>-</v>
          </cell>
          <cell r="D11342" t="str">
            <v>ICICI Prudential BSE Sensex Index Fund - Cumulative Option</v>
          </cell>
          <cell r="E11342">
            <v>25.258199999999999</v>
          </cell>
        </row>
        <row r="11343">
          <cell r="B11343" t="str">
            <v>INF109KB10X0</v>
          </cell>
          <cell r="C11343" t="str">
            <v>-</v>
          </cell>
          <cell r="D11343" t="str">
            <v>ICICI Prudential BSE Sensex Index Fund - Direct Plan - Cumulative Option</v>
          </cell>
          <cell r="E11343">
            <v>25.604600000000001</v>
          </cell>
        </row>
        <row r="11344">
          <cell r="B11344" t="str">
            <v>INF109KB12X6</v>
          </cell>
          <cell r="C11344" t="str">
            <v>-</v>
          </cell>
          <cell r="D11344" t="str">
            <v>ICICI Prudential BSE Sensex Index Fund - Direct Plan - IDCW Option</v>
          </cell>
          <cell r="E11344">
            <v>25.604399999999998</v>
          </cell>
        </row>
        <row r="11345">
          <cell r="B11345" t="str">
            <v>INF109KB19W3</v>
          </cell>
          <cell r="C11345" t="str">
            <v>-</v>
          </cell>
          <cell r="D11345" t="str">
            <v>ICICI Prudential BSE Sensex Index Fund - IDCW Option</v>
          </cell>
          <cell r="E11345">
            <v>25.258900000000001</v>
          </cell>
        </row>
        <row r="11346">
          <cell r="B11346" t="str">
            <v>INF109KC19Z4</v>
          </cell>
          <cell r="C11346" t="str">
            <v>INF109K1A013</v>
          </cell>
          <cell r="D11346" t="str">
            <v>ICICI Prudential CRISIL-IBX AAA Bond Financial Services Index -Dec 2026 Fund - Annual IDCW</v>
          </cell>
          <cell r="E11346">
            <v>10.6539</v>
          </cell>
        </row>
        <row r="11347">
          <cell r="B11347" t="str">
            <v>INF109KC18Z6</v>
          </cell>
          <cell r="C11347" t="str">
            <v>-</v>
          </cell>
          <cell r="D11347" t="str">
            <v>ICICI Prudential CRISIL-IBX AAA Bond Financial Services Index -Dec 2026 Fund - Growth</v>
          </cell>
          <cell r="E11347">
            <v>10.6539</v>
          </cell>
        </row>
        <row r="11348">
          <cell r="B11348" t="str">
            <v>INF109KC16Z0</v>
          </cell>
          <cell r="C11348" t="str">
            <v>INF109KC17Z8</v>
          </cell>
          <cell r="D11348" t="str">
            <v>ICICI Prudential CRISIL-IBX AAA Bond Financial Services Index -Dec 2026 Fund- Direct Plan - Annual IDCW</v>
          </cell>
          <cell r="E11348">
            <v>10.668200000000001</v>
          </cell>
        </row>
        <row r="11349">
          <cell r="B11349" t="str">
            <v>INF109KC15Z2</v>
          </cell>
          <cell r="C11349" t="str">
            <v>-</v>
          </cell>
          <cell r="D11349" t="str">
            <v>ICICI Prudential CRISIL-IBX AAA Bond Financial Services Index -Dec 2026 Fund- Direct Plan - Growth</v>
          </cell>
          <cell r="E11349">
            <v>10.668200000000001</v>
          </cell>
        </row>
        <row r="11350">
          <cell r="B11350" t="str">
            <v>INF109K1A054</v>
          </cell>
          <cell r="C11350" t="str">
            <v>INF109K1A047</v>
          </cell>
          <cell r="D11350" t="str">
            <v>ICICI Prudential CRISIL-IBX Financial Services 3-6 Months Debt Index Fund - Annual IDCW</v>
          </cell>
          <cell r="E11350">
            <v>10.9556</v>
          </cell>
        </row>
        <row r="11351">
          <cell r="B11351" t="str">
            <v>INF109K1A070</v>
          </cell>
          <cell r="C11351" t="str">
            <v>INF109K1A088</v>
          </cell>
          <cell r="D11351" t="str">
            <v>ICICI Prudential CRISIL-IBX Financial Services 3-6 Months Debt Index Fund - Direct Plan - Annual IDCW</v>
          </cell>
          <cell r="E11351">
            <v>10.976699999999999</v>
          </cell>
        </row>
        <row r="11352">
          <cell r="B11352" t="str">
            <v>INF109K1A062</v>
          </cell>
          <cell r="C11352" t="str">
            <v>-</v>
          </cell>
          <cell r="D11352" t="str">
            <v>ICICI Prudential CRISIL-IBX Financial Services 3-6 Months Debt Index Fund - Direct Plan - Growth</v>
          </cell>
          <cell r="E11352">
            <v>10.976699999999999</v>
          </cell>
        </row>
        <row r="11353">
          <cell r="B11353" t="str">
            <v>INF109K1A039</v>
          </cell>
          <cell r="C11353" t="str">
            <v>-</v>
          </cell>
          <cell r="D11353" t="str">
            <v>ICICI Prudential CRISIL-IBX Financial Services 3-6 Months Debt Index Fund - Growth</v>
          </cell>
          <cell r="E11353">
            <v>10.9556</v>
          </cell>
        </row>
        <row r="11354">
          <cell r="B11354" t="str">
            <v>INF109KC1U50</v>
          </cell>
          <cell r="C11354" t="str">
            <v>-</v>
          </cell>
          <cell r="D11354" t="str">
            <v>ICICI Prudential NASDAQ 100 Index Fund - Direct Plan - Growth</v>
          </cell>
          <cell r="E11354">
            <v>24.3354</v>
          </cell>
        </row>
        <row r="11355">
          <cell r="B11355" t="str">
            <v>INF109KC1U68</v>
          </cell>
          <cell r="C11355" t="str">
            <v>INF109KC1U76</v>
          </cell>
          <cell r="D11355" t="str">
            <v>ICICI Prudential NASDAQ 100 Index Fund - Direct Plan - IDCW</v>
          </cell>
          <cell r="E11355">
            <v>24.333100000000002</v>
          </cell>
        </row>
        <row r="11356">
          <cell r="B11356" t="str">
            <v>INF109KC1U27</v>
          </cell>
          <cell r="C11356" t="str">
            <v>-</v>
          </cell>
          <cell r="D11356" t="str">
            <v>ICICI Prudential NASDAQ 100 Index Fund - Growth</v>
          </cell>
          <cell r="E11356">
            <v>23.792899999999999</v>
          </cell>
        </row>
        <row r="11357">
          <cell r="B11357" t="str">
            <v>INF109KC1U35</v>
          </cell>
          <cell r="C11357" t="str">
            <v>INF109KC1U43</v>
          </cell>
          <cell r="D11357" t="str">
            <v>ICICI Prudential NASDAQ 100 Index Fund - IDCW</v>
          </cell>
          <cell r="E11357">
            <v>23.792400000000001</v>
          </cell>
        </row>
        <row r="11358">
          <cell r="B11358" t="str">
            <v>INF109KC11D8</v>
          </cell>
          <cell r="C11358" t="str">
            <v>-</v>
          </cell>
          <cell r="D11358" t="str">
            <v>ICICI Prudential Nifty 200 Momentum 30 Index Fund - Direct Plan - Growth</v>
          </cell>
          <cell r="E11358">
            <v>16.627199999999998</v>
          </cell>
        </row>
        <row r="11359">
          <cell r="B11359" t="str">
            <v>INF109KC12D6</v>
          </cell>
          <cell r="C11359" t="str">
            <v>INF109KC13D4</v>
          </cell>
          <cell r="D11359" t="str">
            <v>ICICI Prudential Nifty 200 Momentum 30 Index Fund - Direct Plan - IDCW</v>
          </cell>
          <cell r="E11359">
            <v>16.624700000000001</v>
          </cell>
        </row>
        <row r="11360">
          <cell r="B11360" t="str">
            <v>INF109KC18C5</v>
          </cell>
          <cell r="C11360" t="str">
            <v>-</v>
          </cell>
          <cell r="D11360" t="str">
            <v>ICICI Prudential Nifty 200 Momentum 30 Index Fund - Growth</v>
          </cell>
          <cell r="E11360">
            <v>16.218</v>
          </cell>
        </row>
        <row r="11361">
          <cell r="B11361" t="str">
            <v>INF109KC19C3</v>
          </cell>
          <cell r="C11361" t="str">
            <v>INF109KC10D0</v>
          </cell>
          <cell r="D11361" t="str">
            <v>ICICI Prudential Nifty 200 Momentum 30 Index Fund - IDCW</v>
          </cell>
          <cell r="E11361">
            <v>16.217600000000001</v>
          </cell>
        </row>
        <row r="11362">
          <cell r="B11362" t="str">
            <v>INF109K01PI0</v>
          </cell>
          <cell r="C11362" t="str">
            <v>-</v>
          </cell>
          <cell r="D11362" t="str">
            <v>ICICI Prudential Nifty 50 Index Fund - Cumulative Option</v>
          </cell>
          <cell r="E11362">
            <v>242.88159999999999</v>
          </cell>
        </row>
        <row r="11363">
          <cell r="B11363" t="str">
            <v>INF109K012M7</v>
          </cell>
          <cell r="C11363" t="str">
            <v>-</v>
          </cell>
          <cell r="D11363" t="str">
            <v>ICICI Prudential Nifty 50 Index Fund - Direct Plan Cumulative Option</v>
          </cell>
          <cell r="E11363">
            <v>253.535</v>
          </cell>
        </row>
        <row r="11364">
          <cell r="B11364" t="str">
            <v>INF109KB1NL1</v>
          </cell>
          <cell r="C11364" t="str">
            <v>INF109KB1NM9</v>
          </cell>
          <cell r="D11364" t="str">
            <v>ICICI Prudential Nifty 50 Index Fund - Direct Plan IDCW Option</v>
          </cell>
          <cell r="E11364">
            <v>34.094799999999999</v>
          </cell>
        </row>
        <row r="11365">
          <cell r="B11365" t="str">
            <v>INF109KB1NN7</v>
          </cell>
          <cell r="C11365" t="str">
            <v>INF109KB1NO5</v>
          </cell>
          <cell r="D11365" t="str">
            <v>ICICI Prudential Nifty 50 Index Fund - IDCW Option</v>
          </cell>
          <cell r="E11365">
            <v>32.357500000000002</v>
          </cell>
        </row>
        <row r="11366">
          <cell r="B11366" t="str">
            <v>INF109KC16Y3</v>
          </cell>
          <cell r="C11366" t="str">
            <v>-</v>
          </cell>
          <cell r="D11366" t="str">
            <v>ICICI Prudential Nifty 500 Index Fund - Direct Plan - Growth</v>
          </cell>
          <cell r="E11366">
            <v>10.45</v>
          </cell>
        </row>
        <row r="11367">
          <cell r="B11367" t="str">
            <v>INF109KC18Y9</v>
          </cell>
          <cell r="C11367" t="str">
            <v>INF109KC17Y1</v>
          </cell>
          <cell r="D11367" t="str">
            <v>ICICI Prudential Nifty 500 Index Fund - Direct Plan - IDCW</v>
          </cell>
          <cell r="E11367">
            <v>10.4498</v>
          </cell>
        </row>
        <row r="11368">
          <cell r="B11368" t="str">
            <v>INF109KC13Y0</v>
          </cell>
          <cell r="C11368" t="str">
            <v>-</v>
          </cell>
          <cell r="D11368" t="str">
            <v>ICICI Prudential Nifty 500 Index Fund - Growth</v>
          </cell>
          <cell r="E11368">
            <v>10.355499999999999</v>
          </cell>
        </row>
        <row r="11369">
          <cell r="B11369" t="str">
            <v>INF109KC15Y5</v>
          </cell>
          <cell r="C11369" t="str">
            <v>INF109KC14Y8</v>
          </cell>
          <cell r="D11369" t="str">
            <v>ICICI Prudential Nifty 500 Index Fund - IDCW</v>
          </cell>
          <cell r="E11369">
            <v>10.355600000000001</v>
          </cell>
        </row>
        <row r="11370">
          <cell r="B11370" t="str">
            <v>INF109KC16J4</v>
          </cell>
          <cell r="C11370" t="str">
            <v>-</v>
          </cell>
          <cell r="D11370" t="str">
            <v>ICICI Prudential Nifty Auto Index Fund - Direct Plan - Growth</v>
          </cell>
          <cell r="E11370">
            <v>22.051300000000001</v>
          </cell>
        </row>
        <row r="11371">
          <cell r="B11371" t="str">
            <v>INF109KC17J2</v>
          </cell>
          <cell r="C11371" t="str">
            <v>INF109KC18J0</v>
          </cell>
          <cell r="D11371" t="str">
            <v>ICICI Prudential Nifty Auto Index Fund - Direct Plan - IDCW</v>
          </cell>
          <cell r="E11371">
            <v>22.051200000000001</v>
          </cell>
        </row>
        <row r="11372">
          <cell r="B11372" t="str">
            <v>INF109KC13J1</v>
          </cell>
          <cell r="C11372" t="str">
            <v>-</v>
          </cell>
          <cell r="D11372" t="str">
            <v>ICICI Prudential Nifty Auto Index Fund - Growth</v>
          </cell>
          <cell r="E11372">
            <v>21.596299999999999</v>
          </cell>
        </row>
        <row r="11373">
          <cell r="B11373" t="str">
            <v>INF109KC14J9</v>
          </cell>
          <cell r="C11373" t="str">
            <v>INF109KC15J6</v>
          </cell>
          <cell r="D11373" t="str">
            <v>ICICI Prudential Nifty Auto Index Fund - IDCW</v>
          </cell>
          <cell r="E11373">
            <v>21.596800000000002</v>
          </cell>
        </row>
        <row r="11374">
          <cell r="B11374" t="str">
            <v>INF109KC11A4</v>
          </cell>
          <cell r="C11374" t="str">
            <v>-</v>
          </cell>
          <cell r="D11374" t="str">
            <v>ICICI Prudential Nifty Bank Index Fund - Direct Plan Growth</v>
          </cell>
          <cell r="E11374">
            <v>16.478899999999999</v>
          </cell>
        </row>
        <row r="11375">
          <cell r="B11375" t="str">
            <v>INF109KC12A2</v>
          </cell>
          <cell r="C11375" t="str">
            <v>INF109KC13A0</v>
          </cell>
          <cell r="D11375" t="str">
            <v>ICICI Prudential Nifty Bank Index Fund - Direct Plan IDCW</v>
          </cell>
          <cell r="E11375">
            <v>16.4787</v>
          </cell>
        </row>
        <row r="11376">
          <cell r="B11376" t="str">
            <v>INF109KC1Z89</v>
          </cell>
          <cell r="C11376" t="str">
            <v>-</v>
          </cell>
          <cell r="D11376" t="str">
            <v>ICICI Prudential Nifty Bank Index Fund - Growth</v>
          </cell>
          <cell r="E11376">
            <v>16.0139</v>
          </cell>
        </row>
        <row r="11377">
          <cell r="B11377" t="str">
            <v>INF109KC1Z97</v>
          </cell>
          <cell r="C11377" t="str">
            <v>INF109KC10A6</v>
          </cell>
          <cell r="D11377" t="str">
            <v>ICICI Prudential Nifty Bank Index Fund - IDCW</v>
          </cell>
          <cell r="E11377">
            <v>16.0138</v>
          </cell>
        </row>
        <row r="11378">
          <cell r="B11378" t="str">
            <v>INF109KC16K2</v>
          </cell>
          <cell r="C11378" t="str">
            <v>INF109KC17K0</v>
          </cell>
          <cell r="D11378" t="str">
            <v>ICICI Prudential Nifty G-Sec Dec 2030 Index Fund - Annual IDCW</v>
          </cell>
          <cell r="E11378">
            <v>13.312200000000001</v>
          </cell>
        </row>
        <row r="11379">
          <cell r="B11379" t="str">
            <v>INF109KC19K6</v>
          </cell>
          <cell r="C11379" t="str">
            <v>INF109KC10L3</v>
          </cell>
          <cell r="D11379" t="str">
            <v>ICICI Prudential Nifty G-Sec Dec 2030 Index Fund - Direct Plan - Annual IDCW</v>
          </cell>
          <cell r="E11379">
            <v>13.405200000000001</v>
          </cell>
        </row>
        <row r="11380">
          <cell r="B11380" t="str">
            <v>INF109KC18K8</v>
          </cell>
          <cell r="C11380" t="str">
            <v>-</v>
          </cell>
          <cell r="D11380" t="str">
            <v>ICICI Prudential Nifty G-Sec Dec 2030 Index Fund - Direct Plan - Growth</v>
          </cell>
          <cell r="E11380">
            <v>13.406000000000001</v>
          </cell>
        </row>
        <row r="11381">
          <cell r="B11381" t="str">
            <v>INF109KC15K4</v>
          </cell>
          <cell r="C11381" t="str">
            <v>-</v>
          </cell>
          <cell r="D11381" t="str">
            <v>ICICI Prudential Nifty G-Sec Dec 2030 Index Fund - Growth</v>
          </cell>
          <cell r="E11381">
            <v>13.312099999999999</v>
          </cell>
        </row>
        <row r="11382">
          <cell r="B11382" t="str">
            <v>INF109KC13E2</v>
          </cell>
          <cell r="C11382" t="str">
            <v>-</v>
          </cell>
          <cell r="D11382" t="str">
            <v>ICICI Prudential Nifty IT Index Fund - Direct Plan - Growth</v>
          </cell>
          <cell r="E11382">
            <v>10.145200000000001</v>
          </cell>
        </row>
        <row r="11383">
          <cell r="B11383" t="str">
            <v>INF109KC14E0</v>
          </cell>
          <cell r="C11383" t="str">
            <v>INF109KC15E7</v>
          </cell>
          <cell r="D11383" t="str">
            <v>ICICI Prudential Nifty IT Index Fund - Direct Plan - IDCW</v>
          </cell>
          <cell r="E11383">
            <v>10.1502</v>
          </cell>
        </row>
        <row r="11384">
          <cell r="B11384" t="str">
            <v>INF109KC10E8</v>
          </cell>
          <cell r="C11384" t="str">
            <v>-</v>
          </cell>
          <cell r="D11384" t="str">
            <v>ICICI Prudential Nifty IT Index Fund - Growth</v>
          </cell>
          <cell r="E11384">
            <v>9.9335000000000004</v>
          </cell>
        </row>
        <row r="11385">
          <cell r="B11385" t="str">
            <v>INF109KC11E6</v>
          </cell>
          <cell r="C11385" t="str">
            <v>INF109KC12E4</v>
          </cell>
          <cell r="D11385" t="str">
            <v>ICICI Prudential Nifty IT Index Fund - IDCW</v>
          </cell>
          <cell r="E11385">
            <v>9.9335000000000004</v>
          </cell>
        </row>
        <row r="11386">
          <cell r="B11386" t="str">
            <v>INF109KC12U0</v>
          </cell>
          <cell r="C11386" t="str">
            <v>-</v>
          </cell>
          <cell r="D11386" t="str">
            <v>ICICI Prudential Nifty LargeMidcap 250 Index Fund - Direct Plan - Growth</v>
          </cell>
          <cell r="E11386">
            <v>12.4573</v>
          </cell>
        </row>
        <row r="11387">
          <cell r="B11387" t="str">
            <v>INF109KC13U8</v>
          </cell>
          <cell r="C11387" t="str">
            <v>INF109KC14U6</v>
          </cell>
          <cell r="D11387" t="str">
            <v>ICICI Prudential Nifty LargeMidcap 250 Index Fund - Direct Plan - IDCW</v>
          </cell>
          <cell r="E11387">
            <v>12.4573</v>
          </cell>
        </row>
        <row r="11388">
          <cell r="B11388" t="str">
            <v>INF109KC15U3</v>
          </cell>
          <cell r="C11388" t="str">
            <v>-</v>
          </cell>
          <cell r="D11388" t="str">
            <v>ICICI Prudential Nifty LargeMidcap 250 Index Fund - Growth</v>
          </cell>
          <cell r="E11388">
            <v>12.302</v>
          </cell>
        </row>
        <row r="11389">
          <cell r="B11389" t="str">
            <v>INF109KC16U1</v>
          </cell>
          <cell r="C11389" t="str">
            <v>INF109KC17U9</v>
          </cell>
          <cell r="D11389" t="str">
            <v>ICICI Prudential Nifty LargeMidcap 250 Index Fund - IDCW</v>
          </cell>
          <cell r="E11389">
            <v>12.301500000000001</v>
          </cell>
        </row>
        <row r="11390">
          <cell r="B11390" t="str">
            <v>INF109KC1W58</v>
          </cell>
          <cell r="C11390" t="str">
            <v>-</v>
          </cell>
          <cell r="D11390" t="str">
            <v>ICICI Prudential Nifty Midcap 150 Index Fund - Direct Plan - Growth</v>
          </cell>
          <cell r="E11390">
            <v>20.500599999999999</v>
          </cell>
        </row>
        <row r="11391">
          <cell r="B11391" t="str">
            <v>INF109KC1W66</v>
          </cell>
          <cell r="C11391" t="str">
            <v>INF109KC1W74</v>
          </cell>
          <cell r="D11391" t="str">
            <v>ICICI Prudential Nifty Midcap 150 Index Fund - Direct Plan - IDCW</v>
          </cell>
          <cell r="E11391">
            <v>20.5002</v>
          </cell>
        </row>
        <row r="11392">
          <cell r="B11392" t="str">
            <v>INF109KC1W25</v>
          </cell>
          <cell r="C11392" t="str">
            <v>-</v>
          </cell>
          <cell r="D11392" t="str">
            <v>ICICI Prudential Nifty Midcap 150 Index Fund - Growth</v>
          </cell>
          <cell r="E11392">
            <v>19.852</v>
          </cell>
        </row>
        <row r="11393">
          <cell r="B11393" t="str">
            <v>INF109KC1W33</v>
          </cell>
          <cell r="C11393" t="str">
            <v>INF109KC1W41</v>
          </cell>
          <cell r="D11393" t="str">
            <v>ICICI Prudential Nifty Midcap 150 Index Fund - IDCW</v>
          </cell>
          <cell r="E11393">
            <v>19.851700000000001</v>
          </cell>
        </row>
        <row r="11394">
          <cell r="B11394" t="str">
            <v>INF109K01Y80</v>
          </cell>
          <cell r="C11394" t="str">
            <v>-</v>
          </cell>
          <cell r="D11394" t="str">
            <v>ICICI Prudential Nifty Next 50 Index Fund - Direct Plan -  Growth</v>
          </cell>
          <cell r="E11394">
            <v>67.140100000000004</v>
          </cell>
        </row>
        <row r="11395">
          <cell r="B11395" t="str">
            <v>INF109K01Y64</v>
          </cell>
          <cell r="C11395" t="str">
            <v>INF109K01Y72</v>
          </cell>
          <cell r="D11395" t="str">
            <v>ICICI Prudential Nifty Next 50 Index Fund - Direct Plan -  IDCW</v>
          </cell>
          <cell r="E11395">
            <v>67.114900000000006</v>
          </cell>
        </row>
        <row r="11396">
          <cell r="B11396" t="str">
            <v>INF109K01IF1</v>
          </cell>
          <cell r="C11396" t="str">
            <v>-</v>
          </cell>
          <cell r="D11396" t="str">
            <v>ICICI Prudential Nifty Next 50 Index Fund - Growth</v>
          </cell>
          <cell r="E11396">
            <v>63.467399999999998</v>
          </cell>
        </row>
        <row r="11397">
          <cell r="B11397" t="str">
            <v>INF109K01PR1</v>
          </cell>
          <cell r="C11397" t="str">
            <v>INF109K01IE4</v>
          </cell>
          <cell r="D11397" t="str">
            <v>ICICI Prudential Nifty Next 50 Index Fund -IDCW</v>
          </cell>
          <cell r="E11397">
            <v>63.4666</v>
          </cell>
        </row>
        <row r="11398">
          <cell r="B11398" t="str">
            <v>INF109KC11M9</v>
          </cell>
          <cell r="C11398" t="str">
            <v>-</v>
          </cell>
          <cell r="D11398" t="str">
            <v>ICICI Prudential Nifty Pharma Index Fund - Direct Plan - Growth</v>
          </cell>
          <cell r="E11398">
            <v>19.9377</v>
          </cell>
        </row>
        <row r="11399">
          <cell r="B11399" t="str">
            <v>INF109KC12M7</v>
          </cell>
          <cell r="C11399" t="str">
            <v>INF109KC13M5</v>
          </cell>
          <cell r="D11399" t="str">
            <v>ICICI Prudential Nifty Pharma Index Fund - Direct Plan - IDCW</v>
          </cell>
          <cell r="E11399">
            <v>19.938700000000001</v>
          </cell>
        </row>
        <row r="11400">
          <cell r="B11400" t="str">
            <v>INF109KC18L6</v>
          </cell>
          <cell r="C11400" t="str">
            <v>-</v>
          </cell>
          <cell r="D11400" t="str">
            <v>ICICI Prudential Nifty Pharma Index Fund - Growth</v>
          </cell>
          <cell r="E11400">
            <v>19.486000000000001</v>
          </cell>
        </row>
        <row r="11401">
          <cell r="B11401" t="str">
            <v>INF109KC19L4</v>
          </cell>
          <cell r="C11401" t="str">
            <v>INF109KC10M1</v>
          </cell>
          <cell r="D11401" t="str">
            <v>ICICI Prudential Nifty Pharma Index Fund - IDCW</v>
          </cell>
          <cell r="E11401">
            <v>19.4861</v>
          </cell>
        </row>
        <row r="11402">
          <cell r="B11402" t="str">
            <v>INF109K1A369</v>
          </cell>
          <cell r="C11402" t="str">
            <v>-</v>
          </cell>
          <cell r="D11402" t="str">
            <v>ICICI Prudential Nifty Private Bank Index Fund - Direct Plan - Growth</v>
          </cell>
          <cell r="E11402">
            <v>9.8672000000000004</v>
          </cell>
        </row>
        <row r="11403">
          <cell r="B11403" t="str">
            <v>INF109K1A351</v>
          </cell>
          <cell r="C11403" t="str">
            <v>-</v>
          </cell>
          <cell r="D11403" t="str">
            <v>ICICI Prudential Nifty Private Bank Index Fund - Growth</v>
          </cell>
          <cell r="E11403">
            <v>9.8118999999999996</v>
          </cell>
        </row>
        <row r="11404">
          <cell r="B11404" t="str">
            <v>INF109KC1S62</v>
          </cell>
          <cell r="C11404" t="str">
            <v>INF109KC1S70</v>
          </cell>
          <cell r="D11404" t="str">
            <v>ICICI Prudential Nifty PSU Bond Plus SDL Sep 2027 40:60 Index Fund - Annual - IDCW</v>
          </cell>
          <cell r="E11404">
            <v>13.158200000000001</v>
          </cell>
        </row>
        <row r="11405">
          <cell r="B11405" t="str">
            <v>INF109KC1T46</v>
          </cell>
          <cell r="C11405" t="str">
            <v>INF109KC1T53</v>
          </cell>
          <cell r="D11405" t="str">
            <v>ICICI Prudential Nifty PSU Bond Plus SDL Sep 2027 40:60 Index Fund - Direct Plan Annual - IDCW</v>
          </cell>
          <cell r="E11405">
            <v>13.279400000000001</v>
          </cell>
        </row>
        <row r="11406">
          <cell r="B11406" t="str">
            <v>INF109KC1S88</v>
          </cell>
          <cell r="C11406" t="str">
            <v>-</v>
          </cell>
          <cell r="D11406" t="str">
            <v>ICICI Prudential Nifty PSU Bond Plus SDL Sep 2027 40:60 Index Fund - Direct Plan Growth</v>
          </cell>
          <cell r="E11406">
            <v>13.279500000000001</v>
          </cell>
        </row>
        <row r="11407">
          <cell r="B11407" t="str">
            <v>INF109KC1T12</v>
          </cell>
          <cell r="C11407" t="str">
            <v>INF109KC1T38</v>
          </cell>
          <cell r="D11407" t="str">
            <v>ICICI Prudential Nifty PSU Bond Plus SDL Sep 2027 40:60 Index Fund - Direct Plan Quarterly - IDCW</v>
          </cell>
          <cell r="E11407">
            <v>10.1235</v>
          </cell>
        </row>
        <row r="11408">
          <cell r="B11408" t="str">
            <v>INF109KC1T04</v>
          </cell>
          <cell r="C11408" t="str">
            <v>INF109KC1S96</v>
          </cell>
          <cell r="D11408" t="str">
            <v>ICICI Prudential Nifty PSU Bond Plus SDL Sep 2027 40:60 Index Fund - Direct Plan Weekly - IDCW</v>
          </cell>
          <cell r="E11408">
            <v>9.9459999999999997</v>
          </cell>
        </row>
        <row r="11409">
          <cell r="B11409" t="str">
            <v>INF109KC1S13</v>
          </cell>
          <cell r="C11409" t="str">
            <v>-</v>
          </cell>
          <cell r="D11409" t="str">
            <v>ICICI Prudential Nifty PSU Bond Plus SDL Sep 2027 40:60 Index Fund - Growth</v>
          </cell>
          <cell r="E11409">
            <v>13.1584</v>
          </cell>
        </row>
        <row r="11410">
          <cell r="B11410" t="str">
            <v>INF109KC1S47</v>
          </cell>
          <cell r="C11410" t="str">
            <v>INF109KC1S54</v>
          </cell>
          <cell r="D11410" t="str">
            <v>ICICI Prudential Nifty PSU Bond Plus SDL Sep 2027 40:60 Index Fund - Quarterly - IDCW</v>
          </cell>
          <cell r="E11410">
            <v>10.103999999999999</v>
          </cell>
        </row>
        <row r="11411">
          <cell r="B11411" t="str">
            <v>INF109KC1S39</v>
          </cell>
          <cell r="C11411" t="str">
            <v>INF109KC1S21</v>
          </cell>
          <cell r="D11411" t="str">
            <v>ICICI Prudential Nifty PSU Bond Plus SDL Sep 2027 40:60 Index Fund - Weekly - IDCW</v>
          </cell>
          <cell r="E11411">
            <v>9.9457000000000004</v>
          </cell>
        </row>
        <row r="11412">
          <cell r="B11412" t="str">
            <v>INF109KC12L9</v>
          </cell>
          <cell r="C11412" t="str">
            <v>INF109KC13L7</v>
          </cell>
          <cell r="D11412" t="str">
            <v>ICICI Prudential Nifty SDL Dec 2028 Index Fund - Annual IDCW</v>
          </cell>
          <cell r="E11412">
            <v>13.2669</v>
          </cell>
        </row>
        <row r="11413">
          <cell r="B11413" t="str">
            <v>INF109KC15L2</v>
          </cell>
          <cell r="C11413" t="str">
            <v>INF109KC16L0</v>
          </cell>
          <cell r="D11413" t="str">
            <v>ICICI Prudential Nifty SDL Dec 2028 Index Fund - Direct Plan - Annual IDCW</v>
          </cell>
          <cell r="E11413">
            <v>13.3565</v>
          </cell>
        </row>
        <row r="11414">
          <cell r="B11414" t="str">
            <v>INF109KC14L5</v>
          </cell>
          <cell r="C11414" t="str">
            <v>-</v>
          </cell>
          <cell r="D11414" t="str">
            <v>ICICI Prudential Nifty SDL Dec 2028 Index Fund - Direct Plan - Growth</v>
          </cell>
          <cell r="E11414">
            <v>13.3561</v>
          </cell>
        </row>
        <row r="11415">
          <cell r="B11415" t="str">
            <v>INF109KC11L1</v>
          </cell>
          <cell r="C11415" t="str">
            <v>-</v>
          </cell>
          <cell r="D11415" t="str">
            <v>ICICI Prudential Nifty SDL Dec 2028 Index Fund - Growth</v>
          </cell>
          <cell r="E11415">
            <v>13.2669</v>
          </cell>
        </row>
        <row r="11416">
          <cell r="B11416" t="str">
            <v>INF109KC11P2</v>
          </cell>
          <cell r="C11416" t="str">
            <v>INF109KC12P0</v>
          </cell>
          <cell r="D11416" t="str">
            <v>ICICI Prudential Nifty SDL Sep 2026 Index Fund - Annual IDCW</v>
          </cell>
          <cell r="E11416">
            <v>12.7363</v>
          </cell>
        </row>
        <row r="11417">
          <cell r="B11417" t="str">
            <v>INF109KC14P6</v>
          </cell>
          <cell r="C11417" t="str">
            <v>INF109KC15P3</v>
          </cell>
          <cell r="D11417" t="str">
            <v>ICICI Prudential Nifty SDL Sep 2026 Index Fund - Direct Plan - Annual IDCW</v>
          </cell>
          <cell r="E11417">
            <v>12.828200000000001</v>
          </cell>
        </row>
        <row r="11418">
          <cell r="B11418" t="str">
            <v>INF109KC13P8</v>
          </cell>
          <cell r="C11418" t="str">
            <v>-</v>
          </cell>
          <cell r="D11418" t="str">
            <v>ICICI Prudential Nifty SDL Sep 2026 Index Fund - Direct Plan - Growth</v>
          </cell>
          <cell r="E11418">
            <v>12.8283</v>
          </cell>
        </row>
        <row r="11419">
          <cell r="B11419" t="str">
            <v>INF109KC10P4</v>
          </cell>
          <cell r="C11419" t="str">
            <v>-</v>
          </cell>
          <cell r="D11419" t="str">
            <v>ICICI Prudential Nifty SDL Sep 2026 Index Fund - Growth</v>
          </cell>
          <cell r="E11419">
            <v>12.736499999999999</v>
          </cell>
        </row>
        <row r="11420">
          <cell r="B11420" t="str">
            <v>INF109KC12B0</v>
          </cell>
          <cell r="C11420" t="str">
            <v>INF109KC13B8</v>
          </cell>
          <cell r="D11420" t="str">
            <v>ICICI Prudential Nifty SDL Sep 2027 Index Fund - Annual IDCW</v>
          </cell>
          <cell r="E11420">
            <v>13.0921</v>
          </cell>
        </row>
        <row r="11421">
          <cell r="B11421" t="str">
            <v>INF109KC15B3</v>
          </cell>
          <cell r="C11421" t="str">
            <v>INF109KC16B1</v>
          </cell>
          <cell r="D11421" t="str">
            <v>ICICI Prudential Nifty SDL Sep 2027 Index Fund - Direct Plan - Annual IDCW</v>
          </cell>
          <cell r="E11421">
            <v>13.176299999999999</v>
          </cell>
        </row>
        <row r="11422">
          <cell r="B11422" t="str">
            <v>INF109KC14B6</v>
          </cell>
          <cell r="C11422" t="str">
            <v>-</v>
          </cell>
          <cell r="D11422" t="str">
            <v>ICICI Prudential Nifty SDL Sep 2027 Index Fund - Direct Plan - Growth</v>
          </cell>
          <cell r="E11422">
            <v>13.176299999999999</v>
          </cell>
        </row>
        <row r="11423">
          <cell r="B11423" t="str">
            <v>INF109KC11B2</v>
          </cell>
          <cell r="C11423" t="str">
            <v>-</v>
          </cell>
          <cell r="D11423" t="str">
            <v>ICICI Prudential Nifty SDL Sep 2027 Index Fund - Growth</v>
          </cell>
          <cell r="E11423">
            <v>13.0921</v>
          </cell>
        </row>
        <row r="11424">
          <cell r="B11424" t="str">
            <v>INF109KC1V18</v>
          </cell>
          <cell r="C11424" t="str">
            <v>-</v>
          </cell>
          <cell r="D11424" t="str">
            <v>ICICI Prudential Nifty Smallcap 250 Index Fund - Direct Plan - Growth</v>
          </cell>
          <cell r="E11424">
            <v>18.328900000000001</v>
          </cell>
        </row>
        <row r="11425">
          <cell r="B11425" t="str">
            <v>INF109KC1V26</v>
          </cell>
          <cell r="C11425" t="str">
            <v>INF109KC1V34</v>
          </cell>
          <cell r="D11425" t="str">
            <v>ICICI Prudential Nifty Smallcap 250 Index Fund - Direct Plan - IDCW</v>
          </cell>
          <cell r="E11425">
            <v>18.328199999999999</v>
          </cell>
        </row>
        <row r="11426">
          <cell r="B11426" t="str">
            <v>INF109KC1U84</v>
          </cell>
          <cell r="C11426" t="str">
            <v>-</v>
          </cell>
          <cell r="D11426" t="str">
            <v>ICICI Prudential Nifty Smallcap 250 Index Fund - Growth</v>
          </cell>
          <cell r="E11426">
            <v>17.814599999999999</v>
          </cell>
        </row>
        <row r="11427">
          <cell r="B11427" t="str">
            <v>INF109KC1U92</v>
          </cell>
          <cell r="C11427" t="str">
            <v>INF109KC1V00</v>
          </cell>
          <cell r="D11427" t="str">
            <v>ICICI Prudential Nifty Smallcap 250 Index Fund - IDCW</v>
          </cell>
          <cell r="E11427">
            <v>17.8154</v>
          </cell>
        </row>
        <row r="11428">
          <cell r="B11428" t="str">
            <v>INF109K1A310</v>
          </cell>
          <cell r="C11428" t="str">
            <v>-</v>
          </cell>
          <cell r="D11428" t="str">
            <v>ICICI Prudential Nifty Top 15 Equal Weight Index Fund - Direct Plan - Growth</v>
          </cell>
          <cell r="E11428">
            <v>9.3434000000000008</v>
          </cell>
        </row>
        <row r="11429">
          <cell r="B11429" t="str">
            <v>INF109K1A336</v>
          </cell>
          <cell r="C11429" t="str">
            <v>INF109K1A328</v>
          </cell>
          <cell r="D11429" t="str">
            <v>ICICI Prudential Nifty Top 15 Equal Weight Index Fund - Direct Plan - IDCW</v>
          </cell>
          <cell r="E11429">
            <v>9.3437999999999999</v>
          </cell>
        </row>
        <row r="11430">
          <cell r="B11430" t="str">
            <v>INF109K1A286</v>
          </cell>
          <cell r="C11430" t="str">
            <v>-</v>
          </cell>
          <cell r="D11430" t="str">
            <v>ICICI Prudential Nifty Top 15 Equal Weight Index Fund - Growth</v>
          </cell>
          <cell r="E11430">
            <v>9.2873000000000001</v>
          </cell>
        </row>
        <row r="11431">
          <cell r="B11431" t="str">
            <v>INF109K1A302</v>
          </cell>
          <cell r="C11431" t="str">
            <v>INF109K1A294</v>
          </cell>
          <cell r="D11431" t="str">
            <v>ICICI Prudential Nifty Top 15 Equal Weight Index Fund - IDCW</v>
          </cell>
          <cell r="E11431">
            <v>9.2873000000000001</v>
          </cell>
        </row>
        <row r="11432">
          <cell r="B11432" t="str">
            <v>INF109K1A252</v>
          </cell>
          <cell r="C11432" t="str">
            <v>-</v>
          </cell>
          <cell r="D11432" t="str">
            <v>ICICI Prudential Nifty200 Quality 30 Index Fund - Direct Plan - Growth</v>
          </cell>
          <cell r="E11432">
            <v>9.8089999999999993</v>
          </cell>
        </row>
        <row r="11433">
          <cell r="B11433" t="str">
            <v>INF109K1A278</v>
          </cell>
          <cell r="C11433" t="str">
            <v>INF109K1A260</v>
          </cell>
          <cell r="D11433" t="str">
            <v>ICICI Prudential Nifty200 Quality 30 Index Fund - Direct Plan - IDCW</v>
          </cell>
          <cell r="E11433">
            <v>9.8086000000000002</v>
          </cell>
        </row>
        <row r="11434">
          <cell r="B11434" t="str">
            <v>INF109K1A229</v>
          </cell>
          <cell r="C11434" t="str">
            <v>-</v>
          </cell>
          <cell r="D11434" t="str">
            <v>ICICI Prudential Nifty200 Quality 30 Index Fund - Growth</v>
          </cell>
          <cell r="E11434">
            <v>9.7573000000000008</v>
          </cell>
        </row>
        <row r="11435">
          <cell r="B11435" t="str">
            <v>INF109K1A245</v>
          </cell>
          <cell r="C11435" t="str">
            <v>INF109K1A237</v>
          </cell>
          <cell r="D11435" t="str">
            <v>ICICI Prudential Nifty200 Quality 30 Index Fund - IDCW</v>
          </cell>
          <cell r="E11435">
            <v>9.7569999999999997</v>
          </cell>
        </row>
        <row r="11436">
          <cell r="B11436" t="str">
            <v>INF109KC13X2</v>
          </cell>
          <cell r="C11436" t="str">
            <v>-</v>
          </cell>
          <cell r="D11436" t="str">
            <v>ICICI Prudential Nifty200 Value 30 Index Fund - Direct Plan - Growth</v>
          </cell>
          <cell r="E11436">
            <v>11.161</v>
          </cell>
        </row>
        <row r="11437">
          <cell r="B11437" t="str">
            <v>INF109KC15X7</v>
          </cell>
          <cell r="C11437" t="str">
            <v>INF109KC14X0</v>
          </cell>
          <cell r="D11437" t="str">
            <v>ICICI Prudential Nifty200 Value 30 Index Fund - Direct Plan - IDCW</v>
          </cell>
          <cell r="E11437">
            <v>11.161</v>
          </cell>
        </row>
        <row r="11438">
          <cell r="B11438" t="str">
            <v>INF109KC10X8</v>
          </cell>
          <cell r="C11438" t="str">
            <v>-</v>
          </cell>
          <cell r="D11438" t="str">
            <v>ICICI Prudential Nifty200 Value 30 Index Fund - Growth</v>
          </cell>
          <cell r="E11438">
            <v>11.0517</v>
          </cell>
        </row>
        <row r="11439">
          <cell r="B11439" t="str">
            <v>INF109KC12X4</v>
          </cell>
          <cell r="C11439" t="str">
            <v>INF109KC11X6</v>
          </cell>
          <cell r="D11439" t="str">
            <v>ICICI Prudential Nifty200 Value 30 Index Fund - IDCW</v>
          </cell>
          <cell r="E11439">
            <v>11.0517</v>
          </cell>
        </row>
        <row r="11440">
          <cell r="B11440" t="str">
            <v>INF109KC10J7</v>
          </cell>
          <cell r="C11440" t="str">
            <v>-</v>
          </cell>
          <cell r="D11440" t="str">
            <v>ICICI Prudential Nifty50 Equal Weight Index Fund- Direct Plan - Growth</v>
          </cell>
          <cell r="E11440">
            <v>17.105399999999999</v>
          </cell>
        </row>
        <row r="11441">
          <cell r="B11441" t="str">
            <v>INF109KC11J5</v>
          </cell>
          <cell r="C11441" t="str">
            <v>INF109KC12J3</v>
          </cell>
          <cell r="D11441" t="str">
            <v>ICICI Prudential Nifty50 Equal Weight Index Fund- Direct Plan - IDCW</v>
          </cell>
          <cell r="E11441">
            <v>17.1051</v>
          </cell>
        </row>
        <row r="11442">
          <cell r="B11442" t="str">
            <v>INF109KC17I4</v>
          </cell>
          <cell r="C11442" t="str">
            <v>-</v>
          </cell>
          <cell r="D11442" t="str">
            <v>ICICI Prudential Nifty50 Equal Weight Index Fund- Growth</v>
          </cell>
          <cell r="E11442">
            <v>16.714400000000001</v>
          </cell>
        </row>
        <row r="11443">
          <cell r="B11443" t="str">
            <v>INF109KC18I2</v>
          </cell>
          <cell r="C11443" t="str">
            <v>INF109KC19I0</v>
          </cell>
          <cell r="D11443" t="str">
            <v>ICICI Prudential Nifty50 Equal Weight Index Fund- IDCW</v>
          </cell>
          <cell r="E11443">
            <v>16.714300000000001</v>
          </cell>
        </row>
        <row r="11444">
          <cell r="B11444" t="str">
            <v>INF109KC16T3</v>
          </cell>
          <cell r="C11444" t="str">
            <v>-</v>
          </cell>
          <cell r="D11444" t="str">
            <v>ICICI Prudential Nifty50 Value 20 Index Fund - Direct Plan - Growth</v>
          </cell>
          <cell r="E11444">
            <v>10.1136</v>
          </cell>
        </row>
        <row r="11445">
          <cell r="B11445" t="str">
            <v>INF109KC17T1</v>
          </cell>
          <cell r="C11445" t="str">
            <v>INF109KC18T9</v>
          </cell>
          <cell r="D11445" t="str">
            <v>ICICI Prudential Nifty50 Value 20 Index Fund - Direct Plan - IDCW</v>
          </cell>
          <cell r="E11445">
            <v>10.1136</v>
          </cell>
        </row>
        <row r="11446">
          <cell r="B11446" t="str">
            <v>INF109KC19T7</v>
          </cell>
          <cell r="C11446" t="str">
            <v>-</v>
          </cell>
          <cell r="D11446" t="str">
            <v>ICICI Prudential Nifty50 Value 20 Index Fund - Growth</v>
          </cell>
          <cell r="E11446">
            <v>10.003500000000001</v>
          </cell>
        </row>
        <row r="11447">
          <cell r="B11447" t="str">
            <v>INF109KC10U4</v>
          </cell>
          <cell r="C11447" t="str">
            <v>INF109KC11U2</v>
          </cell>
          <cell r="D11447" t="str">
            <v>ICICI Prudential Nifty50 Value 20 Index Fund - IDCW</v>
          </cell>
          <cell r="E11447">
            <v>10.003399999999999</v>
          </cell>
        </row>
        <row r="11448">
          <cell r="B11448" t="str">
            <v/>
          </cell>
          <cell r="C11448" t="str">
            <v/>
          </cell>
          <cell r="D11448" t="str">
            <v/>
          </cell>
        </row>
        <row r="11449">
          <cell r="B11449" t="str">
            <v/>
          </cell>
          <cell r="C11449" t="str">
            <v/>
          </cell>
          <cell r="D11449" t="str">
            <v/>
          </cell>
        </row>
        <row r="11450">
          <cell r="B11450" t="str">
            <v/>
          </cell>
          <cell r="C11450" t="str">
            <v/>
          </cell>
          <cell r="D11450" t="str">
            <v/>
          </cell>
        </row>
        <row r="11451">
          <cell r="B11451" t="str">
            <v>INF205KA1BM8</v>
          </cell>
          <cell r="C11451" t="str">
            <v>-</v>
          </cell>
          <cell r="D11451" t="str">
            <v>Invesco India BSE Sensex Index Fund - Direct Plan - Growth</v>
          </cell>
          <cell r="E11451">
            <v>10.0669</v>
          </cell>
        </row>
        <row r="11452">
          <cell r="B11452" t="str">
            <v>INF205KA1BL0</v>
          </cell>
          <cell r="C11452" t="str">
            <v>-</v>
          </cell>
          <cell r="D11452" t="str">
            <v>Invesco India BSE Sensex Index Fund - Regular Plan - Growth</v>
          </cell>
          <cell r="E11452">
            <v>10.0572</v>
          </cell>
        </row>
        <row r="11453">
          <cell r="B11453" t="str">
            <v>INF205KA1BO4</v>
          </cell>
          <cell r="C11453" t="str">
            <v>-</v>
          </cell>
          <cell r="D11453" t="str">
            <v>Invesco India Nifty Bank Index Fund - Direct Plan - Growth</v>
          </cell>
          <cell r="E11453">
            <v>10.5444</v>
          </cell>
        </row>
        <row r="11454">
          <cell r="B11454" t="str">
            <v>INF205KA1BN6</v>
          </cell>
          <cell r="C11454" t="str">
            <v>-</v>
          </cell>
          <cell r="D11454" t="str">
            <v>Invesco India Nifty Bank Index Fund - Regular Plan - Growth</v>
          </cell>
          <cell r="E11454">
            <v>10.5321</v>
          </cell>
        </row>
        <row r="11455">
          <cell r="B11455" t="str">
            <v>INF205KA1775</v>
          </cell>
          <cell r="C11455" t="str">
            <v>-</v>
          </cell>
          <cell r="D11455" t="str">
            <v>Invesco India Nifty G-sec Jul 2027 Index Fund - Direct Plan - Growth</v>
          </cell>
          <cell r="E11455">
            <v>1270.4068</v>
          </cell>
        </row>
        <row r="11456">
          <cell r="B11456" t="str">
            <v>INF205KA1783</v>
          </cell>
          <cell r="C11456" t="str">
            <v>-</v>
          </cell>
          <cell r="D11456" t="str">
            <v>Invesco India Nifty G-sec Jul 2027 Index Fund - Direct Plan - IDCW Payout</v>
          </cell>
          <cell r="E11456">
            <v>1270.4061999999999</v>
          </cell>
        </row>
        <row r="11457">
          <cell r="B11457" t="str">
            <v>INF205KA1759</v>
          </cell>
          <cell r="C11457" t="str">
            <v>-</v>
          </cell>
          <cell r="D11457" t="str">
            <v>Invesco India Nifty G-sec Jul 2027 Index Fund - Regular Plan - Growth</v>
          </cell>
          <cell r="E11457">
            <v>1264.1783</v>
          </cell>
        </row>
        <row r="11458">
          <cell r="B11458" t="str">
            <v>INF205KA1767</v>
          </cell>
          <cell r="C11458" t="str">
            <v>-</v>
          </cell>
          <cell r="D11458" t="str">
            <v>Invesco India Nifty G-sec Jul 2027 Index Fund - Regular Plan - IDCW Payout</v>
          </cell>
          <cell r="E11458">
            <v>1264.1919</v>
          </cell>
        </row>
        <row r="11459">
          <cell r="B11459" t="str">
            <v>INF205KA1817</v>
          </cell>
          <cell r="C11459" t="str">
            <v>-</v>
          </cell>
          <cell r="D11459" t="str">
            <v>Invesco India Nifty G-sec Sep 2032 Index Fund - Direct Plan - Growth</v>
          </cell>
          <cell r="E11459">
            <v>1297.2594999999999</v>
          </cell>
        </row>
        <row r="11460">
          <cell r="B11460" t="str">
            <v>INF205KA1825</v>
          </cell>
          <cell r="C11460" t="str">
            <v>-</v>
          </cell>
          <cell r="D11460" t="str">
            <v>Invesco India Nifty G-sec Sep 2032 Index Fund - Direct Plan - IDCW Payout</v>
          </cell>
          <cell r="E11460">
            <v>1297.2618</v>
          </cell>
        </row>
        <row r="11461">
          <cell r="B11461" t="str">
            <v>INF205KA1791</v>
          </cell>
          <cell r="C11461" t="str">
            <v>-</v>
          </cell>
          <cell r="D11461" t="str">
            <v>Invesco India Nifty G-sec Sep 2032 Index Fund - Regular Plan - Growth</v>
          </cell>
          <cell r="E11461">
            <v>1290.9528</v>
          </cell>
        </row>
        <row r="11462">
          <cell r="B11462" t="str">
            <v>INF205KA1809</v>
          </cell>
          <cell r="C11462" t="str">
            <v>-</v>
          </cell>
          <cell r="D11462" t="str">
            <v>Invesco India Nifty G-sec Sep 2032 Index Fund - Regular Plan - IDCW Payout</v>
          </cell>
          <cell r="E11462">
            <v>1290.9376999999999</v>
          </cell>
        </row>
        <row r="11463">
          <cell r="B11463" t="str">
            <v/>
          </cell>
          <cell r="C11463" t="str">
            <v/>
          </cell>
          <cell r="D11463" t="str">
            <v/>
          </cell>
        </row>
        <row r="11464">
          <cell r="B11464" t="str">
            <v/>
          </cell>
          <cell r="C11464" t="str">
            <v/>
          </cell>
          <cell r="D11464" t="str">
            <v/>
          </cell>
        </row>
        <row r="11465">
          <cell r="B11465" t="str">
            <v/>
          </cell>
          <cell r="C11465" t="str">
            <v/>
          </cell>
          <cell r="D11465" t="str">
            <v/>
          </cell>
        </row>
        <row r="11466">
          <cell r="B11466" t="str">
            <v>INF22M001044</v>
          </cell>
          <cell r="C11466" t="str">
            <v>-</v>
          </cell>
          <cell r="D11466" t="str">
            <v>JioBlackRock Nifty 50 Index Fund - Direct Plan - Growth Option</v>
          </cell>
          <cell r="E11466">
            <v>9.7174999999999994</v>
          </cell>
        </row>
        <row r="11467">
          <cell r="B11467" t="str">
            <v>INF22M001069</v>
          </cell>
          <cell r="C11467" t="str">
            <v>-</v>
          </cell>
          <cell r="D11467" t="str">
            <v>JioBlackRock Nifty 8-13 yr G-Sec Index Fund - Direct Plan - Growth Option</v>
          </cell>
          <cell r="E11467">
            <v>10.413399999999999</v>
          </cell>
        </row>
        <row r="11468">
          <cell r="B11468" t="str">
            <v>INF22M001077</v>
          </cell>
          <cell r="C11468" t="str">
            <v>-</v>
          </cell>
          <cell r="D11468" t="str">
            <v>JioBlackRock Nifty Midcap 150 Index Fund - Direct Plan - Growth Option</v>
          </cell>
          <cell r="E11468">
            <v>10.800800000000001</v>
          </cell>
        </row>
        <row r="11469">
          <cell r="B11469" t="str">
            <v>INF22M001085</v>
          </cell>
          <cell r="C11469" t="str">
            <v>-</v>
          </cell>
          <cell r="D11469" t="str">
            <v>JioBlackRock Nifty Next 50 Index Fund - Direct Plan - Growth Option</v>
          </cell>
          <cell r="E11469">
            <v>10.7727</v>
          </cell>
        </row>
        <row r="11470">
          <cell r="B11470" t="str">
            <v>INF22M001051</v>
          </cell>
          <cell r="C11470" t="str">
            <v>-</v>
          </cell>
          <cell r="D11470" t="str">
            <v>JioBlackRock Nifty Smallcap 250 Index Fund - Direct Plan - Growth Option</v>
          </cell>
          <cell r="E11470">
            <v>10.588100000000001</v>
          </cell>
        </row>
        <row r="11471">
          <cell r="B11471" t="str">
            <v/>
          </cell>
          <cell r="C11471" t="str">
            <v/>
          </cell>
          <cell r="D11471" t="str">
            <v/>
          </cell>
        </row>
        <row r="11472">
          <cell r="B11472" t="str">
            <v/>
          </cell>
          <cell r="C11472" t="str">
            <v/>
          </cell>
          <cell r="D11472" t="str">
            <v/>
          </cell>
        </row>
        <row r="11473">
          <cell r="B11473" t="str">
            <v/>
          </cell>
          <cell r="C11473" t="str">
            <v/>
          </cell>
          <cell r="D11473" t="str">
            <v/>
          </cell>
        </row>
        <row r="11474">
          <cell r="B11474" t="str">
            <v>INF174KA1OU1</v>
          </cell>
          <cell r="C11474" t="str">
            <v>-</v>
          </cell>
          <cell r="D11474" t="str">
            <v>Kotak  BSE Housing Index Fund - Regular Plan - Growth Option</v>
          </cell>
          <cell r="E11474">
            <v>13.214</v>
          </cell>
        </row>
        <row r="11475">
          <cell r="B11475" t="str">
            <v>INF174KA1OV9</v>
          </cell>
          <cell r="C11475" t="str">
            <v>INF174KA1OW7</v>
          </cell>
          <cell r="D11475" t="str">
            <v>Kotak  BSE Housing Index Fund - Regular Plan - IDCW Option</v>
          </cell>
          <cell r="E11475">
            <v>13.214</v>
          </cell>
        </row>
        <row r="11476">
          <cell r="B11476" t="str">
            <v>INF174KA1OX5</v>
          </cell>
          <cell r="C11476" t="str">
            <v>-</v>
          </cell>
          <cell r="D11476" t="str">
            <v>Kotak BSE Housing Index Fund - Direct Plan - Growth Option</v>
          </cell>
          <cell r="E11476">
            <v>13.420999999999999</v>
          </cell>
        </row>
        <row r="11477">
          <cell r="B11477" t="str">
            <v>INF174KA1OY3</v>
          </cell>
          <cell r="C11477" t="str">
            <v>INF174KA1OZ0</v>
          </cell>
          <cell r="D11477" t="str">
            <v>Kotak BSE Housing Index Fund - Direct Plan - IDCW Option</v>
          </cell>
          <cell r="E11477">
            <v>13.42</v>
          </cell>
        </row>
        <row r="11478">
          <cell r="B11478" t="str">
            <v>INF174KA1SL1</v>
          </cell>
          <cell r="C11478" t="str">
            <v>-</v>
          </cell>
          <cell r="D11478" t="str">
            <v>Kotak BSE PSU Index Fund - Direct Plan - Growth</v>
          </cell>
          <cell r="E11478">
            <v>9.4480000000000004</v>
          </cell>
        </row>
        <row r="11479">
          <cell r="B11479" t="str">
            <v>INF174KA1SM9</v>
          </cell>
          <cell r="C11479" t="str">
            <v>INF174KA1SN7</v>
          </cell>
          <cell r="D11479" t="str">
            <v>Kotak BSE PSU Index Fund - Direct Plan - IDCW Payout and Reinvestment</v>
          </cell>
          <cell r="E11479">
            <v>9.4480000000000004</v>
          </cell>
        </row>
        <row r="11480">
          <cell r="B11480" t="str">
            <v>INF174KA1SI7</v>
          </cell>
          <cell r="C11480" t="str">
            <v>-</v>
          </cell>
          <cell r="D11480" t="str">
            <v>Kotak BSE PSU Index Fund - Regular Plan - Growth</v>
          </cell>
          <cell r="E11480">
            <v>9.3279999999999994</v>
          </cell>
        </row>
        <row r="11481">
          <cell r="B11481" t="str">
            <v>INF174KA1SJ5</v>
          </cell>
          <cell r="C11481" t="str">
            <v>INF174KA1SK3</v>
          </cell>
          <cell r="D11481" t="str">
            <v>Kotak BSE PSU Index Fund - Regular Plan - IDCW Payout and Reinvestment</v>
          </cell>
          <cell r="E11481">
            <v>9.3279999999999994</v>
          </cell>
        </row>
        <row r="11482">
          <cell r="B11482" t="str">
            <v>INF174KA1US2</v>
          </cell>
          <cell r="C11482" t="str">
            <v>-</v>
          </cell>
          <cell r="D11482" t="str">
            <v>Kotak BSE Sensex Index Fund - Regular - Growth</v>
          </cell>
          <cell r="E11482">
            <v>10.218</v>
          </cell>
        </row>
        <row r="11483">
          <cell r="B11483" t="str">
            <v>INF174KA1UT0</v>
          </cell>
          <cell r="C11483" t="str">
            <v>INF174KA1UU8</v>
          </cell>
          <cell r="D11483" t="str">
            <v>Kotak BSE Sensex Index Fund - Regular - IDCW</v>
          </cell>
          <cell r="E11483">
            <v>10.218</v>
          </cell>
        </row>
        <row r="11484">
          <cell r="B11484" t="str">
            <v>INF174KA1UV6</v>
          </cell>
          <cell r="C11484" t="str">
            <v>-</v>
          </cell>
          <cell r="D11484" t="str">
            <v>Kotak BSE Sensex Index Fund- Direct - Growth</v>
          </cell>
          <cell r="E11484">
            <v>10.243</v>
          </cell>
        </row>
        <row r="11485">
          <cell r="B11485" t="str">
            <v>INF174KA1UQ6</v>
          </cell>
          <cell r="C11485" t="str">
            <v>INF174KA1UR4</v>
          </cell>
          <cell r="D11485" t="str">
            <v>Kotak BSE Sensex Index Fund- Direct - IDCW</v>
          </cell>
          <cell r="E11485">
            <v>10.243</v>
          </cell>
        </row>
        <row r="11486">
          <cell r="B11486" t="str">
            <v>INF174KA1UX2</v>
          </cell>
          <cell r="C11486" t="str">
            <v>-</v>
          </cell>
          <cell r="D11486" t="str">
            <v>Kotak CRISIL - IBX AAA Bond Financial Services Index Dec 2026 Fund - Direct - Growth</v>
          </cell>
          <cell r="E11486">
            <v>11.088100000000001</v>
          </cell>
        </row>
        <row r="11487">
          <cell r="B11487" t="str">
            <v>INF174KA1UY0</v>
          </cell>
          <cell r="C11487" t="str">
            <v>INF174KA1UZ7</v>
          </cell>
          <cell r="D11487" t="str">
            <v>Kotak CRISIL - IBX AAA Bond Financial Services Index Dec 2026 Fund - Direct - IDCW</v>
          </cell>
          <cell r="E11487">
            <v>11.087899999999999</v>
          </cell>
        </row>
        <row r="11488">
          <cell r="B11488" t="str">
            <v>INF174KA1VA8</v>
          </cell>
          <cell r="C11488" t="str">
            <v>-</v>
          </cell>
          <cell r="D11488" t="str">
            <v>Kotak CRISIL - IBX AAA Bond Financial Services Index Dec 2026 Fund - Regular - Growth</v>
          </cell>
          <cell r="E11488">
            <v>11.0566</v>
          </cell>
        </row>
        <row r="11489">
          <cell r="B11489" t="str">
            <v>INF174KA1VB6</v>
          </cell>
          <cell r="C11489" t="str">
            <v>INF174KA1VC4</v>
          </cell>
          <cell r="D11489" t="str">
            <v>Kotak CRISIL - IBX AAA Bond Financial Services Index Dec 2026 Fund - Regular - IDCW</v>
          </cell>
          <cell r="E11489">
            <v>11.0566</v>
          </cell>
        </row>
        <row r="11490">
          <cell r="B11490" t="str">
            <v>INF174KA1TF1</v>
          </cell>
          <cell r="C11490" t="str">
            <v>-</v>
          </cell>
          <cell r="D11490" t="str">
            <v>Kotak CRISIL -IBX AAA Financial Services Index Sep-2027 Fund-DIRECT PLAN-GROWTH Option</v>
          </cell>
          <cell r="E11490">
            <v>11.490600000000001</v>
          </cell>
        </row>
        <row r="11491">
          <cell r="B11491" t="str">
            <v>INF174KA1SU2</v>
          </cell>
          <cell r="C11491" t="str">
            <v>INF174KA1SV0</v>
          </cell>
          <cell r="D11491" t="str">
            <v>Kotak CRISIL -IBX AAA Financial Services Index Sep-2027 Fund-DIRECT PLAN-IDCW</v>
          </cell>
          <cell r="E11491">
            <v>11.488899999999999</v>
          </cell>
        </row>
        <row r="11492">
          <cell r="B11492" t="str">
            <v>INF174KA1SW8</v>
          </cell>
          <cell r="C11492" t="str">
            <v>-</v>
          </cell>
          <cell r="D11492" t="str">
            <v>Kotak CRISIL -IBX AAA Financial Services Index Sep-2027 Fund-REGULAR PLAN-GROWTH</v>
          </cell>
          <cell r="E11492">
            <v>11.445399999999999</v>
          </cell>
        </row>
        <row r="11493">
          <cell r="B11493" t="str">
            <v>INF174KA1SX6</v>
          </cell>
          <cell r="C11493" t="str">
            <v>INF174KA1SY4</v>
          </cell>
          <cell r="D11493" t="str">
            <v>Kotak CRISIL-IBX AAA Financial Services Index Sep-2027 Fund-REGULAR PLAN-IDCW</v>
          </cell>
          <cell r="E11493">
            <v>11.445399999999999</v>
          </cell>
        </row>
        <row r="11494">
          <cell r="B11494" t="str">
            <v>INF174KA1VK7</v>
          </cell>
          <cell r="C11494" t="str">
            <v>-</v>
          </cell>
          <cell r="D11494" t="str">
            <v>Kotak CRISIL-IBX Financial Services 3-6 Months Debt Index Fund-Direct-Growth</v>
          </cell>
          <cell r="E11494">
            <v>10.9856</v>
          </cell>
        </row>
        <row r="11495">
          <cell r="B11495" t="str">
            <v>INF174KA1VL5</v>
          </cell>
          <cell r="C11495" t="str">
            <v>INF174KA1VM3</v>
          </cell>
          <cell r="D11495" t="str">
            <v>Kotak CRISIL-IBX Financial Services 3-6 Months Debt Index Fund-Direct-IDCW</v>
          </cell>
          <cell r="E11495">
            <v>10.985900000000001</v>
          </cell>
        </row>
        <row r="11496">
          <cell r="B11496" t="str">
            <v>INF174KA1VN1</v>
          </cell>
          <cell r="C11496" t="str">
            <v>-</v>
          </cell>
          <cell r="D11496" t="str">
            <v>Kotak CRISIL-IBX Financial Services 3-6 Months Debt Index Fund-Regular-Growth</v>
          </cell>
          <cell r="E11496">
            <v>10.950699999999999</v>
          </cell>
        </row>
        <row r="11497">
          <cell r="B11497" t="str">
            <v>INF174KA1VO9</v>
          </cell>
          <cell r="C11497" t="str">
            <v>INF174KA1VP6</v>
          </cell>
          <cell r="D11497" t="str">
            <v>Kotak CRISIL-IBX Financial Services 3-6 Months Debt Index Fund-Regular-IDCW</v>
          </cell>
          <cell r="E11497">
            <v>10.950699999999999</v>
          </cell>
        </row>
        <row r="11498">
          <cell r="B11498" t="str">
            <v>INF174KA1XM9</v>
          </cell>
          <cell r="C11498" t="str">
            <v>-</v>
          </cell>
          <cell r="D11498" t="str">
            <v>Kotak CRISIL-IBX Financial Services 9 to 12 Months Debt Index Fund - Direct - Growth</v>
          </cell>
          <cell r="E11498">
            <v>10.513299999999999</v>
          </cell>
        </row>
        <row r="11499">
          <cell r="B11499" t="str">
            <v>INF174KA1XN7</v>
          </cell>
          <cell r="C11499" t="str">
            <v>INF174KA1XO5</v>
          </cell>
          <cell r="D11499" t="str">
            <v>Kotak CRISIL-IBX Financial Services 9 to 12 Months Debt Index Fund - Direct - IDCW</v>
          </cell>
          <cell r="E11499">
            <v>10.513400000000001</v>
          </cell>
        </row>
        <row r="11500">
          <cell r="B11500" t="str">
            <v>INF174KA1XP2</v>
          </cell>
          <cell r="C11500" t="str">
            <v>-</v>
          </cell>
          <cell r="D11500" t="str">
            <v>Kotak CRISIL-IBX Financial Services 9 to 12 Months Debt Index Fund - Regular - Growth</v>
          </cell>
          <cell r="E11500">
            <v>10.495799999999999</v>
          </cell>
        </row>
        <row r="11501">
          <cell r="B11501" t="str">
            <v>INF174KA1XQ0</v>
          </cell>
          <cell r="C11501" t="str">
            <v>INF174KA1XR8</v>
          </cell>
          <cell r="D11501" t="str">
            <v>Kotak CRISIL-IBX Financial Services 9 to 12 Months Debt Index Fund - Regular - IDCW</v>
          </cell>
          <cell r="E11501">
            <v>10.4937</v>
          </cell>
        </row>
        <row r="11502">
          <cell r="B11502" t="str">
            <v>INF174KA1TY2</v>
          </cell>
          <cell r="C11502" t="str">
            <v>-</v>
          </cell>
          <cell r="D11502" t="str">
            <v>Kotak Nifty 100 Equal Weight Index Fund - Direct Plan - Growth</v>
          </cell>
          <cell r="E11502">
            <v>11.071</v>
          </cell>
        </row>
        <row r="11503">
          <cell r="B11503" t="str">
            <v>INF174KA1TZ9</v>
          </cell>
          <cell r="C11503" t="str">
            <v>INF174KA1UA0</v>
          </cell>
          <cell r="D11503" t="str">
            <v>Kotak Nifty 100 Equal Weight index Fund - Direct Plan - IDCW Option</v>
          </cell>
          <cell r="E11503">
            <v>11.071</v>
          </cell>
        </row>
        <row r="11504">
          <cell r="B11504" t="str">
            <v>INF174KA1UB8</v>
          </cell>
          <cell r="C11504" t="str">
            <v>-</v>
          </cell>
          <cell r="D11504" t="str">
            <v>Kotak Nifty 100 Equal Weight Index Fund - Regular Plan - Growth</v>
          </cell>
          <cell r="E11504">
            <v>10.984</v>
          </cell>
        </row>
        <row r="11505">
          <cell r="B11505" t="str">
            <v>INF174KA1UC6</v>
          </cell>
          <cell r="C11505" t="str">
            <v>INF174KA1UD4</v>
          </cell>
          <cell r="D11505" t="str">
            <v>Kotak Nifty 100 Equal Weight Index Fund - Regular Plan - IDCW Option</v>
          </cell>
          <cell r="E11505">
            <v>10.984</v>
          </cell>
        </row>
        <row r="11506">
          <cell r="B11506" t="str">
            <v>INF174KA1RZ3</v>
          </cell>
          <cell r="C11506" t="str">
            <v>-</v>
          </cell>
          <cell r="D11506" t="str">
            <v>Kotak NIFTY 100 Low Volatility 30 Index Fund - Direct plan - Growth option</v>
          </cell>
          <cell r="E11506">
            <v>10.9015</v>
          </cell>
        </row>
        <row r="11507">
          <cell r="B11507" t="str">
            <v>INF174KA1SA4</v>
          </cell>
          <cell r="C11507" t="str">
            <v>INF174KA1SB2</v>
          </cell>
          <cell r="D11507" t="str">
            <v>Kotak NIFTY 100 Low Volatility 30 Index Fund - Direct plan - IDCW option</v>
          </cell>
          <cell r="E11507">
            <v>10.9015</v>
          </cell>
        </row>
        <row r="11508">
          <cell r="B11508" t="str">
            <v>INF174KA1RW0</v>
          </cell>
          <cell r="C11508" t="str">
            <v>-</v>
          </cell>
          <cell r="D11508" t="str">
            <v>Kotak NIFTY 100 Low Volatility 30 Index Fund - Regular plan - Growth option</v>
          </cell>
          <cell r="E11508">
            <v>10.7567</v>
          </cell>
        </row>
        <row r="11509">
          <cell r="B11509" t="str">
            <v>INF174KA1RX8</v>
          </cell>
          <cell r="C11509" t="str">
            <v>INF174KA1RY6</v>
          </cell>
          <cell r="D11509" t="str">
            <v>Kotak NIFTY 100 Low Volatility 30 Index Fund - Regular plan - IDCW option</v>
          </cell>
          <cell r="E11509">
            <v>10.7567</v>
          </cell>
        </row>
        <row r="11510">
          <cell r="B11510" t="str">
            <v>INF174KA1OB1</v>
          </cell>
          <cell r="C11510" t="str">
            <v>-</v>
          </cell>
          <cell r="D11510" t="str">
            <v>Kotak Nifty 200 Momentum 30 Index Fund - Direct Plan - Growth Option</v>
          </cell>
          <cell r="E11510">
            <v>14.593999999999999</v>
          </cell>
        </row>
        <row r="11511">
          <cell r="B11511" t="str">
            <v>INF174KA1OC9</v>
          </cell>
          <cell r="C11511" t="str">
            <v>INF174KA1OD7</v>
          </cell>
          <cell r="D11511" t="str">
            <v>Kotak Nifty 200 Momentum 30 Index Fund - Direct Plan - IDCW Payout</v>
          </cell>
          <cell r="E11511">
            <v>14.593999999999999</v>
          </cell>
        </row>
        <row r="11512">
          <cell r="B11512" t="str">
            <v>INF174KA1NY5</v>
          </cell>
          <cell r="C11512" t="str">
            <v>-</v>
          </cell>
          <cell r="D11512" t="str">
            <v>Kotak Nifty 200 Momentum 30 Index Fund - Regular Plan - Growth Option</v>
          </cell>
          <cell r="E11512">
            <v>14.375</v>
          </cell>
        </row>
        <row r="11513">
          <cell r="B11513" t="str">
            <v>INF174KA1NZ2</v>
          </cell>
          <cell r="C11513" t="str">
            <v>INF174KA1OA3</v>
          </cell>
          <cell r="D11513" t="str">
            <v>Kotak Nifty 200 Momentum 30 Index Fund - Regular Plan - IDCW Payout</v>
          </cell>
          <cell r="E11513">
            <v>14.375</v>
          </cell>
        </row>
        <row r="11514">
          <cell r="B11514" t="str">
            <v>INF174KA1WN9</v>
          </cell>
          <cell r="C11514" t="str">
            <v>-</v>
          </cell>
          <cell r="D11514" t="str">
            <v>KOTAK NIFTY 200 QUALITY 30 INDEX FUND - DIRECT PLAN - GROWTH</v>
          </cell>
          <cell r="E11514">
            <v>9.84</v>
          </cell>
        </row>
        <row r="11515">
          <cell r="B11515" t="str">
            <v>INF174KA1WO7</v>
          </cell>
          <cell r="C11515" t="str">
            <v>INF174KA1WP4</v>
          </cell>
          <cell r="D11515" t="str">
            <v>KOTAK NIFTY 200 QUALITY 30 INDEX FUND - DIRECT PLAN - IDCW - PAYOUT AND REINVESTMENT</v>
          </cell>
          <cell r="E11515">
            <v>9.84</v>
          </cell>
        </row>
        <row r="11516">
          <cell r="B11516" t="str">
            <v>INF174KA1WQ2</v>
          </cell>
          <cell r="C11516" t="str">
            <v>-</v>
          </cell>
          <cell r="D11516" t="str">
            <v>KOTAK NIFTY 200 QUALITY 30 INDEX FUND - REGULAR PLAN - GROWTH</v>
          </cell>
          <cell r="E11516">
            <v>9.8019999999999996</v>
          </cell>
        </row>
        <row r="11517">
          <cell r="B11517" t="str">
            <v>INF174KA1WR0</v>
          </cell>
          <cell r="C11517" t="str">
            <v>INF174KA1WS8</v>
          </cell>
          <cell r="D11517" t="str">
            <v>KOTAK NIFTY 200 QUALITY 30 INDEX FUND - REGULAR PLAN - IDCW - PAYOUT AND REINVESTMENT</v>
          </cell>
          <cell r="E11517">
            <v>9.8019999999999996</v>
          </cell>
        </row>
        <row r="11518">
          <cell r="B11518" t="str">
            <v>INF174KA1UE2</v>
          </cell>
          <cell r="C11518" t="str">
            <v>-</v>
          </cell>
          <cell r="D11518" t="str">
            <v>Kotak Nifty 50 Equal Weight Index Fund - Direct Plan - Growth</v>
          </cell>
          <cell r="E11518">
            <v>11.194000000000001</v>
          </cell>
        </row>
        <row r="11519">
          <cell r="B11519" t="str">
            <v>INF174KA1UF9</v>
          </cell>
          <cell r="C11519" t="str">
            <v>INF174KA1UG7</v>
          </cell>
          <cell r="D11519" t="str">
            <v>Kotak Nifty 50 Equal Weight Index Fund - Direct Plan - IDCW Option</v>
          </cell>
          <cell r="E11519">
            <v>11.195</v>
          </cell>
        </row>
        <row r="11520">
          <cell r="B11520" t="str">
            <v>INF174KA1UH5</v>
          </cell>
          <cell r="C11520" t="str">
            <v>-</v>
          </cell>
          <cell r="D11520" t="str">
            <v>Kotak Nifty 50 Equal Weight Index Fund - Regular Plan - Growth</v>
          </cell>
          <cell r="E11520">
            <v>11.105</v>
          </cell>
        </row>
        <row r="11521">
          <cell r="B11521" t="str">
            <v>INF174KA1UI3</v>
          </cell>
          <cell r="C11521" t="str">
            <v>INF174KA1UJ1</v>
          </cell>
          <cell r="D11521" t="str">
            <v>Kotak Nifty 50 Equal Weight Index Fund - Regular Plan - IDCW Option</v>
          </cell>
          <cell r="E11521">
            <v>11.103999999999999</v>
          </cell>
        </row>
        <row r="11522">
          <cell r="B11522" t="str">
            <v>INF174KA1HA7</v>
          </cell>
          <cell r="C11522" t="str">
            <v>-</v>
          </cell>
          <cell r="D11522" t="str">
            <v>Kotak Nifty 50 Index Fund - Direct Plan-Growth</v>
          </cell>
          <cell r="E11522">
            <v>15.929</v>
          </cell>
        </row>
        <row r="11523">
          <cell r="B11523" t="str">
            <v>INF174KA1HB5</v>
          </cell>
          <cell r="C11523" t="str">
            <v>INF174KA1HC3</v>
          </cell>
          <cell r="D11523" t="str">
            <v>Kotak Nifty 50 Index Fund - Direct Plan-IDCW Payout</v>
          </cell>
          <cell r="E11523">
            <v>15.925000000000001</v>
          </cell>
        </row>
        <row r="11524">
          <cell r="B11524" t="str">
            <v>INF174KA1GX1</v>
          </cell>
          <cell r="C11524" t="str">
            <v>-</v>
          </cell>
          <cell r="D11524" t="str">
            <v>Kotak Nifty 50 Index Fund - Regular Plan-Growth</v>
          </cell>
          <cell r="E11524">
            <v>15.682</v>
          </cell>
        </row>
        <row r="11525">
          <cell r="B11525" t="str">
            <v>INF174KA1GY9</v>
          </cell>
          <cell r="C11525" t="str">
            <v>INF174KA1GZ6</v>
          </cell>
          <cell r="D11525" t="str">
            <v>Kotak Nifty 50 Index Fund - Regular Plan-IDCW Payout</v>
          </cell>
          <cell r="E11525">
            <v>15.680999999999999</v>
          </cell>
        </row>
        <row r="11526">
          <cell r="B11526" t="str">
            <v>INF174KA1WY6</v>
          </cell>
          <cell r="C11526" t="str">
            <v>-</v>
          </cell>
          <cell r="D11526" t="str">
            <v>Kotak Nifty AAA Bond Financial Services Mar 2028 Index Fund - Direct Plan - Growth</v>
          </cell>
          <cell r="E11526">
            <v>10.5947</v>
          </cell>
        </row>
        <row r="11527">
          <cell r="B11527" t="str">
            <v>INF174KA1WZ3</v>
          </cell>
          <cell r="C11527" t="str">
            <v>INF174KA1WU4</v>
          </cell>
          <cell r="D11527" t="str">
            <v>Kotak Nifty AAA Bond Financial Services Mar 2028 Index Fund - Direct Plan - IDCW - Payout &amp; Reinvestment</v>
          </cell>
          <cell r="E11527">
            <v>10.5946</v>
          </cell>
        </row>
        <row r="11528">
          <cell r="B11528" t="str">
            <v>INF174KA1WV2</v>
          </cell>
          <cell r="C11528" t="str">
            <v>-</v>
          </cell>
          <cell r="D11528" t="str">
            <v>Kotak Nifty AAA Bond Financial Services Mar 2028 Index Fund - Regular Plan - Growth</v>
          </cell>
          <cell r="E11528">
            <v>10.5717</v>
          </cell>
        </row>
        <row r="11529">
          <cell r="B11529" t="str">
            <v>INF174KA1WW0</v>
          </cell>
          <cell r="C11529" t="str">
            <v>INF174KA1WX8</v>
          </cell>
          <cell r="D11529" t="str">
            <v>Kotak Nifty AAA Bond Financial Services Mar 2028 Index Fund - Regular Plan - IDCW - Payout &amp; Reinvestment</v>
          </cell>
          <cell r="E11529">
            <v>10.5718</v>
          </cell>
        </row>
        <row r="11530">
          <cell r="B11530" t="str">
            <v>INF174KA1XG1</v>
          </cell>
          <cell r="C11530" t="str">
            <v>-</v>
          </cell>
          <cell r="D11530" t="str">
            <v>Kotak Nifty Alpha 50 Index Fund - Direct Plan - Growth</v>
          </cell>
          <cell r="E11530">
            <v>10.473000000000001</v>
          </cell>
        </row>
        <row r="11531">
          <cell r="B11531" t="str">
            <v>INF174KA1XH9</v>
          </cell>
          <cell r="C11531" t="str">
            <v>INF174KA1XI7</v>
          </cell>
          <cell r="D11531" t="str">
            <v>Kotak Nifty Alpha 50 Index Fund - Direct Plan - IDCW - Payout &amp; Reinvestment</v>
          </cell>
          <cell r="E11531">
            <v>10.473000000000001</v>
          </cell>
        </row>
        <row r="11532">
          <cell r="B11532" t="str">
            <v>INF174KA1XJ5</v>
          </cell>
          <cell r="C11532" t="str">
            <v>-</v>
          </cell>
          <cell r="D11532" t="str">
            <v>Kotak Nifty Alpha 50 Index Fund - Regular Plan - Growth</v>
          </cell>
          <cell r="E11532">
            <v>10.416</v>
          </cell>
        </row>
        <row r="11533">
          <cell r="B11533" t="str">
            <v>INF174KA1XK3</v>
          </cell>
          <cell r="C11533" t="str">
            <v>INF174KA1XL1</v>
          </cell>
          <cell r="D11533" t="str">
            <v>Kotak Nifty Alpha 50 Index Fund - Regular Plan - IDCW - Payout &amp; Reinvestment</v>
          </cell>
          <cell r="E11533">
            <v>10.416</v>
          </cell>
        </row>
        <row r="11534">
          <cell r="B11534" t="str">
            <v>INF174KA1A29</v>
          </cell>
          <cell r="C11534" t="str">
            <v>-</v>
          </cell>
          <cell r="D11534" t="str">
            <v>Kotak Nifty Alpha Low Volatility 30 Index Fund - Direct- Growth</v>
          </cell>
          <cell r="E11534">
            <v>10.337999999999999</v>
          </cell>
        </row>
        <row r="11535">
          <cell r="B11535" t="str">
            <v>INF174KA1A37</v>
          </cell>
          <cell r="C11535" t="str">
            <v>INF174KA1A45</v>
          </cell>
          <cell r="D11535" t="str">
            <v>Kotak Nifty Alpha Low Volatility 30 Index Fund - Direct- IDCW</v>
          </cell>
          <cell r="E11535">
            <v>10.337999999999999</v>
          </cell>
        </row>
        <row r="11536">
          <cell r="B11536" t="str">
            <v>INF174KA1A52</v>
          </cell>
          <cell r="C11536" t="str">
            <v>-</v>
          </cell>
          <cell r="D11536" t="str">
            <v>Kotak Nifty Alpha Low Volatility 30 Index Fund - Regular - Growth</v>
          </cell>
          <cell r="E11536">
            <v>10.333</v>
          </cell>
        </row>
        <row r="11537">
          <cell r="B11537" t="str">
            <v>INF174KA1A60</v>
          </cell>
          <cell r="C11537" t="str">
            <v>INF174KA1A78</v>
          </cell>
          <cell r="D11537" t="str">
            <v>Kotak Nifty Alpha Low Volatility 30 Index Fund - Regular - IDCW</v>
          </cell>
          <cell r="E11537">
            <v>10.333</v>
          </cell>
        </row>
        <row r="11538">
          <cell r="B11538" t="str">
            <v>INF174KA1VE0</v>
          </cell>
          <cell r="C11538" t="str">
            <v>-</v>
          </cell>
          <cell r="D11538" t="str">
            <v>Kotak Nifty Commodities Index Fund-Direct Growth</v>
          </cell>
          <cell r="E11538">
            <v>12.385999999999999</v>
          </cell>
        </row>
        <row r="11539">
          <cell r="B11539" t="str">
            <v>INF174KA1VF7</v>
          </cell>
          <cell r="C11539" t="str">
            <v>INF174KA1VG5</v>
          </cell>
          <cell r="D11539" t="str">
            <v>KOTAK NIFTY COMMODITIES INDEX FUND-DIRECT-IDCW-PAYOUT &amp; REINVESTMENT</v>
          </cell>
          <cell r="E11539">
            <v>12.387</v>
          </cell>
        </row>
        <row r="11540">
          <cell r="B11540" t="str">
            <v>INF174KA1VH3</v>
          </cell>
          <cell r="C11540" t="str">
            <v>-</v>
          </cell>
          <cell r="D11540" t="str">
            <v>KOTAK NIFTY COMMODITIES INDEX FUND-REGULAR GROWTH</v>
          </cell>
          <cell r="E11540">
            <v>12.342000000000001</v>
          </cell>
        </row>
        <row r="11541">
          <cell r="B11541" t="str">
            <v>INF174KA1VI1</v>
          </cell>
          <cell r="C11541" t="str">
            <v>INF174KA1VJ9</v>
          </cell>
          <cell r="D11541" t="str">
            <v>KOTAK NIFTY COMMODITIES INDEX FUND-REGULAR-IDCW-PAYOUT &amp; REINVESTMENT</v>
          </cell>
          <cell r="E11541">
            <v>12.340999999999999</v>
          </cell>
        </row>
        <row r="11542">
          <cell r="B11542" t="str">
            <v>INF174KA1OR7</v>
          </cell>
          <cell r="C11542" t="str">
            <v>-</v>
          </cell>
          <cell r="D11542" t="str">
            <v>Kotak Nifty Financial Services Ex-Bank Index Fund - Direct Plan - Growth option</v>
          </cell>
          <cell r="E11542">
            <v>16.532</v>
          </cell>
        </row>
        <row r="11543">
          <cell r="B11543" t="str">
            <v>INF174KA1OS5</v>
          </cell>
          <cell r="C11543" t="str">
            <v>INF174KA1OT3</v>
          </cell>
          <cell r="D11543" t="str">
            <v>Kotak Nifty Financial Services Ex-Bank Index Fund - Direct Plan - IDCW option</v>
          </cell>
          <cell r="E11543">
            <v>16.532</v>
          </cell>
        </row>
        <row r="11544">
          <cell r="B11544" t="str">
            <v>INF174KA1OO4</v>
          </cell>
          <cell r="C11544" t="str">
            <v>-</v>
          </cell>
          <cell r="D11544" t="str">
            <v>Kotak Nifty Financial Services Ex-Bank Index Fund - Regular Plan - Growth option</v>
          </cell>
          <cell r="E11544">
            <v>16.27</v>
          </cell>
        </row>
        <row r="11545">
          <cell r="B11545" t="str">
            <v>INF174KA1OP1</v>
          </cell>
          <cell r="C11545" t="str">
            <v>INF174KA1OQ9</v>
          </cell>
          <cell r="D11545" t="str">
            <v>Kotak Nifty Financial Services Ex-Bank Index Fund - Regular Plan - IDCW option</v>
          </cell>
          <cell r="E11545">
            <v>16.27</v>
          </cell>
        </row>
        <row r="11546">
          <cell r="B11546" t="str">
            <v>INF174KA1PJ1</v>
          </cell>
          <cell r="C11546" t="str">
            <v>-</v>
          </cell>
          <cell r="D11546" t="str">
            <v>Kotak Nifty G-Sec July 2033 Index Fund - Direct Plan - Growth</v>
          </cell>
          <cell r="E11546">
            <v>12.503500000000001</v>
          </cell>
        </row>
        <row r="11547">
          <cell r="B11547" t="str">
            <v>INF174KA1PK9</v>
          </cell>
          <cell r="C11547" t="str">
            <v>INF174KA1PL7</v>
          </cell>
          <cell r="D11547" t="str">
            <v>Kotak Nifty G-Sec July 2033 Index Fund - Direct Plan - IDCW Payout</v>
          </cell>
          <cell r="E11547">
            <v>12.5036</v>
          </cell>
        </row>
        <row r="11548">
          <cell r="B11548" t="str">
            <v>INF174KA1PG7</v>
          </cell>
          <cell r="C11548" t="str">
            <v>-</v>
          </cell>
          <cell r="D11548" t="str">
            <v>Kotak Nifty G-Sec July 2033 Index Fund - Regular Plan - Growth</v>
          </cell>
          <cell r="E11548">
            <v>12.4171</v>
          </cell>
        </row>
        <row r="11549">
          <cell r="B11549" t="str">
            <v>INF174KA1PH5</v>
          </cell>
          <cell r="C11549" t="str">
            <v>INF174KA1PI3</v>
          </cell>
          <cell r="D11549" t="str">
            <v>Kotak Nifty G-Sec July 2033 Index Fund - Regular Plan - IDCW Payout</v>
          </cell>
          <cell r="E11549">
            <v>12.4169</v>
          </cell>
        </row>
        <row r="11550">
          <cell r="B11550" t="str">
            <v>INF174KA1TA2</v>
          </cell>
          <cell r="C11550" t="str">
            <v>INF174KA1TB0</v>
          </cell>
          <cell r="D11550" t="str">
            <v>Kotak Nifty India Tourism Index Fund-Direct Plan-IDCW Option</v>
          </cell>
          <cell r="E11550">
            <v>8.4710000000000001</v>
          </cell>
        </row>
        <row r="11551">
          <cell r="B11551" t="str">
            <v>INF174KA1SZ1</v>
          </cell>
          <cell r="C11551" t="str">
            <v>-</v>
          </cell>
          <cell r="D11551" t="str">
            <v>Kotak Nifty India Tourism Index Fund-Direct-Growth Option</v>
          </cell>
          <cell r="E11551">
            <v>8.4689999999999994</v>
          </cell>
        </row>
        <row r="11552">
          <cell r="B11552" t="str">
            <v>INF174KA1TC8</v>
          </cell>
          <cell r="C11552" t="str">
            <v>-</v>
          </cell>
          <cell r="D11552" t="str">
            <v>Kotak Nifty India Tourism Index Fund-Regular plan-Growth</v>
          </cell>
          <cell r="E11552">
            <v>8.3699999999999992</v>
          </cell>
        </row>
        <row r="11553">
          <cell r="B11553" t="str">
            <v>INF174KA1TD6</v>
          </cell>
          <cell r="C11553" t="str">
            <v>INF174KA1TE4</v>
          </cell>
          <cell r="D11553" t="str">
            <v>Kotak Nifty India Tourism Index Fund-Regular Plan-IDCW Option</v>
          </cell>
          <cell r="E11553">
            <v>8.3699999999999992</v>
          </cell>
        </row>
        <row r="11554">
          <cell r="B11554" t="str">
            <v>INF174KA1VQ4</v>
          </cell>
          <cell r="C11554" t="str">
            <v>-</v>
          </cell>
          <cell r="D11554" t="str">
            <v>KOTAK NIFTY MIDCAP 150 INDEX FUND-DIRECT PLAN-GROWTH</v>
          </cell>
          <cell r="E11554">
            <v>11.782</v>
          </cell>
        </row>
        <row r="11555">
          <cell r="B11555" t="str">
            <v>INF174KA1VR2</v>
          </cell>
          <cell r="C11555" t="str">
            <v>INF174KA1VS0</v>
          </cell>
          <cell r="D11555" t="str">
            <v>KOTAK NIFTY MIDCAP 150 INDEX FUND-DIRECT PLAN-IDCW-PAYOUT AND REINVESTMENT</v>
          </cell>
          <cell r="E11555">
            <v>11.782</v>
          </cell>
        </row>
        <row r="11556">
          <cell r="B11556" t="str">
            <v>INF174KA1VT8</v>
          </cell>
          <cell r="C11556" t="str">
            <v>-</v>
          </cell>
          <cell r="D11556" t="str">
            <v>KOTAK NIFTY MIDCAP 150 INDEX FUND-REGULAR PLAN-GROWTH</v>
          </cell>
          <cell r="E11556">
            <v>11.706</v>
          </cell>
        </row>
        <row r="11557">
          <cell r="B11557" t="str">
            <v>INF174KA1VU6</v>
          </cell>
          <cell r="C11557" t="str">
            <v>INF174KA1VV4</v>
          </cell>
          <cell r="D11557" t="str">
            <v>KOTAK NIFTY MIDCAP 150 INDEX FUND-REGULAR PLAN-IDCW PAYOUT AND REINVESTMENT</v>
          </cell>
          <cell r="E11557">
            <v>11.706</v>
          </cell>
        </row>
        <row r="11558">
          <cell r="B11558" t="str">
            <v>INF174KA1TM7</v>
          </cell>
          <cell r="C11558" t="str">
            <v>-</v>
          </cell>
          <cell r="D11558" t="str">
            <v>Kotak Nifty Midcap 150 Momentum 50 Index Fund-Direct Plan-Growth</v>
          </cell>
          <cell r="E11558">
            <v>9.4090000000000007</v>
          </cell>
        </row>
        <row r="11559">
          <cell r="B11559" t="str">
            <v>INF174KA1TN5</v>
          </cell>
          <cell r="C11559" t="str">
            <v>INF174KA1TO3</v>
          </cell>
          <cell r="D11559" t="str">
            <v>Kotak Nifty Midcap 150 Momentum 50 Index Fund-Direct Plan-IDCW option</v>
          </cell>
          <cell r="E11559">
            <v>9.4090000000000007</v>
          </cell>
        </row>
        <row r="11560">
          <cell r="B11560" t="str">
            <v>INF174KA1TP0</v>
          </cell>
          <cell r="C11560" t="str">
            <v>-</v>
          </cell>
          <cell r="D11560" t="str">
            <v>Kotak Nifty Midcap 150 Momentum 50 Index Fund-Regular Plan-Growth</v>
          </cell>
          <cell r="E11560">
            <v>9.3000000000000007</v>
          </cell>
        </row>
        <row r="11561">
          <cell r="B11561" t="str">
            <v>INF174KA1TQ8</v>
          </cell>
          <cell r="C11561" t="str">
            <v>INF174KA1TR6</v>
          </cell>
          <cell r="D11561" t="str">
            <v>Kotak Nifty Midcap 150 Momentum 50 Index Fund-Regular plan-IDCW option</v>
          </cell>
          <cell r="E11561">
            <v>9.3000000000000007</v>
          </cell>
        </row>
        <row r="11562">
          <cell r="B11562" t="str">
            <v>INF174KA1SR8</v>
          </cell>
          <cell r="C11562" t="str">
            <v>-</v>
          </cell>
          <cell r="D11562" t="str">
            <v>KOTAK NIFTY MIDCAP 50 INDEX FUND-DIRECT PLAN- GROWTH</v>
          </cell>
          <cell r="E11562">
            <v>10.999000000000001</v>
          </cell>
        </row>
        <row r="11563">
          <cell r="B11563" t="str">
            <v>INF174KA1SS6</v>
          </cell>
          <cell r="C11563" t="str">
            <v>INF174KA1ST4</v>
          </cell>
          <cell r="D11563" t="str">
            <v>KOTAK NIFTY MIDCAP 50 INDEX FUND-DIRECT PLAN-IDCW PAYOUT AND REINVESTMENT</v>
          </cell>
          <cell r="E11563">
            <v>10.999000000000001</v>
          </cell>
        </row>
        <row r="11564">
          <cell r="B11564" t="str">
            <v>INF174KA1SO5</v>
          </cell>
          <cell r="C11564" t="str">
            <v>-</v>
          </cell>
          <cell r="D11564" t="str">
            <v>KOTAK NIFTY MIDCAP 50 INDEX FUND-REGULAR PLAN-GROWTH</v>
          </cell>
          <cell r="E11564">
            <v>10.87</v>
          </cell>
        </row>
        <row r="11565">
          <cell r="B11565" t="str">
            <v>INF174KA1SP2</v>
          </cell>
          <cell r="C11565" t="str">
            <v>INF174KA1SQ0</v>
          </cell>
          <cell r="D11565" t="str">
            <v>KOTAK NIFTY MIDCAP 50 INDEX FUND-REGULAR PLAN-IDCW PAYOUT AND REINVESTMENT</v>
          </cell>
          <cell r="E11565">
            <v>10.869</v>
          </cell>
        </row>
        <row r="11566">
          <cell r="B11566" t="str">
            <v>INF174KA1GA9</v>
          </cell>
          <cell r="C11566" t="str">
            <v>-</v>
          </cell>
          <cell r="D11566" t="str">
            <v>Kotak Nifty Next 50 Index Fund - Direct Plan - Growth Option</v>
          </cell>
          <cell r="E11566">
            <v>21.168399999999998</v>
          </cell>
        </row>
        <row r="11567">
          <cell r="B11567" t="str">
            <v>INF174KA1FZ8</v>
          </cell>
          <cell r="C11567" t="str">
            <v>INF174KA1GB7</v>
          </cell>
          <cell r="D11567" t="str">
            <v>Kotak Nifty Next 50 Index Fund - Direct Plan -Payout of Income Distribution cum capital withdrawal option</v>
          </cell>
          <cell r="E11567">
            <v>21.168099999999999</v>
          </cell>
        </row>
        <row r="11568">
          <cell r="B11568" t="str">
            <v>INF174KA1FX3</v>
          </cell>
          <cell r="C11568" t="str">
            <v>-</v>
          </cell>
          <cell r="D11568" t="str">
            <v>Kotak Nifty Next 50 Index Fund - Regular Plan - Growth Option</v>
          </cell>
          <cell r="E11568">
            <v>20.612100000000002</v>
          </cell>
        </row>
        <row r="11569">
          <cell r="B11569" t="str">
            <v>INF174KA1FW5</v>
          </cell>
          <cell r="C11569" t="str">
            <v>INF174KA1FY1</v>
          </cell>
          <cell r="D11569" t="str">
            <v>Kotak Nifty Next 50 Index Fund - Regular Plan - Payout of Income Distribution cum capital withdrawal option</v>
          </cell>
          <cell r="E11569">
            <v>20.6126</v>
          </cell>
        </row>
        <row r="11570">
          <cell r="B11570" t="str">
            <v>INF174KA1IL2</v>
          </cell>
          <cell r="C11570" t="str">
            <v>-</v>
          </cell>
          <cell r="D11570" t="str">
            <v>Kotak Nifty SDL Apr  2027 Top 12 Equal Weight Index Fund-Direct Plan-Growth</v>
          </cell>
          <cell r="E11570">
            <v>13.158799999999999</v>
          </cell>
        </row>
        <row r="11571">
          <cell r="B11571" t="str">
            <v>INF174KA1II8</v>
          </cell>
          <cell r="C11571" t="str">
            <v>-</v>
          </cell>
          <cell r="D11571" t="str">
            <v>Kotak Nifty SDL Apr  2027 Top 12 Equal Weight Index Fund-Regular Plan- Growth</v>
          </cell>
          <cell r="E11571">
            <v>13.069100000000001</v>
          </cell>
        </row>
        <row r="11572">
          <cell r="B11572" t="str">
            <v>INF174KA1IJ6</v>
          </cell>
          <cell r="C11572" t="str">
            <v>INF174KA1IK4</v>
          </cell>
          <cell r="D11572" t="str">
            <v>Kotak Nifty SDL Apr  2027 Top 12 Equal Weight Index Fund-Regular Plan-IDCW Option</v>
          </cell>
          <cell r="E11572">
            <v>13.0694</v>
          </cell>
        </row>
        <row r="11573">
          <cell r="B11573" t="str">
            <v>INF174KA1IM0</v>
          </cell>
          <cell r="C11573" t="str">
            <v>INF174KA1IN8</v>
          </cell>
          <cell r="D11573" t="str">
            <v>Kotak Nifty SDL Apr 2027 Top 12 Equal Weight Index Fund-Direct Plan-IDCW Option</v>
          </cell>
          <cell r="E11573">
            <v>13.157999999999999</v>
          </cell>
        </row>
        <row r="11574">
          <cell r="B11574" t="str">
            <v>INF174KA1IR9</v>
          </cell>
          <cell r="C11574" t="str">
            <v>-</v>
          </cell>
          <cell r="D11574" t="str">
            <v>Kotak Nifty SDL Apr 2032 Top 12 Equal Weight Index Fund-Direct Plan- Growth</v>
          </cell>
          <cell r="E11574">
            <v>13.5228</v>
          </cell>
        </row>
        <row r="11575">
          <cell r="B11575" t="str">
            <v>INF174KA1IS7</v>
          </cell>
          <cell r="C11575" t="str">
            <v>INF174KA1IT5</v>
          </cell>
          <cell r="D11575" t="str">
            <v>Kotak Nifty SDL Apr 2032 Top 12 Equal Weight Index Fund-Direct Plan-IDCW Option</v>
          </cell>
          <cell r="E11575">
            <v>13.5213</v>
          </cell>
        </row>
        <row r="11576">
          <cell r="B11576" t="str">
            <v>INF174KA1IO6</v>
          </cell>
          <cell r="C11576" t="str">
            <v>-</v>
          </cell>
          <cell r="D11576" t="str">
            <v>Kotak Nifty SDL Apr 2032 Top 12 Equal Weight Index Fund-Regular Plan-Growth</v>
          </cell>
          <cell r="E11576">
            <v>13.4214</v>
          </cell>
        </row>
        <row r="11577">
          <cell r="B11577" t="str">
            <v>INF174KA1IP3</v>
          </cell>
          <cell r="C11577" t="str">
            <v>INF174KA1IQ1</v>
          </cell>
          <cell r="D11577" t="str">
            <v>Kotak Nifty SDL Apr 2032 Top 12 Equal Weight Index Fund-Regular Plan-IDCW Option</v>
          </cell>
          <cell r="E11577">
            <v>13.4254</v>
          </cell>
        </row>
        <row r="11578">
          <cell r="B11578" t="str">
            <v>INF174KA1LC5</v>
          </cell>
          <cell r="C11578" t="str">
            <v>-</v>
          </cell>
          <cell r="D11578" t="str">
            <v>Kotak Nifty SDL Jul 2026 Index Fund Direct Plan Growth</v>
          </cell>
          <cell r="E11578">
            <v>12.796900000000001</v>
          </cell>
        </row>
        <row r="11579">
          <cell r="B11579" t="str">
            <v>INF174KA1LD3</v>
          </cell>
          <cell r="C11579" t="str">
            <v>INF174KA1LE1</v>
          </cell>
          <cell r="D11579" t="str">
            <v>Kotak Nifty SDL Jul 2026 Index Fund Direct Plan IDCW</v>
          </cell>
          <cell r="E11579">
            <v>12.353999999999999</v>
          </cell>
        </row>
        <row r="11580">
          <cell r="B11580" t="str">
            <v>INF174KA1KZ8</v>
          </cell>
          <cell r="C11580" t="str">
            <v>-</v>
          </cell>
          <cell r="D11580" t="str">
            <v>Kotak Nifty SDL Jul 2026 Index Fund Regular Plan Growth</v>
          </cell>
          <cell r="E11580">
            <v>12.701599999999999</v>
          </cell>
        </row>
        <row r="11581">
          <cell r="B11581" t="str">
            <v>INF174KA1LA9</v>
          </cell>
          <cell r="C11581" t="str">
            <v>INF174KA1LB7</v>
          </cell>
          <cell r="D11581" t="str">
            <v>Kotak Nifty SDL Jul 2026 Index Fund Regular Plan IDCW</v>
          </cell>
          <cell r="E11581">
            <v>12.701700000000001</v>
          </cell>
        </row>
        <row r="11582">
          <cell r="B11582" t="str">
            <v>INF174KA1MJ8</v>
          </cell>
          <cell r="C11582" t="str">
            <v>-</v>
          </cell>
          <cell r="D11582" t="str">
            <v>Kotak Nifty SDL Jul 2033 Index Fund Direct Plan Growth Option</v>
          </cell>
          <cell r="E11582">
            <v>12.978199999999999</v>
          </cell>
        </row>
        <row r="11583">
          <cell r="B11583" t="str">
            <v>INF174KA1MK6</v>
          </cell>
          <cell r="C11583" t="str">
            <v>INF174KA1ML4</v>
          </cell>
          <cell r="D11583" t="str">
            <v>Kotak Nifty SDL Jul 2033 Index Fund Direct Plan IDCW</v>
          </cell>
          <cell r="E11583">
            <v>12.5966</v>
          </cell>
        </row>
        <row r="11584">
          <cell r="B11584" t="str">
            <v>INF174KA1MG4</v>
          </cell>
          <cell r="C11584" t="str">
            <v>-</v>
          </cell>
          <cell r="D11584" t="str">
            <v>Kotak Nifty SDL Jul 2033 Index Fund Regular Plan Growth Option</v>
          </cell>
          <cell r="E11584">
            <v>12.874000000000001</v>
          </cell>
        </row>
        <row r="11585">
          <cell r="B11585" t="str">
            <v>INF174KA1MH2</v>
          </cell>
          <cell r="C11585" t="str">
            <v>INF174KA1MI0</v>
          </cell>
          <cell r="D11585" t="str">
            <v>Kotak Nifty SDL Jul 2033 Index Fund Regular Plan IDCW</v>
          </cell>
          <cell r="E11585">
            <v>12.871600000000001</v>
          </cell>
        </row>
        <row r="11586">
          <cell r="B11586" t="str">
            <v>INF174KA1JT3</v>
          </cell>
          <cell r="C11586" t="str">
            <v>-</v>
          </cell>
          <cell r="D11586" t="str">
            <v>Kotak Nifty SDL Plus AAA PSU Bond Jul 2028 60:40 Index Fund Direct Plan - Growth</v>
          </cell>
          <cell r="E11586">
            <v>13.1928</v>
          </cell>
        </row>
        <row r="11587">
          <cell r="B11587" t="str">
            <v>INF174KA1JU1</v>
          </cell>
          <cell r="C11587" t="str">
            <v>INF174KA1JV9</v>
          </cell>
          <cell r="D11587" t="str">
            <v>Kotak Nifty SDL Plus AAA PSU Bond Jul 2028 60:40 Index Fund Direct Plan - IDCW</v>
          </cell>
          <cell r="E11587">
            <v>13.1929</v>
          </cell>
        </row>
        <row r="11588">
          <cell r="B11588" t="str">
            <v>INF174KA1JQ9</v>
          </cell>
          <cell r="C11588" t="str">
            <v>-</v>
          </cell>
          <cell r="D11588" t="str">
            <v>Kotak Nifty SDL Plus AAA PSU Bond Jul 2028 60:40 Index Fund Regular Plan - Growth</v>
          </cell>
          <cell r="E11588">
            <v>13.0968</v>
          </cell>
        </row>
        <row r="11589">
          <cell r="B11589" t="str">
            <v>INF174KA1JR7</v>
          </cell>
          <cell r="C11589" t="str">
            <v>INF174KA1JS5</v>
          </cell>
          <cell r="D11589" t="str">
            <v>Kotak Nifty SDL Plus AAA PSU Bond Jul 2028 60:40 Index Fund Regular Plan - IDCW</v>
          </cell>
          <cell r="E11589">
            <v>13.092700000000001</v>
          </cell>
        </row>
        <row r="11590">
          <cell r="B11590" t="str">
            <v>INF174KA1UL7</v>
          </cell>
          <cell r="C11590" t="str">
            <v>INF174KA1UM5</v>
          </cell>
          <cell r="D11590" t="str">
            <v>Kotak Nifty SmallCap 250 Index Fund - Direct - IDCW</v>
          </cell>
          <cell r="E11590">
            <v>11.606999999999999</v>
          </cell>
        </row>
        <row r="11591">
          <cell r="B11591" t="str">
            <v>INF174KA1UK9</v>
          </cell>
          <cell r="C11591" t="str">
            <v>-</v>
          </cell>
          <cell r="D11591" t="str">
            <v>Kotak Nifty SmallCap 250 Index Fund- Direct - Growth</v>
          </cell>
          <cell r="E11591">
            <v>11.606999999999999</v>
          </cell>
        </row>
        <row r="11592">
          <cell r="B11592" t="str">
            <v>INF174KA1UN3</v>
          </cell>
          <cell r="C11592" t="str">
            <v>-</v>
          </cell>
          <cell r="D11592" t="str">
            <v>Kotak Nifty SmallCap 250 Index Fund- Regular - Growth</v>
          </cell>
          <cell r="E11592">
            <v>11.523999999999999</v>
          </cell>
        </row>
        <row r="11593">
          <cell r="B11593" t="str">
            <v>INF174KA1UO1</v>
          </cell>
          <cell r="C11593" t="str">
            <v>INF174KA1UP8</v>
          </cell>
          <cell r="D11593" t="str">
            <v>Kotak Nifty SmallCap 250 Index Fund- Regular - IDCW</v>
          </cell>
          <cell r="E11593">
            <v>11.523999999999999</v>
          </cell>
        </row>
        <row r="11594">
          <cell r="B11594" t="str">
            <v>INF174KA1NB3</v>
          </cell>
          <cell r="C11594" t="str">
            <v>-</v>
          </cell>
          <cell r="D11594" t="str">
            <v>Kotak Nifty Smallcap 50 Index Fund - Direct Plan - Growth</v>
          </cell>
          <cell r="E11594">
            <v>22.155999999999999</v>
          </cell>
        </row>
        <row r="11595">
          <cell r="B11595" t="str">
            <v>INF174KA1NC1</v>
          </cell>
          <cell r="C11595" t="str">
            <v>INF174KA1ND9</v>
          </cell>
          <cell r="D11595" t="str">
            <v>Kotak Nifty Smallcap 50 Index Fund - Direct Plan - IDCW</v>
          </cell>
          <cell r="E11595">
            <v>22.167999999999999</v>
          </cell>
        </row>
        <row r="11596">
          <cell r="B11596" t="str">
            <v>INF174KA1MY7</v>
          </cell>
          <cell r="C11596" t="str">
            <v>-</v>
          </cell>
          <cell r="D11596" t="str">
            <v>Kotak Nifty Smallcap 50 Index Fund - Regular Plan - Growth</v>
          </cell>
          <cell r="E11596">
            <v>21.702000000000002</v>
          </cell>
        </row>
        <row r="11597">
          <cell r="B11597" t="str">
            <v>INF174KA1MZ4</v>
          </cell>
          <cell r="C11597" t="str">
            <v>INF174KA1NA5</v>
          </cell>
          <cell r="D11597" t="str">
            <v>Kotak Nifty Smallcap 50 Index Fund - Regular Plan - IDCW</v>
          </cell>
          <cell r="E11597">
            <v>21.702000000000002</v>
          </cell>
        </row>
        <row r="11598">
          <cell r="B11598" t="str">
            <v>INF174KA1WD0</v>
          </cell>
          <cell r="C11598" t="str">
            <v>-</v>
          </cell>
          <cell r="D11598" t="str">
            <v>Kotak Nifty Top 10 Equal Weight Index Fund-Direct Plan-Growth</v>
          </cell>
          <cell r="E11598">
            <v>8.9830000000000005</v>
          </cell>
        </row>
        <row r="11599">
          <cell r="B11599" t="str">
            <v>INF174KA1WE8</v>
          </cell>
          <cell r="C11599" t="str">
            <v>INF174KA1WF5</v>
          </cell>
          <cell r="D11599" t="str">
            <v>Kotak Nifty Top 10 Equal Weight Index Fund-Direct Plan-IDCW-Payout and Reinvestment</v>
          </cell>
          <cell r="E11599">
            <v>8.9830000000000005</v>
          </cell>
        </row>
        <row r="11600">
          <cell r="B11600" t="str">
            <v>INF174KA1WG3</v>
          </cell>
          <cell r="C11600" t="str">
            <v>-</v>
          </cell>
          <cell r="D11600" t="str">
            <v>Kotak Nifty Top 10 Equal Weight Index Fund-Regular Plan-Growth</v>
          </cell>
          <cell r="E11600">
            <v>8.9060000000000006</v>
          </cell>
        </row>
        <row r="11601">
          <cell r="B11601" t="str">
            <v>INF174KA1WH1</v>
          </cell>
          <cell r="C11601" t="str">
            <v>INF174KA1WI9</v>
          </cell>
          <cell r="D11601" t="str">
            <v>Kotak Nifty Top 10 Equal Weight Index Fund-Regular Plan-IDCW Payout and Reinvestment</v>
          </cell>
          <cell r="E11601">
            <v>8.9049999999999994</v>
          </cell>
        </row>
        <row r="11602">
          <cell r="B11602" t="str">
            <v>INF174KA1YP0</v>
          </cell>
          <cell r="C11602" t="str">
            <v>-</v>
          </cell>
          <cell r="D11602" t="str">
            <v>Kotak Nifty200 Value 30 Index Fund - Direct - Growth</v>
          </cell>
          <cell r="E11602">
            <v>9.7560000000000002</v>
          </cell>
        </row>
        <row r="11603">
          <cell r="B11603" t="str">
            <v>INF174KA1YQ8</v>
          </cell>
          <cell r="C11603" t="str">
            <v>INF174KA1YR6</v>
          </cell>
          <cell r="D11603" t="str">
            <v>Kotak Nifty200 Value 30 Index Fund - Direct - IDCW</v>
          </cell>
          <cell r="E11603">
            <v>9.7560000000000002</v>
          </cell>
        </row>
        <row r="11604">
          <cell r="B11604" t="str">
            <v>INF174KA1YS4</v>
          </cell>
          <cell r="C11604" t="str">
            <v>-</v>
          </cell>
          <cell r="D11604" t="str">
            <v>Kotak Nifty200 Value 30 Index Fund - Regular - Growth</v>
          </cell>
          <cell r="E11604">
            <v>9.7420000000000009</v>
          </cell>
        </row>
        <row r="11605">
          <cell r="B11605" t="str">
            <v>INF174KA1YT2</v>
          </cell>
          <cell r="C11605" t="str">
            <v>INF174KA1YU0</v>
          </cell>
          <cell r="D11605" t="str">
            <v>Kotak Nifty200 Value 30 Index Fund - Regular - IDCW</v>
          </cell>
          <cell r="E11605">
            <v>9.7420000000000009</v>
          </cell>
        </row>
        <row r="11606">
          <cell r="B11606" t="str">
            <v>INF174KA1YC8</v>
          </cell>
          <cell r="C11606" t="str">
            <v>-</v>
          </cell>
          <cell r="D11606" t="str">
            <v>Kotak Nifty500 Momentum 50 Index Fund - Direct Plan - Growth</v>
          </cell>
          <cell r="E11606">
            <v>10.097</v>
          </cell>
        </row>
        <row r="11607">
          <cell r="B11607" t="str">
            <v>INF174KA1YD6</v>
          </cell>
          <cell r="C11607" t="str">
            <v>INF174KA1YE4</v>
          </cell>
          <cell r="D11607" t="str">
            <v>Kotak Nifty500 Momentum 50 Index Fund - Direct Plan - IDCW - Payout &amp; Investment</v>
          </cell>
          <cell r="E11607">
            <v>10.098000000000001</v>
          </cell>
        </row>
        <row r="11608">
          <cell r="B11608" t="str">
            <v>INF174KA1YF1</v>
          </cell>
          <cell r="C11608" t="str">
            <v>-</v>
          </cell>
          <cell r="D11608" t="str">
            <v>Kotak Nifty500 Momentum 50 Index Fund - Regular Plan - Growth</v>
          </cell>
          <cell r="E11608">
            <v>10.077</v>
          </cell>
        </row>
        <row r="11609">
          <cell r="B11609" t="str">
            <v>INF174KA1YG9</v>
          </cell>
          <cell r="C11609" t="str">
            <v>INF174KA1YH7</v>
          </cell>
          <cell r="D11609" t="str">
            <v>Kotak Nifty500 Momentum 50 Index Fund - Regular Plan - IDCW - Payout &amp; Reinvestment</v>
          </cell>
          <cell r="E11609">
            <v>10.077</v>
          </cell>
        </row>
        <row r="11610">
          <cell r="B11610" t="str">
            <v/>
          </cell>
          <cell r="C11610" t="str">
            <v/>
          </cell>
          <cell r="D11610" t="str">
            <v/>
          </cell>
        </row>
        <row r="11611">
          <cell r="B11611" t="str">
            <v/>
          </cell>
          <cell r="C11611" t="str">
            <v/>
          </cell>
          <cell r="D11611" t="str">
            <v/>
          </cell>
        </row>
        <row r="11612">
          <cell r="B11612" t="str">
            <v/>
          </cell>
          <cell r="C11612" t="str">
            <v/>
          </cell>
          <cell r="D11612" t="str">
            <v/>
          </cell>
        </row>
        <row r="11613">
          <cell r="B11613" t="str">
            <v>INF767K01FJ4</v>
          </cell>
          <cell r="C11613" t="str">
            <v>-</v>
          </cell>
          <cell r="D11613" t="str">
            <v>LIC MF BSE Sensex Index Fund-Direct Plan-Growth</v>
          </cell>
          <cell r="E11613">
            <v>154.69579999999999</v>
          </cell>
        </row>
        <row r="11614">
          <cell r="B11614" t="str">
            <v>INF767K01FI6</v>
          </cell>
          <cell r="C11614" t="str">
            <v>INF767K01FK2</v>
          </cell>
          <cell r="D11614" t="str">
            <v>LIC MF BSE Sensex Index Fund-Direct Plan-IDCW</v>
          </cell>
          <cell r="E11614">
            <v>51.861400000000003</v>
          </cell>
        </row>
        <row r="11615">
          <cell r="B11615" t="str">
            <v>INF767K01139</v>
          </cell>
          <cell r="C11615" t="str">
            <v>-</v>
          </cell>
          <cell r="D11615" t="str">
            <v>LIC MF BSE Sensex Index Fund-Regular Plan-Growth</v>
          </cell>
          <cell r="E11615">
            <v>143.63730000000001</v>
          </cell>
        </row>
        <row r="11616">
          <cell r="B11616" t="str">
            <v>INF767K01121</v>
          </cell>
          <cell r="C11616" t="str">
            <v>INF767K01113</v>
          </cell>
          <cell r="D11616" t="str">
            <v>LIC MF BSE Sensex Index Fund-Regular Plan-IDCW</v>
          </cell>
          <cell r="E11616">
            <v>49.232700000000001</v>
          </cell>
        </row>
        <row r="11617">
          <cell r="B11617" t="str">
            <v>INF767K01FF2</v>
          </cell>
          <cell r="C11617" t="str">
            <v>-</v>
          </cell>
          <cell r="D11617" t="str">
            <v>LIC MF Nifty 50 Index Fund-Direct Plan-Growth</v>
          </cell>
          <cell r="E11617">
            <v>143.63059999999999</v>
          </cell>
        </row>
        <row r="11618">
          <cell r="B11618" t="str">
            <v>INF767K01FG0</v>
          </cell>
          <cell r="C11618" t="str">
            <v>INF767K01FH8</v>
          </cell>
          <cell r="D11618" t="str">
            <v>LIC MF Nifty 50 Index Fund-Direct Plan-IDCW</v>
          </cell>
          <cell r="E11618">
            <v>52.919600000000003</v>
          </cell>
        </row>
        <row r="11619">
          <cell r="B11619" t="str">
            <v>INF767K01162</v>
          </cell>
          <cell r="C11619" t="str">
            <v>-</v>
          </cell>
          <cell r="D11619" t="str">
            <v>LIC MF Nifty 50 Index Fund-Regular Plan-Growth</v>
          </cell>
          <cell r="E11619">
            <v>132.5932</v>
          </cell>
        </row>
        <row r="11620">
          <cell r="B11620" t="str">
            <v>INF767K01154</v>
          </cell>
          <cell r="C11620" t="str">
            <v>INF767K01147</v>
          </cell>
          <cell r="D11620" t="str">
            <v>LIC MF Nifty 50 Index Fund-Regular Plan-IDCW</v>
          </cell>
          <cell r="E11620">
            <v>48.913200000000003</v>
          </cell>
        </row>
        <row r="11621">
          <cell r="B11621" t="str">
            <v>INF397L01AW2</v>
          </cell>
          <cell r="C11621" t="str">
            <v>-</v>
          </cell>
          <cell r="D11621" t="str">
            <v>LIC MF Nifty Next 50 Index Fund-Direct Plan-Growth</v>
          </cell>
          <cell r="E11621">
            <v>59.288400000000003</v>
          </cell>
        </row>
        <row r="11622">
          <cell r="B11622" t="str">
            <v>INF397L01AY8</v>
          </cell>
          <cell r="C11622" t="str">
            <v>INF397L01AX0</v>
          </cell>
          <cell r="D11622" t="str">
            <v>LIC MF Nifty Next 50 Index Fund-Direct Plan-IDCW</v>
          </cell>
          <cell r="E11622">
            <v>59.2883</v>
          </cell>
        </row>
        <row r="11623">
          <cell r="B11623" t="str">
            <v>INF397L01174</v>
          </cell>
          <cell r="C11623" t="str">
            <v>-</v>
          </cell>
          <cell r="D11623" t="str">
            <v>LIC MF Nifty Next 50 Index Fund-Regular Plan-Growth</v>
          </cell>
          <cell r="E11623">
            <v>53.752699999999997</v>
          </cell>
        </row>
        <row r="11624">
          <cell r="B11624" t="str">
            <v>INF397L01166</v>
          </cell>
          <cell r="C11624" t="str">
            <v>INF397L01182</v>
          </cell>
          <cell r="D11624" t="str">
            <v>LIC MF Nifty Next 50 Index Fund-Regular Plan-IDCW</v>
          </cell>
          <cell r="E11624">
            <v>53.752699999999997</v>
          </cell>
        </row>
        <row r="11625">
          <cell r="B11625" t="str">
            <v/>
          </cell>
          <cell r="C11625" t="str">
            <v/>
          </cell>
          <cell r="D11625" t="str">
            <v/>
          </cell>
        </row>
        <row r="11626">
          <cell r="B11626" t="str">
            <v/>
          </cell>
          <cell r="C11626" t="str">
            <v/>
          </cell>
          <cell r="D11626" t="str">
            <v/>
          </cell>
        </row>
        <row r="11627">
          <cell r="B11627" t="str">
            <v/>
          </cell>
          <cell r="C11627" t="str">
            <v/>
          </cell>
          <cell r="D11627" t="str">
            <v/>
          </cell>
        </row>
        <row r="11628">
          <cell r="B11628" t="str">
            <v>INF769K01IX5</v>
          </cell>
          <cell r="C11628" t="str">
            <v>-</v>
          </cell>
          <cell r="D11628" t="str">
            <v>Mirae Asset CRISIL IBX Gilt Index - April 2033 Index Fund - Direct Plan - Growth</v>
          </cell>
          <cell r="E11628">
            <v>13.483700000000001</v>
          </cell>
        </row>
        <row r="11629">
          <cell r="B11629" t="str">
            <v>INF769K01IW7</v>
          </cell>
          <cell r="C11629" t="str">
            <v>INF769K01IY3</v>
          </cell>
          <cell r="D11629" t="str">
            <v>Mirae Asset CRISIL IBX Gilt Index - April 2033 Index Fund - Direct Plan - IDCW</v>
          </cell>
          <cell r="E11629">
            <v>13.4796</v>
          </cell>
        </row>
        <row r="11630">
          <cell r="B11630" t="str">
            <v>INF769K01IU1</v>
          </cell>
          <cell r="C11630" t="str">
            <v>-</v>
          </cell>
          <cell r="D11630" t="str">
            <v>Mirae Asset CRISIL IBX Gilt Index - April 2033 Index Fund - Regular Plan - Growth</v>
          </cell>
          <cell r="E11630">
            <v>13.338699999999999</v>
          </cell>
        </row>
        <row r="11631">
          <cell r="B11631" t="str">
            <v>INF769K01IT3</v>
          </cell>
          <cell r="C11631" t="str">
            <v>INF769K01IV9</v>
          </cell>
          <cell r="D11631" t="str">
            <v>Mirae Asset CRISIL IBX Gilt Index - April 2033 Index Fund - Regular Plan - IDCW</v>
          </cell>
          <cell r="E11631">
            <v>13.339600000000001</v>
          </cell>
        </row>
        <row r="11632">
          <cell r="B11632" t="str">
            <v>INF769K01OS3</v>
          </cell>
          <cell r="C11632" t="str">
            <v>-</v>
          </cell>
          <cell r="D11632" t="str">
            <v>Mirae Asset CRISIL-IBX Financial Services 9-12 Months Debt Index Fund - Direct Plan - Growth</v>
          </cell>
          <cell r="E11632">
            <v>10.6693</v>
          </cell>
        </row>
        <row r="11633">
          <cell r="B11633" t="str">
            <v>INF769K01OU9</v>
          </cell>
          <cell r="C11633" t="str">
            <v>INF769K01OT1</v>
          </cell>
          <cell r="D11633" t="str">
            <v>Mirae Asset CRISIL-IBX Financial Services 9-12 Months Debt Index Fund - Direct Plan - IDCW</v>
          </cell>
          <cell r="E11633">
            <v>10.668200000000001</v>
          </cell>
        </row>
        <row r="11634">
          <cell r="B11634" t="str">
            <v>INF769K01OP9</v>
          </cell>
          <cell r="C11634" t="str">
            <v>-</v>
          </cell>
          <cell r="D11634" t="str">
            <v>Mirae Asset CRISIL-IBX Financial Services 9-12 Months Debt Index Fund - Regular Plan - Growth</v>
          </cell>
          <cell r="E11634">
            <v>10.6473</v>
          </cell>
        </row>
        <row r="11635">
          <cell r="B11635" t="str">
            <v>INF769K01OR5</v>
          </cell>
          <cell r="C11635" t="str">
            <v>INF769K01OQ7</v>
          </cell>
          <cell r="D11635" t="str">
            <v>Mirae Asset CRISIL-IBX Financial Services 9-12 Months Debt Index Fund - Regular Plan - IDCW</v>
          </cell>
          <cell r="E11635">
            <v>10.647500000000001</v>
          </cell>
        </row>
        <row r="11636">
          <cell r="B11636" t="str">
            <v>INF769K01MQ1</v>
          </cell>
          <cell r="C11636" t="str">
            <v>-</v>
          </cell>
          <cell r="D11636" t="str">
            <v>Mirae Asset Nifty 50 Index Fund - Direct Plan - Growth</v>
          </cell>
          <cell r="E11636">
            <v>9.9986999999999995</v>
          </cell>
        </row>
        <row r="11637">
          <cell r="B11637" t="str">
            <v>INF769K01MN8</v>
          </cell>
          <cell r="C11637" t="str">
            <v>INF769K01MM0</v>
          </cell>
          <cell r="D11637" t="str">
            <v>Mirae Asset Nifty 50 Index Fund - Direct Plan - IDCW</v>
          </cell>
          <cell r="E11637">
            <v>9.9989000000000008</v>
          </cell>
        </row>
        <row r="11638">
          <cell r="B11638" t="str">
            <v>INF769K01MO6</v>
          </cell>
          <cell r="C11638" t="str">
            <v>-</v>
          </cell>
          <cell r="D11638" t="str">
            <v>Mirae Asset Nifty 50 Index Fund - Regular Plan - Growth</v>
          </cell>
          <cell r="E11638">
            <v>9.8890999999999991</v>
          </cell>
        </row>
        <row r="11639">
          <cell r="B11639" t="str">
            <v>INF769K01MP3</v>
          </cell>
          <cell r="C11639" t="str">
            <v>INF769K01MR9</v>
          </cell>
          <cell r="D11639" t="str">
            <v>Mirae Asset Nifty 50 Index Fund - Regular Plan - IDCW</v>
          </cell>
          <cell r="E11639">
            <v>9.8908000000000005</v>
          </cell>
        </row>
        <row r="11640">
          <cell r="B11640" t="str">
            <v>INF769K01MJ6</v>
          </cell>
          <cell r="C11640" t="str">
            <v>-</v>
          </cell>
          <cell r="D11640" t="str">
            <v>Mirae Asset Nifty LargeMidcap 250 Index Fund - Direct Plan - Growth</v>
          </cell>
          <cell r="E11640">
            <v>10.5312</v>
          </cell>
        </row>
        <row r="11641">
          <cell r="B11641" t="str">
            <v>INF769K01ML2</v>
          </cell>
          <cell r="C11641" t="str">
            <v>INF769K01MK4</v>
          </cell>
          <cell r="D11641" t="str">
            <v>Mirae Asset Nifty LargeMidcap 250 Index Fund - Direct Plan - IDCW</v>
          </cell>
          <cell r="E11641">
            <v>10.5321</v>
          </cell>
        </row>
        <row r="11642">
          <cell r="B11642" t="str">
            <v>INF769K01MG2</v>
          </cell>
          <cell r="C11642" t="str">
            <v>-</v>
          </cell>
          <cell r="D11642" t="str">
            <v>Mirae Asset Nifty LargeMidcap 250 Index Fund - Regular Plan - Growth</v>
          </cell>
          <cell r="E11642">
            <v>10.414300000000001</v>
          </cell>
        </row>
        <row r="11643">
          <cell r="B11643" t="str">
            <v>INF769K01MI8</v>
          </cell>
          <cell r="C11643" t="str">
            <v>INF769K01MH0</v>
          </cell>
          <cell r="D11643" t="str">
            <v>Mirae Asset Nifty LargeMidcap 250 Index Fund - Regular Plan - IDCW</v>
          </cell>
          <cell r="E11643">
            <v>10.4137</v>
          </cell>
        </row>
        <row r="11644">
          <cell r="B11644" t="str">
            <v>INF769K01IG0</v>
          </cell>
          <cell r="C11644" t="str">
            <v>INF769K01II6</v>
          </cell>
          <cell r="D11644" t="str">
            <v>Mirae Asset Nifty SDL Jun 2027 Index Fund - Direct Plan - IDCW</v>
          </cell>
          <cell r="E11644">
            <v>13.1739</v>
          </cell>
        </row>
        <row r="11645">
          <cell r="B11645" t="str">
            <v>INF769K01IE5</v>
          </cell>
          <cell r="C11645" t="str">
            <v>-</v>
          </cell>
          <cell r="D11645" t="str">
            <v>Mirae Asset Nifty SDL Jun 2027 Index Fund - Regular Plan - Growth</v>
          </cell>
          <cell r="E11645">
            <v>13.081799999999999</v>
          </cell>
        </row>
        <row r="11646">
          <cell r="B11646" t="str">
            <v>INF769K01ID7</v>
          </cell>
          <cell r="C11646" t="str">
            <v>INF769K01IF2</v>
          </cell>
          <cell r="D11646" t="str">
            <v>Mirae Asset Nifty SDL Jun 2027 Index Fund - Regular Plan - IDCW</v>
          </cell>
          <cell r="E11646">
            <v>13.0824</v>
          </cell>
        </row>
        <row r="11647">
          <cell r="B11647" t="str">
            <v>INF769K01IH8</v>
          </cell>
          <cell r="C11647" t="str">
            <v>-</v>
          </cell>
          <cell r="D11647" t="str">
            <v>Mirae Asset Nifty SDL Jun 2027 Index Fund -Direct Plan - Growth</v>
          </cell>
          <cell r="E11647">
            <v>13.173400000000001</v>
          </cell>
        </row>
        <row r="11648">
          <cell r="B11648" t="str">
            <v>INF769K01JZ8</v>
          </cell>
          <cell r="C11648" t="str">
            <v>-</v>
          </cell>
          <cell r="D11648" t="str">
            <v>Mirae Asset Nifty SDL June 2028 Index Fund - Direct Plan - Growth</v>
          </cell>
          <cell r="E11648">
            <v>12.775399999999999</v>
          </cell>
        </row>
        <row r="11649">
          <cell r="B11649" t="str">
            <v>INF769K01JY1</v>
          </cell>
          <cell r="C11649" t="str">
            <v>INF769K01KA9</v>
          </cell>
          <cell r="D11649" t="str">
            <v>Mirae Asset Nifty SDL June 2028 Index Fund - Direct Plan - IDCW</v>
          </cell>
          <cell r="E11649">
            <v>12.7745</v>
          </cell>
        </row>
        <row r="11650">
          <cell r="B11650" t="str">
            <v>INF769K01JV7</v>
          </cell>
          <cell r="C11650" t="str">
            <v>INF769K01JX3</v>
          </cell>
          <cell r="D11650" t="str">
            <v>Mirae Asset Nifty SDL June 2028 Index Fund - Regular Plan - IDCW</v>
          </cell>
          <cell r="E11650">
            <v>12.6187</v>
          </cell>
        </row>
        <row r="11651">
          <cell r="B11651" t="str">
            <v>INF769K01JW5</v>
          </cell>
          <cell r="C11651" t="str">
            <v>-</v>
          </cell>
          <cell r="D11651" t="str">
            <v>Mirae Asset Nifty SDL June 2028 Index Fund -Regular Plan - Growth</v>
          </cell>
          <cell r="E11651">
            <v>12.618399999999999</v>
          </cell>
        </row>
        <row r="11652">
          <cell r="B11652" t="str">
            <v>INF769K01MD9</v>
          </cell>
          <cell r="C11652" t="str">
            <v>-</v>
          </cell>
          <cell r="D11652" t="str">
            <v>Mirae Asset Nifty Total Market Index Fund - Direct Plan - Growth</v>
          </cell>
          <cell r="E11652">
            <v>10.3619</v>
          </cell>
        </row>
        <row r="11653">
          <cell r="B11653" t="str">
            <v>INF769K01ME7</v>
          </cell>
          <cell r="C11653" t="str">
            <v>INF769K01MF4</v>
          </cell>
          <cell r="D11653" t="str">
            <v>Mirae Asset Nifty Total Market Index Fund - Direct Plan - IDCW</v>
          </cell>
          <cell r="E11653">
            <v>10.361599999999999</v>
          </cell>
        </row>
        <row r="11654">
          <cell r="B11654" t="str">
            <v>INF769K01MA5</v>
          </cell>
          <cell r="C11654" t="str">
            <v>-</v>
          </cell>
          <cell r="D11654" t="str">
            <v>Mirae Asset Nifty Total Market Index Fund - Regular Plan - Growth</v>
          </cell>
          <cell r="E11654">
            <v>10.239000000000001</v>
          </cell>
        </row>
        <row r="11655">
          <cell r="B11655" t="str">
            <v>INF769K01MB3</v>
          </cell>
          <cell r="C11655" t="str">
            <v>INF769K01MC1</v>
          </cell>
          <cell r="D11655" t="str">
            <v>Mirae Asset Nifty Total Market Index Fund - Regular Plan - IDCW</v>
          </cell>
          <cell r="E11655">
            <v>10.2387</v>
          </cell>
        </row>
        <row r="11656">
          <cell r="B11656" t="str">
            <v/>
          </cell>
          <cell r="C11656" t="str">
            <v/>
          </cell>
          <cell r="D11656" t="str">
            <v/>
          </cell>
        </row>
        <row r="11657">
          <cell r="B11657" t="str">
            <v/>
          </cell>
          <cell r="C11657" t="str">
            <v/>
          </cell>
          <cell r="D11657" t="str">
            <v/>
          </cell>
        </row>
        <row r="11658">
          <cell r="B11658" t="str">
            <v/>
          </cell>
          <cell r="C11658" t="str">
            <v/>
          </cell>
          <cell r="D11658" t="str">
            <v/>
          </cell>
        </row>
        <row r="11659">
          <cell r="B11659" t="str">
            <v>INF247L01FM9</v>
          </cell>
          <cell r="C11659" t="str">
            <v>-</v>
          </cell>
          <cell r="D11659" t="str">
            <v>Motilal Oswal BSE 1000 Index Fund - Direct Plan - Growth</v>
          </cell>
          <cell r="E11659">
            <v>10.0152</v>
          </cell>
        </row>
        <row r="11660">
          <cell r="B11660" t="str">
            <v>INF247L01FN7</v>
          </cell>
          <cell r="C11660" t="str">
            <v>-</v>
          </cell>
          <cell r="D11660" t="str">
            <v>Motilal Oswal BSE 1000 Index Fund - Regular Plan - Growth</v>
          </cell>
          <cell r="E11660">
            <v>9.9382999999999999</v>
          </cell>
        </row>
        <row r="11661">
          <cell r="B11661" t="str">
            <v>INF247L01HC6</v>
          </cell>
          <cell r="C11661" t="str">
            <v>-</v>
          </cell>
          <cell r="D11661" t="str">
            <v>Motilal Oswal BSE Clean Environment Index Fund - Direct</v>
          </cell>
          <cell r="E11661">
            <v>9.6414000000000009</v>
          </cell>
        </row>
        <row r="11662">
          <cell r="B11662" t="str">
            <v>INF247L01HD4</v>
          </cell>
          <cell r="C11662" t="str">
            <v>-</v>
          </cell>
          <cell r="D11662" t="str">
            <v>Motilal Oswal BSE Clean Environment Index Fund - Growth</v>
          </cell>
          <cell r="E11662">
            <v>9.6366999999999994</v>
          </cell>
        </row>
        <row r="11663">
          <cell r="B11663" t="str">
            <v>INF247L01BF2</v>
          </cell>
          <cell r="C11663" t="str">
            <v>-</v>
          </cell>
          <cell r="D11663" t="str">
            <v>Motilal Oswal BSE Enhanced Value Index Fund-Direct plan</v>
          </cell>
          <cell r="E11663">
            <v>27.6248</v>
          </cell>
        </row>
        <row r="11664">
          <cell r="B11664" t="str">
            <v>INF247L01BG0</v>
          </cell>
          <cell r="C11664" t="str">
            <v>-</v>
          </cell>
          <cell r="D11664" t="str">
            <v>Motilal Oswal BSE Enhanced Value Index Fund-Regular plan</v>
          </cell>
          <cell r="E11664">
            <v>26.901199999999999</v>
          </cell>
        </row>
        <row r="11665">
          <cell r="B11665" t="str">
            <v>INF247L01BC9</v>
          </cell>
          <cell r="C11665" t="str">
            <v>-</v>
          </cell>
          <cell r="D11665" t="str">
            <v>Motilal Oswal BSE Financials ex Bank 30 Index Fund Direct Growth</v>
          </cell>
          <cell r="E11665">
            <v>17.715599999999998</v>
          </cell>
        </row>
        <row r="11666">
          <cell r="B11666" t="str">
            <v>INF247L01BD7</v>
          </cell>
          <cell r="C11666" t="str">
            <v>-</v>
          </cell>
          <cell r="D11666" t="str">
            <v>Motilal Oswal BSE Financials ex Bank 30 Index Fund Regular Growth</v>
          </cell>
          <cell r="E11666">
            <v>17.2392</v>
          </cell>
        </row>
        <row r="11667">
          <cell r="B11667" t="str">
            <v>INF247L01AY5</v>
          </cell>
          <cell r="C11667" t="str">
            <v>-</v>
          </cell>
          <cell r="D11667" t="str">
            <v>Motilal Oswal BSE Low Volatility Index Fund-Direct plan</v>
          </cell>
          <cell r="E11667">
            <v>16.380500000000001</v>
          </cell>
        </row>
        <row r="11668">
          <cell r="B11668" t="str">
            <v>INF247L01AZ2</v>
          </cell>
          <cell r="C11668" t="str">
            <v>-</v>
          </cell>
          <cell r="D11668" t="str">
            <v>Motilal Oswal BSE Low Volatility Index Fund-Regular plan</v>
          </cell>
          <cell r="E11668">
            <v>15.9222</v>
          </cell>
        </row>
        <row r="11669">
          <cell r="B11669" t="str">
            <v>INF247L01BI6</v>
          </cell>
          <cell r="C11669" t="str">
            <v>-</v>
          </cell>
          <cell r="D11669" t="str">
            <v>Motilal Oswal BSE Quality Index Fund-Direct plan</v>
          </cell>
          <cell r="E11669">
            <v>17.665500000000002</v>
          </cell>
        </row>
        <row r="11670">
          <cell r="B11670" t="str">
            <v>INF247L01BJ4</v>
          </cell>
          <cell r="C11670" t="str">
            <v>-</v>
          </cell>
          <cell r="D11670" t="str">
            <v>Motilal Oswal BSE Quality Index Fund-Regular plan</v>
          </cell>
          <cell r="E11670">
            <v>17.197500000000002</v>
          </cell>
        </row>
        <row r="11671">
          <cell r="B11671" t="str">
            <v>INF247L01AV1</v>
          </cell>
          <cell r="C11671" t="str">
            <v>-</v>
          </cell>
          <cell r="D11671" t="str">
            <v>Motilal Oswal Nifty 200 Momentum 30 Index Fund-Direct Plan</v>
          </cell>
          <cell r="E11671">
            <v>15.242000000000001</v>
          </cell>
        </row>
        <row r="11672">
          <cell r="B11672" t="str">
            <v>INF247L01AW9</v>
          </cell>
          <cell r="C11672" t="str">
            <v>-</v>
          </cell>
          <cell r="D11672" t="str">
            <v>Motilal Oswal Nifty 200 Momentum 30 Index Fund-Regular Plan</v>
          </cell>
          <cell r="E11672">
            <v>14.7883</v>
          </cell>
        </row>
        <row r="11673">
          <cell r="B11673" t="str">
            <v>INF247L01AE7</v>
          </cell>
          <cell r="C11673" t="str">
            <v>-</v>
          </cell>
          <cell r="D11673" t="str">
            <v>Motilal Oswal Nifty 50 Index Fund - Direct plan - Growth</v>
          </cell>
          <cell r="E11673">
            <v>20.915900000000001</v>
          </cell>
        </row>
        <row r="11674">
          <cell r="B11674" t="str">
            <v>INF247L01AF4</v>
          </cell>
          <cell r="C11674" t="str">
            <v>-</v>
          </cell>
          <cell r="D11674" t="str">
            <v>Motilal Oswal Nifty 50 Index Fund - Regular plan - Growth</v>
          </cell>
          <cell r="E11674">
            <v>20.358799999999999</v>
          </cell>
        </row>
        <row r="11675">
          <cell r="B11675" t="str">
            <v>INF247L01957</v>
          </cell>
          <cell r="C11675" t="str">
            <v>-</v>
          </cell>
          <cell r="D11675" t="str">
            <v>Motilal Oswal Nifty 500 Index Fund - Direct Plan</v>
          </cell>
          <cell r="E11675">
            <v>27.0152</v>
          </cell>
        </row>
        <row r="11676">
          <cell r="B11676" t="str">
            <v>INF247L01940</v>
          </cell>
          <cell r="C11676" t="str">
            <v>-</v>
          </cell>
          <cell r="D11676" t="str">
            <v>Motilal Oswal Nifty 500 Index Fund - Regular Plan</v>
          </cell>
          <cell r="E11676">
            <v>25.783799999999999</v>
          </cell>
        </row>
        <row r="11677">
          <cell r="B11677" t="str">
            <v>INF247L01DL6</v>
          </cell>
          <cell r="C11677" t="str">
            <v>-</v>
          </cell>
          <cell r="D11677" t="str">
            <v>Motilal Oswal Nifty 500 Momentum 50 Index Fund-Direct Plan-Growth</v>
          </cell>
          <cell r="E11677">
            <v>8.2821999999999996</v>
          </cell>
        </row>
        <row r="11678">
          <cell r="B11678" t="str">
            <v>INF247L01DM4</v>
          </cell>
          <cell r="C11678" t="str">
            <v>-</v>
          </cell>
          <cell r="D11678" t="str">
            <v>Motilal Oswal Nifty 500 Momentum 50 Index Fund-Regular Plan-Growth</v>
          </cell>
          <cell r="E11678">
            <v>8.1791</v>
          </cell>
        </row>
        <row r="11679">
          <cell r="B11679" t="str">
            <v>INF247L01882</v>
          </cell>
          <cell r="C11679" t="str">
            <v>-</v>
          </cell>
          <cell r="D11679" t="str">
            <v>Motilal Oswal Nifty Bank Index - Regular Plan</v>
          </cell>
          <cell r="E11679">
            <v>20.2194</v>
          </cell>
        </row>
        <row r="11680">
          <cell r="B11680" t="str">
            <v>INF247L01890</v>
          </cell>
          <cell r="C11680" t="str">
            <v>-</v>
          </cell>
          <cell r="D11680" t="str">
            <v>Motilal Oswal Nifty Bank Index Fund - Direct Plan</v>
          </cell>
          <cell r="E11680">
            <v>21.238199999999999</v>
          </cell>
        </row>
        <row r="11681">
          <cell r="B11681" t="str">
            <v>INF247L01EB5</v>
          </cell>
          <cell r="C11681" t="str">
            <v>-</v>
          </cell>
          <cell r="D11681" t="str">
            <v>Motilal Oswal Nifty Capital Market Index Fund - Direct Plan - Growth</v>
          </cell>
          <cell r="E11681">
            <v>12.677300000000001</v>
          </cell>
        </row>
        <row r="11682">
          <cell r="B11682" t="str">
            <v>INF247L01EC3</v>
          </cell>
          <cell r="C11682" t="str">
            <v>-</v>
          </cell>
          <cell r="D11682" t="str">
            <v>Motilal Oswal Nifty Capital Market Index Fund - Regular Plan - Growth</v>
          </cell>
          <cell r="E11682">
            <v>12.5467</v>
          </cell>
        </row>
        <row r="11683">
          <cell r="B11683" t="str">
            <v>INF247L01CW5</v>
          </cell>
          <cell r="C11683" t="str">
            <v>-</v>
          </cell>
          <cell r="D11683" t="str">
            <v>Motilal Oswal Nifty India Defence Index Fund Direct Plan Growth</v>
          </cell>
          <cell r="E11683">
            <v>12.3474</v>
          </cell>
        </row>
        <row r="11684">
          <cell r="B11684" t="str">
            <v>INF247L01CV7</v>
          </cell>
          <cell r="C11684" t="str">
            <v>-</v>
          </cell>
          <cell r="D11684" t="str">
            <v>Motilal Oswal Nifty India Defence Index Fund Regular Plan Growth</v>
          </cell>
          <cell r="E11684">
            <v>12.1736</v>
          </cell>
        </row>
        <row r="11685">
          <cell r="B11685" t="str">
            <v>INF247L01BQ9</v>
          </cell>
          <cell r="C11685" t="str">
            <v>-</v>
          </cell>
          <cell r="D11685" t="str">
            <v>Motilal Oswal Nifty Microcap 250 Index Fund- Direct- Growth Option</v>
          </cell>
          <cell r="E11685">
            <v>18.254899999999999</v>
          </cell>
        </row>
        <row r="11686">
          <cell r="B11686" t="str">
            <v>INF247L01BR7</v>
          </cell>
          <cell r="C11686" t="str">
            <v>-</v>
          </cell>
          <cell r="D11686" t="str">
            <v>Motilal Oswal Nifty Microcap 250 Index Fund- Regular- Growth Option</v>
          </cell>
          <cell r="E11686">
            <v>17.905799999999999</v>
          </cell>
        </row>
        <row r="11687">
          <cell r="B11687" t="str">
            <v>INF247L01916</v>
          </cell>
          <cell r="C11687" t="str">
            <v>-</v>
          </cell>
          <cell r="D11687" t="str">
            <v>Motilal Oswal Nifty Midcap 150 Index Fund - Direct Plan</v>
          </cell>
          <cell r="E11687">
            <v>41.577599999999997</v>
          </cell>
        </row>
        <row r="11688">
          <cell r="B11688" t="str">
            <v>INF247L01908</v>
          </cell>
          <cell r="C11688" t="str">
            <v>-</v>
          </cell>
          <cell r="D11688" t="str">
            <v>Motilal Oswal Nifty Midcap 150 Index Fund - Regular Plan</v>
          </cell>
          <cell r="E11688">
            <v>39.537199999999999</v>
          </cell>
        </row>
        <row r="11689">
          <cell r="B11689" t="str">
            <v>INF247L01DW3</v>
          </cell>
          <cell r="C11689" t="str">
            <v>-</v>
          </cell>
          <cell r="D11689" t="str">
            <v>Motilal Oswal Nifty MidSmall Financial Services Index Fund - Direct Plan- Growth</v>
          </cell>
          <cell r="E11689">
            <v>14.4468</v>
          </cell>
        </row>
        <row r="11690">
          <cell r="B11690" t="str">
            <v>INF247L01DX1</v>
          </cell>
          <cell r="C11690" t="str">
            <v>-</v>
          </cell>
          <cell r="D11690" t="str">
            <v>Motilal Oswal Nifty MidSmall Financial Services Index Fund-Regular Plan-Growth</v>
          </cell>
          <cell r="E11690">
            <v>14.3323</v>
          </cell>
        </row>
        <row r="11691">
          <cell r="B11691" t="str">
            <v>INF247L01EA7</v>
          </cell>
          <cell r="C11691" t="str">
            <v>-</v>
          </cell>
          <cell r="D11691" t="str">
            <v>Motilal Oswal Nifty MidSmall Healthcare Index Fund- Direct Plan-Growth</v>
          </cell>
          <cell r="E11691">
            <v>12.2493</v>
          </cell>
        </row>
        <row r="11692">
          <cell r="B11692" t="str">
            <v>INF247L01DT9</v>
          </cell>
          <cell r="C11692" t="str">
            <v>-</v>
          </cell>
          <cell r="D11692" t="str">
            <v>Motilal Oswal Nifty MidSmall Healthcare Index Fund-Regular Plan-Growth</v>
          </cell>
          <cell r="E11692">
            <v>12.153600000000001</v>
          </cell>
        </row>
        <row r="11693">
          <cell r="B11693" t="str">
            <v>INF247L01DU7</v>
          </cell>
          <cell r="C11693" t="str">
            <v>-</v>
          </cell>
          <cell r="D11693" t="str">
            <v>Motilal Oswal Nifty MidSmall India Consumption Index Fund - Direct Plan- Growth</v>
          </cell>
          <cell r="E11693">
            <v>9.8771000000000004</v>
          </cell>
        </row>
        <row r="11694">
          <cell r="B11694" t="str">
            <v>INF247L01DV5</v>
          </cell>
          <cell r="C11694" t="str">
            <v>-</v>
          </cell>
          <cell r="D11694" t="str">
            <v>Motilal Oswal Nifty MidSmall India Consumption Index Fund-Regular Plan-Growth</v>
          </cell>
          <cell r="E11694">
            <v>9.7989999999999995</v>
          </cell>
        </row>
        <row r="11695">
          <cell r="B11695" t="str">
            <v>INF247L01DY9</v>
          </cell>
          <cell r="C11695" t="str">
            <v>-</v>
          </cell>
          <cell r="D11695" t="str">
            <v>Motilal Oswal Nifty MidSmall IT and Telecom Index Fund - Direct Plan- Growth</v>
          </cell>
          <cell r="E11695">
            <v>9.0790000000000006</v>
          </cell>
        </row>
        <row r="11696">
          <cell r="B11696" t="str">
            <v>INF247L01DZ6</v>
          </cell>
          <cell r="C11696" t="str">
            <v>-</v>
          </cell>
          <cell r="D11696" t="str">
            <v>Motilal Oswal Nifty MidSmall IT and Telecom Index Fund-Regular Plan-Growth</v>
          </cell>
          <cell r="E11696">
            <v>9.0065000000000008</v>
          </cell>
        </row>
        <row r="11697">
          <cell r="B11697" t="str">
            <v>INF247L01AC1</v>
          </cell>
          <cell r="C11697" t="str">
            <v>-</v>
          </cell>
          <cell r="D11697" t="str">
            <v>Motilal Oswal Nifty Next 50 Index Fund - Direct plan - Growth</v>
          </cell>
          <cell r="E11697">
            <v>25.944800000000001</v>
          </cell>
        </row>
        <row r="11698">
          <cell r="B11698" t="str">
            <v>INF247L01AD9</v>
          </cell>
          <cell r="C11698" t="str">
            <v>-</v>
          </cell>
          <cell r="D11698" t="str">
            <v>Motilal Oswal Nifty Next 50 Index Fund - Regular plan - Growth</v>
          </cell>
          <cell r="E11698">
            <v>24.797699999999999</v>
          </cell>
        </row>
        <row r="11699">
          <cell r="B11699" t="str">
            <v>INF247L01924</v>
          </cell>
          <cell r="C11699" t="str">
            <v>-</v>
          </cell>
          <cell r="D11699" t="str">
            <v>Motilal Oswal Nifty Smallcap 250 Index - Regular Plan</v>
          </cell>
          <cell r="E11699">
            <v>38.135100000000001</v>
          </cell>
        </row>
        <row r="11700">
          <cell r="B11700" t="str">
            <v>INF247L01932</v>
          </cell>
          <cell r="C11700" t="str">
            <v>-</v>
          </cell>
          <cell r="D11700" t="str">
            <v>Motilal Oswal Nifty Smallcap 250 Index Fund- Direct Plan</v>
          </cell>
          <cell r="E11700">
            <v>40.000500000000002</v>
          </cell>
        </row>
        <row r="11701">
          <cell r="B11701" t="str">
            <v>INF247L01AG2</v>
          </cell>
          <cell r="C11701" t="str">
            <v>-</v>
          </cell>
          <cell r="D11701" t="str">
            <v>Motilal Oswal S&amp;P 500 Index Fund - Direct Plan Growth</v>
          </cell>
          <cell r="E11701">
            <v>33.409300000000002</v>
          </cell>
        </row>
        <row r="11702">
          <cell r="B11702" t="str">
            <v>INF247L01AH0</v>
          </cell>
          <cell r="C11702" t="str">
            <v>-</v>
          </cell>
          <cell r="D11702" t="str">
            <v>Motilal Oswal S&amp;P 500 Index Fund - Regular Plan Growth</v>
          </cell>
          <cell r="E11702">
            <v>32.237699999999997</v>
          </cell>
        </row>
        <row r="11703">
          <cell r="B11703" t="str">
            <v/>
          </cell>
          <cell r="C11703" t="str">
            <v/>
          </cell>
          <cell r="D11703" t="str">
            <v/>
          </cell>
        </row>
        <row r="11704">
          <cell r="B11704" t="str">
            <v/>
          </cell>
          <cell r="C11704" t="str">
            <v/>
          </cell>
          <cell r="D11704" t="str">
            <v/>
          </cell>
        </row>
        <row r="11705">
          <cell r="B11705" t="str">
            <v/>
          </cell>
          <cell r="C11705" t="str">
            <v/>
          </cell>
          <cell r="D11705" t="str">
            <v/>
          </cell>
        </row>
        <row r="11706">
          <cell r="B11706" t="str">
            <v>INF959L01HK9</v>
          </cell>
          <cell r="C11706" t="str">
            <v>-</v>
          </cell>
          <cell r="D11706" t="str">
            <v>NAVI BSE SENSEX INDEX FUND - DIRECT PLAN - GROWTH</v>
          </cell>
          <cell r="E11706">
            <v>11.954499999999999</v>
          </cell>
        </row>
        <row r="11707">
          <cell r="B11707" t="str">
            <v>INF959L01HJ1</v>
          </cell>
          <cell r="C11707" t="str">
            <v>-</v>
          </cell>
          <cell r="D11707" t="str">
            <v>NAVI BSE SENSEX INDEX FUND - REGULAR PLAN - GROWTH</v>
          </cell>
          <cell r="E11707">
            <v>11.723800000000001</v>
          </cell>
        </row>
        <row r="11708">
          <cell r="B11708" t="str">
            <v>INF959L01FP2</v>
          </cell>
          <cell r="C11708" t="str">
            <v>-</v>
          </cell>
          <cell r="D11708" t="str">
            <v>Navi Nifty 50 Index Fund-Direct Plan-Growth</v>
          </cell>
          <cell r="E11708">
            <v>15.8215</v>
          </cell>
        </row>
        <row r="11709">
          <cell r="B11709" t="str">
            <v>INF959L01FQ0</v>
          </cell>
          <cell r="C11709" t="str">
            <v>-</v>
          </cell>
          <cell r="D11709" t="str">
            <v>Navi Nifty 50 Index Fund-Regular Plan-Growth</v>
          </cell>
          <cell r="E11709">
            <v>15.6591</v>
          </cell>
        </row>
        <row r="11710">
          <cell r="B11710" t="str">
            <v>INF959L01HO1</v>
          </cell>
          <cell r="C11710" t="str">
            <v>-</v>
          </cell>
          <cell r="D11710" t="str">
            <v>NAVI NIFTY 500 MULTICAP 50-25-25 DIRECT PLAN</v>
          </cell>
          <cell r="E11710">
            <v>10.136200000000001</v>
          </cell>
        </row>
        <row r="11711">
          <cell r="B11711" t="str">
            <v>INF959L01HN3</v>
          </cell>
          <cell r="C11711" t="str">
            <v>-</v>
          </cell>
          <cell r="D11711" t="str">
            <v>NAVI NIFTY 500 MULTICAP 50-25-25 REGULAR PLAN</v>
          </cell>
          <cell r="E11711">
            <v>10.000400000000001</v>
          </cell>
        </row>
        <row r="11712">
          <cell r="B11712" t="str">
            <v>INF959L01FT4</v>
          </cell>
          <cell r="C11712" t="str">
            <v>-</v>
          </cell>
          <cell r="D11712" t="str">
            <v>Navi Nifty Bank Index Fund- Direct Plan- Growth</v>
          </cell>
          <cell r="E11712">
            <v>15.0587</v>
          </cell>
        </row>
        <row r="11713">
          <cell r="B11713" t="str">
            <v>INF959L01FU2</v>
          </cell>
          <cell r="C11713" t="str">
            <v>-</v>
          </cell>
          <cell r="D11713" t="str">
            <v>Navi Nifty Bank Index Fund- Regular Plan- Growth</v>
          </cell>
          <cell r="E11713">
            <v>14.5733</v>
          </cell>
        </row>
        <row r="11714">
          <cell r="B11714" t="str">
            <v>INF959L01GD6</v>
          </cell>
          <cell r="C11714" t="str">
            <v>-</v>
          </cell>
          <cell r="D11714" t="str">
            <v>Navi Nifty India Manufacturing Index Fund- Direct Plan- Growth</v>
          </cell>
          <cell r="E11714">
            <v>19.462499999999999</v>
          </cell>
        </row>
        <row r="11715">
          <cell r="B11715" t="str">
            <v>INF959L01GE4</v>
          </cell>
          <cell r="C11715" t="str">
            <v>-</v>
          </cell>
          <cell r="D11715" t="str">
            <v>Navi Nifty India Manufacturing Index Fund- Regular Plan- Growth</v>
          </cell>
          <cell r="E11715">
            <v>18.8901</v>
          </cell>
        </row>
        <row r="11716">
          <cell r="B11716" t="str">
            <v>INF959L01FX6</v>
          </cell>
          <cell r="C11716" t="str">
            <v>-</v>
          </cell>
          <cell r="D11716" t="str">
            <v>Navi Nifty Midcap 150 Index Fund Direct Plan- Growth</v>
          </cell>
          <cell r="E11716">
            <v>21.705300000000001</v>
          </cell>
        </row>
        <row r="11717">
          <cell r="B11717" t="str">
            <v>INF959L01FY4</v>
          </cell>
          <cell r="C11717" t="str">
            <v>-</v>
          </cell>
          <cell r="D11717" t="str">
            <v>Navi Nifty Midcap 150 Index Fund Regular Plan- Growth</v>
          </cell>
          <cell r="E11717">
            <v>20.918900000000001</v>
          </cell>
        </row>
        <row r="11718">
          <cell r="B11718" t="str">
            <v>INF959L01HS2</v>
          </cell>
          <cell r="C11718" t="str">
            <v>-</v>
          </cell>
          <cell r="D11718" t="str">
            <v>Navi Nifty Midsmall 400 Index Fund - Regular - Growth</v>
          </cell>
          <cell r="E11718">
            <v>10.6257</v>
          </cell>
        </row>
        <row r="11719">
          <cell r="B11719" t="str">
            <v>INF959L01HR4</v>
          </cell>
          <cell r="C11719" t="str">
            <v>-</v>
          </cell>
          <cell r="D11719" t="str">
            <v>Navi Nifty midsmallcap 400 Index Fund- Direct - Growth</v>
          </cell>
          <cell r="E11719">
            <v>10.6813</v>
          </cell>
        </row>
        <row r="11720">
          <cell r="B11720" t="str">
            <v>INF959L01FR8</v>
          </cell>
          <cell r="C11720" t="str">
            <v>-</v>
          </cell>
          <cell r="D11720" t="str">
            <v>Navi Nifty Next 50 Index Fund- Direct Plan- Growth</v>
          </cell>
          <cell r="E11720">
            <v>17.208100000000002</v>
          </cell>
        </row>
        <row r="11721">
          <cell r="B11721" t="str">
            <v>INF959L01FS6</v>
          </cell>
          <cell r="C11721" t="str">
            <v>-</v>
          </cell>
          <cell r="D11721" t="str">
            <v>Navi Nifty Next 50 Index Fund- Regular Plan- Growth</v>
          </cell>
          <cell r="E11721">
            <v>16.7773</v>
          </cell>
        </row>
        <row r="11722">
          <cell r="B11722" t="str">
            <v>INF959L01HQ6</v>
          </cell>
          <cell r="C11722" t="str">
            <v>-</v>
          </cell>
          <cell r="D11722" t="str">
            <v>Navi Nifty Smallcap 250 Momentum quality index fund- Direct Plan</v>
          </cell>
          <cell r="E11722">
            <v>11.9094</v>
          </cell>
        </row>
        <row r="11723">
          <cell r="B11723" t="str">
            <v>INF959L01HP8</v>
          </cell>
          <cell r="C11723" t="str">
            <v>-</v>
          </cell>
          <cell r="D11723" t="str">
            <v>Navi Nifty Smallcap 250 Momentum quality index fund- Regular Plan</v>
          </cell>
          <cell r="E11723">
            <v>11.7996</v>
          </cell>
        </row>
        <row r="11724">
          <cell r="B11724" t="str">
            <v>INF959L01HM5</v>
          </cell>
          <cell r="C11724" t="str">
            <v>-</v>
          </cell>
          <cell r="D11724" t="str">
            <v>Navi NiftyIT Index Fund - Direct Plan- Growth</v>
          </cell>
          <cell r="E11724">
            <v>8.5280000000000005</v>
          </cell>
        </row>
        <row r="11725">
          <cell r="B11725" t="str">
            <v>INF959L01HL7</v>
          </cell>
          <cell r="C11725" t="str">
            <v>-</v>
          </cell>
          <cell r="D11725" t="str">
            <v>Navi NiftyIT Index Fund - Regular Plan -Growth</v>
          </cell>
          <cell r="E11725">
            <v>8.3873999999999995</v>
          </cell>
        </row>
        <row r="11726">
          <cell r="B11726" t="str">
            <v/>
          </cell>
          <cell r="C11726" t="str">
            <v/>
          </cell>
          <cell r="D11726" t="str">
            <v/>
          </cell>
        </row>
        <row r="11727">
          <cell r="B11727" t="str">
            <v/>
          </cell>
          <cell r="C11727" t="str">
            <v/>
          </cell>
          <cell r="D11727" t="str">
            <v/>
          </cell>
        </row>
        <row r="11728">
          <cell r="B11728" t="str">
            <v/>
          </cell>
          <cell r="C11728" t="str">
            <v/>
          </cell>
          <cell r="D11728" t="str">
            <v/>
          </cell>
        </row>
        <row r="11729">
          <cell r="B11729" t="str">
            <v>INF204KC1FE5</v>
          </cell>
          <cell r="C11729" t="str">
            <v>INF204KC1FF2</v>
          </cell>
          <cell r="D11729" t="str">
            <v>Nippon India BSE Sensex Next 30 Index -Direct Plan - IDCW Payout</v>
          </cell>
          <cell r="E11729">
            <v>10.9405</v>
          </cell>
        </row>
        <row r="11730">
          <cell r="B11730" t="str">
            <v>INF204KC1FA3</v>
          </cell>
          <cell r="C11730" t="str">
            <v>-</v>
          </cell>
          <cell r="D11730" t="str">
            <v>Nippon India BSE Sensex Next 30 Index Fund - Regular Plan-Growth Option</v>
          </cell>
          <cell r="E11730">
            <v>10.901300000000001</v>
          </cell>
        </row>
        <row r="11731">
          <cell r="B11731" t="str">
            <v>INF204KC1FB1</v>
          </cell>
          <cell r="C11731" t="str">
            <v>INF204KC1FC9</v>
          </cell>
          <cell r="D11731" t="str">
            <v>Nippon India BSE Sensex Next 30 Index Fund -Regular Plan- IDCW Payout</v>
          </cell>
          <cell r="E11731">
            <v>10.901300000000001</v>
          </cell>
        </row>
        <row r="11732">
          <cell r="B11732" t="str">
            <v>INF204KC1FD7</v>
          </cell>
          <cell r="C11732" t="str">
            <v>-</v>
          </cell>
          <cell r="D11732" t="str">
            <v>Nippon India BSE Sensex Next 30 Index Fund- Direct Plan- Growth Option</v>
          </cell>
          <cell r="E11732">
            <v>10.9405</v>
          </cell>
        </row>
        <row r="11733">
          <cell r="B11733" t="str">
            <v>INF204KC1DM3</v>
          </cell>
          <cell r="C11733" t="str">
            <v>-</v>
          </cell>
          <cell r="D11733" t="str">
            <v>Nippon India CRISIL - IBX AAA Financial Services - Dec 2026 Index Fund - Direct Plan - Growth Option</v>
          </cell>
          <cell r="E11733">
            <v>11.3613</v>
          </cell>
        </row>
        <row r="11734">
          <cell r="B11734" t="str">
            <v>INF204KC1DN1</v>
          </cell>
          <cell r="C11734" t="str">
            <v>INF204KC1DO9</v>
          </cell>
          <cell r="D11734" t="str">
            <v>Nippon India CRISIL - IBX AAA Financial Services - Dec 2026 Index Fund - Direct Plan - IDCW Option</v>
          </cell>
          <cell r="E11734">
            <v>11.3613</v>
          </cell>
        </row>
        <row r="11735">
          <cell r="B11735" t="str">
            <v>INF204KC1DJ9</v>
          </cell>
          <cell r="C11735" t="str">
            <v>-</v>
          </cell>
          <cell r="D11735" t="str">
            <v>Nippon India CRISIL - IBX AAA Financial Services - Dec 2026 Index Fund - Regular Plan - Growth Option</v>
          </cell>
          <cell r="E11735">
            <v>11.321899999999999</v>
          </cell>
        </row>
        <row r="11736">
          <cell r="B11736" t="str">
            <v>INF204KC1DK7</v>
          </cell>
          <cell r="C11736" t="str">
            <v>INF204KC1DL5</v>
          </cell>
          <cell r="D11736" t="str">
            <v>Nippon India CRISIL - IBX AAA Financial Services - Dec 2026 Index Fund - Regular Plan - IDCW Option</v>
          </cell>
          <cell r="E11736">
            <v>11.321899999999999</v>
          </cell>
        </row>
        <row r="11737">
          <cell r="B11737" t="str">
            <v>INF204KC1DS0</v>
          </cell>
          <cell r="C11737" t="str">
            <v>-</v>
          </cell>
          <cell r="D11737" t="str">
            <v>Nippon India CRISIL - IBX AAA Financial Services - Jan 2028 Index Fund - Direct Plan - Growth Option</v>
          </cell>
          <cell r="E11737">
            <v>11.357699999999999</v>
          </cell>
        </row>
        <row r="11738">
          <cell r="B11738" t="str">
            <v>INF204KC1DT8</v>
          </cell>
          <cell r="C11738" t="str">
            <v>INF204KC1DU6</v>
          </cell>
          <cell r="D11738" t="str">
            <v>Nippon India CRISIL - IBX AAA Financial Services - Jan 2028 Index Fund - Direct Plan - IDCW Option</v>
          </cell>
          <cell r="E11738">
            <v>11.357699999999999</v>
          </cell>
        </row>
        <row r="11739">
          <cell r="B11739" t="str">
            <v>INF204KC1DP6</v>
          </cell>
          <cell r="C11739" t="str">
            <v>-</v>
          </cell>
          <cell r="D11739" t="str">
            <v>Nippon India CRISIL - IBX AAA Financial Services - Jan 2028 Index Fund - Regular Plan - Growth Option</v>
          </cell>
          <cell r="E11739">
            <v>11.314399999999999</v>
          </cell>
        </row>
        <row r="11740">
          <cell r="B11740" t="str">
            <v>INF204KC1DQ4</v>
          </cell>
          <cell r="C11740" t="str">
            <v>INF204KC1DR2</v>
          </cell>
          <cell r="D11740" t="str">
            <v>Nippon India CRISIL - IBX AAA Financial Services - Jan 2028 Index Fund - Regular Plan - IDCW Option</v>
          </cell>
          <cell r="E11740">
            <v>11.314399999999999</v>
          </cell>
        </row>
        <row r="11741">
          <cell r="B11741" t="str">
            <v>INF204KC1GX3</v>
          </cell>
          <cell r="C11741" t="str">
            <v>-</v>
          </cell>
          <cell r="D11741" t="str">
            <v>Nippon India CRISIL-IBX Financial Services 3-6 Months Debt Index Fund- Direct Plan- Growth Option</v>
          </cell>
          <cell r="E11741">
            <v>10.283300000000001</v>
          </cell>
        </row>
        <row r="11742">
          <cell r="B11742" t="str">
            <v>INF204KC1GY1</v>
          </cell>
          <cell r="C11742" t="str">
            <v>INF204KC1GZ8</v>
          </cell>
          <cell r="D11742" t="str">
            <v>Nippon India CRISIL-IBX Financial Services 3-6 Months Debt Index Fund- Direct Plan-IDCW Option</v>
          </cell>
          <cell r="E11742">
            <v>10.283300000000001</v>
          </cell>
        </row>
        <row r="11743">
          <cell r="B11743" t="str">
            <v>INF204KC1GU9</v>
          </cell>
          <cell r="C11743" t="str">
            <v>-</v>
          </cell>
          <cell r="D11743" t="str">
            <v>Nippon India CRISIL-IBX Financial Services 3-6 Months Debt Index Fund- Regular Plan- Growth Option</v>
          </cell>
          <cell r="E11743">
            <v>10.2761</v>
          </cell>
        </row>
        <row r="11744">
          <cell r="B11744" t="str">
            <v>INF204KC1GV7</v>
          </cell>
          <cell r="C11744" t="str">
            <v>INF204KC1GW5</v>
          </cell>
          <cell r="D11744" t="str">
            <v>Nippon India CRISIL-IBX Financial Services 3-6 Months Debt Index Fund- Regular Plan- IDCW Option</v>
          </cell>
          <cell r="E11744">
            <v>10.2761</v>
          </cell>
        </row>
        <row r="11745">
          <cell r="B11745" t="str">
            <v>INF204KC1GR5</v>
          </cell>
          <cell r="C11745" t="str">
            <v>-</v>
          </cell>
          <cell r="D11745" t="str">
            <v>Nippon India CRISIL-IBX Financial Services 9-12 Months Debt Index Fund -Direct Plan - Growth Option</v>
          </cell>
          <cell r="E11745">
            <v>10.2639</v>
          </cell>
        </row>
        <row r="11746">
          <cell r="B11746" t="str">
            <v>INF204KC1GS3</v>
          </cell>
          <cell r="C11746" t="str">
            <v>INF204KC1GT1</v>
          </cell>
          <cell r="D11746" t="str">
            <v>Nippon India CRISIL-IBX Financial Services 9-12 Months Debt Index Fund -Direct Plan-IDCW Option</v>
          </cell>
          <cell r="E11746">
            <v>10.2639</v>
          </cell>
        </row>
        <row r="11747">
          <cell r="B11747" t="str">
            <v>INF204KC1GO2</v>
          </cell>
          <cell r="C11747" t="str">
            <v>-</v>
          </cell>
          <cell r="D11747" t="str">
            <v>Nippon India CRISIL-IBX Financial Services 9-12 Months Debt Index Fund -Regular Plan - Growth Option</v>
          </cell>
          <cell r="E11747">
            <v>10.2561</v>
          </cell>
        </row>
        <row r="11748">
          <cell r="B11748" t="str">
            <v>INF204KC1GP9</v>
          </cell>
          <cell r="C11748" t="str">
            <v>INF204KC1GQ7</v>
          </cell>
          <cell r="D11748" t="str">
            <v>Nippon India CRISIL-IBX Financial Services 9-12 Months Debt Index Fund -Regular Plan - IDCW Option</v>
          </cell>
          <cell r="E11748">
            <v>10.2561</v>
          </cell>
        </row>
        <row r="11749">
          <cell r="B11749" t="str">
            <v>INF204K01IQ7</v>
          </cell>
          <cell r="C11749" t="str">
            <v>INF204K01IT1</v>
          </cell>
          <cell r="D11749" t="str">
            <v>NIPPON INDIA INDEX FUND - BSE SENSEX PLAN - ANNUAL - IDCW Option</v>
          </cell>
          <cell r="E11749">
            <v>30.930099999999999</v>
          </cell>
        </row>
        <row r="11750">
          <cell r="B11750" t="str">
            <v>INF204K01K64</v>
          </cell>
          <cell r="C11750" t="str">
            <v>INF204K01K72</v>
          </cell>
          <cell r="D11750" t="str">
            <v>NIPPON INDIA INDEX FUND - BSE SENSEX PLAN - DIRECT Plan - ANNUAL - IDCW Option</v>
          </cell>
          <cell r="E11750">
            <v>33.176499999999997</v>
          </cell>
        </row>
        <row r="11751">
          <cell r="B11751" t="str">
            <v>INF204K01K98</v>
          </cell>
          <cell r="C11751" t="str">
            <v>INF204K01L06</v>
          </cell>
          <cell r="D11751" t="str">
            <v>NIPPON INDIA INDEX FUND - BSE SENSEX PLAN - DIRECT Plan - HALF YEARLY - IDCW Option</v>
          </cell>
          <cell r="E11751">
            <v>33.133499999999998</v>
          </cell>
        </row>
        <row r="11752">
          <cell r="B11752" t="str">
            <v>INF204K01L14</v>
          </cell>
          <cell r="C11752" t="str">
            <v>INF204K01L22</v>
          </cell>
          <cell r="D11752" t="str">
            <v>NIPPON INDIA INDEX FUND - BSE SENSEX PLAN - DIRECT Plan - QUARTERLY - IDCW Option</v>
          </cell>
          <cell r="E11752">
            <v>33.178899999999999</v>
          </cell>
        </row>
        <row r="11753">
          <cell r="B11753" t="str">
            <v>INF204K01K56</v>
          </cell>
          <cell r="C11753" t="str">
            <v>-</v>
          </cell>
          <cell r="D11753" t="str">
            <v>Nippon India Index Fund - BSE Sensex Plan - Direct Plan Growth Plan - Bonus Option</v>
          </cell>
          <cell r="E11753">
            <v>41.7074</v>
          </cell>
        </row>
        <row r="11754">
          <cell r="B11754" t="str">
            <v>INF204K01K80</v>
          </cell>
          <cell r="C11754" t="str">
            <v>-</v>
          </cell>
          <cell r="D11754" t="str">
            <v>Nippon India Index Fund - BSE Sensex Plan - Direct Plan Growth Plan - Growth Option</v>
          </cell>
          <cell r="E11754">
            <v>41.7074</v>
          </cell>
        </row>
        <row r="11755">
          <cell r="B11755" t="str">
            <v>INF204K01IN4</v>
          </cell>
          <cell r="C11755" t="str">
            <v>-</v>
          </cell>
          <cell r="D11755" t="str">
            <v>Nippon India Index Fund - BSE Sensex Plan - Growth Plan - Bonus Option</v>
          </cell>
          <cell r="E11755">
            <v>39.240400000000001</v>
          </cell>
        </row>
        <row r="11756">
          <cell r="B11756" t="str">
            <v>INF204K01IM6</v>
          </cell>
          <cell r="C11756" t="str">
            <v>-</v>
          </cell>
          <cell r="D11756" t="str">
            <v>Nippon India Index Fund - BSE Sensex Plan - Growth Plan - Growth Option</v>
          </cell>
          <cell r="E11756">
            <v>39.240400000000001</v>
          </cell>
        </row>
        <row r="11757">
          <cell r="B11757" t="str">
            <v>INF204K01IP9</v>
          </cell>
          <cell r="C11757" t="str">
            <v>INF204K01IS3</v>
          </cell>
          <cell r="D11757" t="str">
            <v>NIPPON INDIA INDEX FUND - BSE SENSEX PLAN - HALF YEARLY - IDCW Option</v>
          </cell>
          <cell r="E11757">
            <v>30.940799999999999</v>
          </cell>
        </row>
        <row r="11758">
          <cell r="B11758" t="str">
            <v>INF204K01IO2</v>
          </cell>
          <cell r="C11758" t="str">
            <v>INF204K01IR5</v>
          </cell>
          <cell r="D11758" t="str">
            <v>NIPPON INDIA INDEX FUND - BSE SENSEX PLAN - QUARTERLY - IDCW Option</v>
          </cell>
          <cell r="E11758">
            <v>30.933900000000001</v>
          </cell>
        </row>
        <row r="11759">
          <cell r="B11759" t="str">
            <v>INF204K01II4</v>
          </cell>
          <cell r="C11759" t="str">
            <v>INF204K01IL8</v>
          </cell>
          <cell r="D11759" t="str">
            <v>NIPPON INDIA INDEX FUND - NIFTY 50 PLAN - ANNUAL - IDCW Option</v>
          </cell>
          <cell r="E11759">
            <v>32.182000000000002</v>
          </cell>
        </row>
        <row r="11760">
          <cell r="B11760" t="str">
            <v>INF204K01H10</v>
          </cell>
          <cell r="C11760" t="str">
            <v>INF204K01H28</v>
          </cell>
          <cell r="D11760" t="str">
            <v>NIPPON INDIA INDEX FUND - NIFTY 50 PLAN - DIRECT Plan - ANNUAL - IDCW Option</v>
          </cell>
          <cell r="E11760">
            <v>35.301299999999998</v>
          </cell>
        </row>
        <row r="11761">
          <cell r="B11761" t="str">
            <v>INF204K01H44</v>
          </cell>
          <cell r="C11761" t="str">
            <v>INF204K01H51</v>
          </cell>
          <cell r="D11761" t="str">
            <v>NIPPON INDIA INDEX FUND - NIFTY 50 PLAN - DIRECT Plan - HALF YEARLY - IDCW Option</v>
          </cell>
          <cell r="E11761">
            <v>35.250500000000002</v>
          </cell>
        </row>
        <row r="11762">
          <cell r="B11762" t="str">
            <v>INF204K01H69</v>
          </cell>
          <cell r="C11762" t="str">
            <v>INF204K01H77</v>
          </cell>
          <cell r="D11762" t="str">
            <v>NIPPON INDIA INDEX FUND - NIFTY 50 PLAN - DIRECT Plan - QUARTERLY - IDCW Option</v>
          </cell>
          <cell r="E11762">
            <v>35.2425</v>
          </cell>
        </row>
        <row r="11763">
          <cell r="B11763" t="str">
            <v>INF204K01H02</v>
          </cell>
          <cell r="C11763" t="str">
            <v>-</v>
          </cell>
          <cell r="D11763" t="str">
            <v>Nippon India Index Fund - Nifty 50 Plan - Direct Plan Growth Plan - Bonus Option</v>
          </cell>
          <cell r="E11763">
            <v>44.244</v>
          </cell>
        </row>
        <row r="11764">
          <cell r="B11764" t="str">
            <v>INF204K01H36</v>
          </cell>
          <cell r="C11764" t="str">
            <v>-</v>
          </cell>
          <cell r="D11764" t="str">
            <v>Nippon India Index Fund - Nifty 50 Plan - Direct Plan Growth Plan - Growth Option</v>
          </cell>
          <cell r="E11764">
            <v>44.244</v>
          </cell>
        </row>
        <row r="11765">
          <cell r="B11765" t="str">
            <v>INF204K01IF0</v>
          </cell>
          <cell r="C11765" t="str">
            <v>-</v>
          </cell>
          <cell r="D11765" t="str">
            <v>Nippon India Index Fund - Nifty 50 Plan - Growth Plan - Bonus Option</v>
          </cell>
          <cell r="E11765">
            <v>40.941899999999997</v>
          </cell>
        </row>
        <row r="11766">
          <cell r="B11766" t="str">
            <v>INF204K01IE3</v>
          </cell>
          <cell r="C11766" t="str">
            <v>-</v>
          </cell>
          <cell r="D11766" t="str">
            <v>Nippon India Index Fund - Nifty 50 Plan - Growth Plan - Growth Option</v>
          </cell>
          <cell r="E11766">
            <v>40.941899999999997</v>
          </cell>
        </row>
        <row r="11767">
          <cell r="B11767" t="str">
            <v>INF204K01IH6</v>
          </cell>
          <cell r="C11767" t="str">
            <v>INF204K01IK0</v>
          </cell>
          <cell r="D11767" t="str">
            <v>NIPPON INDIA INDEX FUND - NIFTY 50 PLAN - HALF YEARLY - IDCW Option</v>
          </cell>
          <cell r="E11767">
            <v>32.289200000000001</v>
          </cell>
        </row>
        <row r="11768">
          <cell r="B11768" t="str">
            <v>INF204K01IG8</v>
          </cell>
          <cell r="C11768" t="str">
            <v>INF204K01IJ2</v>
          </cell>
          <cell r="D11768" t="str">
            <v>NIPPON INDIA INDEX FUND - NIFTY 50 PLAN - QUARTERLY - IDCW Option</v>
          </cell>
          <cell r="E11768">
            <v>32.287799999999997</v>
          </cell>
        </row>
        <row r="11769">
          <cell r="B11769" t="str">
            <v>INF204KB12Z0</v>
          </cell>
          <cell r="C11769" t="str">
            <v>-</v>
          </cell>
          <cell r="D11769" t="str">
            <v>Nippon India Nifty 50 Value 20 Index Fund - Direct Plan - Growth Option</v>
          </cell>
          <cell r="E11769">
            <v>17.652200000000001</v>
          </cell>
        </row>
        <row r="11770">
          <cell r="B11770" t="str">
            <v>INF204KB13Z8</v>
          </cell>
          <cell r="C11770" t="str">
            <v>INF204KB14Z6</v>
          </cell>
          <cell r="D11770" t="str">
            <v>NIPPON INDIA NIFTY 50 VALUE 20 INDEX FUND - DIRECT Plan - IDCW Option</v>
          </cell>
          <cell r="E11770">
            <v>17.652200000000001</v>
          </cell>
        </row>
        <row r="11771">
          <cell r="B11771" t="str">
            <v>INF204KB10Z4</v>
          </cell>
          <cell r="C11771" t="str">
            <v>INF204KB11Z2</v>
          </cell>
          <cell r="D11771" t="str">
            <v>NIPPON INDIA NIFTY 50 VALUE 20 INDEX FUND - IDCW Option</v>
          </cell>
          <cell r="E11771">
            <v>17.126300000000001</v>
          </cell>
        </row>
        <row r="11772">
          <cell r="B11772" t="str">
            <v>INF204KB19Y8</v>
          </cell>
          <cell r="C11772" t="str">
            <v>-</v>
          </cell>
          <cell r="D11772" t="str">
            <v>Nippon India Nifty 50 Value 20 Index Fund - Regular Plan - Growth Option</v>
          </cell>
          <cell r="E11772">
            <v>17.126300000000001</v>
          </cell>
        </row>
        <row r="11773">
          <cell r="B11773" t="str">
            <v>INF204KC1DA8</v>
          </cell>
          <cell r="C11773" t="str">
            <v>-</v>
          </cell>
          <cell r="D11773" t="str">
            <v>Nippon India Nifty 500 Equal Weight Index Fund - Direct Plan - Growth Option</v>
          </cell>
          <cell r="E11773">
            <v>9.7970000000000006</v>
          </cell>
        </row>
        <row r="11774">
          <cell r="B11774" t="str">
            <v>INF204KC1DB6</v>
          </cell>
          <cell r="C11774" t="str">
            <v>INF204KC1DC4</v>
          </cell>
          <cell r="D11774" t="str">
            <v>Nippon India Nifty 500 Equal Weight Index Fund - Direct Plan - IDCW Option</v>
          </cell>
          <cell r="E11774">
            <v>9.7970000000000006</v>
          </cell>
        </row>
        <row r="11775">
          <cell r="B11775" t="str">
            <v>INF204KC1CX2</v>
          </cell>
          <cell r="C11775" t="str">
            <v>-</v>
          </cell>
          <cell r="D11775" t="str">
            <v>Nippon India Nifty 500 Equal Weight Index Fund - Regular Plan - Growth Option</v>
          </cell>
          <cell r="E11775">
            <v>9.6965000000000003</v>
          </cell>
        </row>
        <row r="11776">
          <cell r="B11776" t="str">
            <v>INF204KC1CY0</v>
          </cell>
          <cell r="C11776" t="str">
            <v>INF204KC1CZ7</v>
          </cell>
          <cell r="D11776" t="str">
            <v>Nippon India Nifty 500 Equal Weight Index Fund - Regular Plan - IDCW Option</v>
          </cell>
          <cell r="E11776">
            <v>9.6965000000000003</v>
          </cell>
        </row>
        <row r="11777">
          <cell r="B11777" t="str">
            <v>INF204KC1EQ2</v>
          </cell>
          <cell r="C11777" t="str">
            <v>-</v>
          </cell>
          <cell r="D11777" t="str">
            <v>Nippon India Nifty 500 Low Volatility 50 Index Fund - Direct Plan - Growth Option</v>
          </cell>
          <cell r="E11777">
            <v>10.8209</v>
          </cell>
        </row>
        <row r="11778">
          <cell r="B11778" t="str">
            <v>INF204KC1ER0</v>
          </cell>
          <cell r="C11778" t="str">
            <v>INF204KC1ES8</v>
          </cell>
          <cell r="D11778" t="str">
            <v>Nippon India Nifty 500 Low Volatility 50 Index Fund - Direct Plan - IDCW Plan</v>
          </cell>
          <cell r="E11778">
            <v>10.8209</v>
          </cell>
        </row>
        <row r="11779">
          <cell r="B11779" t="str">
            <v>INF204KC1EO7</v>
          </cell>
          <cell r="C11779" t="str">
            <v>INF204KC1EP4</v>
          </cell>
          <cell r="D11779" t="str">
            <v>Nippon India Nifty 500 Low Volatility 50 Index Fund - Regular Pan - IDCW Option</v>
          </cell>
          <cell r="E11779">
            <v>10.745699999999999</v>
          </cell>
        </row>
        <row r="11780">
          <cell r="B11780" t="str">
            <v>INF204KC1EN9</v>
          </cell>
          <cell r="C11780" t="str">
            <v>-</v>
          </cell>
          <cell r="D11780" t="str">
            <v>Nippon India Nifty 500 Low Volatility 50 Index Fund - Regular Plan - Growth Option</v>
          </cell>
          <cell r="E11780">
            <v>10.745699999999999</v>
          </cell>
        </row>
        <row r="11781">
          <cell r="B11781" t="str">
            <v>INF204KC1DG5</v>
          </cell>
          <cell r="C11781" t="str">
            <v>-</v>
          </cell>
          <cell r="D11781" t="str">
            <v>Nippon India Nifty 500 Momentum 50 Index Fund - Direct Plan - Growth Option</v>
          </cell>
          <cell r="E11781">
            <v>8.3684999999999992</v>
          </cell>
        </row>
        <row r="11782">
          <cell r="B11782" t="str">
            <v>INF204KC1DH3</v>
          </cell>
          <cell r="C11782" t="str">
            <v>INF204KC1DI1</v>
          </cell>
          <cell r="D11782" t="str">
            <v>Nippon India Nifty 500 Momentum 50 Index Fund - Direct Plan - IDCW Option</v>
          </cell>
          <cell r="E11782">
            <v>8.3684999999999992</v>
          </cell>
        </row>
        <row r="11783">
          <cell r="B11783" t="str">
            <v>INF204KC1DD2</v>
          </cell>
          <cell r="C11783" t="str">
            <v>-</v>
          </cell>
          <cell r="D11783" t="str">
            <v>Nippon India Nifty 500 Momentum 50 Index Fund - Regular Plan - Growth Option</v>
          </cell>
          <cell r="E11783">
            <v>8.2745999999999995</v>
          </cell>
        </row>
        <row r="11784">
          <cell r="B11784" t="str">
            <v>INF204KC1DE0</v>
          </cell>
          <cell r="C11784" t="str">
            <v>INF204KC1DF7</v>
          </cell>
          <cell r="D11784" t="str">
            <v>Nippon India Nifty 500 Momentum 50 Index Fund - Regular Plan - IDCW Option</v>
          </cell>
          <cell r="E11784">
            <v>8.2745999999999995</v>
          </cell>
        </row>
        <row r="11785">
          <cell r="B11785" t="str">
            <v>INF204KC1EW0</v>
          </cell>
          <cell r="C11785" t="str">
            <v>-</v>
          </cell>
          <cell r="D11785" t="str">
            <v>Nippon India Nifty 500 Quality 50 Index Fund - Direct Plan - Growth Option</v>
          </cell>
          <cell r="E11785">
            <v>10.9863</v>
          </cell>
        </row>
        <row r="11786">
          <cell r="B11786" t="str">
            <v>INF204KC1EX8</v>
          </cell>
          <cell r="C11786" t="str">
            <v>INF204KC1EY6</v>
          </cell>
          <cell r="D11786" t="str">
            <v>Nippon India Nifty 500 Quality 50 Index Fund - Direct Plan - IDCW Option</v>
          </cell>
          <cell r="E11786">
            <v>10.9863</v>
          </cell>
        </row>
        <row r="11787">
          <cell r="B11787" t="str">
            <v>INF204KC1ET6</v>
          </cell>
          <cell r="C11787" t="str">
            <v>-</v>
          </cell>
          <cell r="D11787" t="str">
            <v>Nippon India Nifty 500 Quality 50 Index Fund - Regular Plan - Growth Option</v>
          </cell>
          <cell r="E11787">
            <v>10.9123</v>
          </cell>
        </row>
        <row r="11788">
          <cell r="B11788" t="str">
            <v>INF204KC1EU4</v>
          </cell>
          <cell r="C11788" t="str">
            <v>INF204KC1EV2</v>
          </cell>
          <cell r="D11788" t="str">
            <v>Nippon India Nifty 500 Quality 50 Index Fund - Regular Plan - IDCW Option</v>
          </cell>
          <cell r="E11788">
            <v>10.9123</v>
          </cell>
        </row>
        <row r="11789">
          <cell r="B11789" t="str">
            <v>INF204KC1527</v>
          </cell>
          <cell r="C11789" t="str">
            <v>-</v>
          </cell>
          <cell r="D11789" t="str">
            <v>Nippon India Nifty AAA CPSE Bond Plus SDL - Apr 2027 Maturity 60:40 Index Fund - Direct Plan - Growth Option</v>
          </cell>
          <cell r="E11789">
            <v>13.056100000000001</v>
          </cell>
        </row>
        <row r="11790">
          <cell r="B11790" t="str">
            <v>INF204KC1535</v>
          </cell>
          <cell r="C11790" t="str">
            <v>-</v>
          </cell>
          <cell r="D11790" t="str">
            <v>Nippon India Nifty AAA CPSE Bond Plus SDL - Apr 2027 Maturity 60:40 Index Fund - Direct Plan - IDCW Option</v>
          </cell>
          <cell r="E11790">
            <v>12.7082</v>
          </cell>
        </row>
        <row r="11791">
          <cell r="B11791" t="str">
            <v>INF204KC1493</v>
          </cell>
          <cell r="C11791" t="str">
            <v>-</v>
          </cell>
          <cell r="D11791" t="str">
            <v>Nippon India Nifty AAA CPSE Bond Plus SDL - Apr 2027 Maturity 60:40 Index Fund - Regular Plan - Growth Option</v>
          </cell>
          <cell r="E11791">
            <v>12.957599999999999</v>
          </cell>
        </row>
        <row r="11792">
          <cell r="B11792" t="str">
            <v>-</v>
          </cell>
          <cell r="C11792" t="str">
            <v>INF204KC1519</v>
          </cell>
          <cell r="D11792" t="str">
            <v>Nippon India Nifty AAA CPSE Bond Plus SDL - Apr 2027 Maturity 60:40 Index Fund - Regular Plan - IDCW Option</v>
          </cell>
          <cell r="E11792">
            <v>12.6374</v>
          </cell>
        </row>
        <row r="11793">
          <cell r="B11793" t="str">
            <v>INF204KC1683</v>
          </cell>
          <cell r="C11793" t="str">
            <v>-</v>
          </cell>
          <cell r="D11793" t="str">
            <v>Nippon India Nifty AAA PSU Bond Plus SDL - Sep 2026 Maturity 50:50 Index Fund-Direct Plan-Growth Option</v>
          </cell>
          <cell r="E11793">
            <v>13.011699999999999</v>
          </cell>
        </row>
        <row r="11794">
          <cell r="B11794" t="str">
            <v>INF204KC1691</v>
          </cell>
          <cell r="C11794" t="str">
            <v>-</v>
          </cell>
          <cell r="D11794" t="str">
            <v>Nippon India Nifty AAA PSU Bond Plus SDL - Sep 2026 Maturity 50:50 Index Fund-Direct Plan-IDCW Option</v>
          </cell>
          <cell r="E11794">
            <v>13.011699999999999</v>
          </cell>
        </row>
        <row r="11795">
          <cell r="B11795" t="str">
            <v>INF204KC1659</v>
          </cell>
          <cell r="C11795" t="str">
            <v>-</v>
          </cell>
          <cell r="D11795" t="str">
            <v>Nippon India Nifty AAA PSU Bond Plus SDL - Sep 2026 Maturity 50:50 Index Fund-Regular Plan-Growth Option</v>
          </cell>
          <cell r="E11795">
            <v>12.9224</v>
          </cell>
        </row>
        <row r="11796">
          <cell r="B11796" t="str">
            <v>INF204KC1667</v>
          </cell>
          <cell r="C11796" t="str">
            <v>-</v>
          </cell>
          <cell r="D11796" t="str">
            <v>Nippon India Nifty AAA PSU Bond Plus SDL - Sep 2026 Maturity 50:50 Index Fund-Regular Plan-IDCW Option</v>
          </cell>
          <cell r="E11796">
            <v>12.9224</v>
          </cell>
        </row>
        <row r="11797">
          <cell r="B11797" t="str">
            <v>INF204KC1584</v>
          </cell>
          <cell r="C11797" t="str">
            <v>-</v>
          </cell>
          <cell r="D11797" t="str">
            <v>Nippon India Nifty Alpha Low Volatility 30 Index Fund - Direct Plan - Growth Option</v>
          </cell>
          <cell r="E11797">
            <v>16.3398</v>
          </cell>
        </row>
        <row r="11798">
          <cell r="B11798" t="str">
            <v>INF204KC1592</v>
          </cell>
          <cell r="C11798" t="str">
            <v>-</v>
          </cell>
          <cell r="D11798" t="str">
            <v>Nippon India Nifty Alpha Low Volatility 30 Index Fund - Direct Plan - IDCW Option</v>
          </cell>
          <cell r="E11798">
            <v>16.3398</v>
          </cell>
        </row>
        <row r="11799">
          <cell r="B11799" t="str">
            <v>INF204KC1550</v>
          </cell>
          <cell r="C11799" t="str">
            <v>-</v>
          </cell>
          <cell r="D11799" t="str">
            <v>Nippon India Nifty Alpha Low Volatility 30 Index Fund - Regular Plan - Growth Option</v>
          </cell>
          <cell r="E11799">
            <v>15.982100000000001</v>
          </cell>
        </row>
        <row r="11800">
          <cell r="B11800" t="str">
            <v>INF204KC1568</v>
          </cell>
          <cell r="C11800" t="str">
            <v>-</v>
          </cell>
          <cell r="D11800" t="str">
            <v>Nippon India Nifty Alpha Low Volatility 30 Index Fund - Regular Plan - IDCW Option</v>
          </cell>
          <cell r="E11800">
            <v>15.982100000000001</v>
          </cell>
        </row>
        <row r="11801">
          <cell r="B11801" t="str">
            <v>INF204KC1EE8</v>
          </cell>
          <cell r="C11801" t="str">
            <v>-</v>
          </cell>
          <cell r="D11801" t="str">
            <v>Nippon India Nifty Auto Index Fund - Direct Plan- Growth Option</v>
          </cell>
          <cell r="E11801">
            <v>11.707700000000001</v>
          </cell>
        </row>
        <row r="11802">
          <cell r="B11802" t="str">
            <v>INF204KC1EF5</v>
          </cell>
          <cell r="C11802" t="str">
            <v>INF204KC1EG3</v>
          </cell>
          <cell r="D11802" t="str">
            <v>Nippon India Nifty Auto Index Fund - Direct Plan- IDCW Option</v>
          </cell>
          <cell r="E11802">
            <v>11.707700000000001</v>
          </cell>
        </row>
        <row r="11803">
          <cell r="B11803" t="str">
            <v>INF204KC1EB4</v>
          </cell>
          <cell r="C11803" t="str">
            <v>-</v>
          </cell>
          <cell r="D11803" t="str">
            <v>Nippon India Nifty Auto Index Fund - Regular Plan- Growth Option</v>
          </cell>
          <cell r="E11803">
            <v>11.6059</v>
          </cell>
        </row>
        <row r="11804">
          <cell r="B11804" t="str">
            <v>INF204KC1EC2</v>
          </cell>
          <cell r="C11804" t="str">
            <v>INF204KC1ED0</v>
          </cell>
          <cell r="D11804" t="str">
            <v>Nippon India Nifty Auto Index Fund - Regular Plan- IDCW Option</v>
          </cell>
          <cell r="E11804">
            <v>11.6059</v>
          </cell>
        </row>
        <row r="11805">
          <cell r="B11805" t="str">
            <v>INF204KC1BY2</v>
          </cell>
          <cell r="C11805" t="str">
            <v>-</v>
          </cell>
          <cell r="D11805" t="str">
            <v>Nippon India Nifty Bank Index Fund - Direct Plan - Growth Option</v>
          </cell>
          <cell r="E11805">
            <v>12.330299999999999</v>
          </cell>
        </row>
        <row r="11806">
          <cell r="B11806" t="str">
            <v>INF204KC1BZ9</v>
          </cell>
          <cell r="C11806" t="str">
            <v>INF204KC1CA0</v>
          </cell>
          <cell r="D11806" t="str">
            <v>Nippon India Nifty Bank Index Fund - Direct Plan - IDCW Option</v>
          </cell>
          <cell r="E11806">
            <v>12.330299999999999</v>
          </cell>
        </row>
        <row r="11807">
          <cell r="B11807" t="str">
            <v>INF204KC1BV8</v>
          </cell>
          <cell r="C11807" t="str">
            <v>-</v>
          </cell>
          <cell r="D11807" t="str">
            <v>Nippon India Nifty Bank Index Fund - Regular Plan - Growth Option</v>
          </cell>
          <cell r="E11807">
            <v>12.1541</v>
          </cell>
        </row>
        <row r="11808">
          <cell r="B11808" t="str">
            <v>INF204KC1BW6</v>
          </cell>
          <cell r="C11808" t="str">
            <v>INF204KC1BX4</v>
          </cell>
          <cell r="D11808" t="str">
            <v>Nippon India Nifty Bank Index Fund - Regular Plan - IDCW Option</v>
          </cell>
          <cell r="E11808">
            <v>12.1541</v>
          </cell>
        </row>
        <row r="11809">
          <cell r="B11809" t="str">
            <v>INF204KC1AC0</v>
          </cell>
          <cell r="C11809" t="str">
            <v>-</v>
          </cell>
          <cell r="D11809" t="str">
            <v>Nippon India Nifty G-Sec Jun 2036 Maturity Index Fund-Direct Plan-Growth Option</v>
          </cell>
          <cell r="E11809">
            <v>13.257899999999999</v>
          </cell>
        </row>
        <row r="11810">
          <cell r="B11810" t="str">
            <v>INF204KC1AD8</v>
          </cell>
          <cell r="C11810" t="str">
            <v>INF204KC1AE6</v>
          </cell>
          <cell r="D11810" t="str">
            <v>Nippon India Nifty G-Sec Jun 2036 Maturity Index fund-Direct Plan-IDCW Option</v>
          </cell>
          <cell r="E11810">
            <v>13.257899999999999</v>
          </cell>
        </row>
        <row r="11811">
          <cell r="B11811" t="str">
            <v>INF204KC1998</v>
          </cell>
          <cell r="C11811" t="str">
            <v>-</v>
          </cell>
          <cell r="D11811" t="str">
            <v>Nippon India Nifty G-Sec Jun 2036 Maturity Index Fund-Regular Plan-Growth Option</v>
          </cell>
          <cell r="E11811">
            <v>13.152699999999999</v>
          </cell>
        </row>
        <row r="11812">
          <cell r="B11812" t="str">
            <v>INF204KC1AA4</v>
          </cell>
          <cell r="C11812" t="str">
            <v>INF204KC1AB2</v>
          </cell>
          <cell r="D11812" t="str">
            <v>Nippon India Nifty G-Sec Jun 2036 Maturity Index Fund-Regular Plan-IDCW Option</v>
          </cell>
          <cell r="E11812">
            <v>13.152699999999999</v>
          </cell>
        </row>
        <row r="11813">
          <cell r="B11813" t="str">
            <v>INF204KC1AO5</v>
          </cell>
          <cell r="C11813" t="str">
            <v>-</v>
          </cell>
          <cell r="D11813" t="str">
            <v>Nippon India Nifty G-Sec Oct 2028 Maturity Index Fund-Direct Plan-Growth Option</v>
          </cell>
          <cell r="E11813">
            <v>12.9215</v>
          </cell>
        </row>
        <row r="11814">
          <cell r="B11814" t="str">
            <v>INF204KC1AP2</v>
          </cell>
          <cell r="C11814" t="str">
            <v>-</v>
          </cell>
          <cell r="D11814" t="str">
            <v>Nippon India Nifty G-Sec Oct 2028 Maturity Index Fund-Direct Plan-IDCW Option</v>
          </cell>
          <cell r="E11814">
            <v>12.9215</v>
          </cell>
        </row>
        <row r="11815">
          <cell r="B11815" t="str">
            <v>INF204KC1AL1</v>
          </cell>
          <cell r="C11815" t="str">
            <v>-</v>
          </cell>
          <cell r="D11815" t="str">
            <v>Nippon India Nifty G-Sec Oct 2028 Maturity Index Fund-Regular Plan-Growth Option</v>
          </cell>
          <cell r="E11815">
            <v>12.846</v>
          </cell>
        </row>
        <row r="11816">
          <cell r="B11816" t="str">
            <v>INF204KC1AM9</v>
          </cell>
          <cell r="C11816" t="str">
            <v>-</v>
          </cell>
          <cell r="D11816" t="str">
            <v>Nippon India Nifty G-Sec Oct 2028 Maturity Index Fund-Regular Plan-IDCW Option</v>
          </cell>
          <cell r="E11816">
            <v>12.846</v>
          </cell>
        </row>
        <row r="11817">
          <cell r="B11817" t="str">
            <v>INF204KC1881</v>
          </cell>
          <cell r="C11817" t="str">
            <v>-</v>
          </cell>
          <cell r="D11817" t="str">
            <v>Nippon India Nifty G-Sec Sep 2027 Maturity Index Fund-Direct Plan-Growth Option</v>
          </cell>
          <cell r="E11817">
            <v>12.9047</v>
          </cell>
        </row>
        <row r="11818">
          <cell r="B11818" t="str">
            <v>INF204KC1899</v>
          </cell>
          <cell r="C11818" t="str">
            <v>INF204KC1907</v>
          </cell>
          <cell r="D11818" t="str">
            <v>Nippon India Nifty G-Sec Sep 2027 Maturity Index Fund-Direct Plan-IDCW Option</v>
          </cell>
          <cell r="E11818">
            <v>12.9047</v>
          </cell>
        </row>
        <row r="11819">
          <cell r="B11819" t="str">
            <v>INF204KC1857</v>
          </cell>
          <cell r="C11819" t="str">
            <v>-</v>
          </cell>
          <cell r="D11819" t="str">
            <v>Nippon India Nifty G-Sec Sep 2027 Maturity Index Fund-Regular Plan-Growth Option</v>
          </cell>
          <cell r="E11819">
            <v>12.808299999999999</v>
          </cell>
        </row>
        <row r="11820">
          <cell r="B11820" t="str">
            <v>INF204KC1865</v>
          </cell>
          <cell r="C11820" t="str">
            <v>INF204KC1873</v>
          </cell>
          <cell r="D11820" t="str">
            <v>Nippon India Nifty G-Sec Sep 2027 Maturity Index Fund-Regular Plan-IDCW Option</v>
          </cell>
          <cell r="E11820">
            <v>12.808299999999999</v>
          </cell>
        </row>
        <row r="11821">
          <cell r="B11821" t="str">
            <v>INF204KC1GM6</v>
          </cell>
          <cell r="C11821" t="str">
            <v>INF204KC1GN4</v>
          </cell>
          <cell r="D11821" t="str">
            <v>Nippon India Nifty India Manufacturing Index - Direct Plan- IDCW Option</v>
          </cell>
          <cell r="E11821">
            <v>11.163</v>
          </cell>
        </row>
        <row r="11822">
          <cell r="B11822" t="str">
            <v>INF204KC1GL8</v>
          </cell>
          <cell r="C11822" t="str">
            <v>-</v>
          </cell>
          <cell r="D11822" t="str">
            <v>Nippon India Nifty India Manufacturing Index Fund- Direct Plan- Growth Option</v>
          </cell>
          <cell r="E11822">
            <v>11.163</v>
          </cell>
        </row>
        <row r="11823">
          <cell r="B11823" t="str">
            <v>INF204KC1GJ2</v>
          </cell>
          <cell r="C11823" t="str">
            <v>INF204KC1GK0</v>
          </cell>
          <cell r="D11823" t="str">
            <v>Nippon India Nifty India Manufacturing Index- Regular Plan-IDCW Option</v>
          </cell>
          <cell r="E11823">
            <v>11.1068</v>
          </cell>
        </row>
        <row r="11824">
          <cell r="B11824" t="str">
            <v>INF204KC1GI4</v>
          </cell>
          <cell r="C11824" t="str">
            <v>-</v>
          </cell>
          <cell r="D11824" t="str">
            <v>Nippon India Nifty India Manufacturing Index-Regular Plan-Growth Option</v>
          </cell>
          <cell r="E11824">
            <v>11.1068</v>
          </cell>
        </row>
        <row r="11825">
          <cell r="B11825" t="str">
            <v>INF204KC1CE2</v>
          </cell>
          <cell r="C11825" t="str">
            <v>-</v>
          </cell>
          <cell r="D11825" t="str">
            <v>Nippon India Nifty IT Index Fund - Direct Plan - Growth Option</v>
          </cell>
          <cell r="E11825">
            <v>7.8357999999999999</v>
          </cell>
        </row>
        <row r="11826">
          <cell r="B11826" t="str">
            <v>INF204KC1CF9</v>
          </cell>
          <cell r="C11826" t="str">
            <v>INF204KC1CG7</v>
          </cell>
          <cell r="D11826" t="str">
            <v>Nippon India Nifty IT Index Fund - Direct Plan - IDCW Option</v>
          </cell>
          <cell r="E11826">
            <v>7.8357999999999999</v>
          </cell>
        </row>
        <row r="11827">
          <cell r="B11827" t="str">
            <v>INF204KC1CB8</v>
          </cell>
          <cell r="C11827" t="str">
            <v>-</v>
          </cell>
          <cell r="D11827" t="str">
            <v>Nippon India Nifty IT Index Fund - Regular Plan - Growth Option</v>
          </cell>
          <cell r="E11827">
            <v>7.7175000000000002</v>
          </cell>
        </row>
        <row r="11828">
          <cell r="B11828" t="str">
            <v>INF204KC1CC6</v>
          </cell>
          <cell r="C11828" t="str">
            <v>INF204KC1CD4</v>
          </cell>
          <cell r="D11828" t="str">
            <v>Nippon India Nifty IT Index Fund - Regular Plan - IDCW Option</v>
          </cell>
          <cell r="E11828">
            <v>7.7175000000000002</v>
          </cell>
        </row>
        <row r="11829">
          <cell r="B11829" t="str">
            <v>INF204KB18Z7</v>
          </cell>
          <cell r="C11829" t="str">
            <v>-</v>
          </cell>
          <cell r="D11829" t="str">
            <v>Nippon India Nifty Midcap 150 Index Fund - Direct Plan - Growth Option</v>
          </cell>
          <cell r="E11829">
            <v>26.5425</v>
          </cell>
        </row>
        <row r="11830">
          <cell r="B11830" t="str">
            <v>INF204KB19Z5</v>
          </cell>
          <cell r="C11830" t="str">
            <v>INF204KC1014</v>
          </cell>
          <cell r="D11830" t="str">
            <v>NIPPON INDIA NIFTY MIDCAP 150 INDEX FUND - DIRECT Plan - IDCW Option</v>
          </cell>
          <cell r="E11830">
            <v>26.5425</v>
          </cell>
        </row>
        <row r="11831">
          <cell r="B11831" t="str">
            <v>INF204KB16Z1</v>
          </cell>
          <cell r="C11831" t="str">
            <v>INF204KB17Z9</v>
          </cell>
          <cell r="D11831" t="str">
            <v>NIPPON INDIA NIFTY MIDCAP 150 INDEX FUND - IDCW Option</v>
          </cell>
          <cell r="E11831">
            <v>25.780100000000001</v>
          </cell>
        </row>
        <row r="11832">
          <cell r="B11832" t="str">
            <v>INF204KB15Z3</v>
          </cell>
          <cell r="C11832" t="str">
            <v>-</v>
          </cell>
          <cell r="D11832" t="str">
            <v>Nippon India Nifty Midcap 150 Index Fund - Regular Plan - Growth Option</v>
          </cell>
          <cell r="E11832">
            <v>25.780100000000001</v>
          </cell>
        </row>
        <row r="11833">
          <cell r="B11833" t="str">
            <v>INF204KC1DY8</v>
          </cell>
          <cell r="C11833" t="str">
            <v>-</v>
          </cell>
          <cell r="D11833" t="str">
            <v>Nippon India Nifty Realty Index Fund-Direct Plan- Growth Option</v>
          </cell>
          <cell r="E11833">
            <v>8.3536000000000001</v>
          </cell>
        </row>
        <row r="11834">
          <cell r="B11834" t="str">
            <v>INF204KC1DZ5</v>
          </cell>
          <cell r="C11834" t="str">
            <v>INF204KC1EA6</v>
          </cell>
          <cell r="D11834" t="str">
            <v>Nippon India Nifty Realty Index Fund-Direct Plan- IDCW Option</v>
          </cell>
          <cell r="E11834">
            <v>8.3536000000000001</v>
          </cell>
        </row>
        <row r="11835">
          <cell r="B11835" t="str">
            <v>INF204KC1DV4</v>
          </cell>
          <cell r="C11835" t="str">
            <v>-</v>
          </cell>
          <cell r="D11835" t="str">
            <v>Nippon India Nifty Realty Index Fund-Regular Plan- Growth Option</v>
          </cell>
          <cell r="E11835">
            <v>8.2780000000000005</v>
          </cell>
        </row>
        <row r="11836">
          <cell r="B11836" t="str">
            <v>INF204KC1DW2</v>
          </cell>
          <cell r="C11836" t="str">
            <v>INF204KC1DX0</v>
          </cell>
          <cell r="D11836" t="str">
            <v>Nippon India Nifty Realty Index Fund-Regular Plan- IDCW Option</v>
          </cell>
          <cell r="E11836">
            <v>8.2780000000000005</v>
          </cell>
        </row>
        <row r="11837">
          <cell r="B11837" t="str">
            <v>INF204KC1741</v>
          </cell>
          <cell r="C11837" t="str">
            <v>-</v>
          </cell>
          <cell r="D11837" t="str">
            <v>Nippon India Nifty SDL Plus G-Sec - Jun 2028 Maturity 70:30 Index Fund-Direct Plan-Growth Option</v>
          </cell>
          <cell r="E11837">
            <v>13.0672</v>
          </cell>
        </row>
        <row r="11838">
          <cell r="B11838" t="str">
            <v>INF204KC1758</v>
          </cell>
          <cell r="C11838" t="str">
            <v>INF204KC1766</v>
          </cell>
          <cell r="D11838" t="str">
            <v>Nippon India Nifty SDL Plus G-Sec - Jun 2028 Maturity 70:30 Index Fund-Direct Plan-IDCW Option</v>
          </cell>
          <cell r="E11838">
            <v>13.0672</v>
          </cell>
        </row>
        <row r="11839">
          <cell r="B11839" t="str">
            <v>INF204KC1725</v>
          </cell>
          <cell r="C11839" t="str">
            <v>INF204KC1733</v>
          </cell>
          <cell r="D11839" t="str">
            <v>Nippon India Nifty SDL Plus G-Sec - Jun 2028 Maturity 70:30 Index Fund-Regular Plan IDCW Option</v>
          </cell>
          <cell r="E11839">
            <v>12.972</v>
          </cell>
        </row>
        <row r="11840">
          <cell r="B11840" t="str">
            <v>INF204KC1717</v>
          </cell>
          <cell r="C11840" t="str">
            <v>-</v>
          </cell>
          <cell r="D11840" t="str">
            <v>Nippon India Nifty SDL Plus G-Sec - Jun 2028 Maturity 70:30 Index Fund-Regular Plan-Growth Option</v>
          </cell>
          <cell r="E11840">
            <v>12.972</v>
          </cell>
        </row>
        <row r="11841">
          <cell r="B11841" t="str">
            <v>INF204KC1AG1</v>
          </cell>
          <cell r="C11841" t="str">
            <v>INF204KC1AH9</v>
          </cell>
          <cell r="D11841" t="str">
            <v>Nippon India Nifty SDL Plus G-Sec - Jun 2029 Maturity 70:30 Index Fund-Regular Plan-IDCW Option</v>
          </cell>
          <cell r="E11841">
            <v>12.867800000000001</v>
          </cell>
        </row>
        <row r="11842">
          <cell r="B11842" t="str">
            <v>INF204KC1AI7</v>
          </cell>
          <cell r="C11842" t="str">
            <v>-</v>
          </cell>
          <cell r="D11842" t="str">
            <v>Nippon India Nifty SDL Plus G-Sec-Jun 2029 Maturity 70:30 Index Fund-Direct Plan-Growth Option</v>
          </cell>
          <cell r="E11842">
            <v>12.9518</v>
          </cell>
        </row>
        <row r="11843">
          <cell r="B11843" t="str">
            <v>INF204KC1AJ5</v>
          </cell>
          <cell r="C11843" t="str">
            <v>INF204KC1AK3</v>
          </cell>
          <cell r="D11843" t="str">
            <v>Nippon India Nifty SDL Plus G-Sec-Jun 2029 Maturity 70:30 Index Fund-Direct Plan-IDCW Option</v>
          </cell>
          <cell r="E11843">
            <v>12.9518</v>
          </cell>
        </row>
        <row r="11844">
          <cell r="B11844" t="str">
            <v>INF204KC1AF3</v>
          </cell>
          <cell r="C11844" t="str">
            <v>-</v>
          </cell>
          <cell r="D11844" t="str">
            <v>Nippon India Nifty SDL Plus G-Sec-Jun 2029 Maturity 70:30 Index Fund-Regular Plan- Growth Option</v>
          </cell>
          <cell r="E11844">
            <v>12.867800000000001</v>
          </cell>
        </row>
        <row r="11845">
          <cell r="B11845" t="str">
            <v>INF204KB15W0</v>
          </cell>
          <cell r="C11845" t="str">
            <v>-</v>
          </cell>
          <cell r="D11845" t="str">
            <v>Nippon India Nifty Smallcap 250 Index Fund - Direct Plan - Growth Option</v>
          </cell>
          <cell r="E11845">
            <v>35.400399999999998</v>
          </cell>
        </row>
        <row r="11846">
          <cell r="B11846" t="str">
            <v>INF204KB16W8</v>
          </cell>
          <cell r="C11846" t="str">
            <v>INF204KB17W6</v>
          </cell>
          <cell r="D11846" t="str">
            <v>NIPPON INDIA NIFTY SMALLCAP 250 INDEX FUND - DIRECT Plan - IDCW Option</v>
          </cell>
          <cell r="E11846">
            <v>35.400399999999998</v>
          </cell>
        </row>
        <row r="11847">
          <cell r="B11847" t="str">
            <v>INF204KB13W5</v>
          </cell>
          <cell r="C11847" t="str">
            <v>INF204KB14W3</v>
          </cell>
          <cell r="D11847" t="str">
            <v>NIPPON INDIA NIFTY SMALLCAP 250 INDEX FUND - IDCW Option</v>
          </cell>
          <cell r="E11847">
            <v>34.060099999999998</v>
          </cell>
        </row>
        <row r="11848">
          <cell r="B11848" t="str">
            <v>INF204KB12W7</v>
          </cell>
          <cell r="C11848" t="str">
            <v>-</v>
          </cell>
          <cell r="D11848" t="str">
            <v>Nippon India Nifty Smallcap 250 Index Fund - Regular Plan - Growth Option</v>
          </cell>
          <cell r="E11848">
            <v>34.060099999999998</v>
          </cell>
        </row>
        <row r="11849">
          <cell r="B11849" t="str">
            <v/>
          </cell>
          <cell r="C11849" t="str">
            <v/>
          </cell>
          <cell r="D11849" t="str">
            <v/>
          </cell>
        </row>
        <row r="11850">
          <cell r="B11850" t="str">
            <v/>
          </cell>
          <cell r="C11850" t="str">
            <v/>
          </cell>
          <cell r="D11850" t="str">
            <v/>
          </cell>
        </row>
        <row r="11851">
          <cell r="B11851" t="str">
            <v/>
          </cell>
          <cell r="C11851" t="str">
            <v/>
          </cell>
          <cell r="D11851" t="str">
            <v/>
          </cell>
        </row>
        <row r="11852">
          <cell r="B11852" t="str">
            <v>INF663L01X21</v>
          </cell>
          <cell r="C11852" t="str">
            <v>-</v>
          </cell>
          <cell r="D11852" t="str">
            <v>PGIM India CRISIL IBX Gilt Index - Apr 2028 Fund - Direct Plan, Growth Option</v>
          </cell>
          <cell r="E11852">
            <v>12.8255</v>
          </cell>
        </row>
        <row r="11853">
          <cell r="B11853" t="str">
            <v>INF663L01X39</v>
          </cell>
          <cell r="C11853" t="str">
            <v>INF663L01X47</v>
          </cell>
          <cell r="D11853" t="str">
            <v>PGIM India CRISIL IBX Gilt Index - Apr 2028 Fund - Direct Plan, IDCW Option</v>
          </cell>
          <cell r="E11853">
            <v>10.6068</v>
          </cell>
        </row>
        <row r="11854">
          <cell r="B11854" t="str">
            <v>INF663L01X54</v>
          </cell>
          <cell r="C11854" t="str">
            <v>-</v>
          </cell>
          <cell r="D11854" t="str">
            <v>PGIM India CRISIL IBX Gilt Index - Apr 2028 Fund - Regular Plan, Growth Option</v>
          </cell>
          <cell r="E11854">
            <v>12.753399999999999</v>
          </cell>
        </row>
        <row r="11855">
          <cell r="B11855" t="str">
            <v>INF663L01X62</v>
          </cell>
          <cell r="C11855" t="str">
            <v>INF663L01X70</v>
          </cell>
          <cell r="D11855" t="str">
            <v>PGIM India CRISIL IBX Gilt Index - Apr 2028 Fund - Regular Plan, IDCW Option</v>
          </cell>
          <cell r="E11855">
            <v>10.5441</v>
          </cell>
        </row>
        <row r="11856">
          <cell r="B11856" t="str">
            <v/>
          </cell>
          <cell r="C11856" t="str">
            <v/>
          </cell>
          <cell r="D11856" t="str">
            <v/>
          </cell>
        </row>
        <row r="11857">
          <cell r="B11857" t="str">
            <v/>
          </cell>
          <cell r="C11857" t="str">
            <v/>
          </cell>
          <cell r="D11857" t="str">
            <v/>
          </cell>
        </row>
        <row r="11858">
          <cell r="B11858" t="str">
            <v/>
          </cell>
          <cell r="C11858" t="str">
            <v/>
          </cell>
          <cell r="D11858" t="str">
            <v/>
          </cell>
        </row>
        <row r="11859">
          <cell r="B11859" t="str">
            <v>INF200KB1688</v>
          </cell>
          <cell r="C11859" t="str">
            <v>-</v>
          </cell>
          <cell r="D11859" t="str">
            <v>SBI BSE PSU BANK INDEX FUND- Direct Plan- Growth</v>
          </cell>
          <cell r="E11859">
            <v>13.4694</v>
          </cell>
        </row>
        <row r="11860">
          <cell r="B11860" t="str">
            <v>INF200KB1704</v>
          </cell>
          <cell r="C11860" t="str">
            <v>INF200KB1696</v>
          </cell>
          <cell r="D11860" t="str">
            <v>SBI BSE PSU BANK INDEX FUND- Direct Plan- Income Distribution Cum Capital Withdrawal Option (IDCW)</v>
          </cell>
          <cell r="E11860">
            <v>13.4693</v>
          </cell>
        </row>
        <row r="11861">
          <cell r="B11861" t="str">
            <v>INF200KB1654</v>
          </cell>
          <cell r="C11861" t="str">
            <v>-</v>
          </cell>
          <cell r="D11861" t="str">
            <v>SBI BSE PSU BANK INDEX FUND- Regular Plan- Growth</v>
          </cell>
          <cell r="E11861">
            <v>13.384499999999999</v>
          </cell>
        </row>
        <row r="11862">
          <cell r="B11862" t="str">
            <v>INF200KB1662</v>
          </cell>
          <cell r="C11862" t="str">
            <v>INF200KB1670</v>
          </cell>
          <cell r="D11862" t="str">
            <v>SBI BSE PSU BANK INDEX FUND- Regular Plan- Income Distribution Cum Capital Withdrawal Option (IDCW)</v>
          </cell>
          <cell r="E11862">
            <v>13.3863</v>
          </cell>
        </row>
        <row r="11863">
          <cell r="B11863" t="str">
            <v>INF200KA16Y4</v>
          </cell>
          <cell r="C11863" t="str">
            <v>-</v>
          </cell>
          <cell r="D11863" t="str">
            <v>SBI BSE Sensex Index Fund - Direct Plan - Growth</v>
          </cell>
          <cell r="E11863">
            <v>12.6494</v>
          </cell>
        </row>
        <row r="11864">
          <cell r="B11864" t="str">
            <v>INF200KA17Y2</v>
          </cell>
          <cell r="C11864" t="str">
            <v>INF200KA18Y0</v>
          </cell>
          <cell r="D11864" t="str">
            <v>SBI BSE Sensex Index Fund - Direct Plan - IDCW</v>
          </cell>
          <cell r="E11864">
            <v>12.649900000000001</v>
          </cell>
        </row>
        <row r="11865">
          <cell r="B11865" t="str">
            <v>INF200KA13Y1</v>
          </cell>
          <cell r="C11865" t="str">
            <v>-</v>
          </cell>
          <cell r="D11865" t="str">
            <v>SBI BSE Sensex Index Fund - Regular Plan - Growth</v>
          </cell>
          <cell r="E11865">
            <v>12.5617</v>
          </cell>
        </row>
        <row r="11866">
          <cell r="B11866" t="str">
            <v>INF200KA14Y9</v>
          </cell>
          <cell r="C11866" t="str">
            <v>INF200KA15Y6</v>
          </cell>
          <cell r="D11866" t="str">
            <v>SBI BSE Sensex Index Fund - Regular Plan - IDCW</v>
          </cell>
          <cell r="E11866">
            <v>12.5617</v>
          </cell>
        </row>
        <row r="11867">
          <cell r="B11867" t="str">
            <v>INF200KA13D5</v>
          </cell>
          <cell r="C11867" t="str">
            <v>-</v>
          </cell>
          <cell r="D11867" t="str">
            <v>SBI CPSE Bond Plus SDL Sep 2026 50:50 Index Fund - Direct Plan - Growth</v>
          </cell>
          <cell r="E11867">
            <v>13.124700000000001</v>
          </cell>
        </row>
        <row r="11868">
          <cell r="B11868" t="str">
            <v>INF200KA14D3</v>
          </cell>
          <cell r="C11868" t="str">
            <v>INF200KA15D0</v>
          </cell>
          <cell r="D11868" t="str">
            <v>SBI CPSE Bond Plus SDL Sep 2026 50:50 Index Fund - Direct Plan - Income Distribution cum Capital Withdrawal Option (IDCW)</v>
          </cell>
          <cell r="E11868">
            <v>13.1814</v>
          </cell>
        </row>
        <row r="11869">
          <cell r="B11869" t="str">
            <v>INF200KA10D1</v>
          </cell>
          <cell r="C11869" t="str">
            <v>-</v>
          </cell>
          <cell r="D11869" t="str">
            <v>SBI CPSE Bond Plus SDL Sep 2026 50:50 Index Fund - Regular Plan - Growth</v>
          </cell>
          <cell r="E11869">
            <v>13.0291</v>
          </cell>
        </row>
        <row r="11870">
          <cell r="B11870" t="str">
            <v>INF200KA11D9</v>
          </cell>
          <cell r="C11870" t="str">
            <v>INF200KA12D7</v>
          </cell>
          <cell r="D11870" t="str">
            <v>SBI CPSE Bond Plus SDL Sep 2026 50:50 Index Fund - Regular Plan - Income Distribution cum Capital Withdrawal Option (IDCW)</v>
          </cell>
          <cell r="E11870">
            <v>13.029400000000001</v>
          </cell>
        </row>
        <row r="11871">
          <cell r="B11871" t="str">
            <v>INF200KA18Q6</v>
          </cell>
          <cell r="C11871" t="str">
            <v>-</v>
          </cell>
          <cell r="D11871" t="str">
            <v>SBI CRISIL IBX Gilt Index - April 2029 Fund - Direct Plan - Growth</v>
          </cell>
          <cell r="E11871">
            <v>13.360099999999999</v>
          </cell>
        </row>
        <row r="11872">
          <cell r="B11872" t="str">
            <v>INF200KA19Q4</v>
          </cell>
          <cell r="C11872" t="str">
            <v>INF200KA10R1</v>
          </cell>
          <cell r="D11872" t="str">
            <v>SBI CRISIL IBX Gilt Index - April 2029 Fund - Direct Plan - Income Distribution cum Capital Withdrawal Option (IDCW)</v>
          </cell>
          <cell r="E11872">
            <v>13.360099999999999</v>
          </cell>
        </row>
        <row r="11873">
          <cell r="B11873" t="str">
            <v>INF200KA15Q2</v>
          </cell>
          <cell r="C11873" t="str">
            <v>-</v>
          </cell>
          <cell r="D11873" t="str">
            <v>SBI CRISIL IBX Gilt Index - April 2029 Fund - Regular Plan - Growth</v>
          </cell>
          <cell r="E11873">
            <v>13.2433</v>
          </cell>
        </row>
        <row r="11874">
          <cell r="B11874" t="str">
            <v>INF200KA16Q0</v>
          </cell>
          <cell r="C11874" t="str">
            <v>INF200KA17Q8</v>
          </cell>
          <cell r="D11874" t="str">
            <v>SBI CRISIL IBX Gilt Index - April 2029 Fund - Regular Plan - Income Distribution cum Capital Withdrawal Option (IDCW)</v>
          </cell>
          <cell r="E11874">
            <v>13.244199999999999</v>
          </cell>
        </row>
        <row r="11875">
          <cell r="B11875" t="str">
            <v>INF200KA12Q9</v>
          </cell>
          <cell r="C11875" t="str">
            <v>-</v>
          </cell>
          <cell r="D11875" t="str">
            <v>SBI |CRISIL IBX Gilt Index - June 2036 Fund - Direct Plan - Growth</v>
          </cell>
          <cell r="E11875">
            <v>13.5458</v>
          </cell>
        </row>
        <row r="11876">
          <cell r="B11876" t="str">
            <v>INF200KA13Q7</v>
          </cell>
          <cell r="C11876" t="str">
            <v>INF200KA14Q5</v>
          </cell>
          <cell r="D11876" t="str">
            <v>SBI CRISIL IBX Gilt Index - June 2036 Fund - Direct Plan - Income Distribution cum Capital Withdrawal Option (IDCW)</v>
          </cell>
          <cell r="E11876">
            <v>13.5458</v>
          </cell>
        </row>
        <row r="11877">
          <cell r="B11877" t="str">
            <v>INF200KA19P6</v>
          </cell>
          <cell r="C11877" t="str">
            <v>-</v>
          </cell>
          <cell r="D11877" t="str">
            <v>SBI CRISIL IBX Gilt Index - June 2036 Fund - Regular Plan - Growth</v>
          </cell>
          <cell r="E11877">
            <v>13.421900000000001</v>
          </cell>
        </row>
        <row r="11878">
          <cell r="B11878" t="str">
            <v>INF200KA10Q3</v>
          </cell>
          <cell r="C11878" t="str">
            <v>INF200KA11Q1</v>
          </cell>
          <cell r="D11878" t="str">
            <v>SBI CRISIL IBX Gilt Index - June 2036 Fund - Regular Plan - Income Distribution cum Capital Withdrawal Option (IDCW)</v>
          </cell>
          <cell r="E11878">
            <v>13.4224</v>
          </cell>
        </row>
        <row r="11879">
          <cell r="B11879" t="str">
            <v>INF200KA14R3</v>
          </cell>
          <cell r="C11879" t="str">
            <v>-</v>
          </cell>
          <cell r="D11879" t="str">
            <v>SBI CRISIL IBX SDL Index - September 2027 Fund - Direct Plan - Growth</v>
          </cell>
          <cell r="E11879">
            <v>13.1747</v>
          </cell>
        </row>
        <row r="11880">
          <cell r="B11880" t="str">
            <v>INF200KA15R0</v>
          </cell>
          <cell r="C11880" t="str">
            <v>INF200KA16R8</v>
          </cell>
          <cell r="D11880" t="str">
            <v>SBI CRISIL IBX SDL Index - September 2027 Fund - Direct Plan - Income Distribution cum Capital Withdrawal Option (IDCW)</v>
          </cell>
          <cell r="E11880">
            <v>13.1806</v>
          </cell>
        </row>
        <row r="11881">
          <cell r="B11881" t="str">
            <v>INF200KA11R9</v>
          </cell>
          <cell r="C11881" t="str">
            <v>-</v>
          </cell>
          <cell r="D11881" t="str">
            <v>SBI CRISIL IBX SDL Index - September 2027 Fund - Regular Plan - Growth</v>
          </cell>
          <cell r="E11881">
            <v>13.088699999999999</v>
          </cell>
        </row>
        <row r="11882">
          <cell r="B11882" t="str">
            <v>INF200KA12R7</v>
          </cell>
          <cell r="C11882" t="str">
            <v>INF200KA13R5</v>
          </cell>
          <cell r="D11882" t="str">
            <v>SBI CRISIL IBX SDL Index - September 2027 Fund - Regular Plan - Income Distribution cum Capital Withdrawal Option (IDCW)</v>
          </cell>
          <cell r="E11882">
            <v>13.0892</v>
          </cell>
        </row>
        <row r="11883">
          <cell r="B11883" t="str">
            <v>INF200KB1BF6</v>
          </cell>
          <cell r="C11883" t="str">
            <v>-</v>
          </cell>
          <cell r="D11883" t="str">
            <v>SBI CRISIL-IBX 10:90 Gilt + SDL Index - Dec 2029 Index Fund - Regular - Growth</v>
          </cell>
          <cell r="E11883">
            <v>10.2376</v>
          </cell>
        </row>
        <row r="11884">
          <cell r="B11884" t="str">
            <v>INF200KB1BI0</v>
          </cell>
          <cell r="C11884" t="str">
            <v>-</v>
          </cell>
          <cell r="D11884" t="str">
            <v>SBI CRISIL-IBX 10:90 GILT + SDL INDEX DEC 2029 INDEX FUND - DIRECT - GROWTH</v>
          </cell>
          <cell r="E11884">
            <v>10.2409</v>
          </cell>
        </row>
        <row r="11885">
          <cell r="B11885" t="str">
            <v>INF200KB1BJ8</v>
          </cell>
          <cell r="C11885" t="str">
            <v>INF200KB1BK6</v>
          </cell>
          <cell r="D11885" t="str">
            <v>SBI CRISIL-IBX 10:90 GLIT + SDL INDEX DEC 2029 INDEX FUND - DIRECT IDCW</v>
          </cell>
          <cell r="E11885">
            <v>10.2409</v>
          </cell>
        </row>
        <row r="11886">
          <cell r="B11886" t="str">
            <v>INF200KB1BG4</v>
          </cell>
          <cell r="C11886" t="str">
            <v>INF200KB1BH2</v>
          </cell>
          <cell r="D11886" t="str">
            <v>SBI CRISIL-IBX 10:90 GLIT + SDL INDEX DEC 2029 INDEX FUND - REGULAR - IDCW</v>
          </cell>
          <cell r="E11886">
            <v>10.2376</v>
          </cell>
        </row>
        <row r="11887">
          <cell r="B11887" t="str">
            <v>INF200KB1AO0</v>
          </cell>
          <cell r="C11887" t="str">
            <v>-</v>
          </cell>
          <cell r="D11887" t="str">
            <v>SBI CRISIL - IBX Financial Services 3-6 Months Debt Index Fund - Direct Plan - Growth</v>
          </cell>
          <cell r="E11887">
            <v>10.171900000000001</v>
          </cell>
        </row>
        <row r="11888">
          <cell r="B11888" t="str">
            <v>INF200KB1AP7</v>
          </cell>
          <cell r="C11888" t="str">
            <v>INF200KB1AQ5</v>
          </cell>
          <cell r="D11888" t="str">
            <v>SBI CRISIL - IBX Financial Services 3-6 Months Debt Index Fund - Direct Plan - IDCW</v>
          </cell>
          <cell r="E11888">
            <v>10.171900000000001</v>
          </cell>
        </row>
        <row r="11889">
          <cell r="B11889" t="str">
            <v>INF200KB1AL6</v>
          </cell>
          <cell r="C11889" t="str">
            <v>-</v>
          </cell>
          <cell r="D11889" t="str">
            <v>SBI CRISIL - IBX Financial Services 3-6 Months Debt Index Fund - Regular Plan - Growth</v>
          </cell>
          <cell r="E11889">
            <v>10.1692</v>
          </cell>
        </row>
        <row r="11890">
          <cell r="B11890" t="str">
            <v>INF200KB1AM4</v>
          </cell>
          <cell r="C11890" t="str">
            <v>INF200KB1AN2</v>
          </cell>
          <cell r="D11890" t="str">
            <v>SBI CRISIL - IBX Financial Services 3-6 Months Debt Index Fund - Regular Plan - IDCW</v>
          </cell>
          <cell r="E11890">
            <v>10.1692</v>
          </cell>
        </row>
        <row r="11891">
          <cell r="B11891" t="str">
            <v>INF200KB1AU7</v>
          </cell>
          <cell r="C11891" t="str">
            <v>-</v>
          </cell>
          <cell r="D11891" t="str">
            <v>SBI CRISIL - IBX Financial Services 9-12 Months Debt Index Fund - Direct Plan - Growth</v>
          </cell>
          <cell r="E11891">
            <v>10.158200000000001</v>
          </cell>
        </row>
        <row r="11892">
          <cell r="B11892" t="str">
            <v>INF200KB1AV5</v>
          </cell>
          <cell r="C11892" t="str">
            <v>INF200KB1AW3</v>
          </cell>
          <cell r="D11892" t="str">
            <v>SBI CRISIL - IBX Financial Services 9-12 Months Debt Index Fund - Direct Plan - IDCW</v>
          </cell>
          <cell r="E11892">
            <v>10.158200000000001</v>
          </cell>
        </row>
        <row r="11893">
          <cell r="B11893" t="str">
            <v>INF200KB1AR3</v>
          </cell>
          <cell r="C11893" t="str">
            <v>-</v>
          </cell>
          <cell r="D11893" t="str">
            <v>SBI CRISIL - IBX Financial Services 9-12 Months Debt Index Fund - Regular Plan - Growth</v>
          </cell>
          <cell r="E11893">
            <v>10.153</v>
          </cell>
        </row>
        <row r="11894">
          <cell r="B11894" t="str">
            <v>INF200KB1AS1</v>
          </cell>
          <cell r="C11894" t="str">
            <v>INF200KB1AT9</v>
          </cell>
          <cell r="D11894" t="str">
            <v>SBI CRISIL - IBX Financial Services 9-12 Months Debt Index Fund - Regular Plan - IDCW</v>
          </cell>
          <cell r="E11894">
            <v>10.153</v>
          </cell>
        </row>
        <row r="11895">
          <cell r="B11895" t="str">
            <v>INF200KB1381</v>
          </cell>
          <cell r="C11895" t="str">
            <v>-</v>
          </cell>
          <cell r="D11895" t="str">
            <v>SBI Nifty 500 Index Fund- Direct Plan- Growth</v>
          </cell>
          <cell r="E11895">
            <v>9.6447000000000003</v>
          </cell>
        </row>
        <row r="11896">
          <cell r="B11896" t="str">
            <v>INF200KB1399</v>
          </cell>
          <cell r="C11896" t="str">
            <v>INF200KB1407</v>
          </cell>
          <cell r="D11896" t="str">
            <v>SBI Nifty 500 Index Fund- Direct Plan- Income Distribution Cum Capital Withdrawal (IDCW)</v>
          </cell>
          <cell r="E11896">
            <v>9.6447000000000003</v>
          </cell>
        </row>
        <row r="11897">
          <cell r="B11897" t="str">
            <v>INF200KB1357</v>
          </cell>
          <cell r="C11897" t="str">
            <v>-</v>
          </cell>
          <cell r="D11897" t="str">
            <v>SBI Nifty 500 Index Fund- Regular Plan- Growth</v>
          </cell>
          <cell r="E11897">
            <v>9.5602999999999998</v>
          </cell>
        </row>
        <row r="11898">
          <cell r="B11898" t="str">
            <v>INF200KB1365</v>
          </cell>
          <cell r="C11898" t="str">
            <v>INF200KB1373</v>
          </cell>
          <cell r="D11898" t="str">
            <v>SBI Nifty 500 Index Fund- Regular Plan- Income Distribution Cum Capital Withdrawal (IDCW)</v>
          </cell>
          <cell r="E11898">
            <v>9.56</v>
          </cell>
        </row>
        <row r="11899">
          <cell r="B11899" t="str">
            <v>INF200KB1548</v>
          </cell>
          <cell r="C11899" t="str">
            <v>INF200KB1555</v>
          </cell>
          <cell r="D11899" t="str">
            <v>SBI Nifty Bank Index Fund- Regular Plan- Income Distribution Cum Capital Withdrawal Option</v>
          </cell>
          <cell r="E11899">
            <v>11.3779</v>
          </cell>
        </row>
        <row r="11900">
          <cell r="B11900" t="str">
            <v>INF200KB1563</v>
          </cell>
          <cell r="C11900" t="str">
            <v>-</v>
          </cell>
          <cell r="D11900" t="str">
            <v>SBI Nifty Bank Index Fund-Direct Plan- Growth</v>
          </cell>
          <cell r="E11900">
            <v>11.456799999999999</v>
          </cell>
        </row>
        <row r="11901">
          <cell r="B11901" t="str">
            <v>INF200KB1571</v>
          </cell>
          <cell r="C11901" t="str">
            <v>INF200KB1589</v>
          </cell>
          <cell r="D11901" t="str">
            <v>SBI Nifty Bank Index Fund-Direct Plan- Income Distribution Cum Capital Withdrawal Option</v>
          </cell>
          <cell r="E11901">
            <v>11.4567</v>
          </cell>
        </row>
        <row r="11902">
          <cell r="B11902" t="str">
            <v>INF200KB1530</v>
          </cell>
          <cell r="C11902" t="str">
            <v>-</v>
          </cell>
          <cell r="D11902" t="str">
            <v>SBI Nifty Bank Index Fund-Regular Plan- Growth</v>
          </cell>
          <cell r="E11902">
            <v>11.377800000000001</v>
          </cell>
        </row>
        <row r="11903">
          <cell r="B11903" t="str">
            <v>INF200KB1BC3</v>
          </cell>
          <cell r="C11903" t="str">
            <v>-</v>
          </cell>
          <cell r="D11903" t="str">
            <v>SBI NIFTY G-SEC JUL 2031 INDEX FUND - DIRECT - GROWTH</v>
          </cell>
          <cell r="E11903">
            <v>10.277100000000001</v>
          </cell>
        </row>
        <row r="11904">
          <cell r="B11904" t="str">
            <v>INF200KB1BD1</v>
          </cell>
          <cell r="C11904" t="str">
            <v>INF200KB1BE9</v>
          </cell>
          <cell r="D11904" t="str">
            <v>SBI NIFTY G-SEC JUL 2031 INDEX FUND - DIRECT - IDCW</v>
          </cell>
          <cell r="E11904">
            <v>10.277100000000001</v>
          </cell>
        </row>
        <row r="11905">
          <cell r="B11905" t="str">
            <v>INF200KB1AZ6</v>
          </cell>
          <cell r="C11905" t="str">
            <v>-</v>
          </cell>
          <cell r="D11905" t="str">
            <v>SBI Nifty G-sec Jul 2031 Index Fund - REGULAR - GROWTH</v>
          </cell>
          <cell r="E11905">
            <v>10.2738</v>
          </cell>
        </row>
        <row r="11906">
          <cell r="B11906" t="str">
            <v>INF200KB1BA7</v>
          </cell>
          <cell r="C11906" t="str">
            <v>INF200KB1BB5</v>
          </cell>
          <cell r="D11906" t="str">
            <v>SBI NIFTY G-SEC JUL 2031 INDEX FUND - REGULAR - IDCW</v>
          </cell>
          <cell r="E11906">
            <v>10.2738</v>
          </cell>
        </row>
        <row r="11907">
          <cell r="B11907" t="str">
            <v>INF200K01TE8</v>
          </cell>
          <cell r="C11907" t="str">
            <v>-</v>
          </cell>
          <cell r="D11907" t="str">
            <v>SBI NIFTY INDEX FUND - DIRECT PLAN - GROWTH</v>
          </cell>
          <cell r="E11907">
            <v>224.12049999999999</v>
          </cell>
        </row>
        <row r="11908">
          <cell r="B11908" t="str">
            <v>INF200K01TC2</v>
          </cell>
          <cell r="C11908" t="str">
            <v>INF200K01TD0</v>
          </cell>
          <cell r="D11908" t="str">
            <v>SBI Nifty Index Fund - Direct Plan - Income Distribution cum Capital Withdrawal Option (IDCW)</v>
          </cell>
          <cell r="E11908">
            <v>115.1164</v>
          </cell>
        </row>
        <row r="11909">
          <cell r="B11909" t="str">
            <v>INF200K01537</v>
          </cell>
          <cell r="C11909" t="str">
            <v>-</v>
          </cell>
          <cell r="D11909" t="str">
            <v>SBI NIFTY INDEX FUND - REGULAR PLAN - GROWTH</v>
          </cell>
          <cell r="E11909">
            <v>213.20959999999999</v>
          </cell>
        </row>
        <row r="11910">
          <cell r="B11910" t="str">
            <v>INF200K01545</v>
          </cell>
          <cell r="C11910" t="str">
            <v>INF200K01552</v>
          </cell>
          <cell r="D11910" t="str">
            <v>SBI Nifty Index Fund - Regular Plan - Income Distribution cum Capital Withdrawal Option (IDCW)</v>
          </cell>
          <cell r="E11910">
            <v>109.3891</v>
          </cell>
        </row>
        <row r="11911">
          <cell r="B11911" t="str">
            <v>INF200KB1449</v>
          </cell>
          <cell r="C11911" t="str">
            <v>-</v>
          </cell>
          <cell r="D11911" t="str">
            <v>SBI Nifty India Consumption Index Fund- Direct Plan- Growth</v>
          </cell>
          <cell r="E11911">
            <v>10.2814</v>
          </cell>
        </row>
        <row r="11912">
          <cell r="B11912" t="str">
            <v>INF200KB1456</v>
          </cell>
          <cell r="C11912" t="str">
            <v>INF200KB1464</v>
          </cell>
          <cell r="D11912" t="str">
            <v>SBI Nifty India Consumption Index Fund- Direct Plan- IDCW Payout</v>
          </cell>
          <cell r="E11912">
            <v>10.2814</v>
          </cell>
        </row>
        <row r="11913">
          <cell r="B11913" t="str">
            <v>INF200KB1415</v>
          </cell>
          <cell r="C11913" t="str">
            <v>-</v>
          </cell>
          <cell r="D11913" t="str">
            <v>SBI Nifty India Consumption Index Fund- Regular Plan- Growth</v>
          </cell>
          <cell r="E11913">
            <v>10.196300000000001</v>
          </cell>
        </row>
        <row r="11914">
          <cell r="B11914" t="str">
            <v>INF200KB1423</v>
          </cell>
          <cell r="C11914" t="str">
            <v>INF200KB1431</v>
          </cell>
          <cell r="D11914" t="str">
            <v>SBI Nifty India Consumption Index Fund- Regular Plan- IDCW Payout</v>
          </cell>
          <cell r="E11914">
            <v>10.196300000000001</v>
          </cell>
        </row>
        <row r="11915">
          <cell r="B11915" t="str">
            <v>INF200KB1621</v>
          </cell>
          <cell r="C11915" t="str">
            <v>-</v>
          </cell>
          <cell r="D11915" t="str">
            <v>SBI Nifty IT Index Fund - Direct Plan - Growth</v>
          </cell>
          <cell r="E11915">
            <v>7.2323000000000004</v>
          </cell>
        </row>
        <row r="11916">
          <cell r="B11916" t="str">
            <v>INF200KB1639</v>
          </cell>
          <cell r="C11916" t="str">
            <v>INF200KB1647</v>
          </cell>
          <cell r="D11916" t="str">
            <v>SBI Nifty IT Index Fund - Direct Plan - Income Distribution Cum Withdrawal Option (IDCW)</v>
          </cell>
          <cell r="E11916">
            <v>7.2323000000000004</v>
          </cell>
        </row>
        <row r="11917">
          <cell r="B11917" t="str">
            <v>INF200KB1597</v>
          </cell>
          <cell r="C11917" t="str">
            <v>-</v>
          </cell>
          <cell r="D11917" t="str">
            <v>SBI Nifty IT Index Fund - Regular Plan - Growth</v>
          </cell>
          <cell r="E11917">
            <v>7.1843000000000004</v>
          </cell>
        </row>
        <row r="11918">
          <cell r="B11918" t="str">
            <v>INF200KB1605</v>
          </cell>
          <cell r="C11918" t="str">
            <v>INF200KB1613</v>
          </cell>
          <cell r="D11918" t="str">
            <v>SBI Nifty IT Index Fund - Regular Plan - Income Distribution Cum Capital Withdrawal Option (IDCW)</v>
          </cell>
          <cell r="E11918">
            <v>7.1841999999999997</v>
          </cell>
        </row>
        <row r="11919">
          <cell r="B11919" t="str">
            <v>INF200KA10P5</v>
          </cell>
          <cell r="C11919" t="str">
            <v>-</v>
          </cell>
          <cell r="D11919" t="str">
            <v>SBI Nifty Midcap 150 Index Fund - Direct Plan - Growth</v>
          </cell>
          <cell r="E11919">
            <v>19.975200000000001</v>
          </cell>
        </row>
        <row r="11920">
          <cell r="B11920" t="str">
            <v>INF200KA11P3</v>
          </cell>
          <cell r="C11920" t="str">
            <v>INF200KA12P1</v>
          </cell>
          <cell r="D11920" t="str">
            <v>SBI Nifty Midcap 150 Index Fund - Direct Plan - Income Distribution cum Capital Withdrawal Option (IDCW)</v>
          </cell>
          <cell r="E11920">
            <v>19.974599999999999</v>
          </cell>
        </row>
        <row r="11921">
          <cell r="B11921" t="str">
            <v>INF200KA17O3</v>
          </cell>
          <cell r="C11921" t="str">
            <v>-</v>
          </cell>
          <cell r="D11921" t="str">
            <v>SBI Nifty Midcap 150 Index Fund - Regular Plan - Growth</v>
          </cell>
          <cell r="E11921">
            <v>19.593399999999999</v>
          </cell>
        </row>
        <row r="11922">
          <cell r="B11922" t="str">
            <v>INF200KA18O1</v>
          </cell>
          <cell r="C11922" t="str">
            <v>INF200KA19O9</v>
          </cell>
          <cell r="D11922" t="str">
            <v>SBI Nifty Midcap 150 Index Fund - Regular Plan - Income Distribution cum Capital Withdrawal Option (IDCW)</v>
          </cell>
          <cell r="E11922">
            <v>19.593699999999998</v>
          </cell>
        </row>
        <row r="11923">
          <cell r="B11923" t="str">
            <v>INF200KA1W00</v>
          </cell>
          <cell r="C11923" t="str">
            <v>-</v>
          </cell>
          <cell r="D11923" t="str">
            <v>SBI Nifty Next 50 Index Fund - Direct Plan - Growth</v>
          </cell>
          <cell r="E11923">
            <v>20.0367</v>
          </cell>
        </row>
        <row r="11924">
          <cell r="B11924" t="str">
            <v>INF200KA1W18</v>
          </cell>
          <cell r="C11924" t="str">
            <v>INF200KA1W26</v>
          </cell>
          <cell r="D11924" t="str">
            <v>SBI Nifty Next 50 Index Fund - Direct Plan - Income Distribution cum Capital Withdrawal Option (IDCW)</v>
          </cell>
          <cell r="E11924">
            <v>20.035599999999999</v>
          </cell>
        </row>
        <row r="11925">
          <cell r="B11925" t="str">
            <v>INF200KA1V76</v>
          </cell>
          <cell r="C11925" t="str">
            <v>-</v>
          </cell>
          <cell r="D11925" t="str">
            <v>SBI Nifty Next 50 Index Fund - Regular Plan - Growth</v>
          </cell>
          <cell r="E11925">
            <v>19.5623</v>
          </cell>
        </row>
        <row r="11926">
          <cell r="B11926" t="str">
            <v>INF200KA1V84</v>
          </cell>
          <cell r="C11926" t="str">
            <v>INF200KA1V92</v>
          </cell>
          <cell r="D11926" t="str">
            <v>SBI Nifty Next 50 Index Fund - Regular Plan - Income Distribution cum Capital Withdrawal Option (IDCW)</v>
          </cell>
          <cell r="E11926">
            <v>19.5626</v>
          </cell>
        </row>
        <row r="11927">
          <cell r="B11927" t="str">
            <v>INF200KA16P2</v>
          </cell>
          <cell r="C11927" t="str">
            <v>-</v>
          </cell>
          <cell r="D11927" t="str">
            <v>SBI Nifty Smallcap 250 Index Fund - Direct Plan - Growth</v>
          </cell>
          <cell r="E11927">
            <v>19.4724</v>
          </cell>
        </row>
        <row r="11928">
          <cell r="B11928" t="str">
            <v>INF200KA17P0</v>
          </cell>
          <cell r="C11928" t="str">
            <v>INF200KA18P8</v>
          </cell>
          <cell r="D11928" t="str">
            <v>SBI Nifty Smallcap 250 Index Fund - Direct Plan - Income Distribution cum Capital Withdrawal Option (IDCW)</v>
          </cell>
          <cell r="E11928">
            <v>19.471900000000002</v>
          </cell>
        </row>
        <row r="11929">
          <cell r="B11929" t="str">
            <v>INF200KA13P9</v>
          </cell>
          <cell r="C11929" t="str">
            <v>-</v>
          </cell>
          <cell r="D11929" t="str">
            <v>SBI Nifty Smallcap 250 Index Fund - Regular Plan - Growth</v>
          </cell>
          <cell r="E11929">
            <v>19.092500000000001</v>
          </cell>
        </row>
        <row r="11930">
          <cell r="B11930" t="str">
            <v>INF200KA14P7</v>
          </cell>
          <cell r="C11930" t="str">
            <v>INF200KA15P4</v>
          </cell>
          <cell r="D11930" t="str">
            <v>SBI Nifty Smallcap 250 Index Fund - Regular Plan - Income Distribution cum Capital Withdrawal Option (IDCW)</v>
          </cell>
          <cell r="E11930">
            <v>19.0931</v>
          </cell>
        </row>
        <row r="11931">
          <cell r="B11931" t="str">
            <v>INF200KB1936</v>
          </cell>
          <cell r="C11931" t="str">
            <v>-</v>
          </cell>
          <cell r="D11931" t="str">
            <v>SBI Nifty100 Low Volatility 30 Index Fund- Direct Plan- Growth</v>
          </cell>
          <cell r="E11931">
            <v>10.2103</v>
          </cell>
        </row>
        <row r="11932">
          <cell r="B11932" t="str">
            <v>INF200KB1902</v>
          </cell>
          <cell r="C11932" t="str">
            <v>-</v>
          </cell>
          <cell r="D11932" t="str">
            <v>SBI Nifty100 Low Volatility 30 Index Fund- Regular Plan- Growth</v>
          </cell>
          <cell r="E11932">
            <v>10.171200000000001</v>
          </cell>
        </row>
        <row r="11933">
          <cell r="B11933" t="str">
            <v>INF200KB1910</v>
          </cell>
          <cell r="C11933" t="str">
            <v>INF200KB1928</v>
          </cell>
          <cell r="D11933" t="str">
            <v>SBI Nifty100 Low Volatility 30 Index Fund- Regular Plan- Income Cum Distribution Capital Withdrawal Option (IDCW)</v>
          </cell>
          <cell r="E11933">
            <v>10.171200000000001</v>
          </cell>
        </row>
        <row r="11934">
          <cell r="B11934" t="str">
            <v>INF200KB1944</v>
          </cell>
          <cell r="C11934" t="str">
            <v>INF200KB1951</v>
          </cell>
          <cell r="D11934" t="str">
            <v>SBI Nifty100 Low Volatility 30 Index Fund-Direct  Plan- Income Cum Distribution Capital Withdrawal Option (IDCW)</v>
          </cell>
          <cell r="E11934">
            <v>10.2103</v>
          </cell>
        </row>
        <row r="11935">
          <cell r="B11935" t="str">
            <v>INF200KB1878</v>
          </cell>
          <cell r="C11935" t="str">
            <v>-</v>
          </cell>
          <cell r="D11935" t="str">
            <v>SBI Nifty200 Momentum 30 Index Fund- Direct Plan- Growth</v>
          </cell>
          <cell r="E11935">
            <v>9.6976999999999993</v>
          </cell>
        </row>
        <row r="11936">
          <cell r="B11936" t="str">
            <v>INF200KB1886</v>
          </cell>
          <cell r="C11936" t="str">
            <v>INF200KB1894</v>
          </cell>
          <cell r="D11936" t="str">
            <v>SBI Nifty200 Momentum 30 Index Fund- Direct Plan- Income Cum Distribution Capital Withdrawal Option (IDCW)</v>
          </cell>
          <cell r="E11936">
            <v>9.6976999999999993</v>
          </cell>
        </row>
        <row r="11937">
          <cell r="B11937" t="str">
            <v>INF200KB1845</v>
          </cell>
          <cell r="C11937" t="str">
            <v>-</v>
          </cell>
          <cell r="D11937" t="str">
            <v>SBI Nifty200 Momentum 30 Index Fund- Regular Plan- Growth</v>
          </cell>
          <cell r="E11937">
            <v>9.6593999999999998</v>
          </cell>
        </row>
        <row r="11938">
          <cell r="B11938" t="str">
            <v>INF200KB1852</v>
          </cell>
          <cell r="C11938" t="str">
            <v>INF200KB1860</v>
          </cell>
          <cell r="D11938" t="str">
            <v>SBI Nifty200 Momentum 30 Index Fund- Regular Plan- Income Distribution Cum Capital Withdrawal Option (IDCW)</v>
          </cell>
          <cell r="E11938">
            <v>9.6594999999999995</v>
          </cell>
        </row>
        <row r="11939">
          <cell r="B11939" t="str">
            <v>INF200KB1829</v>
          </cell>
          <cell r="C11939" t="str">
            <v>INF200KB1837</v>
          </cell>
          <cell r="D11939" t="str">
            <v>SBI Nifty200 Quality 30 Index Fund- Direct Plan- Income Distribution Cum Capital Withdrawal Option</v>
          </cell>
          <cell r="E11939">
            <v>9.9614999999999991</v>
          </cell>
        </row>
        <row r="11940">
          <cell r="B11940" t="str">
            <v>INF200KB1795</v>
          </cell>
          <cell r="C11940" t="str">
            <v>INF200KB1803</v>
          </cell>
          <cell r="D11940" t="str">
            <v>SBI Nifty200 Quality 30 Index Fund- Regular Plan- Income Cum Distribution Withdrawal Option</v>
          </cell>
          <cell r="E11940">
            <v>9.9182000000000006</v>
          </cell>
        </row>
        <row r="11941">
          <cell r="B11941" t="str">
            <v>INF200KB1811</v>
          </cell>
          <cell r="C11941" t="str">
            <v>-</v>
          </cell>
          <cell r="D11941" t="str">
            <v>SBI Nifty200 Quality 30 Index Fund-Direct Plan- Growth</v>
          </cell>
          <cell r="E11941">
            <v>9.9614999999999991</v>
          </cell>
        </row>
        <row r="11942">
          <cell r="B11942" t="str">
            <v>INF200KB1787</v>
          </cell>
          <cell r="C11942" t="str">
            <v>-</v>
          </cell>
          <cell r="D11942" t="str">
            <v>SBI Nifty200 Quality 30 Index Fund-Regular Plan- Growth</v>
          </cell>
          <cell r="E11942">
            <v>9.9182000000000006</v>
          </cell>
        </row>
        <row r="11943">
          <cell r="B11943" t="str">
            <v>INF200KB1027</v>
          </cell>
          <cell r="C11943" t="str">
            <v>-</v>
          </cell>
          <cell r="D11943" t="str">
            <v>SBI Nifty50 Equal Weight Index Fund - Direct Plan - Growth</v>
          </cell>
          <cell r="E11943">
            <v>12.2386</v>
          </cell>
        </row>
        <row r="11944">
          <cell r="B11944" t="str">
            <v>INF200KB1035</v>
          </cell>
          <cell r="C11944" t="str">
            <v>INF200KB1043</v>
          </cell>
          <cell r="D11944" t="str">
            <v>SBI Nifty50 Equal Weight Index Fund - Direct Plan - Income Distribution Cum Capital Withdrawal Option</v>
          </cell>
          <cell r="E11944">
            <v>12.2378</v>
          </cell>
        </row>
        <row r="11945">
          <cell r="B11945" t="str">
            <v>INF200KA18Z7</v>
          </cell>
          <cell r="C11945" t="str">
            <v>-</v>
          </cell>
          <cell r="D11945" t="str">
            <v>SBI Nifty50 Equal Weight Index Fund - Regular Plan - Growth</v>
          </cell>
          <cell r="E11945">
            <v>12.0909</v>
          </cell>
        </row>
        <row r="11946">
          <cell r="B11946" t="str">
            <v>INF200KA19Z5</v>
          </cell>
          <cell r="C11946" t="str">
            <v>INF200KB1019</v>
          </cell>
          <cell r="D11946" t="str">
            <v>SBI Nifty50 Equal Weight Index Fund - Regular Plan - Income Distribution Cum Capital Withdrawal Option</v>
          </cell>
          <cell r="E11946">
            <v>12.0907</v>
          </cell>
        </row>
        <row r="11947">
          <cell r="B11947" t="str">
            <v/>
          </cell>
          <cell r="C11947" t="str">
            <v/>
          </cell>
          <cell r="D11947" t="str">
            <v/>
          </cell>
        </row>
        <row r="11948">
          <cell r="B11948" t="str">
            <v/>
          </cell>
          <cell r="C11948" t="str">
            <v/>
          </cell>
          <cell r="D11948" t="str">
            <v/>
          </cell>
        </row>
        <row r="11949">
          <cell r="B11949" t="str">
            <v/>
          </cell>
          <cell r="C11949" t="str">
            <v/>
          </cell>
          <cell r="D11949" t="str">
            <v/>
          </cell>
        </row>
        <row r="11950">
          <cell r="B11950" t="str">
            <v>INF173K01EZ4</v>
          </cell>
          <cell r="C11950" t="str">
            <v>-</v>
          </cell>
          <cell r="D11950" t="str">
            <v>Sundaram Nifty 100 Equal Weight Fund (Formerly Known as Principal Nifty 100 Equal Weight Fund) - Direct Plan - Growth Option</v>
          </cell>
          <cell r="E11950">
            <v>194.1525</v>
          </cell>
        </row>
        <row r="11951">
          <cell r="B11951" t="str">
            <v>INF173K01EW1</v>
          </cell>
          <cell r="C11951" t="str">
            <v>INF173K01EX9</v>
          </cell>
          <cell r="D11951" t="str">
            <v>Sundaram Nifty 100 Equal Weight Fund (Formerly Known as Principal Nifty 100 Equal Weight Fund)- Direct Plan - Income Distribution CUM Capital Withdrawal Option</v>
          </cell>
          <cell r="E11951">
            <v>79.276799999999994</v>
          </cell>
        </row>
        <row r="11952">
          <cell r="B11952" t="str">
            <v>INF173K01AG2</v>
          </cell>
          <cell r="C11952" t="str">
            <v>-</v>
          </cell>
          <cell r="D11952" t="str">
            <v>Sundaram Nifty 100 Equal Weight Fund (Formerly Known as Principal Nifty 100 Equal Weight Fund)-Growth</v>
          </cell>
          <cell r="E11952">
            <v>183.40129999999999</v>
          </cell>
        </row>
        <row r="11953">
          <cell r="B11953" t="str">
            <v>INF173K01AH0</v>
          </cell>
          <cell r="C11953" t="str">
            <v>INF173K01AI8</v>
          </cell>
          <cell r="D11953" t="str">
            <v>Sundaram Nifty 100 Equal Weight Fund (Formerly Known as Principal Nifty 100 Equal Weight Fund-Income Distribution CUM Capital Withdrawal</v>
          </cell>
          <cell r="E11953">
            <v>74.864800000000002</v>
          </cell>
        </row>
        <row r="11954">
          <cell r="B11954" t="str">
            <v/>
          </cell>
          <cell r="C11954" t="str">
            <v/>
          </cell>
          <cell r="D11954" t="str">
            <v/>
          </cell>
        </row>
        <row r="11955">
          <cell r="B11955" t="str">
            <v/>
          </cell>
          <cell r="C11955" t="str">
            <v/>
          </cell>
          <cell r="D11955" t="str">
            <v/>
          </cell>
        </row>
        <row r="11956">
          <cell r="B11956" t="str">
            <v/>
          </cell>
          <cell r="C11956" t="str">
            <v/>
          </cell>
          <cell r="D11956" t="str">
            <v/>
          </cell>
        </row>
        <row r="11957">
          <cell r="B11957" t="str">
            <v>INF277KA1EP8</v>
          </cell>
          <cell r="C11957" t="str">
            <v>-</v>
          </cell>
          <cell r="D11957" t="str">
            <v>Tata BSE Multicap Consumption 50:30:20 Index Fund - Direct Plan Growth Option</v>
          </cell>
          <cell r="E11957">
            <v>9.7353000000000005</v>
          </cell>
        </row>
        <row r="11958">
          <cell r="B11958" t="str">
            <v>INF277KA1ER4</v>
          </cell>
          <cell r="C11958" t="str">
            <v>-</v>
          </cell>
          <cell r="D11958" t="str">
            <v>Tata BSE Multicap Consumption 50:30:20 Index Fund - Direct Plan IDCW Payout Option</v>
          </cell>
          <cell r="E11958">
            <v>9.7353000000000005</v>
          </cell>
        </row>
        <row r="11959">
          <cell r="B11959" t="str">
            <v>-</v>
          </cell>
          <cell r="C11959" t="str">
            <v>INF277KA1EQ6</v>
          </cell>
          <cell r="D11959" t="str">
            <v>Tata BSE Multicap Consumption 50:30:20 Index Fund - Direct Plan IDCW Reinvestment Option</v>
          </cell>
          <cell r="E11959">
            <v>9.7353000000000005</v>
          </cell>
        </row>
        <row r="11960">
          <cell r="B11960" t="str">
            <v>INF277KA1EM5</v>
          </cell>
          <cell r="C11960" t="str">
            <v>-</v>
          </cell>
          <cell r="D11960" t="str">
            <v>Tata BSE Multicap Consumption 50:30:20 Index Fund - Regular Plan Growth Option</v>
          </cell>
          <cell r="E11960">
            <v>9.6913999999999998</v>
          </cell>
        </row>
        <row r="11961">
          <cell r="B11961" t="str">
            <v>INF277KA1EO1</v>
          </cell>
          <cell r="C11961" t="str">
            <v>-</v>
          </cell>
          <cell r="D11961" t="str">
            <v>Tata BSE Multicap Consumption 50:30:20 Index Fund - Regular Plan IDCW Payout Option</v>
          </cell>
          <cell r="E11961">
            <v>9.6913999999999998</v>
          </cell>
        </row>
        <row r="11962">
          <cell r="B11962" t="str">
            <v>-</v>
          </cell>
          <cell r="C11962" t="str">
            <v>INF277KA1EN3</v>
          </cell>
          <cell r="D11962" t="str">
            <v>Tata BSE Multicap Consumption 50:30:20 Index Fund - Regular Plan IDCW Reinvestment Option</v>
          </cell>
          <cell r="E11962">
            <v>9.6913999999999998</v>
          </cell>
        </row>
        <row r="11963">
          <cell r="B11963" t="str">
            <v>INF277KA1DK1</v>
          </cell>
          <cell r="C11963" t="str">
            <v>-</v>
          </cell>
          <cell r="D11963" t="str">
            <v>Tata BSE Quality Index Fund Direct plan Growth Option</v>
          </cell>
          <cell r="E11963">
            <v>11.5123</v>
          </cell>
        </row>
        <row r="11964">
          <cell r="B11964" t="str">
            <v>INF277KA1DO3</v>
          </cell>
          <cell r="C11964" t="str">
            <v>-</v>
          </cell>
          <cell r="D11964" t="str">
            <v>Tata BSE Quality Index Fund Direct plan IDCW Payout Option</v>
          </cell>
          <cell r="E11964">
            <v>11.5123</v>
          </cell>
        </row>
        <row r="11965">
          <cell r="B11965" t="str">
            <v>-</v>
          </cell>
          <cell r="C11965" t="str">
            <v>INF277KA1DP0</v>
          </cell>
          <cell r="D11965" t="str">
            <v>Tata BSE Quality Index Fund Direct plan IDCW Reinvestment Option</v>
          </cell>
          <cell r="E11965">
            <v>11.5123</v>
          </cell>
        </row>
        <row r="11966">
          <cell r="B11966" t="str">
            <v>INF277KA1DH7</v>
          </cell>
          <cell r="C11966" t="str">
            <v>-</v>
          </cell>
          <cell r="D11966" t="str">
            <v>Tata BSE Quality Index Fund Regular plan Growth Option</v>
          </cell>
          <cell r="E11966">
            <v>11.3992</v>
          </cell>
        </row>
        <row r="11967">
          <cell r="B11967" t="str">
            <v>INF277KA1DJ3</v>
          </cell>
          <cell r="C11967" t="str">
            <v>-</v>
          </cell>
          <cell r="D11967" t="str">
            <v>Tata BSE Quality Index Fund Regular plan IDCW Payout Option</v>
          </cell>
          <cell r="E11967">
            <v>11.3992</v>
          </cell>
        </row>
        <row r="11968">
          <cell r="B11968" t="str">
            <v>-</v>
          </cell>
          <cell r="C11968" t="str">
            <v>INF277KA1DI5</v>
          </cell>
          <cell r="D11968" t="str">
            <v>Tata BSE Quality Index Fund Regular plan IDCW Reinvestment Option</v>
          </cell>
          <cell r="E11968">
            <v>11.3992</v>
          </cell>
        </row>
        <row r="11969">
          <cell r="B11969" t="str">
            <v>INF277KA1DA2</v>
          </cell>
          <cell r="C11969" t="str">
            <v>-</v>
          </cell>
          <cell r="D11969" t="str">
            <v>Tata BSE Select Business Groups Index Fund - Direct Growth</v>
          </cell>
          <cell r="E11969">
            <v>10.172499999999999</v>
          </cell>
        </row>
        <row r="11970">
          <cell r="B11970" t="str">
            <v>INF277KA1DC8</v>
          </cell>
          <cell r="C11970" t="str">
            <v>-</v>
          </cell>
          <cell r="D11970" t="str">
            <v>Tata BSE Select Business Groups Index Fund - Direct IDCW Payout</v>
          </cell>
          <cell r="E11970">
            <v>10.172499999999999</v>
          </cell>
        </row>
        <row r="11971">
          <cell r="B11971" t="str">
            <v>-</v>
          </cell>
          <cell r="C11971" t="str">
            <v>INF277KA1DB0</v>
          </cell>
          <cell r="D11971" t="str">
            <v>Tata BSE Select Business Groups Index Fund - Direct IDCW Reinvestment</v>
          </cell>
          <cell r="E11971">
            <v>10.172499999999999</v>
          </cell>
        </row>
        <row r="11972">
          <cell r="B11972" t="str">
            <v>INF277KA1CX6</v>
          </cell>
          <cell r="C11972" t="str">
            <v>-</v>
          </cell>
          <cell r="D11972" t="str">
            <v>Tata BSE Select Business Groups Index Fund - Regular Growth</v>
          </cell>
          <cell r="E11972">
            <v>10.0442</v>
          </cell>
        </row>
        <row r="11973">
          <cell r="B11973" t="str">
            <v>INF277KA1CZ1</v>
          </cell>
          <cell r="C11973" t="str">
            <v>-</v>
          </cell>
          <cell r="D11973" t="str">
            <v>Tata BSE Select Business Groups Index Fund - Regular IDCW Payout</v>
          </cell>
          <cell r="E11973">
            <v>10.0442</v>
          </cell>
        </row>
        <row r="11974">
          <cell r="B11974" t="str">
            <v>-</v>
          </cell>
          <cell r="C11974" t="str">
            <v>INF277KA1CY4</v>
          </cell>
          <cell r="D11974" t="str">
            <v>Tata BSE Select Business Groups Index Fund - Regular IDCW Reinvestment</v>
          </cell>
          <cell r="E11974">
            <v>10.0442</v>
          </cell>
        </row>
        <row r="11975">
          <cell r="B11975" t="str">
            <v>INF277K01PK1</v>
          </cell>
          <cell r="C11975" t="str">
            <v>-</v>
          </cell>
          <cell r="D11975" t="str">
            <v>Tata S&amp;P BSE Sensex Index Fund - Direct Plan</v>
          </cell>
          <cell r="E11975">
            <v>205.3227</v>
          </cell>
        </row>
        <row r="11976">
          <cell r="B11976" t="str">
            <v>INF277K01758</v>
          </cell>
          <cell r="C11976" t="str">
            <v>-</v>
          </cell>
          <cell r="D11976" t="str">
            <v>Tata S&amp;P BSE Sensex Index Fund -Regular Plan</v>
          </cell>
          <cell r="E11976">
            <v>193.4342</v>
          </cell>
        </row>
        <row r="11977">
          <cell r="B11977" t="str">
            <v>INF277KA1554</v>
          </cell>
          <cell r="C11977" t="str">
            <v>-</v>
          </cell>
          <cell r="D11977" t="str">
            <v>TATA CRISIL-IBX GILT INDEX - APRIL 2026 INDEX FUND - DIRECT PLAN - GROWTH</v>
          </cell>
          <cell r="E11977">
            <v>12.6722</v>
          </cell>
        </row>
        <row r="11978">
          <cell r="B11978" t="str">
            <v>INF277KA1570</v>
          </cell>
          <cell r="C11978" t="str">
            <v>-</v>
          </cell>
          <cell r="D11978" t="str">
            <v>TATA CRISIL-IBX GILT INDEX - APRIL 2026 INDEX FUND - DIRECT PLAN - IDCW PAYOUT</v>
          </cell>
          <cell r="E11978">
            <v>12.6722</v>
          </cell>
        </row>
        <row r="11979">
          <cell r="B11979" t="str">
            <v>-</v>
          </cell>
          <cell r="C11979" t="str">
            <v>INF277KA1562</v>
          </cell>
          <cell r="D11979" t="str">
            <v>TATA CRISIL-IBX GILT INDEX - APRIL 2026 INDEX FUND - DIRECT PLAN - IDCW REINVESTMENT</v>
          </cell>
          <cell r="E11979">
            <v>12.6722</v>
          </cell>
        </row>
        <row r="11980">
          <cell r="B11980" t="str">
            <v>INF277KA1588</v>
          </cell>
          <cell r="C11980" t="str">
            <v>-</v>
          </cell>
          <cell r="D11980" t="str">
            <v>TATA CRISIL-IBX GILT INDEX - APRIL 2026 INDEX FUND - REGULAR PLAN - GROWTH</v>
          </cell>
          <cell r="E11980">
            <v>12.564399999999999</v>
          </cell>
        </row>
        <row r="11981">
          <cell r="B11981" t="str">
            <v>INF277KA1604</v>
          </cell>
          <cell r="C11981" t="str">
            <v>-</v>
          </cell>
          <cell r="D11981" t="str">
            <v>TATA CRISIL-IBX GILT INDEX - APRIL 2026 INDEX FUND - REGULAR PLAN - IDCW PAYOUT</v>
          </cell>
          <cell r="E11981">
            <v>12.564399999999999</v>
          </cell>
        </row>
        <row r="11982">
          <cell r="B11982" t="str">
            <v>-</v>
          </cell>
          <cell r="C11982" t="str">
            <v>INF277KA1596</v>
          </cell>
          <cell r="D11982" t="str">
            <v>TATA CRISIL-IBX GILT INDEX - APRIL 2026 INDEX FUND - REGULAR PLAN - IDCW REINVESTMENT</v>
          </cell>
          <cell r="E11982">
            <v>12.564399999999999</v>
          </cell>
        </row>
        <row r="11983">
          <cell r="B11983" t="str">
            <v>INF277K01PJ3</v>
          </cell>
          <cell r="C11983" t="str">
            <v>-</v>
          </cell>
          <cell r="D11983" t="str">
            <v>Tata Nifty 50 Index Fund -Direct Plan</v>
          </cell>
          <cell r="E11983">
            <v>163.0016</v>
          </cell>
        </row>
        <row r="11984">
          <cell r="B11984" t="str">
            <v>INF277K01741</v>
          </cell>
          <cell r="C11984" t="str">
            <v>-</v>
          </cell>
          <cell r="D11984" t="str">
            <v>Tata Nifty 50 Index Fund -Regular Plan</v>
          </cell>
          <cell r="E11984">
            <v>149.81559999999999</v>
          </cell>
        </row>
        <row r="11985">
          <cell r="B11985" t="str">
            <v>INF277KA1AU6</v>
          </cell>
          <cell r="C11985" t="str">
            <v>-</v>
          </cell>
          <cell r="D11985" t="str">
            <v>Tata Nifty Auto Index Fund - Direct Plan - Growth</v>
          </cell>
          <cell r="E11985">
            <v>12.442</v>
          </cell>
        </row>
        <row r="11986">
          <cell r="B11986" t="str">
            <v>INF277KA1AV4</v>
          </cell>
          <cell r="C11986" t="str">
            <v>-</v>
          </cell>
          <cell r="D11986" t="str">
            <v>Tata Nifty Auto Index Fund - Direct Plan - IDCW payout</v>
          </cell>
          <cell r="E11986">
            <v>12.442</v>
          </cell>
        </row>
        <row r="11987">
          <cell r="B11987" t="str">
            <v>-</v>
          </cell>
          <cell r="C11987" t="str">
            <v>INF277KA1AW2</v>
          </cell>
          <cell r="D11987" t="str">
            <v>Tata Nifty Auto Index Fund - Direct Plan - IDCW Reinvestment</v>
          </cell>
          <cell r="E11987">
            <v>12.442</v>
          </cell>
        </row>
        <row r="11988">
          <cell r="B11988" t="str">
            <v>INF277KA1AR2</v>
          </cell>
          <cell r="C11988" t="str">
            <v>-</v>
          </cell>
          <cell r="D11988" t="str">
            <v>Tata Nifty Auto Index Fund - Regular Plan - Growth</v>
          </cell>
          <cell r="E11988">
            <v>12.2605</v>
          </cell>
        </row>
        <row r="11989">
          <cell r="B11989" t="str">
            <v>INF277KA1AS0</v>
          </cell>
          <cell r="C11989" t="str">
            <v>-</v>
          </cell>
          <cell r="D11989" t="str">
            <v>Tata Nifty Auto Index Fund - Regular Plan - IDCW Payout</v>
          </cell>
          <cell r="E11989">
            <v>12.2605</v>
          </cell>
        </row>
        <row r="11990">
          <cell r="B11990" t="str">
            <v>-</v>
          </cell>
          <cell r="C11990" t="str">
            <v>INF277KA1AT8</v>
          </cell>
          <cell r="D11990" t="str">
            <v>Tata Nifty Auto Index Fund - Regular Plan - IDCW Reinvestment</v>
          </cell>
          <cell r="E11990">
            <v>12.2605</v>
          </cell>
        </row>
        <row r="11991">
          <cell r="B11991" t="str">
            <v>INF277KA1CO5</v>
          </cell>
          <cell r="C11991" t="str">
            <v>-</v>
          </cell>
          <cell r="D11991" t="str">
            <v>Tata Nifty Capital Markets Index Fund - Direct Plan Growth Option</v>
          </cell>
          <cell r="E11991">
            <v>14.5055</v>
          </cell>
        </row>
        <row r="11992">
          <cell r="B11992" t="str">
            <v>INF277KA1CQ0</v>
          </cell>
          <cell r="C11992" t="str">
            <v>-</v>
          </cell>
          <cell r="D11992" t="str">
            <v>Tata Nifty Capital Markets Index Fund - Direct Plan IDCW Payout Option</v>
          </cell>
          <cell r="E11992">
            <v>14.5055</v>
          </cell>
        </row>
        <row r="11993">
          <cell r="B11993" t="str">
            <v>-</v>
          </cell>
          <cell r="C11993" t="str">
            <v>INF277KA1CP2</v>
          </cell>
          <cell r="D11993" t="str">
            <v>Tata Nifty Capital Markets Index Fund - Direct Plan IDCW Reinvestment Option</v>
          </cell>
          <cell r="E11993">
            <v>14.5055</v>
          </cell>
        </row>
        <row r="11994">
          <cell r="B11994" t="str">
            <v>INF277KA1CL1</v>
          </cell>
          <cell r="C11994" t="str">
            <v>-</v>
          </cell>
          <cell r="D11994" t="str">
            <v>Tata Nifty Capital Markets Index Fund - Regular Plan Growth Option</v>
          </cell>
          <cell r="E11994">
            <v>14.3466</v>
          </cell>
        </row>
        <row r="11995">
          <cell r="B11995" t="str">
            <v>INF277KA1CN7</v>
          </cell>
          <cell r="C11995" t="str">
            <v>-</v>
          </cell>
          <cell r="D11995" t="str">
            <v>Tata Nifty Capital Markets Index Fund - Regular Plan IDCW Payout Option</v>
          </cell>
          <cell r="E11995">
            <v>14.3466</v>
          </cell>
        </row>
        <row r="11996">
          <cell r="B11996" t="str">
            <v>-</v>
          </cell>
          <cell r="C11996" t="str">
            <v>INF277KA1CM9</v>
          </cell>
          <cell r="D11996" t="str">
            <v>Tata Nifty Capital Markets Index Fund - Regular Plan IDCW Reinvestment Option</v>
          </cell>
          <cell r="E11996">
            <v>14.3466</v>
          </cell>
        </row>
        <row r="11997">
          <cell r="B11997" t="str">
            <v>INF277KA1BA6</v>
          </cell>
          <cell r="C11997" t="str">
            <v>-</v>
          </cell>
          <cell r="D11997" t="str">
            <v>Tata Nifty Financial Services Index Fund - Direct Plan - Growth</v>
          </cell>
          <cell r="E11997">
            <v>12.319699999999999</v>
          </cell>
        </row>
        <row r="11998">
          <cell r="B11998" t="str">
            <v>INF277KA1BB4</v>
          </cell>
          <cell r="C11998" t="str">
            <v>-</v>
          </cell>
          <cell r="D11998" t="str">
            <v>Tata Nifty Financial Services Index Fund - Direct Plan - IDCW Payout</v>
          </cell>
          <cell r="E11998">
            <v>12.319699999999999</v>
          </cell>
        </row>
        <row r="11999">
          <cell r="B11999" t="str">
            <v>-</v>
          </cell>
          <cell r="C11999" t="str">
            <v>INF277KA1BC2</v>
          </cell>
          <cell r="D11999" t="str">
            <v>Tata Nifty Financial Services Index Fund - Direct Plan - IDCW Reinvestment</v>
          </cell>
          <cell r="E11999">
            <v>12.319699999999999</v>
          </cell>
        </row>
        <row r="12000">
          <cell r="B12000" t="str">
            <v>INF277KA1AX0</v>
          </cell>
          <cell r="C12000" t="str">
            <v>-</v>
          </cell>
          <cell r="D12000" t="str">
            <v>Tata Nifty Financial Services Index Fund - Regular Plan - Growth</v>
          </cell>
          <cell r="E12000">
            <v>12.1393</v>
          </cell>
        </row>
        <row r="12001">
          <cell r="B12001" t="str">
            <v>INF277KA1AY8</v>
          </cell>
          <cell r="C12001" t="str">
            <v>-</v>
          </cell>
          <cell r="D12001" t="str">
            <v>Tata Nifty Financial Services Index Fund - Regular Plan - IDCW Payout</v>
          </cell>
          <cell r="E12001">
            <v>12.1393</v>
          </cell>
        </row>
        <row r="12002">
          <cell r="B12002" t="str">
            <v>-</v>
          </cell>
          <cell r="C12002" t="str">
            <v>INF277KA1AZ5</v>
          </cell>
          <cell r="D12002" t="str">
            <v>Tata Nifty Financial Services Index Fund - Regular Plan - IDCW Reinvestment</v>
          </cell>
          <cell r="E12002">
            <v>12.1393</v>
          </cell>
        </row>
        <row r="12003">
          <cell r="B12003" t="str">
            <v>INF277KA1794</v>
          </cell>
          <cell r="C12003" t="str">
            <v>-</v>
          </cell>
          <cell r="D12003" t="str">
            <v>Tata Nifty G Sec Dec 2026 Index Fund-Direct Plan-Growth</v>
          </cell>
          <cell r="E12003">
            <v>12.7697</v>
          </cell>
        </row>
        <row r="12004">
          <cell r="B12004" t="str">
            <v>INF277KA1810</v>
          </cell>
          <cell r="C12004" t="str">
            <v>-</v>
          </cell>
          <cell r="D12004" t="str">
            <v>Tata Nifty G Sec Dec 2026 Index Fund-Direct Plan-IDCW Payout</v>
          </cell>
          <cell r="E12004">
            <v>12.7697</v>
          </cell>
        </row>
        <row r="12005">
          <cell r="B12005" t="str">
            <v>-</v>
          </cell>
          <cell r="C12005" t="str">
            <v>INF277KA1802</v>
          </cell>
          <cell r="D12005" t="str">
            <v>Tata Nifty G Sec Dec 2026 Index Fund-Direct Plan-IDCW Reinvestment</v>
          </cell>
          <cell r="E12005">
            <v>12.7697</v>
          </cell>
        </row>
        <row r="12006">
          <cell r="B12006" t="str">
            <v>INF277KA1828</v>
          </cell>
          <cell r="C12006" t="str">
            <v>-</v>
          </cell>
          <cell r="D12006" t="str">
            <v>Tata Nifty G Sec Dec 2026 Index Fund-Regular Plan-Growth</v>
          </cell>
          <cell r="E12006">
            <v>12.6249</v>
          </cell>
        </row>
        <row r="12007">
          <cell r="B12007" t="str">
            <v>INF277KA1844</v>
          </cell>
          <cell r="C12007" t="str">
            <v>-</v>
          </cell>
          <cell r="D12007" t="str">
            <v>Tata Nifty G Sec Dec 2026 Index Fund-Regular Plan-IDCW Payout</v>
          </cell>
          <cell r="E12007">
            <v>12.6249</v>
          </cell>
        </row>
        <row r="12008">
          <cell r="B12008" t="str">
            <v>-</v>
          </cell>
          <cell r="C12008" t="str">
            <v>INF277KA1836</v>
          </cell>
          <cell r="D12008" t="str">
            <v>Tata Nifty G SEc Dec 2026 Index Fund-Regular Plan-IDCW Reinvestment</v>
          </cell>
          <cell r="E12008">
            <v>12.6249</v>
          </cell>
        </row>
        <row r="12009">
          <cell r="B12009" t="str">
            <v>INF277KA1737</v>
          </cell>
          <cell r="C12009" t="str">
            <v>-</v>
          </cell>
          <cell r="D12009" t="str">
            <v>Tata Nifty G-Sec Dec 2029 Index Fund - Direct Plan - Growth</v>
          </cell>
          <cell r="E12009">
            <v>13.054399999999999</v>
          </cell>
        </row>
        <row r="12010">
          <cell r="B12010" t="str">
            <v>INF277KA1752</v>
          </cell>
          <cell r="C12010" t="str">
            <v>-</v>
          </cell>
          <cell r="D12010" t="str">
            <v>Tata Nifty G-Sec Dec 2029 Index Fund - Direct Plan - IDCW Payout</v>
          </cell>
          <cell r="E12010">
            <v>13.054399999999999</v>
          </cell>
        </row>
        <row r="12011">
          <cell r="B12011" t="str">
            <v>-</v>
          </cell>
          <cell r="C12011" t="str">
            <v>INF277KA1745</v>
          </cell>
          <cell r="D12011" t="str">
            <v>Tata Nifty G-Sec Dec 2029 Index Fund - Direct Plan - IDCW Reinvestment</v>
          </cell>
          <cell r="E12011">
            <v>13.054399999999999</v>
          </cell>
        </row>
        <row r="12012">
          <cell r="B12012" t="str">
            <v>INF277KA1760</v>
          </cell>
          <cell r="C12012" t="str">
            <v>-</v>
          </cell>
          <cell r="D12012" t="str">
            <v>Tata Nifty G-Sec Dec 2029 Index Fund - Regular Plan - Growth</v>
          </cell>
          <cell r="E12012">
            <v>12.9016</v>
          </cell>
        </row>
        <row r="12013">
          <cell r="B12013" t="str">
            <v>INF277KA1786</v>
          </cell>
          <cell r="C12013" t="str">
            <v>-</v>
          </cell>
          <cell r="D12013" t="str">
            <v>Tata Nifty G-Sec Dec 2029 Index Fund - Regular Plan - IDCW Payout</v>
          </cell>
          <cell r="E12013">
            <v>12.9016</v>
          </cell>
        </row>
        <row r="12014">
          <cell r="B12014" t="str">
            <v>-</v>
          </cell>
          <cell r="C12014" t="str">
            <v>INF277KA1778</v>
          </cell>
          <cell r="D12014" t="str">
            <v>Tata Nifty G-Sec Dec 2029 Index Fund - Regular Plan - IDCW Reinvestment</v>
          </cell>
          <cell r="E12014">
            <v>12.9016</v>
          </cell>
        </row>
        <row r="12015">
          <cell r="B12015" t="str">
            <v>INF277KA1CC0</v>
          </cell>
          <cell r="C12015" t="str">
            <v>-</v>
          </cell>
          <cell r="D12015" t="str">
            <v>Tata Nifty India Tourism Index Fund - Direct - Growth</v>
          </cell>
          <cell r="E12015">
            <v>8.9946999999999999</v>
          </cell>
        </row>
        <row r="12016">
          <cell r="B12016" t="str">
            <v>INF277KA1CD8</v>
          </cell>
          <cell r="C12016" t="str">
            <v>-</v>
          </cell>
          <cell r="D12016" t="str">
            <v>Tata Nifty India Tourism Index Fund - Direct - IDCW Payout</v>
          </cell>
          <cell r="E12016">
            <v>8.9946999999999999</v>
          </cell>
        </row>
        <row r="12017">
          <cell r="B12017" t="str">
            <v>-</v>
          </cell>
          <cell r="C12017" t="str">
            <v>INF277KA1CE6</v>
          </cell>
          <cell r="D12017" t="str">
            <v>Tata Nifty India Tourism Index Fund - Direct - IDCW Reinvestment</v>
          </cell>
          <cell r="E12017">
            <v>8.9946999999999999</v>
          </cell>
        </row>
        <row r="12018">
          <cell r="B12018" t="str">
            <v>INF277KA1BZ3</v>
          </cell>
          <cell r="C12018" t="str">
            <v>-</v>
          </cell>
          <cell r="D12018" t="str">
            <v>Tata Nifty India Tourism Index Fund - Regular - Growth</v>
          </cell>
          <cell r="E12018">
            <v>8.8735999999999997</v>
          </cell>
        </row>
        <row r="12019">
          <cell r="B12019" t="str">
            <v>INF277KA1CA4</v>
          </cell>
          <cell r="C12019" t="str">
            <v>-</v>
          </cell>
          <cell r="D12019" t="str">
            <v>Tata Nifty India Tourism Index Fund - Regular - IDCW Payout</v>
          </cell>
          <cell r="E12019">
            <v>8.8735999999999997</v>
          </cell>
        </row>
        <row r="12020">
          <cell r="B12020" t="str">
            <v>-</v>
          </cell>
          <cell r="C12020" t="str">
            <v>INF277KA1CB2</v>
          </cell>
          <cell r="D12020" t="str">
            <v>Tata Nifty India Tourism Index Fund - Regular - IDCW Reinvestment</v>
          </cell>
          <cell r="E12020">
            <v>8.8735999999999997</v>
          </cell>
        </row>
        <row r="12021">
          <cell r="B12021" t="str">
            <v>INF277KA1DZ9</v>
          </cell>
          <cell r="C12021" t="str">
            <v>-</v>
          </cell>
          <cell r="D12021" t="str">
            <v>Tata Nifty Midcap 150 Index Fund - Direct Plan - Growth Option</v>
          </cell>
          <cell r="E12021">
            <v>10.906000000000001</v>
          </cell>
        </row>
        <row r="12022">
          <cell r="B12022" t="str">
            <v>INF277KA1EB8</v>
          </cell>
          <cell r="C12022" t="str">
            <v>-</v>
          </cell>
          <cell r="D12022" t="str">
            <v>Tata Nifty Midcap 150 Index Fund - Direct Plan - IDCW Payout Option</v>
          </cell>
          <cell r="E12022">
            <v>10.906000000000001</v>
          </cell>
        </row>
        <row r="12023">
          <cell r="B12023" t="str">
            <v>-</v>
          </cell>
          <cell r="C12023" t="str">
            <v>INF277KA1EA0</v>
          </cell>
          <cell r="D12023" t="str">
            <v>Tata Nifty Midcap 150 Index Fund - Direct Plan - IDCW Reinvestment Option</v>
          </cell>
          <cell r="E12023">
            <v>10.906000000000001</v>
          </cell>
        </row>
        <row r="12024">
          <cell r="B12024" t="str">
            <v>INF277KA1DW6</v>
          </cell>
          <cell r="C12024" t="str">
            <v>-</v>
          </cell>
          <cell r="D12024" t="str">
            <v>Tata Nifty Midcap 150 Index Fund - Regular Plan - Growth Option</v>
          </cell>
          <cell r="E12024">
            <v>10.7925</v>
          </cell>
        </row>
        <row r="12025">
          <cell r="B12025" t="str">
            <v>INF277KA1DY2</v>
          </cell>
          <cell r="C12025" t="str">
            <v>-</v>
          </cell>
          <cell r="D12025" t="str">
            <v>Tata Nifty Midcap 150 Index Fund - Regular Plan - IDCW Payout Option</v>
          </cell>
          <cell r="E12025">
            <v>10.7925</v>
          </cell>
        </row>
        <row r="12026">
          <cell r="B12026" t="str">
            <v>-</v>
          </cell>
          <cell r="C12026" t="str">
            <v>INF277KA1DX4</v>
          </cell>
          <cell r="D12026" t="str">
            <v>Tata Nifty Midcap 150 Index Fund - Regular Plan - IDCW Reinvestment Option</v>
          </cell>
          <cell r="E12026">
            <v>10.7925</v>
          </cell>
        </row>
        <row r="12027">
          <cell r="B12027" t="str">
            <v>INF277KA1612</v>
          </cell>
          <cell r="C12027" t="str">
            <v>-</v>
          </cell>
          <cell r="D12027" t="str">
            <v>Tata Nifty Midcap 150 Momentum 50 Index Fund - Growth - Direct Plan</v>
          </cell>
          <cell r="E12027">
            <v>18.285299999999999</v>
          </cell>
        </row>
        <row r="12028">
          <cell r="B12028" t="str">
            <v>INF277KA1646</v>
          </cell>
          <cell r="C12028" t="str">
            <v>-</v>
          </cell>
          <cell r="D12028" t="str">
            <v>Tata Nifty Midcap 150 Momentum 50 Index Fund - Growth - Regular Plan</v>
          </cell>
          <cell r="E12028">
            <v>17.8002</v>
          </cell>
        </row>
        <row r="12029">
          <cell r="B12029" t="str">
            <v>INF277KA1638</v>
          </cell>
          <cell r="C12029" t="str">
            <v>-</v>
          </cell>
          <cell r="D12029" t="str">
            <v>Tata Nifty Midcap 150 Momentum 50 Index Fund - IDCW Payout - Direct Plan</v>
          </cell>
          <cell r="E12029">
            <v>18.285299999999999</v>
          </cell>
        </row>
        <row r="12030">
          <cell r="B12030" t="str">
            <v>INF277KA1661</v>
          </cell>
          <cell r="C12030" t="str">
            <v>-</v>
          </cell>
          <cell r="D12030" t="str">
            <v>Tata Nifty Midcap 150 Momentum 50 Index Fund - IDCW Payout - Regular Plan</v>
          </cell>
          <cell r="E12030">
            <v>17.8002</v>
          </cell>
        </row>
        <row r="12031">
          <cell r="B12031" t="str">
            <v>-</v>
          </cell>
          <cell r="C12031" t="str">
            <v>INF277KA1620</v>
          </cell>
          <cell r="D12031" t="str">
            <v>Tata Nifty Midcap 150 Momentum 50 Index Fund - IDCW Reinvestment - Direct Plan</v>
          </cell>
          <cell r="E12031">
            <v>18.285299999999999</v>
          </cell>
        </row>
        <row r="12032">
          <cell r="B12032" t="str">
            <v>-</v>
          </cell>
          <cell r="C12032" t="str">
            <v>INF277KA1653</v>
          </cell>
          <cell r="D12032" t="str">
            <v>Tata Nifty Midcap 150 Momentum 50 Index Fund - IDCW Reinvestment - Regular Plan</v>
          </cell>
          <cell r="E12032">
            <v>17.8002</v>
          </cell>
        </row>
        <row r="12033">
          <cell r="B12033" t="str">
            <v>INF277KA1BG3</v>
          </cell>
          <cell r="C12033" t="str">
            <v>-</v>
          </cell>
          <cell r="D12033" t="str">
            <v>Tata Nifty MidSmall Healthcare Index Fund - Direct Plan - Growth</v>
          </cell>
          <cell r="E12033">
            <v>14.8911</v>
          </cell>
        </row>
        <row r="12034">
          <cell r="B12034" t="str">
            <v>INF277KA1BH1</v>
          </cell>
          <cell r="C12034" t="str">
            <v>-</v>
          </cell>
          <cell r="D12034" t="str">
            <v>Tata Nifty MidSmall Healthcare Index Fund - Direct Plan - IDCW Payout</v>
          </cell>
          <cell r="E12034">
            <v>14.8911</v>
          </cell>
        </row>
        <row r="12035">
          <cell r="B12035" t="str">
            <v>-</v>
          </cell>
          <cell r="C12035" t="str">
            <v>INF277KA1BI9</v>
          </cell>
          <cell r="D12035" t="str">
            <v>Tata Nifty MidSmall Healthcare Index Fund - Direct Plan - IDCW Reinvestment</v>
          </cell>
          <cell r="E12035">
            <v>14.8911</v>
          </cell>
        </row>
        <row r="12036">
          <cell r="B12036" t="str">
            <v>INF277KA1BD0</v>
          </cell>
          <cell r="C12036" t="str">
            <v>-</v>
          </cell>
          <cell r="D12036" t="str">
            <v>Tata Nifty MidSmall Healthcare Index Fund - Regular Plan - Growth</v>
          </cell>
          <cell r="E12036">
            <v>14.6752</v>
          </cell>
        </row>
        <row r="12037">
          <cell r="B12037" t="str">
            <v>INF277KA1BE8</v>
          </cell>
          <cell r="C12037" t="str">
            <v>-</v>
          </cell>
          <cell r="D12037" t="str">
            <v>Tata Nifty MidSmall Healthcare Index Fund - Regular Plan - IDCW Payout</v>
          </cell>
          <cell r="E12037">
            <v>14.6752</v>
          </cell>
        </row>
        <row r="12038">
          <cell r="B12038" t="str">
            <v>-</v>
          </cell>
          <cell r="C12038" t="str">
            <v>INF277KA1BF5</v>
          </cell>
          <cell r="D12038" t="str">
            <v>Tata Nifty MidSmall Healthcare Index Fund - Regular Plan - IDCW Reinvestment</v>
          </cell>
          <cell r="E12038">
            <v>14.6752</v>
          </cell>
        </row>
        <row r="12039">
          <cell r="B12039" t="str">
            <v>INF277KA1EJ1</v>
          </cell>
          <cell r="C12039" t="str">
            <v>-</v>
          </cell>
          <cell r="D12039" t="str">
            <v>Tata Nifty Next 50 Index Fund - Direct Plan Growth Option</v>
          </cell>
          <cell r="E12039">
            <v>10.645899999999999</v>
          </cell>
        </row>
        <row r="12040">
          <cell r="B12040" t="str">
            <v>INF277KA1EL7</v>
          </cell>
          <cell r="C12040" t="str">
            <v>-</v>
          </cell>
          <cell r="D12040" t="str">
            <v>Tata Nifty Next 50 Index Fund - Direct Plan IDCW Payout Option</v>
          </cell>
          <cell r="E12040">
            <v>10.645899999999999</v>
          </cell>
        </row>
        <row r="12041">
          <cell r="B12041" t="str">
            <v>-</v>
          </cell>
          <cell r="C12041" t="str">
            <v>INF277KA1EK9</v>
          </cell>
          <cell r="D12041" t="str">
            <v>Tata Nifty Next 50 Index Fund - Direct Plan IDCW Reinvestment Option</v>
          </cell>
          <cell r="E12041">
            <v>10.645899999999999</v>
          </cell>
        </row>
        <row r="12042">
          <cell r="B12042" t="str">
            <v>INF277KA1EG7</v>
          </cell>
          <cell r="C12042" t="str">
            <v>-</v>
          </cell>
          <cell r="D12042" t="str">
            <v>Tata Nifty Next 50 Index Fund - Regular Plan Growth Option</v>
          </cell>
          <cell r="E12042">
            <v>10.571899999999999</v>
          </cell>
        </row>
        <row r="12043">
          <cell r="B12043" t="str">
            <v>INF277KA1EI3</v>
          </cell>
          <cell r="C12043" t="str">
            <v>-</v>
          </cell>
          <cell r="D12043" t="str">
            <v>Tata Nifty Next 50 Index Fund - Regular Plan IDCW Payout Option</v>
          </cell>
          <cell r="E12043">
            <v>10.571899999999999</v>
          </cell>
        </row>
        <row r="12044">
          <cell r="B12044" t="str">
            <v>-</v>
          </cell>
          <cell r="C12044" t="str">
            <v>INF277KA1EH5</v>
          </cell>
          <cell r="D12044" t="str">
            <v>Tata Nifty Next 50 Index Fund - Regular Plan IDCW Reinvestment Option</v>
          </cell>
          <cell r="E12044">
            <v>10.571899999999999</v>
          </cell>
        </row>
        <row r="12045">
          <cell r="B12045" t="str">
            <v>INF277KA1AO9</v>
          </cell>
          <cell r="C12045" t="str">
            <v>-</v>
          </cell>
          <cell r="D12045" t="str">
            <v>Tata Nifty Realty Index Fund - Direct Plan - Growth</v>
          </cell>
          <cell r="E12045">
            <v>9.2486999999999995</v>
          </cell>
        </row>
        <row r="12046">
          <cell r="B12046" t="str">
            <v>INF277KA1AP6</v>
          </cell>
          <cell r="C12046" t="str">
            <v>-</v>
          </cell>
          <cell r="D12046" t="str">
            <v>Tata Nifty Realty Index Fund - Direct Plan - IDCW Payout</v>
          </cell>
          <cell r="E12046">
            <v>9.2486999999999995</v>
          </cell>
        </row>
        <row r="12047">
          <cell r="B12047" t="str">
            <v>-</v>
          </cell>
          <cell r="C12047" t="str">
            <v>INF277KA1AQ4</v>
          </cell>
          <cell r="D12047" t="str">
            <v>Tata Nifty Realty Index Fund - Direct Plan - IDCW Reinvestment</v>
          </cell>
          <cell r="E12047">
            <v>9.2486999999999995</v>
          </cell>
        </row>
        <row r="12048">
          <cell r="B12048" t="str">
            <v>INF277KA1AL5</v>
          </cell>
          <cell r="C12048" t="str">
            <v>-</v>
          </cell>
          <cell r="D12048" t="str">
            <v>Tata Nifty Realty Index Fund - Regular Plan - Growth</v>
          </cell>
          <cell r="E12048">
            <v>9.1089000000000002</v>
          </cell>
        </row>
        <row r="12049">
          <cell r="B12049" t="str">
            <v>INF277KA1AM3</v>
          </cell>
          <cell r="C12049" t="str">
            <v>-</v>
          </cell>
          <cell r="D12049" t="str">
            <v>Tata Nifty Realty Index Fund - Regular Plan - IDCW Payout</v>
          </cell>
          <cell r="E12049">
            <v>9.1089000000000002</v>
          </cell>
        </row>
        <row r="12050">
          <cell r="B12050" t="str">
            <v>-</v>
          </cell>
          <cell r="C12050" t="str">
            <v>INF277KA1AN1</v>
          </cell>
          <cell r="D12050" t="str">
            <v>Tata Nifty Realty Index Fund - Regular Plan - IDCW Reinvestment</v>
          </cell>
          <cell r="E12050">
            <v>9.1089000000000002</v>
          </cell>
        </row>
        <row r="12051">
          <cell r="B12051" t="str">
            <v>INF277KA1414</v>
          </cell>
          <cell r="C12051" t="str">
            <v>-</v>
          </cell>
          <cell r="D12051" t="str">
            <v>Tata Nifty SDL Plus AAA PSU Bond Dec 6040 Index Fund -Regular Plan-IDCW Payout</v>
          </cell>
          <cell r="E12051">
            <v>13.124000000000001</v>
          </cell>
        </row>
        <row r="12052">
          <cell r="B12052" t="str">
            <v>INF277KA1372</v>
          </cell>
          <cell r="C12052" t="str">
            <v>-</v>
          </cell>
          <cell r="D12052" t="str">
            <v>Tata Nifty SDL Plus AAA PSU Bond Dec 6040 Index Fund- Direct Plan-Growth</v>
          </cell>
          <cell r="E12052">
            <v>13.2765</v>
          </cell>
        </row>
        <row r="12053">
          <cell r="B12053" t="str">
            <v>-</v>
          </cell>
          <cell r="C12053" t="str">
            <v>INF277KA1398</v>
          </cell>
          <cell r="D12053" t="str">
            <v>Tata Nifty SDL Plus AAA PSU Bond Dec 6040 Index Fund-Direct Plan- IDCW Reinvestment</v>
          </cell>
          <cell r="E12053">
            <v>13.2765</v>
          </cell>
        </row>
        <row r="12054">
          <cell r="B12054" t="str">
            <v>INF277KA1380</v>
          </cell>
          <cell r="C12054" t="str">
            <v>-</v>
          </cell>
          <cell r="D12054" t="str">
            <v>Tata Nifty SDL Plus AAA PSU Bond Dec 6040 Index Fund-Direct Plan-IDCW Payout</v>
          </cell>
          <cell r="E12054">
            <v>13.2765</v>
          </cell>
        </row>
        <row r="12055">
          <cell r="B12055" t="str">
            <v>INF277KA1406</v>
          </cell>
          <cell r="C12055" t="str">
            <v>-</v>
          </cell>
          <cell r="D12055" t="str">
            <v>Tata Nifty SDL Plus AAA PSU Bond Dec 6040 Index Fund-Regular Plan -Growth</v>
          </cell>
          <cell r="E12055">
            <v>13.124000000000001</v>
          </cell>
        </row>
        <row r="12056">
          <cell r="B12056" t="str">
            <v>-</v>
          </cell>
          <cell r="C12056" t="str">
            <v>INF277KA1422</v>
          </cell>
          <cell r="D12056" t="str">
            <v>Tata Nifty SDL Plus AAA PSU Bond Dec 6040 Index Fund-Regular Plan- IDCW Reinvestment</v>
          </cell>
          <cell r="E12056">
            <v>13.124000000000001</v>
          </cell>
        </row>
        <row r="12057">
          <cell r="B12057" t="str">
            <v>INF277KA1CJ5</v>
          </cell>
          <cell r="C12057" t="str">
            <v>-</v>
          </cell>
          <cell r="D12057" t="str">
            <v>Tata Nifty200 Alpha 30 Index Fund - Direct - IDCW Payout</v>
          </cell>
          <cell r="E12057">
            <v>8.8510000000000009</v>
          </cell>
        </row>
        <row r="12058">
          <cell r="B12058" t="str">
            <v>-</v>
          </cell>
          <cell r="C12058" t="str">
            <v>INF277KA1CK3</v>
          </cell>
          <cell r="D12058" t="str">
            <v>Tata Nifty200 Alpha 30 Index Fund - Direct - IDCW Reinvestment</v>
          </cell>
          <cell r="E12058">
            <v>8.8510000000000009</v>
          </cell>
        </row>
        <row r="12059">
          <cell r="B12059" t="str">
            <v>INF277KA1CI7</v>
          </cell>
          <cell r="C12059" t="str">
            <v>-</v>
          </cell>
          <cell r="D12059" t="str">
            <v>Tata Nifty200 Alpha 30 Index Fund - Direct -Growth</v>
          </cell>
          <cell r="E12059">
            <v>8.8510000000000009</v>
          </cell>
        </row>
        <row r="12060">
          <cell r="B12060" t="str">
            <v>INF277KA1CG1</v>
          </cell>
          <cell r="C12060" t="str">
            <v>-</v>
          </cell>
          <cell r="D12060" t="str">
            <v>Tata Nifty200 Alpha 30 Index Fund - Regular - IDCW Payout</v>
          </cell>
          <cell r="E12060">
            <v>8.7415000000000003</v>
          </cell>
        </row>
        <row r="12061">
          <cell r="B12061" t="str">
            <v>-</v>
          </cell>
          <cell r="C12061" t="str">
            <v>INF277KA1CH9</v>
          </cell>
          <cell r="D12061" t="str">
            <v>Tata Nifty200 Alpha 30 Index Fund - Regular - IDCW Reinvestment</v>
          </cell>
          <cell r="E12061">
            <v>8.7415000000000003</v>
          </cell>
        </row>
        <row r="12062">
          <cell r="B12062" t="str">
            <v>INF277KA1CF3</v>
          </cell>
          <cell r="C12062" t="str">
            <v>-</v>
          </cell>
          <cell r="D12062" t="str">
            <v>Tata Nifty200 Alpha 30 Index Fund - Regular -Growth</v>
          </cell>
          <cell r="E12062">
            <v>8.7415000000000003</v>
          </cell>
        </row>
        <row r="12063">
          <cell r="B12063" t="str">
            <v>INF277KA1BM1</v>
          </cell>
          <cell r="C12063" t="str">
            <v>-</v>
          </cell>
          <cell r="D12063" t="str">
            <v>Tata Nifty500 Multicap India Manufacturing 50:30:20 Index Fund -Direct Plan-Growth</v>
          </cell>
          <cell r="E12063">
            <v>12.186500000000001</v>
          </cell>
        </row>
        <row r="12064">
          <cell r="B12064" t="str">
            <v>INF277KA1BN9</v>
          </cell>
          <cell r="C12064" t="str">
            <v>-</v>
          </cell>
          <cell r="D12064" t="str">
            <v>Tata Nifty500 Multicap India Manufacturing 50:30:20 Index Fund -Direct Plan-IDCW-Payout</v>
          </cell>
          <cell r="E12064">
            <v>12.186500000000001</v>
          </cell>
        </row>
        <row r="12065">
          <cell r="B12065" t="str">
            <v>-</v>
          </cell>
          <cell r="C12065" t="str">
            <v>INF277KA1BO7</v>
          </cell>
          <cell r="D12065" t="str">
            <v>Tata Nifty500 Multicap India Manufacturing 50:30:20 Index Fund -Direct Plan-IDCW-Reinvestment</v>
          </cell>
          <cell r="E12065">
            <v>12.186500000000001</v>
          </cell>
        </row>
        <row r="12066">
          <cell r="B12066" t="str">
            <v>-</v>
          </cell>
          <cell r="C12066" t="str">
            <v>INF277KA1BL3</v>
          </cell>
          <cell r="D12066" t="str">
            <v>Tata Nifty500 Multicap India Manufacturing 50:30:20 Index Fund -Regular Plan -IDCW-Reinvestment</v>
          </cell>
          <cell r="E12066">
            <v>12.010300000000001</v>
          </cell>
        </row>
        <row r="12067">
          <cell r="B12067" t="str">
            <v>INF277KA1BJ7</v>
          </cell>
          <cell r="C12067" t="str">
            <v>-</v>
          </cell>
          <cell r="D12067" t="str">
            <v>Tata Nifty500 Multicap India Manufacturing 50:30:20 Index Fund -Regular Plan-Growth</v>
          </cell>
          <cell r="E12067">
            <v>12.010300000000001</v>
          </cell>
        </row>
        <row r="12068">
          <cell r="B12068" t="str">
            <v>INF277KA1BK5</v>
          </cell>
          <cell r="C12068" t="str">
            <v>-</v>
          </cell>
          <cell r="D12068" t="str">
            <v>Tata Nifty500 Multicap India Manufacturing 50:30:20 Index Fund -Regular Plan-IDCW Payout</v>
          </cell>
          <cell r="E12068">
            <v>12.010300000000001</v>
          </cell>
        </row>
        <row r="12069">
          <cell r="B12069" t="str">
            <v>INF277KA1BS8</v>
          </cell>
          <cell r="C12069" t="str">
            <v>-</v>
          </cell>
          <cell r="D12069" t="str">
            <v>Tata Nifty500 Multicap Infrastructure 50:30:20 Index Fund - Direct Plan - Growth</v>
          </cell>
          <cell r="E12069">
            <v>11.195600000000001</v>
          </cell>
        </row>
        <row r="12070">
          <cell r="B12070" t="str">
            <v>INF277KA1BT6</v>
          </cell>
          <cell r="C12070" t="str">
            <v>-</v>
          </cell>
          <cell r="D12070" t="str">
            <v>Tata Nifty500 Multicap Infrastructure 50:30:20 Index Fund - Direct Plan - IDCW Payout</v>
          </cell>
          <cell r="E12070">
            <v>11.195600000000001</v>
          </cell>
        </row>
        <row r="12071">
          <cell r="B12071" t="str">
            <v>-</v>
          </cell>
          <cell r="C12071" t="str">
            <v>INF277KA1BU4</v>
          </cell>
          <cell r="D12071" t="str">
            <v>Tata Nifty500 Multicap Infrastructure 50:30:20 Index Fund - Direct Plan - IDCW Reinvestment</v>
          </cell>
          <cell r="E12071">
            <v>11.195600000000001</v>
          </cell>
        </row>
        <row r="12072">
          <cell r="B12072" t="str">
            <v>INF277KA1BP4</v>
          </cell>
          <cell r="C12072" t="str">
            <v>-</v>
          </cell>
          <cell r="D12072" t="str">
            <v>Tata Nifty500 Multicap Infrastructure 50:30:20 Index Fund - Regular Plan - Growth</v>
          </cell>
          <cell r="E12072">
            <v>11.028700000000001</v>
          </cell>
        </row>
        <row r="12073">
          <cell r="B12073" t="str">
            <v>INF277KA1BQ2</v>
          </cell>
          <cell r="C12073" t="str">
            <v>-</v>
          </cell>
          <cell r="D12073" t="str">
            <v>Tata Nifty500 Multicap Infrastructure 50:30:20 Index Fund - Regular Plan - IDCW Payout</v>
          </cell>
          <cell r="E12073">
            <v>11.028700000000001</v>
          </cell>
        </row>
        <row r="12074">
          <cell r="B12074" t="str">
            <v>-</v>
          </cell>
          <cell r="C12074" t="str">
            <v>INF277KA1BR0</v>
          </cell>
          <cell r="D12074" t="str">
            <v>Tata Nifty500 Multicap Infrastructure 50:30:20 Index Fund - Regular Plan - IDCW Reinvestment</v>
          </cell>
          <cell r="E12074">
            <v>11.028700000000001</v>
          </cell>
        </row>
        <row r="12075">
          <cell r="B12075" t="str">
            <v/>
          </cell>
          <cell r="C12075" t="str">
            <v/>
          </cell>
          <cell r="D12075" t="str">
            <v/>
          </cell>
        </row>
        <row r="12076">
          <cell r="B12076" t="str">
            <v/>
          </cell>
          <cell r="C12076" t="str">
            <v/>
          </cell>
          <cell r="D12076" t="str">
            <v/>
          </cell>
        </row>
        <row r="12077">
          <cell r="B12077" t="str">
            <v/>
          </cell>
          <cell r="C12077" t="str">
            <v/>
          </cell>
          <cell r="D12077" t="str">
            <v/>
          </cell>
        </row>
        <row r="12078">
          <cell r="B12078" t="str">
            <v>INF044D01CQ5</v>
          </cell>
          <cell r="C12078" t="str">
            <v>-</v>
          </cell>
          <cell r="D12078" t="str">
            <v>Taurus Nifty 50 Index Fund - Direct Plan - Growth</v>
          </cell>
          <cell r="E12078">
            <v>48.707799999999999</v>
          </cell>
        </row>
        <row r="12079">
          <cell r="B12079" t="str">
            <v>INF044D01CR3</v>
          </cell>
          <cell r="C12079" t="str">
            <v>INF044D01CS1</v>
          </cell>
          <cell r="D12079" t="str">
            <v>Taurus Nifty 50 Index Fund - Direct Plan - Payout of Income Distribution cum Capital Withdrawal option</v>
          </cell>
          <cell r="E12079">
            <v>45.584899999999998</v>
          </cell>
        </row>
        <row r="12080">
          <cell r="B12080" t="str">
            <v>INF044D01948</v>
          </cell>
          <cell r="C12080" t="str">
            <v>-</v>
          </cell>
          <cell r="D12080" t="str">
            <v>Taurus Nifty 50 Index Fund - Regular Plan - Growth</v>
          </cell>
          <cell r="E12080">
            <v>45.604700000000001</v>
          </cell>
        </row>
        <row r="12081">
          <cell r="B12081" t="str">
            <v>INF044D01914</v>
          </cell>
          <cell r="C12081" t="str">
            <v>INF044D01922</v>
          </cell>
          <cell r="D12081" t="str">
            <v>Taurus Nifty 50 Index Fund - Regular Plan - Payout of Income Distribution cum Capital Withdrawal option</v>
          </cell>
          <cell r="E12081">
            <v>29.076699999999999</v>
          </cell>
        </row>
        <row r="12082">
          <cell r="B12082" t="str">
            <v/>
          </cell>
          <cell r="C12082" t="str">
            <v/>
          </cell>
          <cell r="D12082" t="str">
            <v/>
          </cell>
        </row>
        <row r="12083">
          <cell r="B12083" t="str">
            <v/>
          </cell>
          <cell r="C12083" t="str">
            <v/>
          </cell>
          <cell r="D12083" t="str">
            <v/>
          </cell>
        </row>
        <row r="12084">
          <cell r="B12084" t="str">
            <v/>
          </cell>
          <cell r="C12084" t="str">
            <v/>
          </cell>
          <cell r="D12084" t="str">
            <v/>
          </cell>
        </row>
        <row r="12085">
          <cell r="B12085" t="str">
            <v>INF789FC12T1</v>
          </cell>
          <cell r="C12085" t="str">
            <v>-</v>
          </cell>
          <cell r="D12085" t="str">
            <v>UTI Nifty Next 50 Index Fund - Direct Plan - Growth Option</v>
          </cell>
          <cell r="E12085">
            <v>26.812999999999999</v>
          </cell>
        </row>
        <row r="12086">
          <cell r="B12086" t="str">
            <v>INF789FC11T3</v>
          </cell>
          <cell r="C12086" t="str">
            <v>-</v>
          </cell>
          <cell r="D12086" t="str">
            <v>UTI Nifty Next 50 Index Fund - Regular Plan - Growth Option</v>
          </cell>
          <cell r="E12086">
            <v>25.752400000000002</v>
          </cell>
        </row>
        <row r="12087">
          <cell r="B12087" t="str">
            <v>INF789F1AYR1</v>
          </cell>
          <cell r="C12087" t="str">
            <v>-</v>
          </cell>
          <cell r="D12087" t="str">
            <v>UTI BSE Housing Index Fund - Direct Plan - Growth Option</v>
          </cell>
          <cell r="E12087">
            <v>14.393700000000001</v>
          </cell>
        </row>
        <row r="12088">
          <cell r="B12088" t="str">
            <v>INF789F1AYS9</v>
          </cell>
          <cell r="C12088" t="str">
            <v>-</v>
          </cell>
          <cell r="D12088" t="str">
            <v>UTI BSE Housing Index Fund - Regular Plan - Growth Option</v>
          </cell>
          <cell r="E12088">
            <v>14.195499999999999</v>
          </cell>
        </row>
        <row r="12089">
          <cell r="B12089" t="str">
            <v>INF789F1AVF2</v>
          </cell>
          <cell r="C12089" t="str">
            <v>-</v>
          </cell>
          <cell r="D12089" t="str">
            <v>UTI BSE Low Volatility Index Fund - Direct Plan  - Growth Option</v>
          </cell>
          <cell r="E12089">
            <v>16.506799999999998</v>
          </cell>
        </row>
        <row r="12090">
          <cell r="B12090" t="str">
            <v>INF789F1AVE5</v>
          </cell>
          <cell r="C12090" t="str">
            <v>-</v>
          </cell>
          <cell r="D12090" t="str">
            <v>UTI BSE Low Volatility Index Fund - Regular Plan - Growth Option</v>
          </cell>
          <cell r="E12090">
            <v>16.172999999999998</v>
          </cell>
        </row>
        <row r="12091">
          <cell r="B12091" t="str">
            <v>INF789F1AVD7</v>
          </cell>
          <cell r="C12091" t="str">
            <v>-</v>
          </cell>
          <cell r="D12091" t="str">
            <v>UTI BSE Sensex Index Fund - Direct Plan - Growth Option</v>
          </cell>
          <cell r="E12091">
            <v>13.8628</v>
          </cell>
        </row>
        <row r="12092">
          <cell r="B12092" t="str">
            <v>INF789F1AVC9</v>
          </cell>
          <cell r="C12092" t="str">
            <v>-</v>
          </cell>
          <cell r="D12092" t="str">
            <v>UTI BSE Sensex Index Fund - Regular Plan  -Growth Option</v>
          </cell>
          <cell r="E12092">
            <v>13.802300000000001</v>
          </cell>
        </row>
        <row r="12093">
          <cell r="B12093" t="str">
            <v>INF789F1AWX3</v>
          </cell>
          <cell r="C12093" t="str">
            <v>-</v>
          </cell>
          <cell r="D12093" t="str">
            <v>UTI CRISIL SDL Maturity April 2033 Index Fund - Direct Plan - Growth Option</v>
          </cell>
          <cell r="E12093">
            <v>13.0586</v>
          </cell>
        </row>
        <row r="12094">
          <cell r="B12094" t="str">
            <v>INF789F1AWW5</v>
          </cell>
          <cell r="C12094" t="str">
            <v>-</v>
          </cell>
          <cell r="D12094" t="str">
            <v>UTI CRISIL SDL Maturity April 2033 Index Fund - Regular Plan - Growth Option</v>
          </cell>
          <cell r="E12094">
            <v>12.9405</v>
          </cell>
        </row>
        <row r="12095">
          <cell r="B12095" t="str">
            <v>INF789F1AWZ8</v>
          </cell>
          <cell r="C12095" t="str">
            <v>-</v>
          </cell>
          <cell r="D12095" t="str">
            <v>UTI CRISIL SDL Maturity June 2027 Index Fund - Direct Plan - Growth Option</v>
          </cell>
          <cell r="E12095">
            <v>12.911899999999999</v>
          </cell>
        </row>
        <row r="12096">
          <cell r="B12096" t="str">
            <v>INF789F1AWY1</v>
          </cell>
          <cell r="C12096" t="str">
            <v>-</v>
          </cell>
          <cell r="D12096" t="str">
            <v>UTI CRISIL SDL Maturity June 2027 Index Fund - Regular Plan - Growth Option</v>
          </cell>
          <cell r="E12096">
            <v>12.8002</v>
          </cell>
        </row>
        <row r="12097">
          <cell r="B12097" t="str">
            <v>INF789F1AUT5</v>
          </cell>
          <cell r="C12097" t="str">
            <v>-</v>
          </cell>
          <cell r="D12097" t="str">
            <v>UTI Nifty 200 Momentum 30 Index Fund - Direct Plan - Growth Option</v>
          </cell>
          <cell r="E12097">
            <v>21.195</v>
          </cell>
        </row>
        <row r="12098">
          <cell r="B12098" t="str">
            <v>INF789F1AUS7</v>
          </cell>
          <cell r="C12098" t="str">
            <v>-</v>
          </cell>
          <cell r="D12098" t="str">
            <v>UTI Nifty 200 Momentum 30 Index Fund - Regular Plan - Growth Option</v>
          </cell>
          <cell r="E12098">
            <v>20.645099999999999</v>
          </cell>
        </row>
        <row r="12099">
          <cell r="B12099" t="str">
            <v>INF789F1AZH9</v>
          </cell>
          <cell r="C12099" t="str">
            <v>-</v>
          </cell>
          <cell r="D12099" t="str">
            <v>UTI Nifty 200 Quality 30 Index Fund - Direct Plan - Growth Option</v>
          </cell>
          <cell r="E12099">
            <v>8.8775999999999993</v>
          </cell>
        </row>
        <row r="12100">
          <cell r="B12100" t="str">
            <v>INF789F1AZG1</v>
          </cell>
          <cell r="C12100" t="str">
            <v>-</v>
          </cell>
          <cell r="D12100" t="str">
            <v>UTI Nifty 200 Quality 30 Index Fund - Regular Plan - Growth Option</v>
          </cell>
          <cell r="E12100">
            <v>8.7949000000000002</v>
          </cell>
        </row>
        <row r="12101">
          <cell r="B12101" t="str">
            <v>INF789F01WY2</v>
          </cell>
          <cell r="C12101" t="str">
            <v>INF789F01WZ9</v>
          </cell>
          <cell r="D12101" t="str">
            <v>UTI Nifty 50 Index Fund - Direct Plan - IDCW</v>
          </cell>
          <cell r="E12101">
            <v>84.980199999999996</v>
          </cell>
        </row>
        <row r="12102">
          <cell r="B12102" t="str">
            <v>INF789F01XA0</v>
          </cell>
          <cell r="C12102" t="str">
            <v>-</v>
          </cell>
          <cell r="D12102" t="str">
            <v>UTI Nifty 50 Index Fund - Growth Option- Direct</v>
          </cell>
          <cell r="E12102">
            <v>168.67359999999999</v>
          </cell>
        </row>
        <row r="12103">
          <cell r="B12103" t="str">
            <v>INF789F01JN2</v>
          </cell>
          <cell r="C12103" t="str">
            <v>-</v>
          </cell>
          <cell r="D12103" t="str">
            <v>UTI Nifty 50 Index Fund - Regular Plan - Growth Option</v>
          </cell>
          <cell r="E12103">
            <v>166.1343</v>
          </cell>
        </row>
        <row r="12104">
          <cell r="B12104" t="str">
            <v>INF789F01JL6</v>
          </cell>
          <cell r="C12104" t="str">
            <v>INF789F01JM4</v>
          </cell>
          <cell r="D12104" t="str">
            <v>UTI Nifty 50 Index Fund - Regular Plan - IDCW</v>
          </cell>
          <cell r="E12104">
            <v>83.6982</v>
          </cell>
        </row>
        <row r="12105">
          <cell r="B12105" t="str">
            <v>INF789F1AYN0</v>
          </cell>
          <cell r="C12105" t="str">
            <v>-</v>
          </cell>
          <cell r="D12105" t="str">
            <v>UTI Nifty 500 Value 50 Index Fund - Direct Plan - Growth Option</v>
          </cell>
          <cell r="E12105">
            <v>22.272500000000001</v>
          </cell>
        </row>
        <row r="12106">
          <cell r="B12106" t="str">
            <v>INF789F1AYO8</v>
          </cell>
          <cell r="C12106" t="str">
            <v>-</v>
          </cell>
          <cell r="D12106" t="str">
            <v>UTI Nifty 500 Value 50 Index Fund - Regular Plan - Growth Option</v>
          </cell>
          <cell r="E12106">
            <v>21.936900000000001</v>
          </cell>
        </row>
        <row r="12107">
          <cell r="B12107" t="str">
            <v>INF789F1AZM9</v>
          </cell>
          <cell r="C12107" t="str">
            <v>-</v>
          </cell>
          <cell r="D12107" t="str">
            <v>UTI Nifty Alpha Low-Volatility 30 Index Fund - Direct Plan - Growth Option</v>
          </cell>
          <cell r="E12107">
            <v>9.891</v>
          </cell>
        </row>
        <row r="12108">
          <cell r="B12108" t="str">
            <v>INF789F1AZL1</v>
          </cell>
          <cell r="C12108" t="str">
            <v>-</v>
          </cell>
          <cell r="D12108" t="str">
            <v>UTI Nifty Alpha Low-Volatility 30 Index Fund - Regular Plan - Growth Option</v>
          </cell>
          <cell r="E12108">
            <v>9.8117999999999999</v>
          </cell>
        </row>
        <row r="12109">
          <cell r="B12109" t="str">
            <v>INF789F1AB48</v>
          </cell>
          <cell r="C12109" t="str">
            <v>-</v>
          </cell>
          <cell r="D12109" t="str">
            <v>UTI Nifty India Manufacturing Index Fund - Direct Plan - Growth Option</v>
          </cell>
          <cell r="E12109">
            <v>12.442500000000001</v>
          </cell>
        </row>
        <row r="12110">
          <cell r="B12110" t="str">
            <v>INF789F1AB30</v>
          </cell>
          <cell r="C12110" t="str">
            <v>-</v>
          </cell>
          <cell r="D12110" t="str">
            <v>UTI Nifty India Manufacturing Index Fund - Regular Plan - Growth Option</v>
          </cell>
          <cell r="E12110">
            <v>12.3605</v>
          </cell>
        </row>
        <row r="12111">
          <cell r="B12111" t="str">
            <v>INF789F1AZO5</v>
          </cell>
          <cell r="C12111" t="str">
            <v>-</v>
          </cell>
          <cell r="D12111" t="str">
            <v>UTI Nifty Midcap 150 Index Fund - Direct Plan - Growth Option</v>
          </cell>
          <cell r="E12111">
            <v>10.9961</v>
          </cell>
        </row>
        <row r="12112">
          <cell r="B12112" t="str">
            <v>INF789F1AZN7</v>
          </cell>
          <cell r="C12112" t="str">
            <v>-</v>
          </cell>
          <cell r="D12112" t="str">
            <v>UTI Nifty Midcap 150 Index Fund - Regular Plan - Growth Option</v>
          </cell>
          <cell r="E12112">
            <v>10.907400000000001</v>
          </cell>
        </row>
        <row r="12113">
          <cell r="B12113" t="str">
            <v>INF789F1AVH8</v>
          </cell>
          <cell r="C12113" t="str">
            <v>-</v>
          </cell>
          <cell r="D12113" t="str">
            <v>UTI Nifty Midcap 150 Quality 50 Index Fund - Direct Plan - Growth Option</v>
          </cell>
          <cell r="E12113">
            <v>14.2409</v>
          </cell>
        </row>
        <row r="12114">
          <cell r="B12114" t="str">
            <v>INF789F1AVG0</v>
          </cell>
          <cell r="C12114" t="str">
            <v>-</v>
          </cell>
          <cell r="D12114" t="str">
            <v>UTI Nifty Midcap 150 Quality 50 Index Fund - Regular Plan - Growth Option</v>
          </cell>
          <cell r="E12114">
            <v>13.9656</v>
          </cell>
        </row>
        <row r="12115">
          <cell r="B12115" t="str">
            <v>INF789F1AB22</v>
          </cell>
          <cell r="C12115" t="str">
            <v>-</v>
          </cell>
          <cell r="D12115" t="str">
            <v>UTI Nifty Midsmallcap 400 Momentum Quality 100 Index Fund - Direct Plan - Growth Option</v>
          </cell>
          <cell r="E12115">
            <v>11.548999999999999</v>
          </cell>
        </row>
        <row r="12116">
          <cell r="B12116" t="str">
            <v>INF789F1AB06</v>
          </cell>
          <cell r="C12116" t="str">
            <v>-</v>
          </cell>
          <cell r="D12116" t="str">
            <v>UTI Nifty Midsmallcap 400 Momentum Quality 100 Index Fund - Regular Plan - Growth Option</v>
          </cell>
          <cell r="E12116">
            <v>11.4663</v>
          </cell>
        </row>
        <row r="12117">
          <cell r="B12117" t="str">
            <v>INF789F1AZJ5</v>
          </cell>
          <cell r="C12117" t="str">
            <v>-</v>
          </cell>
          <cell r="D12117" t="str">
            <v>UTI Nifty Private Bank Index Fund - Direct Plan - Growth Option</v>
          </cell>
          <cell r="E12117">
            <v>10.199299999999999</v>
          </cell>
        </row>
        <row r="12118">
          <cell r="B12118" t="str">
            <v>INF789F1AZI7</v>
          </cell>
          <cell r="C12118" t="str">
            <v>-</v>
          </cell>
          <cell r="D12118" t="str">
            <v>UTI Nifty Private Bank Index Fund - Regular Plan - Growth Option</v>
          </cell>
          <cell r="E12118">
            <v>10.104699999999999</v>
          </cell>
        </row>
        <row r="12119">
          <cell r="B12119" t="str">
            <v>INF789F1AXL6</v>
          </cell>
          <cell r="C12119" t="str">
            <v>-</v>
          </cell>
          <cell r="D12119" t="str">
            <v>UTI NIFTY SDL Plus AAA PSU Bond Apr 2026 75:25 Index Fund - Direct Plan - Growth Option</v>
          </cell>
          <cell r="E12119">
            <v>12.529400000000001</v>
          </cell>
        </row>
        <row r="12120">
          <cell r="B12120" t="str">
            <v>INF789F1AXK8</v>
          </cell>
          <cell r="C12120" t="str">
            <v>-</v>
          </cell>
          <cell r="D12120" t="str">
            <v>UTI NIFTY SDL Plus AAA PSU Bond Apr 2026 75:25 Index Fund - Regular Plan - Growth Option</v>
          </cell>
          <cell r="E12120">
            <v>12.430199999999999</v>
          </cell>
        </row>
        <row r="12121">
          <cell r="B12121" t="str">
            <v>INF789F1AXR3</v>
          </cell>
          <cell r="C12121" t="str">
            <v>-</v>
          </cell>
          <cell r="D12121" t="str">
            <v>UTI NIFTY SDL Plus AAA PSU Bond Apr 2028- 75:25 Index Fund - Direct Plan - Growth Option</v>
          </cell>
          <cell r="E12121">
            <v>12.869899999999999</v>
          </cell>
        </row>
        <row r="12122">
          <cell r="B12122" t="str">
            <v>INF789F1AXQ5</v>
          </cell>
          <cell r="C12122" t="str">
            <v>-</v>
          </cell>
          <cell r="D12122" t="str">
            <v>UTI NIFTY SDL Plus AAA PSU Bond Apr 2028- 75:25 Index Fund - Regular Plan - Growth Option</v>
          </cell>
          <cell r="E12122">
            <v>12.7751</v>
          </cell>
        </row>
        <row r="12123">
          <cell r="B12123" t="str">
            <v>INF789F1AYP5</v>
          </cell>
          <cell r="C12123" t="str">
            <v>-</v>
          </cell>
          <cell r="D12123" t="str">
            <v>UTI Nifty50 Equal Weight Index Fund - Direct Plan - Growth Option</v>
          </cell>
          <cell r="E12123">
            <v>15.1798</v>
          </cell>
        </row>
        <row r="12124">
          <cell r="B12124" t="str">
            <v>INF789F1AYQ3</v>
          </cell>
          <cell r="C12124" t="str">
            <v>-</v>
          </cell>
          <cell r="D12124" t="str">
            <v>UTI Nifty50 Equal Weight Index Fund - Regular Plan - Growth Option</v>
          </cell>
          <cell r="E12124">
            <v>14.967700000000001</v>
          </cell>
        </row>
        <row r="12125">
          <cell r="B12125" t="str">
            <v>INF789F1AD04</v>
          </cell>
          <cell r="C12125" t="str">
            <v>-</v>
          </cell>
          <cell r="D12125" t="str">
            <v>UTI Nifty500 Shariah Index Fund - Direct Plan Growth Option</v>
          </cell>
          <cell r="E12125">
            <v>10.0472</v>
          </cell>
        </row>
        <row r="12126">
          <cell r="B12126" t="str">
            <v>INF789F1AC96</v>
          </cell>
          <cell r="C12126" t="str">
            <v>-</v>
          </cell>
          <cell r="D12126" t="str">
            <v>UTI Nifty500 Shariah Index Fund - Regular Plan Growth Option</v>
          </cell>
          <cell r="E12126">
            <v>10.0289</v>
          </cell>
        </row>
        <row r="12127">
          <cell r="B12127" t="str">
            <v/>
          </cell>
          <cell r="C12127" t="str">
            <v/>
          </cell>
          <cell r="D12127" t="str">
            <v/>
          </cell>
        </row>
        <row r="12128">
          <cell r="B12128" t="str">
            <v/>
          </cell>
          <cell r="C12128" t="str">
            <v/>
          </cell>
          <cell r="D12128" t="str">
            <v/>
          </cell>
        </row>
        <row r="12129">
          <cell r="B12129" t="str">
            <v/>
          </cell>
          <cell r="C12129" t="str">
            <v/>
          </cell>
          <cell r="D12129" t="str">
            <v/>
          </cell>
        </row>
        <row r="12130">
          <cell r="B12130" t="str">
            <v>INF0R8F01174</v>
          </cell>
          <cell r="C12130" t="str">
            <v>-</v>
          </cell>
          <cell r="D12130" t="str">
            <v>Zerodha BSE SENSEX Index Fund</v>
          </cell>
          <cell r="E12130">
            <v>9.2499000000000002</v>
          </cell>
        </row>
        <row r="12131">
          <cell r="B12131" t="str">
            <v>INF0R8F01026</v>
          </cell>
          <cell r="C12131" t="str">
            <v>-</v>
          </cell>
          <cell r="D12131" t="str">
            <v>Zerodha ELSS Tax Saver Nifty LargeMidcap 250 Index Fund - Direct Plan - Growth option</v>
          </cell>
          <cell r="E12131">
            <v>14.3491</v>
          </cell>
        </row>
        <row r="12132">
          <cell r="B12132" t="str">
            <v>INF0R8F01158</v>
          </cell>
          <cell r="C12132" t="str">
            <v>-</v>
          </cell>
          <cell r="D12132" t="str">
            <v>Zerodha Nifty 50 Index Fund - Direct Plan - Growth</v>
          </cell>
          <cell r="E12132">
            <v>9.5878999999999994</v>
          </cell>
        </row>
        <row r="12133">
          <cell r="B12133" t="str">
            <v>INF0R8F01018</v>
          </cell>
          <cell r="C12133" t="str">
            <v>-</v>
          </cell>
          <cell r="D12133" t="str">
            <v>Zerodha Nifty LargeMidcap 250 Index Fund - Direct Plan - Growth option</v>
          </cell>
          <cell r="E12133">
            <v>14.3195</v>
          </cell>
        </row>
        <row r="12134">
          <cell r="B12134" t="str">
            <v>INF0R8F01208</v>
          </cell>
          <cell r="C12134" t="str">
            <v>-</v>
          </cell>
          <cell r="D12134" t="str">
            <v>Zerodha Nifty LargeMidcap250 Plus 8-13 Yr G-Sec 70:30 Index Fund - Direct Plan - Growth Option</v>
          </cell>
          <cell r="E12134">
            <v>10.1846</v>
          </cell>
        </row>
        <row r="12135">
          <cell r="B12135" t="str">
            <v>INF0R8F01190</v>
          </cell>
          <cell r="C12135" t="str">
            <v>-</v>
          </cell>
          <cell r="D12135" t="str">
            <v>Zerodha Nifty MidSmallcap400 50:50 Index Fund - Direct Plan - Growth Option</v>
          </cell>
          <cell r="E12135">
            <v>11.213800000000001</v>
          </cell>
        </row>
        <row r="12136">
          <cell r="B12136" t="str">
            <v>INF0R8F01182</v>
          </cell>
          <cell r="C12136" t="str">
            <v>-</v>
          </cell>
          <cell r="D12136" t="str">
            <v>Zerodha Nifty Short Duration G-Sec Index Fund - Direct Plan - Growth Option</v>
          </cell>
          <cell r="E12136">
            <v>1024.0872999999999</v>
          </cell>
        </row>
        <row r="12137">
          <cell r="B12137" t="str">
            <v/>
          </cell>
          <cell r="C12137" t="str">
            <v/>
          </cell>
          <cell r="D12137" t="str">
            <v/>
          </cell>
        </row>
        <row r="12138">
          <cell r="B12138" t="str">
            <v/>
          </cell>
          <cell r="C12138" t="str">
            <v/>
          </cell>
          <cell r="D12138" t="str">
            <v/>
          </cell>
        </row>
        <row r="12139">
          <cell r="B12139" t="str">
            <v/>
          </cell>
          <cell r="C12139" t="str">
            <v/>
          </cell>
          <cell r="D12139" t="str">
            <v/>
          </cell>
        </row>
        <row r="12140">
          <cell r="B12140" t="str">
            <v/>
          </cell>
          <cell r="C12140" t="str">
            <v/>
          </cell>
          <cell r="D12140" t="str">
            <v/>
          </cell>
        </row>
        <row r="12141">
          <cell r="B12141" t="str">
            <v/>
          </cell>
          <cell r="C12141" t="str">
            <v/>
          </cell>
          <cell r="D12141" t="str">
            <v/>
          </cell>
        </row>
        <row r="12142">
          <cell r="B12142" t="str">
            <v>INF579M01BP5</v>
          </cell>
          <cell r="C12142" t="str">
            <v>-</v>
          </cell>
          <cell r="D12142" t="str">
            <v>360 ONE MSCI India ETF</v>
          </cell>
          <cell r="E12142">
            <v>10.0509</v>
          </cell>
        </row>
        <row r="12143">
          <cell r="B12143" t="str">
            <v>INF579M01BC3</v>
          </cell>
          <cell r="C12143" t="str">
            <v>-</v>
          </cell>
          <cell r="D12143" t="str">
            <v>360 ONE Silver ETF</v>
          </cell>
          <cell r="E12143">
            <v>219.7183</v>
          </cell>
        </row>
        <row r="12144">
          <cell r="B12144" t="str">
            <v/>
          </cell>
          <cell r="C12144" t="str">
            <v/>
          </cell>
          <cell r="D12144" t="str">
            <v/>
          </cell>
        </row>
        <row r="12145">
          <cell r="B12145" t="str">
            <v/>
          </cell>
          <cell r="C12145" t="str">
            <v/>
          </cell>
          <cell r="D12145" t="str">
            <v/>
          </cell>
        </row>
        <row r="12146">
          <cell r="B12146" t="str">
            <v/>
          </cell>
          <cell r="C12146" t="str">
            <v/>
          </cell>
          <cell r="D12146" t="str">
            <v/>
          </cell>
        </row>
        <row r="12147">
          <cell r="B12147" t="str">
            <v>INF209KC1142</v>
          </cell>
          <cell r="C12147" t="str">
            <v>-</v>
          </cell>
          <cell r="D12147" t="str">
            <v>Aditya Birla Sun Life Crisil 10 Year Gilt ETF</v>
          </cell>
          <cell r="E12147">
            <v>112.5154</v>
          </cell>
        </row>
        <row r="12148">
          <cell r="B12148" t="str">
            <v>INF209KC1134</v>
          </cell>
          <cell r="C12148" t="str">
            <v>-</v>
          </cell>
          <cell r="D12148" t="str">
            <v>ADITYA BIRLA SUN LIFE CRISIL BROAD BASED GILT ETF</v>
          </cell>
          <cell r="E12148">
            <v>114.05929999999999</v>
          </cell>
        </row>
        <row r="12149">
          <cell r="B12149" t="str">
            <v>INF209KB14K7</v>
          </cell>
          <cell r="C12149" t="str">
            <v>-</v>
          </cell>
          <cell r="D12149" t="str">
            <v>Aditya Birla Sun Life Nifty 200 Momentum 30 ETF</v>
          </cell>
          <cell r="E12149">
            <v>30.9328</v>
          </cell>
        </row>
        <row r="12150">
          <cell r="B12150" t="str">
            <v/>
          </cell>
          <cell r="C12150" t="str">
            <v/>
          </cell>
          <cell r="D12150" t="str">
            <v/>
          </cell>
        </row>
        <row r="12151">
          <cell r="B12151" t="str">
            <v/>
          </cell>
          <cell r="C12151" t="str">
            <v/>
          </cell>
          <cell r="D12151" t="str">
            <v/>
          </cell>
        </row>
        <row r="12152">
          <cell r="B12152" t="str">
            <v/>
          </cell>
          <cell r="C12152" t="str">
            <v/>
          </cell>
          <cell r="D12152" t="str">
            <v/>
          </cell>
        </row>
        <row r="12153">
          <cell r="B12153" t="str">
            <v>INF1J2R01056</v>
          </cell>
          <cell r="C12153" t="str">
            <v>-</v>
          </cell>
          <cell r="D12153" t="str">
            <v>ANGEL ONE NIFTY 1D RATE LIQUID ETF - GROWTH</v>
          </cell>
          <cell r="E12153">
            <v>1069.2184</v>
          </cell>
        </row>
        <row r="12154">
          <cell r="B12154" t="str">
            <v>INF1J2R01064</v>
          </cell>
          <cell r="C12154" t="str">
            <v>-</v>
          </cell>
          <cell r="D12154" t="str">
            <v>ANGEL ONE NIFTY 50 ETF</v>
          </cell>
          <cell r="E12154">
            <v>9.8996999999999993</v>
          </cell>
        </row>
        <row r="12155">
          <cell r="B12155" t="str">
            <v>INF1J2R01015</v>
          </cell>
          <cell r="C12155" t="str">
            <v>-</v>
          </cell>
          <cell r="D12155" t="str">
            <v>ANGEL ONE NIFTY TOTAL MARKET ETF</v>
          </cell>
          <cell r="E12155">
            <v>11.801299999999999</v>
          </cell>
        </row>
        <row r="12156">
          <cell r="B12156" t="str">
            <v>INF1J2R01148</v>
          </cell>
          <cell r="C12156" t="str">
            <v>-</v>
          </cell>
          <cell r="D12156" t="str">
            <v>ANGEL ONE NIFTY TOTAL MARKET MOMENTUM QUALITY 50 ETF</v>
          </cell>
          <cell r="E12156">
            <v>10.0787</v>
          </cell>
        </row>
        <row r="12157">
          <cell r="B12157" t="str">
            <v>INF1J2R01171</v>
          </cell>
          <cell r="C12157" t="str">
            <v>-</v>
          </cell>
          <cell r="D12157" t="str">
            <v>ANGEL ONE SILVER ETF</v>
          </cell>
          <cell r="E12157">
            <v>8.5388000000000002</v>
          </cell>
        </row>
        <row r="12158">
          <cell r="B12158" t="str">
            <v/>
          </cell>
          <cell r="C12158" t="str">
            <v/>
          </cell>
          <cell r="D12158" t="str">
            <v/>
          </cell>
        </row>
        <row r="12159">
          <cell r="B12159" t="str">
            <v/>
          </cell>
          <cell r="C12159" t="str">
            <v/>
          </cell>
          <cell r="D12159" t="str">
            <v/>
          </cell>
        </row>
        <row r="12160">
          <cell r="B12160" t="str">
            <v/>
          </cell>
          <cell r="C12160" t="str">
            <v/>
          </cell>
          <cell r="D12160" t="str">
            <v/>
          </cell>
        </row>
        <row r="12161">
          <cell r="B12161" t="str">
            <v>INF846K010Q0</v>
          </cell>
          <cell r="C12161" t="str">
            <v>-</v>
          </cell>
          <cell r="D12161" t="str">
            <v>Axis BSE Sensex ETF</v>
          </cell>
          <cell r="E12161">
            <v>79.569000000000003</v>
          </cell>
        </row>
        <row r="12162">
          <cell r="B12162" t="str">
            <v>INF846K01W98</v>
          </cell>
          <cell r="C12162" t="str">
            <v>-</v>
          </cell>
          <cell r="D12162" t="str">
            <v>Axis Nifty 50 ETF</v>
          </cell>
          <cell r="E12162">
            <v>265.32799999999997</v>
          </cell>
        </row>
        <row r="12163">
          <cell r="B12163" t="str">
            <v>INF846K01X63</v>
          </cell>
          <cell r="C12163" t="str">
            <v>-</v>
          </cell>
          <cell r="D12163" t="str">
            <v>Axis NIFTY Bank ETF</v>
          </cell>
          <cell r="E12163">
            <v>589.0367</v>
          </cell>
        </row>
        <row r="12164">
          <cell r="B12164" t="str">
            <v>INF846K01Z12</v>
          </cell>
          <cell r="C12164" t="str">
            <v>-</v>
          </cell>
          <cell r="D12164" t="str">
            <v>Axis NIFTY Healthcare ETF</v>
          </cell>
          <cell r="E12164">
            <v>166.42910000000001</v>
          </cell>
        </row>
        <row r="12165">
          <cell r="B12165" t="str">
            <v>INF846K016C7</v>
          </cell>
          <cell r="C12165" t="str">
            <v>-</v>
          </cell>
          <cell r="D12165" t="str">
            <v>Axis NIFTY India Consumption ETF</v>
          </cell>
          <cell r="E12165">
            <v>121.288</v>
          </cell>
        </row>
        <row r="12166">
          <cell r="B12166" t="str">
            <v>INF846K01Y96</v>
          </cell>
          <cell r="C12166" t="str">
            <v>-</v>
          </cell>
          <cell r="D12166" t="str">
            <v>Axis IT ETF</v>
          </cell>
          <cell r="E12166">
            <v>314.69709999999998</v>
          </cell>
        </row>
        <row r="12167">
          <cell r="B12167" t="str">
            <v>INF846KA1119</v>
          </cell>
          <cell r="C12167" t="str">
            <v>-</v>
          </cell>
          <cell r="D12167" t="str">
            <v>Axis Nifty500 Value 50 ETF</v>
          </cell>
          <cell r="E12167">
            <v>32.8307</v>
          </cell>
        </row>
        <row r="12168">
          <cell r="B12168" t="str">
            <v>INF846K011K1</v>
          </cell>
          <cell r="C12168" t="str">
            <v>-</v>
          </cell>
          <cell r="D12168" t="str">
            <v>Axis Silver ETF</v>
          </cell>
          <cell r="E12168">
            <v>222.0087</v>
          </cell>
        </row>
        <row r="12169">
          <cell r="B12169" t="str">
            <v/>
          </cell>
          <cell r="C12169" t="str">
            <v/>
          </cell>
          <cell r="D12169" t="str">
            <v/>
          </cell>
        </row>
        <row r="12170">
          <cell r="B12170" t="str">
            <v/>
          </cell>
          <cell r="C12170" t="str">
            <v/>
          </cell>
          <cell r="D12170" t="str">
            <v/>
          </cell>
        </row>
        <row r="12171">
          <cell r="B12171" t="str">
            <v/>
          </cell>
          <cell r="C12171" t="str">
            <v/>
          </cell>
          <cell r="D12171" t="str">
            <v/>
          </cell>
        </row>
        <row r="12172">
          <cell r="B12172" t="str">
            <v>INF0QA701854</v>
          </cell>
          <cell r="C12172" t="str">
            <v>-</v>
          </cell>
          <cell r="D12172" t="str">
            <v>Bajaj Finserv Nifty 1D Rate Liquid ETF</v>
          </cell>
          <cell r="E12172">
            <v>1091.2251000000001</v>
          </cell>
        </row>
        <row r="12173">
          <cell r="B12173" t="str">
            <v>INF0QA701722</v>
          </cell>
          <cell r="C12173" t="str">
            <v>-</v>
          </cell>
          <cell r="D12173" t="str">
            <v>Bajaj Finserv Nifty 50 ETF</v>
          </cell>
          <cell r="E12173">
            <v>246.68430000000001</v>
          </cell>
        </row>
        <row r="12174">
          <cell r="B12174" t="str">
            <v>INF0QA701714</v>
          </cell>
          <cell r="C12174" t="str">
            <v>-</v>
          </cell>
          <cell r="D12174" t="str">
            <v>Bajaj Finserv Nifty Bank ETF</v>
          </cell>
          <cell r="E12174">
            <v>58.068399999999997</v>
          </cell>
        </row>
        <row r="12175">
          <cell r="B12175" t="str">
            <v/>
          </cell>
          <cell r="C12175" t="str">
            <v/>
          </cell>
          <cell r="D12175" t="str">
            <v/>
          </cell>
        </row>
        <row r="12176">
          <cell r="B12176" t="str">
            <v/>
          </cell>
          <cell r="C12176" t="str">
            <v/>
          </cell>
          <cell r="D12176" t="str">
            <v/>
          </cell>
        </row>
        <row r="12177">
          <cell r="B12177" t="str">
            <v/>
          </cell>
          <cell r="C12177" t="str">
            <v/>
          </cell>
          <cell r="D12177" t="str">
            <v/>
          </cell>
        </row>
        <row r="12178">
          <cell r="B12178" t="str">
            <v>INF194KA1T91</v>
          </cell>
          <cell r="C12178" t="str">
            <v>-</v>
          </cell>
          <cell r="D12178" t="str">
            <v>BANDHAN BSE Sensex ETF</v>
          </cell>
          <cell r="E12178">
            <v>834.28719999999998</v>
          </cell>
        </row>
        <row r="12179">
          <cell r="B12179" t="str">
            <v>INF194KA1U07</v>
          </cell>
          <cell r="C12179" t="str">
            <v>-</v>
          </cell>
          <cell r="D12179" t="str">
            <v>BANDHAN Nifty 50 ETF</v>
          </cell>
          <cell r="E12179">
            <v>264.86709999999999</v>
          </cell>
        </row>
        <row r="12180">
          <cell r="B12180" t="str">
            <v>INF194KB1KI9</v>
          </cell>
          <cell r="C12180" t="str">
            <v>-</v>
          </cell>
          <cell r="D12180" t="str">
            <v>Bandhan Silver ETF</v>
          </cell>
          <cell r="E12180">
            <v>223.99160000000001</v>
          </cell>
        </row>
        <row r="12181">
          <cell r="B12181" t="str">
            <v/>
          </cell>
          <cell r="C12181" t="str">
            <v/>
          </cell>
          <cell r="D12181" t="str">
            <v/>
          </cell>
        </row>
        <row r="12182">
          <cell r="B12182" t="str">
            <v/>
          </cell>
          <cell r="C12182" t="str">
            <v/>
          </cell>
          <cell r="D12182" t="str">
            <v/>
          </cell>
        </row>
        <row r="12183">
          <cell r="B12183" t="str">
            <v/>
          </cell>
          <cell r="C12183" t="str">
            <v/>
          </cell>
          <cell r="D12183" t="str">
            <v/>
          </cell>
        </row>
        <row r="12184">
          <cell r="B12184" t="str">
            <v>INF251K01TL6</v>
          </cell>
          <cell r="C12184" t="str">
            <v>-</v>
          </cell>
          <cell r="D12184" t="str">
            <v>Baroda BNP Paribas Nifty Bank ETF</v>
          </cell>
          <cell r="E12184">
            <v>57.579300000000003</v>
          </cell>
        </row>
        <row r="12185">
          <cell r="B12185" t="str">
            <v/>
          </cell>
          <cell r="C12185" t="str">
            <v/>
          </cell>
          <cell r="D12185" t="str">
            <v/>
          </cell>
        </row>
        <row r="12186">
          <cell r="B12186" t="str">
            <v/>
          </cell>
          <cell r="C12186" t="str">
            <v/>
          </cell>
          <cell r="D12186" t="str">
            <v/>
          </cell>
        </row>
        <row r="12187">
          <cell r="B12187" t="str">
            <v/>
          </cell>
          <cell r="C12187" t="str">
            <v/>
          </cell>
          <cell r="D12187" t="str">
            <v/>
          </cell>
        </row>
        <row r="12188">
          <cell r="B12188" t="str">
            <v>INF740KA1UM0</v>
          </cell>
          <cell r="C12188" t="str">
            <v>-</v>
          </cell>
          <cell r="D12188" t="str">
            <v>DSP BSE Liquid Rate ETF</v>
          </cell>
          <cell r="E12188">
            <v>1136.7574999999999</v>
          </cell>
        </row>
        <row r="12189">
          <cell r="B12189" t="str">
            <v>INF740KA1SZ6</v>
          </cell>
          <cell r="C12189" t="str">
            <v>-</v>
          </cell>
          <cell r="D12189" t="str">
            <v>DSP BSE Sensex ETF</v>
          </cell>
          <cell r="E12189">
            <v>79.079800000000006</v>
          </cell>
        </row>
        <row r="12190">
          <cell r="B12190" t="str">
            <v>INF740KA1VE5</v>
          </cell>
          <cell r="C12190" t="str">
            <v>-</v>
          </cell>
          <cell r="D12190" t="str">
            <v>DSP BSE SENSEX Next 30 ETF</v>
          </cell>
          <cell r="E12190">
            <v>42.454500000000003</v>
          </cell>
        </row>
        <row r="12191">
          <cell r="B12191" t="str">
            <v>INF740KA1YH2</v>
          </cell>
          <cell r="C12191" t="str">
            <v>-</v>
          </cell>
          <cell r="D12191" t="str">
            <v>DSP BSE Top 10 Banks ETF</v>
          </cell>
          <cell r="E12191">
            <v>16.975000000000001</v>
          </cell>
        </row>
        <row r="12192">
          <cell r="B12192" t="str">
            <v>INF740KA1WV7</v>
          </cell>
          <cell r="C12192" t="str">
            <v>-</v>
          </cell>
          <cell r="D12192" t="str">
            <v>DSP MSCI INDIA ETF</v>
          </cell>
          <cell r="E12192">
            <v>29.399000000000001</v>
          </cell>
        </row>
        <row r="12193">
          <cell r="B12193" t="str">
            <v>-</v>
          </cell>
          <cell r="C12193" t="str">
            <v>INF740KA1EU7</v>
          </cell>
          <cell r="D12193" t="str">
            <v>DSP NIFTY 1D Rate Liquid ETF</v>
          </cell>
          <cell r="E12193">
            <v>1000</v>
          </cell>
        </row>
        <row r="12194">
          <cell r="B12194" t="str">
            <v>INF740KA1QK2</v>
          </cell>
          <cell r="C12194" t="str">
            <v>-</v>
          </cell>
          <cell r="D12194" t="str">
            <v>DSP Nifty 50 Equal Weight ETF</v>
          </cell>
          <cell r="E12194">
            <v>341.76920000000001</v>
          </cell>
        </row>
        <row r="12195">
          <cell r="B12195" t="str">
            <v>INF740KA1CL0</v>
          </cell>
          <cell r="C12195" t="str">
            <v>-</v>
          </cell>
          <cell r="D12195" t="str">
            <v>DSP Nifty 50 ETF</v>
          </cell>
          <cell r="E12195">
            <v>252.55719999999999</v>
          </cell>
        </row>
        <row r="12196">
          <cell r="B12196" t="str">
            <v>INF740KA1RX3</v>
          </cell>
          <cell r="C12196" t="str">
            <v>-</v>
          </cell>
          <cell r="D12196" t="str">
            <v>DSP Nifty Bank ETF</v>
          </cell>
          <cell r="E12196">
            <v>58.482799999999997</v>
          </cell>
        </row>
        <row r="12197">
          <cell r="B12197" t="str">
            <v>INF740KA1ZA4</v>
          </cell>
          <cell r="C12197" t="str">
            <v>-</v>
          </cell>
          <cell r="D12197" t="str">
            <v>DSP Nifty FMCG ETF</v>
          </cell>
          <cell r="E12197">
            <v>49.376399999999997</v>
          </cell>
        </row>
        <row r="12198">
          <cell r="B12198" t="str">
            <v>INF740KA1ZG1</v>
          </cell>
          <cell r="C12198" t="str">
            <v>-</v>
          </cell>
          <cell r="D12198" t="str">
            <v>DSP Nifty Healthcare ETF</v>
          </cell>
          <cell r="E12198">
            <v>16.507999999999999</v>
          </cell>
        </row>
        <row r="12199">
          <cell r="B12199" t="str">
            <v>INF740KA1SX1</v>
          </cell>
          <cell r="C12199" t="str">
            <v>-</v>
          </cell>
          <cell r="D12199" t="str">
            <v>DSP Nifty IT ETF</v>
          </cell>
          <cell r="E12199">
            <v>30.292000000000002</v>
          </cell>
        </row>
        <row r="12200">
          <cell r="B12200" t="str">
            <v>INF740KA1WW5</v>
          </cell>
          <cell r="C12200" t="str">
            <v>-</v>
          </cell>
          <cell r="D12200" t="str">
            <v>DSP Nifty Midcap 150 ETF</v>
          </cell>
          <cell r="E12200">
            <v>22.964600000000001</v>
          </cell>
        </row>
        <row r="12201">
          <cell r="B12201" t="str">
            <v>INF740KA1ZF3</v>
          </cell>
          <cell r="C12201" t="str">
            <v>-</v>
          </cell>
          <cell r="D12201" t="str">
            <v>DSP Nifty Midcap 150 Quality 50 ETF</v>
          </cell>
          <cell r="E12201">
            <v>24.717700000000001</v>
          </cell>
        </row>
        <row r="12202">
          <cell r="B12202" t="str">
            <v>INF740KA1XU7</v>
          </cell>
          <cell r="C12202" t="str">
            <v>-</v>
          </cell>
          <cell r="D12202" t="str">
            <v>DSP Nifty Next 50 ETF</v>
          </cell>
          <cell r="E12202">
            <v>72.544399999999996</v>
          </cell>
        </row>
        <row r="12203">
          <cell r="B12203" t="str">
            <v>INF740KA1TA7</v>
          </cell>
          <cell r="C12203" t="str">
            <v>-</v>
          </cell>
          <cell r="D12203" t="str">
            <v>DSP Nifty Private Bank ETF</v>
          </cell>
          <cell r="E12203">
            <v>27.904699999999998</v>
          </cell>
        </row>
        <row r="12204">
          <cell r="B12204" t="str">
            <v>INF740KA1SY9</v>
          </cell>
          <cell r="C12204" t="str">
            <v>-</v>
          </cell>
          <cell r="D12204" t="str">
            <v>DSP Nifty PSU Bank ETF</v>
          </cell>
          <cell r="E12204">
            <v>84.799899999999994</v>
          </cell>
        </row>
        <row r="12205">
          <cell r="B12205" t="str">
            <v>INF740KA1WX3</v>
          </cell>
          <cell r="C12205" t="str">
            <v>-</v>
          </cell>
          <cell r="D12205" t="str">
            <v>DSP Nifty Smallcap 250 ETF</v>
          </cell>
          <cell r="E12205">
            <v>17.944600000000001</v>
          </cell>
        </row>
        <row r="12206">
          <cell r="B12206" t="str">
            <v>INF740KA1UR9</v>
          </cell>
          <cell r="C12206" t="str">
            <v>-</v>
          </cell>
          <cell r="D12206" t="str">
            <v>DSP Nifty Top 10 Equal Weight ETF</v>
          </cell>
          <cell r="E12206">
            <v>86.468199999999996</v>
          </cell>
        </row>
        <row r="12207">
          <cell r="B12207" t="str">
            <v>INF740KA1WU9</v>
          </cell>
          <cell r="C12207" t="str">
            <v>-</v>
          </cell>
          <cell r="D12207" t="str">
            <v>DSP Nifty500 Flexicap Quality 30 ETF</v>
          </cell>
          <cell r="E12207">
            <v>9.9701000000000004</v>
          </cell>
        </row>
        <row r="12208">
          <cell r="B12208" t="str">
            <v>INF740KA1RE3</v>
          </cell>
          <cell r="C12208" t="str">
            <v>-</v>
          </cell>
          <cell r="D12208" t="str">
            <v>DSP Silver ETF</v>
          </cell>
          <cell r="E12208">
            <v>215.22579999999999</v>
          </cell>
        </row>
        <row r="12209">
          <cell r="B12209" t="str">
            <v/>
          </cell>
          <cell r="C12209" t="str">
            <v/>
          </cell>
          <cell r="D12209" t="str">
            <v/>
          </cell>
        </row>
        <row r="12210">
          <cell r="B12210" t="str">
            <v/>
          </cell>
          <cell r="C12210" t="str">
            <v/>
          </cell>
          <cell r="D12210" t="str">
            <v/>
          </cell>
        </row>
        <row r="12211">
          <cell r="B12211" t="str">
            <v/>
          </cell>
          <cell r="C12211" t="str">
            <v/>
          </cell>
          <cell r="D12211" t="str">
            <v/>
          </cell>
        </row>
        <row r="12212">
          <cell r="B12212" t="str">
            <v>INF754K01KO2</v>
          </cell>
          <cell r="C12212" t="str">
            <v>-</v>
          </cell>
          <cell r="D12212" t="str">
            <v>Bharat Bond ETF - April 2030</v>
          </cell>
          <cell r="E12212">
            <v>1606.5097000000001</v>
          </cell>
        </row>
        <row r="12213">
          <cell r="B12213" t="str">
            <v>INF754K01OB1</v>
          </cell>
          <cell r="C12213" t="str">
            <v>-</v>
          </cell>
          <cell r="D12213" t="str">
            <v>BHARAT Bond ETF - April 2032</v>
          </cell>
          <cell r="E12213">
            <v>1350.6102000000001</v>
          </cell>
        </row>
        <row r="12214">
          <cell r="B12214" t="str">
            <v>INF754K01QX0</v>
          </cell>
          <cell r="C12214" t="str">
            <v>-</v>
          </cell>
          <cell r="D12214" t="str">
            <v>BHARAT Bond ETF - April 2033</v>
          </cell>
          <cell r="E12214">
            <v>1312.2342000000001</v>
          </cell>
        </row>
        <row r="12215">
          <cell r="B12215" t="str">
            <v>INF754K01LD3</v>
          </cell>
          <cell r="C12215" t="str">
            <v>-</v>
          </cell>
          <cell r="D12215" t="str">
            <v>BHARAT Bond ETF April 2025</v>
          </cell>
          <cell r="E12215">
            <v>1292.6107999999999</v>
          </cell>
        </row>
        <row r="12216">
          <cell r="B12216" t="str">
            <v>INF754K01LE1</v>
          </cell>
          <cell r="C12216" t="str">
            <v>-</v>
          </cell>
          <cell r="D12216" t="str">
            <v>BHARAT Bond ETF- April 2031</v>
          </cell>
          <cell r="E12216">
            <v>1437.1576</v>
          </cell>
        </row>
        <row r="12217">
          <cell r="B12217" t="str">
            <v>INF754K01TX4</v>
          </cell>
          <cell r="C12217" t="str">
            <v>-</v>
          </cell>
          <cell r="D12217" t="str">
            <v>Edelweiss BSE Capital Markets &amp; Insurance  ETF - Growth</v>
          </cell>
          <cell r="E12217">
            <v>23.6812</v>
          </cell>
        </row>
        <row r="12218">
          <cell r="B12218" t="str">
            <v>INF754K01VY8</v>
          </cell>
          <cell r="C12218" t="str">
            <v>-</v>
          </cell>
          <cell r="D12218" t="str">
            <v>Edelweiss BSE Sensex ETF - Growth</v>
          </cell>
          <cell r="E12218">
            <v>77.187700000000007</v>
          </cell>
        </row>
        <row r="12219">
          <cell r="B12219" t="str">
            <v>INF754K01VW2</v>
          </cell>
          <cell r="C12219" t="str">
            <v>-</v>
          </cell>
          <cell r="D12219" t="str">
            <v>Edelweiss Nifty 1D Rate Liquid ETF - Growth</v>
          </cell>
          <cell r="E12219">
            <v>1040.3579</v>
          </cell>
        </row>
        <row r="12220">
          <cell r="B12220" t="str">
            <v>INF754K01VX0</v>
          </cell>
          <cell r="C12220" t="str">
            <v>-</v>
          </cell>
          <cell r="D12220" t="str">
            <v>Edelweiss Nifty 50 ETF - Growth</v>
          </cell>
          <cell r="E12220">
            <v>24.151</v>
          </cell>
        </row>
        <row r="12221">
          <cell r="B12221" t="str">
            <v>INF754K01TE4</v>
          </cell>
          <cell r="C12221" t="str">
            <v>-</v>
          </cell>
          <cell r="D12221" t="str">
            <v>Edelweiss Nifty Bank ETF - Growth</v>
          </cell>
          <cell r="E12221">
            <v>57.606400000000001</v>
          </cell>
        </row>
        <row r="12222">
          <cell r="B12222" t="str">
            <v>INF754K01VV4</v>
          </cell>
          <cell r="C12222" t="str">
            <v>-</v>
          </cell>
          <cell r="D12222" t="str">
            <v>Edelweiss Nifty LargeMidcap 250 ETF - Growth</v>
          </cell>
          <cell r="E12222">
            <v>16.514399999999998</v>
          </cell>
        </row>
        <row r="12223">
          <cell r="B12223" t="str">
            <v>INF754K01XF3</v>
          </cell>
          <cell r="C12223" t="str">
            <v>-</v>
          </cell>
          <cell r="D12223" t="str">
            <v>Edelweiss Nifty Next 50 ETF</v>
          </cell>
          <cell r="E12223">
            <v>71.904700000000005</v>
          </cell>
        </row>
        <row r="12224">
          <cell r="B12224" t="str">
            <v>INF754K01TF1</v>
          </cell>
          <cell r="C12224" t="str">
            <v>-</v>
          </cell>
          <cell r="D12224" t="str">
            <v>Edelweiss Nifty500 Multicap Momentum Quality 50 ETF - Growth</v>
          </cell>
          <cell r="E12224">
            <v>41.213000000000001</v>
          </cell>
        </row>
        <row r="12225">
          <cell r="B12225" t="str">
            <v>INF754K01SF3</v>
          </cell>
          <cell r="C12225" t="str">
            <v>-</v>
          </cell>
          <cell r="D12225" t="str">
            <v>Edelweiss Silver ETF</v>
          </cell>
          <cell r="E12225">
            <v>223.0284</v>
          </cell>
        </row>
        <row r="12226">
          <cell r="B12226" t="str">
            <v/>
          </cell>
          <cell r="C12226" t="str">
            <v/>
          </cell>
          <cell r="D12226" t="str">
            <v/>
          </cell>
        </row>
        <row r="12227">
          <cell r="B12227" t="str">
            <v/>
          </cell>
          <cell r="C12227" t="str">
            <v/>
          </cell>
          <cell r="D12227" t="str">
            <v/>
          </cell>
        </row>
        <row r="12228">
          <cell r="B12228" t="str">
            <v/>
          </cell>
          <cell r="C12228" t="str">
            <v/>
          </cell>
          <cell r="D12228" t="str">
            <v/>
          </cell>
        </row>
        <row r="12229">
          <cell r="B12229" t="str">
            <v>INF666M01OD9</v>
          </cell>
          <cell r="C12229" t="str">
            <v>-</v>
          </cell>
          <cell r="D12229" t="str">
            <v>Groww BSE Hospitals ETF</v>
          </cell>
          <cell r="E12229">
            <v>53.476399999999998</v>
          </cell>
        </row>
        <row r="12230">
          <cell r="B12230" t="str">
            <v>INF666M01LM6</v>
          </cell>
          <cell r="C12230" t="str">
            <v>-</v>
          </cell>
          <cell r="D12230" t="str">
            <v>Groww BSE Power ETF</v>
          </cell>
          <cell r="E12230">
            <v>11.854699999999999</v>
          </cell>
        </row>
        <row r="12231">
          <cell r="B12231" t="str">
            <v>INF666M01IP5</v>
          </cell>
          <cell r="C12231" t="str">
            <v>-</v>
          </cell>
          <cell r="D12231" t="str">
            <v>Groww Nifty 1D Rate Liquid ETF</v>
          </cell>
          <cell r="E12231">
            <v>110.01179999999999</v>
          </cell>
        </row>
        <row r="12232">
          <cell r="B12232" t="str">
            <v>INF666M01JV1</v>
          </cell>
          <cell r="C12232" t="str">
            <v>-</v>
          </cell>
          <cell r="D12232" t="str">
            <v>Groww Nifty 200 ETF</v>
          </cell>
          <cell r="E12232">
            <v>11.2742</v>
          </cell>
        </row>
        <row r="12233">
          <cell r="B12233" t="str">
            <v>INF666M01LL8</v>
          </cell>
          <cell r="C12233" t="str">
            <v>-</v>
          </cell>
          <cell r="D12233" t="str">
            <v>Groww Nifty 50 ETF</v>
          </cell>
          <cell r="E12233">
            <v>9.6877999999999993</v>
          </cell>
        </row>
        <row r="12234">
          <cell r="B12234" t="str">
            <v>INF666M01LB9</v>
          </cell>
          <cell r="C12234" t="str">
            <v>-</v>
          </cell>
          <cell r="D12234" t="str">
            <v>Groww Nifty 500 Low Volatility 50 ETF</v>
          </cell>
          <cell r="E12234">
            <v>10.453099999999999</v>
          </cell>
        </row>
        <row r="12235">
          <cell r="B12235" t="str">
            <v>INF666M01KJ4</v>
          </cell>
          <cell r="C12235" t="str">
            <v>-</v>
          </cell>
          <cell r="D12235" t="str">
            <v>Groww Nifty 500 Momentum 50 ETF</v>
          </cell>
          <cell r="E12235">
            <v>10.706099999999999</v>
          </cell>
        </row>
        <row r="12236">
          <cell r="B12236" t="str">
            <v>INF666M01MM4</v>
          </cell>
          <cell r="C12236" t="str">
            <v>-</v>
          </cell>
          <cell r="D12236" t="str">
            <v>Groww Nifty Capital Markets ETF</v>
          </cell>
          <cell r="E12236">
            <v>11.2394</v>
          </cell>
        </row>
        <row r="12237">
          <cell r="B12237" t="str">
            <v>INF666M01NP5</v>
          </cell>
          <cell r="C12237" t="str">
            <v>-</v>
          </cell>
          <cell r="D12237" t="str">
            <v>Groww Nifty Chemicals ETF</v>
          </cell>
          <cell r="E12237">
            <v>30.6342</v>
          </cell>
        </row>
        <row r="12238">
          <cell r="B12238" t="str">
            <v>INF666M01IH2</v>
          </cell>
          <cell r="C12238" t="str">
            <v>-</v>
          </cell>
          <cell r="D12238" t="str">
            <v>GROWW NIFTY EV &amp; NEW AGE AUTOMOTIVE ETF</v>
          </cell>
          <cell r="E12238">
            <v>31.73</v>
          </cell>
        </row>
        <row r="12239">
          <cell r="B12239" t="str">
            <v>INF666M01IO8</v>
          </cell>
          <cell r="C12239" t="str">
            <v>-</v>
          </cell>
          <cell r="D12239" t="str">
            <v>Groww Nifty India Defence ETF</v>
          </cell>
          <cell r="E12239">
            <v>94.068799999999996</v>
          </cell>
        </row>
        <row r="12240">
          <cell r="B12240" t="str">
            <v>INF666M01LI4</v>
          </cell>
          <cell r="C12240" t="str">
            <v>-</v>
          </cell>
          <cell r="D12240" t="str">
            <v>Groww Nifty India Internet ETF</v>
          </cell>
          <cell r="E12240">
            <v>9.7714999999999996</v>
          </cell>
        </row>
        <row r="12241">
          <cell r="B12241" t="str">
            <v>INF666M01JJ6</v>
          </cell>
          <cell r="C12241" t="str">
            <v>-</v>
          </cell>
          <cell r="D12241" t="str">
            <v>Groww Nifty India Railways PSU ETF</v>
          </cell>
          <cell r="E12241">
            <v>28.586300000000001</v>
          </cell>
        </row>
        <row r="12242">
          <cell r="B12242" t="str">
            <v>INF666M01NI0</v>
          </cell>
          <cell r="C12242" t="str">
            <v>-</v>
          </cell>
          <cell r="D12242" t="str">
            <v>Groww Nifty Metal ETF</v>
          </cell>
          <cell r="E12242">
            <v>11.9785</v>
          </cell>
        </row>
        <row r="12243">
          <cell r="B12243" t="str">
            <v>INF666M01MV5</v>
          </cell>
          <cell r="C12243" t="str">
            <v>-</v>
          </cell>
          <cell r="D12243" t="str">
            <v>Groww Nifty Midcap 150 ETF</v>
          </cell>
          <cell r="E12243">
            <v>229.74189999999999</v>
          </cell>
        </row>
        <row r="12244">
          <cell r="B12244" t="str">
            <v>INF666M01LZ8</v>
          </cell>
          <cell r="C12244" t="str">
            <v>-</v>
          </cell>
          <cell r="D12244" t="str">
            <v>Groww Nifty Next 50 ETF</v>
          </cell>
          <cell r="E12244">
            <v>72.5077</v>
          </cell>
        </row>
        <row r="12245">
          <cell r="B12245" t="str">
            <v>INF666M01OT5</v>
          </cell>
          <cell r="C12245" t="str">
            <v>-</v>
          </cell>
          <cell r="D12245" t="str">
            <v>Groww Nifty Private Bank ETF</v>
          </cell>
          <cell r="E12245">
            <v>27.569299999999998</v>
          </cell>
        </row>
        <row r="12246">
          <cell r="B12246" t="str">
            <v>INF666M01NQ3</v>
          </cell>
          <cell r="C12246" t="str">
            <v>-</v>
          </cell>
          <cell r="D12246" t="str">
            <v>Groww Nifty PSE ETF</v>
          </cell>
          <cell r="E12246">
            <v>100.4284</v>
          </cell>
        </row>
        <row r="12247">
          <cell r="B12247" t="str">
            <v>INF666M01OG2</v>
          </cell>
          <cell r="C12247" t="str">
            <v>-</v>
          </cell>
          <cell r="D12247" t="str">
            <v>Groww Nifty PSU Bank ETF</v>
          </cell>
          <cell r="E12247">
            <v>84.122</v>
          </cell>
        </row>
        <row r="12248">
          <cell r="B12248" t="str">
            <v>INF666M01MN2</v>
          </cell>
          <cell r="C12248" t="str">
            <v>-</v>
          </cell>
          <cell r="D12248" t="str">
            <v>Groww Nifty Realty ETF</v>
          </cell>
          <cell r="E12248">
            <v>10.0944</v>
          </cell>
        </row>
        <row r="12249">
          <cell r="B12249" t="str">
            <v>INF666M01MO0</v>
          </cell>
          <cell r="C12249" t="str">
            <v>-</v>
          </cell>
          <cell r="D12249" t="str">
            <v>Groww Nifty Smallcap250 ETF</v>
          </cell>
          <cell r="E12249">
            <v>10.304399999999999</v>
          </cell>
        </row>
        <row r="12250">
          <cell r="B12250" t="str">
            <v>INF666M01PG9</v>
          </cell>
          <cell r="C12250" t="str">
            <v>-</v>
          </cell>
          <cell r="D12250" t="str">
            <v>Groww Nifty Smallcap 250 Momentum Quality 100 ETF</v>
          </cell>
          <cell r="E12250">
            <v>47.400700000000001</v>
          </cell>
        </row>
        <row r="12251">
          <cell r="B12251" t="str">
            <v>INF666M01OF4</v>
          </cell>
          <cell r="C12251" t="str">
            <v>-</v>
          </cell>
          <cell r="D12251" t="str">
            <v>Groww Silver ETF</v>
          </cell>
          <cell r="E12251">
            <v>21.893999999999998</v>
          </cell>
        </row>
        <row r="12252">
          <cell r="B12252" t="str">
            <v/>
          </cell>
          <cell r="C12252" t="str">
            <v/>
          </cell>
          <cell r="D12252" t="str">
            <v/>
          </cell>
        </row>
        <row r="12253">
          <cell r="B12253" t="str">
            <v/>
          </cell>
          <cell r="C12253" t="str">
            <v/>
          </cell>
          <cell r="D12253" t="str">
            <v/>
          </cell>
        </row>
        <row r="12254">
          <cell r="B12254" t="str">
            <v/>
          </cell>
          <cell r="C12254" t="str">
            <v/>
          </cell>
          <cell r="D12254" t="str">
            <v/>
          </cell>
        </row>
        <row r="12255">
          <cell r="B12255" t="str">
            <v>INF179KC1EZ4</v>
          </cell>
          <cell r="C12255" t="str">
            <v>-</v>
          </cell>
          <cell r="D12255" t="str">
            <v>HDFC BSE 500 ETF - Growth Option</v>
          </cell>
          <cell r="E12255">
            <v>37.142699999999998</v>
          </cell>
        </row>
        <row r="12256">
          <cell r="B12256" t="str">
            <v>INF179KC1HX2</v>
          </cell>
          <cell r="C12256" t="str">
            <v>-</v>
          </cell>
          <cell r="D12256" t="str">
            <v>HDFC BSE Sensex ETF - Growth Plan</v>
          </cell>
          <cell r="E12256">
            <v>86.988299999999995</v>
          </cell>
        </row>
        <row r="12257">
          <cell r="B12257" t="str">
            <v>INF179KC1HR4</v>
          </cell>
          <cell r="C12257" t="str">
            <v>-</v>
          </cell>
          <cell r="D12257" t="str">
            <v>HDFC NIFTY 100 ETF - Growth Option</v>
          </cell>
          <cell r="E12257">
            <v>25.900099999999998</v>
          </cell>
        </row>
        <row r="12258">
          <cell r="B12258" t="str">
            <v>INF179KC1JG3</v>
          </cell>
          <cell r="C12258" t="str">
            <v>-</v>
          </cell>
          <cell r="D12258" t="str">
            <v>HDFC NIFTY 1D RATE LIQUID ETF GROWTH</v>
          </cell>
          <cell r="E12258">
            <v>1070.3469</v>
          </cell>
        </row>
        <row r="12259">
          <cell r="B12259" t="str">
            <v>INF179KC1965</v>
          </cell>
          <cell r="C12259" t="str">
            <v>-</v>
          </cell>
          <cell r="D12259" t="str">
            <v>HDFC NIFTY 50 ETF - Growth Plan</v>
          </cell>
          <cell r="E12259">
            <v>270.14409999999998</v>
          </cell>
        </row>
        <row r="12260">
          <cell r="B12260" t="str">
            <v>INF179KC1HY0</v>
          </cell>
          <cell r="C12260" t="str">
            <v>-</v>
          </cell>
          <cell r="D12260" t="str">
            <v>HDFC NIFTY Bank ETF - GROWTH</v>
          </cell>
          <cell r="E12260">
            <v>58.809399999999997</v>
          </cell>
        </row>
        <row r="12261">
          <cell r="B12261" t="str">
            <v>INF179KC1DJ0</v>
          </cell>
          <cell r="C12261" t="str">
            <v>-</v>
          </cell>
          <cell r="D12261" t="str">
            <v>HDFC NIFTY GROWTH SECTORS 15 ETF - Growth Option</v>
          </cell>
          <cell r="E12261">
            <v>116.3875</v>
          </cell>
        </row>
        <row r="12262">
          <cell r="B12262" t="str">
            <v>INF179KC1IA8</v>
          </cell>
          <cell r="C12262" t="str">
            <v>-</v>
          </cell>
          <cell r="D12262" t="str">
            <v>HDFC NIFTY IT ETF - Growth option</v>
          </cell>
          <cell r="E12262">
            <v>30.514900000000001</v>
          </cell>
        </row>
        <row r="12263">
          <cell r="B12263" t="str">
            <v>INF179KC1HT0</v>
          </cell>
          <cell r="C12263" t="str">
            <v>-</v>
          </cell>
          <cell r="D12263" t="str">
            <v>HDFC NIFTY Midcap 150 ETF - Growth Option</v>
          </cell>
          <cell r="E12263">
            <v>23.205100000000002</v>
          </cell>
        </row>
        <row r="12264">
          <cell r="B12264" t="str">
            <v>INF179KC1HS2</v>
          </cell>
          <cell r="C12264" t="str">
            <v>-</v>
          </cell>
          <cell r="D12264" t="str">
            <v>HDFC NIFTY NEXT 50 ETF - Growth Option</v>
          </cell>
          <cell r="E12264">
            <v>73.796199999999999</v>
          </cell>
        </row>
        <row r="12265">
          <cell r="B12265" t="str">
            <v>INF179KC1HZ7</v>
          </cell>
          <cell r="C12265" t="str">
            <v>-</v>
          </cell>
          <cell r="D12265" t="str">
            <v>HDFC NIFTY Private Bank ETF - Growth Option</v>
          </cell>
          <cell r="E12265">
            <v>28.0047</v>
          </cell>
        </row>
        <row r="12266">
          <cell r="B12266" t="str">
            <v>INF179KC1HW4</v>
          </cell>
          <cell r="C12266" t="str">
            <v>-</v>
          </cell>
          <cell r="D12266" t="str">
            <v>HDFC NIFTY PSU BANK ETF</v>
          </cell>
          <cell r="E12266">
            <v>84.851100000000002</v>
          </cell>
        </row>
        <row r="12267">
          <cell r="B12267" t="str">
            <v>INF179KC1FB2</v>
          </cell>
          <cell r="C12267" t="str">
            <v>-</v>
          </cell>
          <cell r="D12267" t="str">
            <v>HDFC NIFTY Smallcap 250 ETF - Growth Option</v>
          </cell>
          <cell r="E12267">
            <v>179.8998</v>
          </cell>
        </row>
        <row r="12268">
          <cell r="B12268" t="str">
            <v>INF179KC1HU8</v>
          </cell>
          <cell r="C12268" t="str">
            <v>-</v>
          </cell>
          <cell r="D12268" t="str">
            <v>HDFC NIFTY100 Low Volatility 30 ETF - Growth Option</v>
          </cell>
          <cell r="E12268">
            <v>20.669499999999999</v>
          </cell>
        </row>
        <row r="12269">
          <cell r="B12269" t="str">
            <v>INF179KC1DL6</v>
          </cell>
          <cell r="C12269" t="str">
            <v>-</v>
          </cell>
          <cell r="D12269" t="str">
            <v>HDFC NIFTY100 QUALITY 30 ETF - Growth Option</v>
          </cell>
          <cell r="E12269">
            <v>57.689799999999998</v>
          </cell>
        </row>
        <row r="12270">
          <cell r="B12270" t="str">
            <v>INF179KC1HV6</v>
          </cell>
          <cell r="C12270" t="str">
            <v>-</v>
          </cell>
          <cell r="D12270" t="str">
            <v>HDFC NIFTY200 MOMENTUM 30 ETF - Growth Option</v>
          </cell>
          <cell r="E12270">
            <v>30.8308</v>
          </cell>
        </row>
        <row r="12271">
          <cell r="B12271" t="str">
            <v>INF179KC1DK8</v>
          </cell>
          <cell r="C12271" t="str">
            <v>-</v>
          </cell>
          <cell r="D12271" t="str">
            <v>HDFC NIFTY 50 VALUE 20 ETF - Growth Option</v>
          </cell>
          <cell r="E12271">
            <v>125.48609999999999</v>
          </cell>
        </row>
        <row r="12272">
          <cell r="B12272" t="str">
            <v>INF179KC1DI2</v>
          </cell>
          <cell r="C12272" t="str">
            <v>-</v>
          </cell>
          <cell r="D12272" t="str">
            <v>HDFC Silver ETF - Growth Option</v>
          </cell>
          <cell r="E12272">
            <v>213.65129999999999</v>
          </cell>
        </row>
        <row r="12273">
          <cell r="B12273" t="str">
            <v/>
          </cell>
          <cell r="C12273" t="str">
            <v/>
          </cell>
          <cell r="D12273" t="str">
            <v/>
          </cell>
        </row>
        <row r="12274">
          <cell r="B12274" t="str">
            <v/>
          </cell>
          <cell r="C12274" t="str">
            <v/>
          </cell>
          <cell r="D12274" t="str">
            <v/>
          </cell>
        </row>
        <row r="12275">
          <cell r="B12275" t="str">
            <v/>
          </cell>
          <cell r="C12275" t="str">
            <v/>
          </cell>
          <cell r="D12275" t="str">
            <v/>
          </cell>
        </row>
        <row r="12276">
          <cell r="B12276" t="str">
            <v>INF109KB15Y7</v>
          </cell>
          <cell r="C12276" t="str">
            <v>-</v>
          </cell>
          <cell r="D12276" t="str">
            <v>BHARAT 22 ETF</v>
          </cell>
          <cell r="E12276">
            <v>115.9004</v>
          </cell>
        </row>
        <row r="12277">
          <cell r="B12277" t="str">
            <v>INF109KC1V59</v>
          </cell>
          <cell r="C12277" t="str">
            <v>-</v>
          </cell>
          <cell r="D12277" t="str">
            <v>ICICI Prudential BSE 500 ETF</v>
          </cell>
          <cell r="E12277">
            <v>39.095100000000002</v>
          </cell>
        </row>
        <row r="12278">
          <cell r="B12278" t="str">
            <v>INF109K1A021</v>
          </cell>
          <cell r="C12278" t="str">
            <v>-</v>
          </cell>
          <cell r="D12278" t="str">
            <v>ICICI Prudential BSE Liquid Rate ETF - Growth</v>
          </cell>
          <cell r="E12278">
            <v>1071.8787</v>
          </cell>
        </row>
        <row r="12279">
          <cell r="B12279" t="str">
            <v>INF109KC1KT9</v>
          </cell>
          <cell r="C12279" t="str">
            <v>-</v>
          </cell>
          <cell r="D12279" t="str">
            <v>ICICI Prudential BSE Liquid Rate ETF - IDCW</v>
          </cell>
          <cell r="E12279">
            <v>1000</v>
          </cell>
        </row>
        <row r="12280">
          <cell r="B12280" t="str">
            <v>INF109KC10W0</v>
          </cell>
          <cell r="C12280" t="str">
            <v>-</v>
          </cell>
          <cell r="D12280" t="str">
            <v>ICICI Prudential BSE Midcap Select ETF</v>
          </cell>
          <cell r="E12280">
            <v>19.208300000000001</v>
          </cell>
        </row>
        <row r="12281">
          <cell r="B12281" t="str">
            <v>INF346A01034</v>
          </cell>
          <cell r="C12281" t="str">
            <v>-</v>
          </cell>
          <cell r="D12281" t="str">
            <v>ICICI Prudential BSE Sensex ETF</v>
          </cell>
          <cell r="E12281">
            <v>881.66380000000004</v>
          </cell>
        </row>
        <row r="12282">
          <cell r="B12282" t="str">
            <v>INF109KC18O0</v>
          </cell>
          <cell r="C12282" t="str">
            <v>-</v>
          </cell>
          <cell r="D12282" t="str">
            <v>ICICI Prudential Nifty 10 yr Benchmark G-sec ETF</v>
          </cell>
          <cell r="E12282">
            <v>264.09769999999997</v>
          </cell>
        </row>
        <row r="12283">
          <cell r="B12283" t="str">
            <v>INF109KC16V9</v>
          </cell>
          <cell r="C12283" t="str">
            <v>-</v>
          </cell>
          <cell r="D12283" t="str">
            <v>ICICI Prudential Nifty 100 ETF</v>
          </cell>
          <cell r="E12283">
            <v>27.9573</v>
          </cell>
        </row>
        <row r="12284">
          <cell r="B12284" t="str">
            <v>INF109KC19U5</v>
          </cell>
          <cell r="C12284" t="str">
            <v>-</v>
          </cell>
          <cell r="D12284" t="str">
            <v>ICICI Prudential Nifty 100 Low Volatility 30 ETF</v>
          </cell>
          <cell r="E12284">
            <v>22.2073</v>
          </cell>
        </row>
        <row r="12285">
          <cell r="B12285" t="str">
            <v>INF109KC17C7</v>
          </cell>
          <cell r="C12285" t="str">
            <v>-</v>
          </cell>
          <cell r="D12285" t="str">
            <v>ICICI Prudential Nifty 200 Momentum 30 ETF</v>
          </cell>
          <cell r="E12285">
            <v>31.103999999999999</v>
          </cell>
        </row>
        <row r="12286">
          <cell r="B12286" t="str">
            <v>INF109KC18V5</v>
          </cell>
          <cell r="C12286" t="str">
            <v>-</v>
          </cell>
          <cell r="D12286" t="str">
            <v>ICICI Prudential Nifty 200 Quality 30 ETF</v>
          </cell>
          <cell r="E12286">
            <v>20.937999999999999</v>
          </cell>
        </row>
        <row r="12287">
          <cell r="B12287" t="str">
            <v>INF109KC14A8</v>
          </cell>
          <cell r="C12287" t="str">
            <v>-</v>
          </cell>
          <cell r="D12287" t="str">
            <v>ICICI Prudential Nifty 5 yr Benchmark G-SEC ETF</v>
          </cell>
          <cell r="E12287">
            <v>66.020799999999994</v>
          </cell>
        </row>
        <row r="12288">
          <cell r="B12288" t="str">
            <v>INF109K012R6</v>
          </cell>
          <cell r="C12288" t="str">
            <v>-</v>
          </cell>
          <cell r="D12288" t="str">
            <v>ICICI Prudential Nifty 50 ETF</v>
          </cell>
          <cell r="E12288">
            <v>271.69760000000002</v>
          </cell>
        </row>
        <row r="12289">
          <cell r="B12289" t="str">
            <v>INF109KC17V7</v>
          </cell>
          <cell r="C12289" t="str">
            <v>-</v>
          </cell>
          <cell r="D12289" t="str">
            <v>ICICI Prudential Nifty Alpha Low- Volatility 30 ETF</v>
          </cell>
          <cell r="E12289">
            <v>28.020399999999999</v>
          </cell>
        </row>
        <row r="12290">
          <cell r="B12290" t="str">
            <v>INF109KC10V2</v>
          </cell>
          <cell r="C12290" t="str">
            <v>-</v>
          </cell>
          <cell r="D12290" t="str">
            <v>ICICI Prudential Nifty Auto ETF</v>
          </cell>
          <cell r="E12290">
            <v>28.2577</v>
          </cell>
        </row>
        <row r="12291">
          <cell r="B12291" t="str">
            <v>INF109KC15I8</v>
          </cell>
          <cell r="C12291" t="str">
            <v>-</v>
          </cell>
          <cell r="D12291" t="str">
            <v>ICICI Prudential Nifty Bank ETF</v>
          </cell>
          <cell r="E12291">
            <v>58.6633</v>
          </cell>
        </row>
        <row r="12292">
          <cell r="B12292" t="str">
            <v>INF109KC19O8</v>
          </cell>
          <cell r="C12292" t="str">
            <v>-</v>
          </cell>
          <cell r="D12292" t="str">
            <v>ICICI Prudential Nifty Commodities ETF</v>
          </cell>
          <cell r="E12292">
            <v>100.7765</v>
          </cell>
        </row>
        <row r="12293">
          <cell r="B12293" t="str">
            <v>INF109K1A153</v>
          </cell>
          <cell r="C12293" t="str">
            <v>-</v>
          </cell>
          <cell r="D12293" t="str">
            <v>ICICI Prudential Nifty EV &amp; New Age Automotive ETF</v>
          </cell>
          <cell r="E12293">
            <v>31.802</v>
          </cell>
        </row>
        <row r="12294">
          <cell r="B12294" t="str">
            <v>INF109KC17L8</v>
          </cell>
          <cell r="C12294" t="str">
            <v>-</v>
          </cell>
          <cell r="D12294" t="str">
            <v>ICICI Prudential Nifty Financial Services Ex-BaNk ETF</v>
          </cell>
          <cell r="E12294">
            <v>32.406599999999997</v>
          </cell>
        </row>
        <row r="12295">
          <cell r="B12295" t="str">
            <v>INF109KC19V3</v>
          </cell>
          <cell r="C12295" t="str">
            <v>-</v>
          </cell>
          <cell r="D12295" t="str">
            <v>ICICI Prudential Nifty FMCG ETF</v>
          </cell>
          <cell r="E12295">
            <v>52.851500000000001</v>
          </cell>
        </row>
        <row r="12296">
          <cell r="B12296" t="str">
            <v>INF109KC1Q72</v>
          </cell>
          <cell r="C12296" t="str">
            <v>-</v>
          </cell>
          <cell r="D12296" t="str">
            <v>ICICI Prudential Nifty Healthcare ETF</v>
          </cell>
          <cell r="E12296">
            <v>167.80240000000001</v>
          </cell>
        </row>
        <row r="12297">
          <cell r="B12297" t="str">
            <v>INF109KC1V42</v>
          </cell>
          <cell r="C12297" t="str">
            <v>-</v>
          </cell>
          <cell r="D12297" t="str">
            <v>ICICI Prudential Nifty India Consumption ETF</v>
          </cell>
          <cell r="E12297">
            <v>122.07899999999999</v>
          </cell>
        </row>
        <row r="12298">
          <cell r="B12298" t="str">
            <v>INF109KC16E5</v>
          </cell>
          <cell r="C12298" t="str">
            <v>-</v>
          </cell>
          <cell r="D12298" t="str">
            <v>ICICI Prudential Nifty Infrastructure ETF</v>
          </cell>
          <cell r="E12298">
            <v>96.310100000000006</v>
          </cell>
        </row>
        <row r="12299">
          <cell r="B12299" t="str">
            <v>INF109KC16I6</v>
          </cell>
          <cell r="C12299" t="str">
            <v>-</v>
          </cell>
          <cell r="D12299" t="str">
            <v>ICICI Prudential Nifty IT ETF</v>
          </cell>
          <cell r="E12299">
            <v>31.741499999999998</v>
          </cell>
        </row>
        <row r="12300">
          <cell r="B12300" t="str">
            <v>INF109KC19W1</v>
          </cell>
          <cell r="C12300" t="str">
            <v>-</v>
          </cell>
          <cell r="D12300" t="str">
            <v>ICICI Prudential Nifty Metal ETF</v>
          </cell>
          <cell r="E12300">
            <v>12.644500000000001</v>
          </cell>
        </row>
        <row r="12301">
          <cell r="B12301" t="str">
            <v>INF109KC11W8</v>
          </cell>
          <cell r="C12301" t="str">
            <v>-</v>
          </cell>
          <cell r="D12301" t="str">
            <v>ICICI Prudential Nifty Midcap 150 ETF</v>
          </cell>
          <cell r="E12301">
            <v>23.713200000000001</v>
          </cell>
        </row>
        <row r="12302">
          <cell r="B12302" t="str">
            <v>INF109KC1NS5</v>
          </cell>
          <cell r="C12302" t="str">
            <v>-</v>
          </cell>
          <cell r="D12302" t="str">
            <v>ICICI Prudential Nifty Next 50 ETF</v>
          </cell>
          <cell r="E12302">
            <v>76.162800000000004</v>
          </cell>
        </row>
        <row r="12303">
          <cell r="B12303" t="str">
            <v>INF109KC18W3</v>
          </cell>
          <cell r="C12303" t="str">
            <v>-</v>
          </cell>
          <cell r="D12303" t="str">
            <v>ICICI Prudential Nifty Oil &amp; Gas ETF</v>
          </cell>
          <cell r="E12303">
            <v>11.411</v>
          </cell>
        </row>
        <row r="12304">
          <cell r="B12304" t="str">
            <v>INF109KC18U7</v>
          </cell>
          <cell r="C12304" t="str">
            <v>-</v>
          </cell>
          <cell r="D12304" t="str">
            <v>ICICI Prudential Nifty Private Bank ETF</v>
          </cell>
          <cell r="E12304">
            <v>27.7636</v>
          </cell>
        </row>
        <row r="12305">
          <cell r="B12305" t="str">
            <v>INF109KC10S8</v>
          </cell>
          <cell r="C12305" t="str">
            <v>-</v>
          </cell>
          <cell r="D12305" t="str">
            <v>ICICI Prudential Nifty PSU Bank ETF</v>
          </cell>
          <cell r="E12305">
            <v>85.088999999999999</v>
          </cell>
        </row>
        <row r="12306">
          <cell r="B12306" t="str">
            <v>INF109K1A476</v>
          </cell>
          <cell r="C12306" t="str">
            <v>-</v>
          </cell>
          <cell r="D12306" t="str">
            <v>ICICI Prudential Nifty Smallcap 250 ETF</v>
          </cell>
          <cell r="E12306">
            <v>17.874099999999999</v>
          </cell>
        </row>
        <row r="12307">
          <cell r="B12307" t="str">
            <v>INF109K1A344</v>
          </cell>
          <cell r="C12307" t="str">
            <v>-</v>
          </cell>
          <cell r="D12307" t="str">
            <v>ICICI Prudential Nifty Top 15 Equal Weight ETF</v>
          </cell>
          <cell r="E12307">
            <v>9.7817000000000007</v>
          </cell>
        </row>
        <row r="12308">
          <cell r="B12308" t="str">
            <v>INF109KC16X5</v>
          </cell>
          <cell r="C12308" t="str">
            <v>-</v>
          </cell>
          <cell r="D12308" t="str">
            <v>ICICI Prudential Nifty200 Value 30 ETF</v>
          </cell>
          <cell r="E12308">
            <v>15.4084</v>
          </cell>
        </row>
        <row r="12309">
          <cell r="B12309" t="str">
            <v>INF109KC11V0</v>
          </cell>
          <cell r="C12309" t="str">
            <v>-</v>
          </cell>
          <cell r="D12309" t="str">
            <v>ICICI Prudential Nifty50 Value 20 ETF</v>
          </cell>
          <cell r="E12309">
            <v>13.5936</v>
          </cell>
        </row>
        <row r="12310">
          <cell r="B12310" t="str">
            <v>INF109KC1Y56</v>
          </cell>
          <cell r="C12310" t="str">
            <v>-</v>
          </cell>
          <cell r="D12310" t="str">
            <v>ICICI PRUDENTIAL SILVER ETF</v>
          </cell>
          <cell r="E12310">
            <v>222.904</v>
          </cell>
        </row>
        <row r="12311">
          <cell r="B12311" t="str">
            <v/>
          </cell>
          <cell r="C12311" t="str">
            <v/>
          </cell>
          <cell r="D12311" t="str">
            <v/>
          </cell>
        </row>
        <row r="12312">
          <cell r="B12312" t="str">
            <v/>
          </cell>
          <cell r="C12312" t="str">
            <v/>
          </cell>
          <cell r="D12312" t="str">
            <v/>
          </cell>
        </row>
        <row r="12313">
          <cell r="B12313" t="str">
            <v/>
          </cell>
          <cell r="C12313" t="str">
            <v/>
          </cell>
          <cell r="D12313" t="str">
            <v/>
          </cell>
        </row>
        <row r="12314">
          <cell r="B12314" t="str">
            <v>INF205K01DA9</v>
          </cell>
          <cell r="C12314" t="str">
            <v>-</v>
          </cell>
          <cell r="D12314" t="str">
            <v>Invesco India Nifty 50 Exchange Traded Fund</v>
          </cell>
          <cell r="E12314">
            <v>2749.2761</v>
          </cell>
        </row>
        <row r="12315">
          <cell r="B12315" t="str">
            <v/>
          </cell>
          <cell r="C12315" t="str">
            <v/>
          </cell>
          <cell r="D12315" t="str">
            <v/>
          </cell>
        </row>
        <row r="12316">
          <cell r="B12316" t="str">
            <v/>
          </cell>
          <cell r="C12316" t="str">
            <v/>
          </cell>
          <cell r="D12316" t="str">
            <v/>
          </cell>
        </row>
        <row r="12317">
          <cell r="B12317" t="str">
            <v/>
          </cell>
          <cell r="C12317" t="str">
            <v/>
          </cell>
          <cell r="D12317" t="str">
            <v/>
          </cell>
        </row>
        <row r="12318">
          <cell r="B12318" t="str">
            <v>INF174KA1JD7</v>
          </cell>
          <cell r="C12318" t="str">
            <v>-</v>
          </cell>
          <cell r="D12318" t="str">
            <v>Kotak BSE Sensex ETF</v>
          </cell>
          <cell r="E12318">
            <v>84.1267</v>
          </cell>
        </row>
        <row r="12319">
          <cell r="B12319" t="str">
            <v>INF174KA1VD2</v>
          </cell>
          <cell r="C12319" t="str">
            <v>-</v>
          </cell>
          <cell r="D12319" t="str">
            <v>Kotak MSCI India ETF</v>
          </cell>
          <cell r="E12319">
            <v>29.696999999999999</v>
          </cell>
        </row>
        <row r="12320">
          <cell r="B12320" t="str">
            <v>INF174KA1UW4</v>
          </cell>
          <cell r="C12320" t="str">
            <v>-</v>
          </cell>
          <cell r="D12320" t="str">
            <v>Kotak Nifty 100 Equal Weight ETF</v>
          </cell>
          <cell r="E12320">
            <v>34.841999999999999</v>
          </cell>
        </row>
        <row r="12321">
          <cell r="B12321" t="str">
            <v>INF174KA1IY5</v>
          </cell>
          <cell r="C12321" t="str">
            <v>-</v>
          </cell>
          <cell r="D12321" t="str">
            <v>Kotak Nifty 100 Low Volatility 30 ETF</v>
          </cell>
          <cell r="E12321">
            <v>21.161799999999999</v>
          </cell>
        </row>
        <row r="12322">
          <cell r="B12322" t="str">
            <v>INF174KA1LV5</v>
          </cell>
          <cell r="C12322" t="str">
            <v>-</v>
          </cell>
          <cell r="D12322" t="str">
            <v>Kotak Nifty 1D Rate Liquid ETF</v>
          </cell>
          <cell r="E12322">
            <v>1114.6101000000001</v>
          </cell>
        </row>
        <row r="12323">
          <cell r="B12323" t="str">
            <v>INF174KA1XS6</v>
          </cell>
          <cell r="C12323" t="str">
            <v>-</v>
          </cell>
          <cell r="D12323" t="str">
            <v>Kotak Nifty 200 Momentum 30 ETF</v>
          </cell>
          <cell r="E12323">
            <v>30.544</v>
          </cell>
        </row>
        <row r="12324">
          <cell r="B12324" t="str">
            <v>INF174K014P6</v>
          </cell>
          <cell r="C12324" t="str">
            <v>-</v>
          </cell>
          <cell r="D12324" t="str">
            <v>Kotak Nifty 50 ETF</v>
          </cell>
          <cell r="E12324">
            <v>266.02969999999999</v>
          </cell>
        </row>
        <row r="12325">
          <cell r="B12325" t="str">
            <v>INF174KA1ZE1</v>
          </cell>
          <cell r="C12325" t="str">
            <v>-</v>
          </cell>
          <cell r="D12325" t="str">
            <v>Kotak Nifty 50 Value 20 ETF - Payout of Income Distribution cum capital withdrawal option</v>
          </cell>
          <cell r="E12325">
            <v>13.9367</v>
          </cell>
        </row>
        <row r="12326">
          <cell r="B12326" t="str">
            <v>INF174KA1IA5</v>
          </cell>
          <cell r="C12326" t="str">
            <v>-</v>
          </cell>
          <cell r="D12326" t="str">
            <v>Kotak Nifty Alpha 50 ETF</v>
          </cell>
          <cell r="E12326">
            <v>51.681399999999996</v>
          </cell>
        </row>
        <row r="12327">
          <cell r="B12327" t="str">
            <v>INF174KA1ZB7</v>
          </cell>
          <cell r="C12327" t="str">
            <v>-</v>
          </cell>
          <cell r="D12327" t="str">
            <v>Kotak Nifty Bank ETF</v>
          </cell>
          <cell r="E12327">
            <v>59.292099999999998</v>
          </cell>
        </row>
        <row r="12328">
          <cell r="B12328" t="str">
            <v>INF174KA1XV0</v>
          </cell>
          <cell r="C12328" t="str">
            <v>-</v>
          </cell>
          <cell r="D12328" t="str">
            <v>Kotak Nifty Chemicals ETF</v>
          </cell>
          <cell r="E12328">
            <v>30.687000000000001</v>
          </cell>
        </row>
        <row r="12329">
          <cell r="B12329" t="str">
            <v>INF174KA1ZF8</v>
          </cell>
          <cell r="C12329" t="str">
            <v>-</v>
          </cell>
          <cell r="D12329" t="str">
            <v>Kotak Nifty India Consumption ETF</v>
          </cell>
          <cell r="E12329">
            <v>12.123699999999999</v>
          </cell>
        </row>
        <row r="12330">
          <cell r="B12330" t="str">
            <v>INF174KA1GC5</v>
          </cell>
          <cell r="C12330" t="str">
            <v>-</v>
          </cell>
          <cell r="D12330" t="str">
            <v>Kotak Nifty IT ETF</v>
          </cell>
          <cell r="E12330">
            <v>31.722300000000001</v>
          </cell>
        </row>
        <row r="12331">
          <cell r="B12331" t="str">
            <v>INF174KA1VW2</v>
          </cell>
          <cell r="C12331" t="str">
            <v>-</v>
          </cell>
          <cell r="D12331" t="str">
            <v>Kotak Nifty Midcap 150 ETF</v>
          </cell>
          <cell r="E12331">
            <v>23.286999999999999</v>
          </cell>
        </row>
        <row r="12332">
          <cell r="B12332" t="str">
            <v>INF174KA1ZC5</v>
          </cell>
          <cell r="C12332" t="str">
            <v>-</v>
          </cell>
          <cell r="D12332" t="str">
            <v>Kotak Nifty Midcap 50 ETF</v>
          </cell>
          <cell r="E12332">
            <v>18.261299999999999</v>
          </cell>
        </row>
        <row r="12333">
          <cell r="B12333" t="str">
            <v>INF174KA1JF2</v>
          </cell>
          <cell r="C12333" t="str">
            <v>-</v>
          </cell>
          <cell r="D12333" t="str">
            <v>Kotak Nifty MNC ETF</v>
          </cell>
          <cell r="E12333">
            <v>33.627000000000002</v>
          </cell>
        </row>
        <row r="12334">
          <cell r="B12334" t="str">
            <v>INF174KA1YO3</v>
          </cell>
          <cell r="C12334" t="str">
            <v>-</v>
          </cell>
          <cell r="D12334" t="str">
            <v>Kotak Nifty Next 50 ETF</v>
          </cell>
          <cell r="E12334">
            <v>72.694000000000003</v>
          </cell>
        </row>
        <row r="12335">
          <cell r="B12335" t="str">
            <v>INF174KA1WT6</v>
          </cell>
          <cell r="C12335" t="str">
            <v>-</v>
          </cell>
          <cell r="D12335" t="str">
            <v>Kotak Nifty200 Quality 30 ETF</v>
          </cell>
          <cell r="E12335">
            <v>20.521000000000001</v>
          </cell>
        </row>
        <row r="12336">
          <cell r="B12336" t="str">
            <v>INF174KA1ZD3</v>
          </cell>
          <cell r="C12336" t="str">
            <v>-</v>
          </cell>
          <cell r="D12336" t="str">
            <v>Kotak Silver ETF</v>
          </cell>
          <cell r="E12336">
            <v>21.663599999999999</v>
          </cell>
        </row>
        <row r="12337">
          <cell r="B12337" t="str">
            <v/>
          </cell>
          <cell r="C12337" t="str">
            <v/>
          </cell>
          <cell r="D12337" t="str">
            <v/>
          </cell>
        </row>
        <row r="12338">
          <cell r="B12338" t="str">
            <v/>
          </cell>
          <cell r="C12338" t="str">
            <v/>
          </cell>
          <cell r="D12338" t="str">
            <v/>
          </cell>
        </row>
        <row r="12339">
          <cell r="B12339" t="str">
            <v/>
          </cell>
          <cell r="C12339" t="str">
            <v/>
          </cell>
          <cell r="D12339" t="str">
            <v/>
          </cell>
        </row>
        <row r="12340">
          <cell r="B12340" t="str">
            <v>INF767K01OT5</v>
          </cell>
          <cell r="C12340" t="str">
            <v>-</v>
          </cell>
          <cell r="D12340" t="str">
            <v>LIC MF BSE Sensex ETF</v>
          </cell>
          <cell r="E12340">
            <v>866.09659999999997</v>
          </cell>
        </row>
        <row r="12341">
          <cell r="B12341" t="str">
            <v>INF767K01PC8</v>
          </cell>
          <cell r="C12341" t="str">
            <v>-</v>
          </cell>
          <cell r="D12341" t="str">
            <v>LIC MF Nifty 100 ETF</v>
          </cell>
          <cell r="E12341">
            <v>274.54730000000001</v>
          </cell>
        </row>
        <row r="12342">
          <cell r="B12342" t="str">
            <v>INF767K01OS7</v>
          </cell>
          <cell r="C12342" t="str">
            <v>-</v>
          </cell>
          <cell r="D12342" t="str">
            <v>LIC MF Nifty 50 ETF</v>
          </cell>
          <cell r="E12342">
            <v>268.91309999999999</v>
          </cell>
        </row>
        <row r="12343">
          <cell r="B12343" t="str">
            <v>INF767K01MV5</v>
          </cell>
          <cell r="C12343" t="str">
            <v>-</v>
          </cell>
          <cell r="D12343" t="str">
            <v>LIC MF Nifty 8-13 yr G-Sec ETF</v>
          </cell>
          <cell r="E12343">
            <v>29.416</v>
          </cell>
        </row>
        <row r="12344">
          <cell r="B12344" t="str">
            <v>INF767K01RN1</v>
          </cell>
          <cell r="C12344" t="str">
            <v>-</v>
          </cell>
          <cell r="D12344" t="str">
            <v>LIC MF Nifty Midcap 100 ETF</v>
          </cell>
          <cell r="E12344">
            <v>62.680199999999999</v>
          </cell>
        </row>
        <row r="12345">
          <cell r="B12345" t="str">
            <v/>
          </cell>
          <cell r="C12345" t="str">
            <v/>
          </cell>
          <cell r="D12345" t="str">
            <v/>
          </cell>
        </row>
        <row r="12346">
          <cell r="B12346" t="str">
            <v/>
          </cell>
          <cell r="C12346" t="str">
            <v/>
          </cell>
          <cell r="D12346" t="str">
            <v/>
          </cell>
        </row>
        <row r="12347">
          <cell r="B12347" t="str">
            <v/>
          </cell>
          <cell r="C12347" t="str">
            <v/>
          </cell>
          <cell r="D12347" t="str">
            <v/>
          </cell>
        </row>
        <row r="12348">
          <cell r="B12348" t="str">
            <v>INF769K01OA1</v>
          </cell>
          <cell r="C12348" t="str">
            <v>-</v>
          </cell>
          <cell r="D12348" t="str">
            <v>Mirae Asset BSE 200 Equal Weight ETF</v>
          </cell>
          <cell r="E12348">
            <v>13.7468</v>
          </cell>
        </row>
        <row r="12349">
          <cell r="B12349" t="str">
            <v>INF769K01PY8</v>
          </cell>
          <cell r="C12349" t="str">
            <v>-</v>
          </cell>
          <cell r="D12349" t="str">
            <v>Mirae Asset BSE 500 Dividend Leaders 50 ETF</v>
          </cell>
          <cell r="E12349">
            <v>35.209699999999998</v>
          </cell>
        </row>
        <row r="12350">
          <cell r="B12350" t="str">
            <v>INF769K01QC2</v>
          </cell>
          <cell r="C12350" t="str">
            <v>-</v>
          </cell>
          <cell r="D12350" t="str">
            <v>Mirae Asset BSE India Defence ETF</v>
          </cell>
          <cell r="E12350">
            <v>78.587199999999996</v>
          </cell>
        </row>
        <row r="12351">
          <cell r="B12351" t="str">
            <v>INF769K01ON4</v>
          </cell>
          <cell r="C12351" t="str">
            <v>-</v>
          </cell>
          <cell r="D12351" t="str">
            <v>Mirae Asset BSE Select IPO ETF</v>
          </cell>
          <cell r="E12351">
            <v>45.918500000000002</v>
          </cell>
        </row>
        <row r="12352">
          <cell r="B12352" t="str">
            <v>INF769K01KT9</v>
          </cell>
          <cell r="C12352" t="str">
            <v>-</v>
          </cell>
          <cell r="D12352" t="str">
            <v>Mirae Asset BSE Sensex ETF</v>
          </cell>
          <cell r="E12352">
            <v>79.126099999999994</v>
          </cell>
        </row>
        <row r="12353">
          <cell r="B12353" t="str">
            <v>INF769K01HS7</v>
          </cell>
          <cell r="C12353" t="str">
            <v>-</v>
          </cell>
          <cell r="D12353" t="str">
            <v>Mirae Asset Hang Seng TECH ETF</v>
          </cell>
          <cell r="E12353">
            <v>19.3047</v>
          </cell>
        </row>
        <row r="12354">
          <cell r="B12354" t="str">
            <v>INF769K01GS9</v>
          </cell>
          <cell r="C12354" t="str">
            <v>-</v>
          </cell>
          <cell r="D12354" t="str">
            <v>Mirae Asset Nifty 100 ESG Sector Leaders ETF</v>
          </cell>
          <cell r="E12354">
            <v>41.431600000000003</v>
          </cell>
        </row>
        <row r="12355">
          <cell r="B12355" t="str">
            <v>INF769K01JU9</v>
          </cell>
          <cell r="C12355" t="str">
            <v>-</v>
          </cell>
          <cell r="D12355" t="str">
            <v>Mirae Asset Nifty 100 Low Volatility 30 ETF</v>
          </cell>
          <cell r="E12355">
            <v>206.911</v>
          </cell>
        </row>
        <row r="12356">
          <cell r="B12356" t="str">
            <v>INF769K01MY5</v>
          </cell>
          <cell r="C12356" t="str">
            <v>-</v>
          </cell>
          <cell r="D12356" t="str">
            <v>Mirae Asset Nifty 1D Rate Liquid ETF - Growth</v>
          </cell>
          <cell r="E12356">
            <v>1095.4481000000001</v>
          </cell>
        </row>
        <row r="12357">
          <cell r="B12357" t="str">
            <v>-</v>
          </cell>
          <cell r="C12357" t="str">
            <v>INF769K01KS1</v>
          </cell>
          <cell r="D12357" t="str">
            <v>Mirae Asset Nifty 1D Rate Liquid ETF-IDCW</v>
          </cell>
          <cell r="E12357">
            <v>1000</v>
          </cell>
        </row>
        <row r="12358">
          <cell r="B12358" t="str">
            <v>INF769K01KU7</v>
          </cell>
          <cell r="C12358" t="str">
            <v>-</v>
          </cell>
          <cell r="D12358" t="str">
            <v>Mirae Asset Nifty 200 Alpha 30 ETF</v>
          </cell>
          <cell r="E12358">
            <v>25.952000000000002</v>
          </cell>
        </row>
        <row r="12359">
          <cell r="B12359" t="str">
            <v>INF769K01EG9</v>
          </cell>
          <cell r="C12359" t="str">
            <v>-</v>
          </cell>
          <cell r="D12359" t="str">
            <v>Mirae Asset Nifty 50 ETF</v>
          </cell>
          <cell r="E12359">
            <v>260.74099999999999</v>
          </cell>
        </row>
        <row r="12360">
          <cell r="B12360" t="str">
            <v>INF769K01QA6</v>
          </cell>
          <cell r="C12360" t="str">
            <v>-</v>
          </cell>
          <cell r="D12360" t="str">
            <v>Mirae Asset Nifty 500 Healthcare ETF</v>
          </cell>
          <cell r="E12360">
            <v>21.167000000000002</v>
          </cell>
        </row>
        <row r="12361">
          <cell r="B12361" t="str">
            <v>INF769K01QV2</v>
          </cell>
          <cell r="C12361" t="str">
            <v>-</v>
          </cell>
          <cell r="D12361" t="str">
            <v>Mirae Asset Nifty 500 Value 50 ETF</v>
          </cell>
          <cell r="E12361">
            <v>16.124400000000001</v>
          </cell>
        </row>
        <row r="12362">
          <cell r="B12362" t="str">
            <v>INF769K01KF8</v>
          </cell>
          <cell r="C12362" t="str">
            <v>-</v>
          </cell>
          <cell r="D12362" t="str">
            <v>Mirae Asset Nifty 8-13 yr Gsec ETF</v>
          </cell>
          <cell r="E12362">
            <v>30.397600000000001</v>
          </cell>
        </row>
        <row r="12363">
          <cell r="B12363" t="str">
            <v>INF769K01KR3</v>
          </cell>
          <cell r="C12363" t="str">
            <v>-</v>
          </cell>
          <cell r="D12363" t="str">
            <v>Mirae Asset Nifty Bank ETF</v>
          </cell>
          <cell r="E12363">
            <v>582.04650000000004</v>
          </cell>
        </row>
        <row r="12364">
          <cell r="B12364" t="str">
            <v>INF769K01PR2</v>
          </cell>
          <cell r="C12364" t="str">
            <v>-</v>
          </cell>
          <cell r="D12364" t="str">
            <v>Mirae Asset Nifty Energy ETF</v>
          </cell>
          <cell r="E12364">
            <v>39.593600000000002</v>
          </cell>
        </row>
        <row r="12365">
          <cell r="B12365" t="str">
            <v>INF769K01LQ3</v>
          </cell>
          <cell r="C12365" t="str">
            <v>-</v>
          </cell>
          <cell r="D12365" t="str">
            <v>Mirae Asset Nifty EV and New Age Automotive ETF</v>
          </cell>
          <cell r="E12365">
            <v>31.844799999999999</v>
          </cell>
        </row>
        <row r="12366">
          <cell r="B12366" t="str">
            <v>INF769K01HI8</v>
          </cell>
          <cell r="C12366" t="str">
            <v>-</v>
          </cell>
          <cell r="D12366" t="str">
            <v>Mirae Asset Nifty Financial Services ETF</v>
          </cell>
          <cell r="E12366">
            <v>27.209199999999999</v>
          </cell>
        </row>
        <row r="12367">
          <cell r="B12367" t="str">
            <v>INF769K01QB4</v>
          </cell>
          <cell r="C12367" t="str">
            <v>-</v>
          </cell>
          <cell r="D12367" t="str">
            <v>Mirae Asset Nifty India Infrastructure &amp; Logistics ETF</v>
          </cell>
          <cell r="E12367">
            <v>12.235300000000001</v>
          </cell>
        </row>
        <row r="12368">
          <cell r="B12368" t="str">
            <v>INF769K01PB6</v>
          </cell>
          <cell r="C12368" t="str">
            <v>-</v>
          </cell>
          <cell r="D12368" t="str">
            <v>Mirae Asset Nifty India Internet ETF</v>
          </cell>
          <cell r="E12368">
            <v>13.195600000000001</v>
          </cell>
        </row>
        <row r="12369">
          <cell r="B12369" t="str">
            <v>INF769K01IB1</v>
          </cell>
          <cell r="C12369" t="str">
            <v>-</v>
          </cell>
          <cell r="D12369" t="str">
            <v>Mirae Asset Nifty India Manufacturing ETF</v>
          </cell>
          <cell r="E12369">
            <v>162.65270000000001</v>
          </cell>
        </row>
        <row r="12370">
          <cell r="B12370" t="str">
            <v>INF769K01NS5</v>
          </cell>
          <cell r="C12370" t="str">
            <v>-</v>
          </cell>
          <cell r="D12370" t="str">
            <v>Mirae Asset Nifty India New Age Consumption ETF</v>
          </cell>
          <cell r="E12370">
            <v>11.721299999999999</v>
          </cell>
        </row>
        <row r="12371">
          <cell r="B12371" t="str">
            <v>INF769K01KV5</v>
          </cell>
          <cell r="C12371" t="str">
            <v>-</v>
          </cell>
          <cell r="D12371" t="str">
            <v>Mirae Asset Nifty IT ETF</v>
          </cell>
          <cell r="E12371">
            <v>30.261700000000001</v>
          </cell>
        </row>
        <row r="12372">
          <cell r="B12372" t="str">
            <v>INF769K01LY7</v>
          </cell>
          <cell r="C12372" t="str">
            <v>-</v>
          </cell>
          <cell r="D12372" t="str">
            <v>Mirae Asset Nifty Metal ETF</v>
          </cell>
          <cell r="E12372">
            <v>12.6891</v>
          </cell>
        </row>
        <row r="12373">
          <cell r="B12373" t="str">
            <v>INF769K01IC9</v>
          </cell>
          <cell r="C12373" t="str">
            <v>-</v>
          </cell>
          <cell r="D12373" t="str">
            <v>Mirae Asset Nifty Midcap 150 ETF</v>
          </cell>
          <cell r="E12373">
            <v>23.425999999999998</v>
          </cell>
        </row>
        <row r="12374">
          <cell r="B12374" t="str">
            <v>INF769K01LJ8</v>
          </cell>
          <cell r="C12374" t="str">
            <v>-</v>
          </cell>
          <cell r="D12374" t="str">
            <v>Mirae Asset Nifty MidSmallcap400 Momentum Quality 100 ETF</v>
          </cell>
          <cell r="E12374">
            <v>50.576099999999997</v>
          </cell>
        </row>
        <row r="12375">
          <cell r="B12375" t="str">
            <v>INF769K01FN2</v>
          </cell>
          <cell r="C12375" t="str">
            <v>-</v>
          </cell>
          <cell r="D12375" t="str">
            <v>Mirae Asset Nifty Next 50 ETF</v>
          </cell>
          <cell r="E12375">
            <v>745.06399999999996</v>
          </cell>
        </row>
        <row r="12376">
          <cell r="B12376" t="str">
            <v>INF769K01LZ4</v>
          </cell>
          <cell r="C12376" t="str">
            <v>-</v>
          </cell>
          <cell r="D12376" t="str">
            <v>Mirae Asset Nifty PSU Bank ETF</v>
          </cell>
          <cell r="E12376">
            <v>84.585400000000007</v>
          </cell>
        </row>
        <row r="12377">
          <cell r="B12377" t="str">
            <v>INF769K01PQ4</v>
          </cell>
          <cell r="C12377" t="str">
            <v>-</v>
          </cell>
          <cell r="D12377" t="str">
            <v>Mirae Asset Nifty Smallcap 250 ETF</v>
          </cell>
          <cell r="E12377">
            <v>17.899699999999999</v>
          </cell>
        </row>
        <row r="12378">
          <cell r="B12378" t="str">
            <v>INF769K01LC3</v>
          </cell>
          <cell r="C12378" t="str">
            <v>-</v>
          </cell>
          <cell r="D12378" t="str">
            <v>Mirae Asset Nifty Smallcap 250 Momentum Quality 100 ETF</v>
          </cell>
          <cell r="E12378">
            <v>47.335799999999999</v>
          </cell>
        </row>
        <row r="12379">
          <cell r="B12379" t="str">
            <v>INF769K01PZ5</v>
          </cell>
          <cell r="C12379" t="str">
            <v>-</v>
          </cell>
          <cell r="D12379" t="str">
            <v>Mirae Asset Nifty Top 20 Equal Weight ETF</v>
          </cell>
          <cell r="E12379">
            <v>8.7716999999999992</v>
          </cell>
        </row>
        <row r="12380">
          <cell r="B12380" t="str">
            <v>INF769K01OO2</v>
          </cell>
          <cell r="C12380" t="str">
            <v>-</v>
          </cell>
          <cell r="D12380" t="str">
            <v>Mirae Asset Nifty 50 Equal Weight ETF</v>
          </cell>
          <cell r="E12380">
            <v>330.70170000000002</v>
          </cell>
        </row>
        <row r="12381">
          <cell r="B12381" t="str">
            <v>INF769K01LX9</v>
          </cell>
          <cell r="C12381" t="str">
            <v>-</v>
          </cell>
          <cell r="D12381" t="str">
            <v>Mirae Asset Nifty500 Multicap 50:25:25 ETF</v>
          </cell>
          <cell r="E12381">
            <v>16.560099999999998</v>
          </cell>
        </row>
        <row r="12382">
          <cell r="B12382" t="str">
            <v>INF769K01HF4</v>
          </cell>
          <cell r="C12382" t="str">
            <v>-</v>
          </cell>
          <cell r="D12382" t="str">
            <v>Mirae Asset NYSE FANG + ETF</v>
          </cell>
          <cell r="E12382">
            <v>163.46019999999999</v>
          </cell>
        </row>
        <row r="12383">
          <cell r="B12383" t="str">
            <v>INF769K01HP3</v>
          </cell>
          <cell r="C12383" t="str">
            <v>-</v>
          </cell>
          <cell r="D12383" t="str">
            <v>Mirae Asset S&amp;P 500 Top 50 ETF</v>
          </cell>
          <cell r="E12383">
            <v>66.284899999999993</v>
          </cell>
        </row>
        <row r="12384">
          <cell r="B12384" t="str">
            <v>INF769K01KG6</v>
          </cell>
          <cell r="C12384" t="str">
            <v>-</v>
          </cell>
          <cell r="D12384" t="str">
            <v>Mirae Asset Silver ETF</v>
          </cell>
          <cell r="E12384">
            <v>217.39949999999999</v>
          </cell>
        </row>
        <row r="12385">
          <cell r="B12385" t="str">
            <v/>
          </cell>
          <cell r="C12385" t="str">
            <v/>
          </cell>
          <cell r="D12385" t="str">
            <v/>
          </cell>
        </row>
        <row r="12386">
          <cell r="B12386" t="str">
            <v/>
          </cell>
          <cell r="C12386" t="str">
            <v/>
          </cell>
          <cell r="D12386" t="str">
            <v/>
          </cell>
        </row>
        <row r="12387">
          <cell r="B12387" t="str">
            <v/>
          </cell>
          <cell r="C12387" t="str">
            <v/>
          </cell>
          <cell r="D12387" t="str">
            <v/>
          </cell>
        </row>
        <row r="12388">
          <cell r="B12388" t="str">
            <v>INF247L01BE5</v>
          </cell>
          <cell r="C12388" t="str">
            <v>-</v>
          </cell>
          <cell r="D12388" t="str">
            <v>Motilal Oswal BSE Enhanced Value ETF</v>
          </cell>
          <cell r="E12388">
            <v>113.9526</v>
          </cell>
        </row>
        <row r="12389">
          <cell r="B12389" t="str">
            <v>INF247L01BB1</v>
          </cell>
          <cell r="C12389" t="str">
            <v>-</v>
          </cell>
          <cell r="D12389" t="str">
            <v>Motilal Oswal BSE Healthcare ETF</v>
          </cell>
          <cell r="E12389">
            <v>50.5336</v>
          </cell>
        </row>
        <row r="12390">
          <cell r="B12390" t="str">
            <v>INF247L01FL1</v>
          </cell>
          <cell r="C12390" t="str">
            <v>-</v>
          </cell>
          <cell r="D12390" t="str">
            <v>Motilal Oswal BSE India Infrastructure ETF</v>
          </cell>
          <cell r="E12390">
            <v>61.120699999999999</v>
          </cell>
        </row>
        <row r="12391">
          <cell r="B12391" t="str">
            <v>INF247L01BL0</v>
          </cell>
          <cell r="C12391" t="str">
            <v>-</v>
          </cell>
          <cell r="D12391" t="str">
            <v>Motilal Oswal BSE Low Volatility ETF</v>
          </cell>
          <cell r="E12391">
            <v>37.059199999999997</v>
          </cell>
        </row>
        <row r="12392">
          <cell r="B12392" t="str">
            <v>INF247L01BH8</v>
          </cell>
          <cell r="C12392" t="str">
            <v>-</v>
          </cell>
          <cell r="D12392" t="str">
            <v>Motilal Oswal BSE Quality ETF</v>
          </cell>
          <cell r="E12392">
            <v>201.4443</v>
          </cell>
        </row>
        <row r="12393">
          <cell r="B12393" t="str">
            <v>INF247L01GI5</v>
          </cell>
          <cell r="C12393" t="str">
            <v>-</v>
          </cell>
          <cell r="D12393" t="str">
            <v>Motilal Oswal BSE Select IPO ETF</v>
          </cell>
          <cell r="E12393">
            <v>45.942599999999999</v>
          </cell>
        </row>
        <row r="12394">
          <cell r="B12394" t="str">
            <v>INF247L01GV8</v>
          </cell>
          <cell r="C12394" t="str">
            <v>-</v>
          </cell>
          <cell r="D12394" t="str">
            <v>Motilal Oswal BSE Top 10 Banks ETF</v>
          </cell>
          <cell r="E12394">
            <v>16.979600000000001</v>
          </cell>
        </row>
        <row r="12395">
          <cell r="B12395" t="str">
            <v>INF247L01AP3</v>
          </cell>
          <cell r="C12395" t="str">
            <v>-</v>
          </cell>
          <cell r="D12395" t="str">
            <v>Motilal Oswal Nasdaq 100 ETF (MOFN100)</v>
          </cell>
          <cell r="E12395">
            <v>273.4631</v>
          </cell>
        </row>
        <row r="12396">
          <cell r="B12396" t="str">
            <v>INF247L01AU3</v>
          </cell>
          <cell r="C12396" t="str">
            <v>-</v>
          </cell>
          <cell r="D12396" t="str">
            <v>Motilal Oswal Nasdaq Q50 ETF</v>
          </cell>
          <cell r="E12396">
            <v>118.70529999999999</v>
          </cell>
        </row>
        <row r="12397">
          <cell r="B12397" t="str">
            <v>INF247L01GG9</v>
          </cell>
          <cell r="C12397" t="str">
            <v>-</v>
          </cell>
          <cell r="D12397" t="str">
            <v>Motilal Oswal Nifty 100 ETF</v>
          </cell>
          <cell r="E12397">
            <v>25.207699999999999</v>
          </cell>
        </row>
        <row r="12398">
          <cell r="B12398" t="str">
            <v>INF247L01BK2</v>
          </cell>
          <cell r="C12398" t="str">
            <v>-</v>
          </cell>
          <cell r="D12398" t="str">
            <v>Motilal Oswal Nifty 200 Momentum 30 ETF</v>
          </cell>
          <cell r="E12398">
            <v>61.832299999999996</v>
          </cell>
        </row>
        <row r="12399">
          <cell r="B12399" t="str">
            <v>INF247L01AK4</v>
          </cell>
          <cell r="C12399" t="str">
            <v>-</v>
          </cell>
          <cell r="D12399" t="str">
            <v>Motilal Oswal Nifty 5 year Benchmark G-sec ETF</v>
          </cell>
          <cell r="E12399">
            <v>65.056399999999996</v>
          </cell>
        </row>
        <row r="12400">
          <cell r="B12400" t="str">
            <v>INF247L01FC0</v>
          </cell>
          <cell r="C12400" t="str">
            <v>-</v>
          </cell>
          <cell r="D12400" t="str">
            <v>MOTILAL OSWAL NIFTY 50 EQUAL WEIGHT ETF</v>
          </cell>
          <cell r="E12400">
            <v>33.1755</v>
          </cell>
        </row>
        <row r="12401">
          <cell r="B12401" t="str">
            <v>INF247L01536</v>
          </cell>
          <cell r="C12401" t="str">
            <v>-</v>
          </cell>
          <cell r="D12401" t="str">
            <v>Motilal Oswal Nifty 50 ETF</v>
          </cell>
          <cell r="E12401">
            <v>250.988</v>
          </cell>
        </row>
        <row r="12402">
          <cell r="B12402" t="str">
            <v>INF247L01BU1</v>
          </cell>
          <cell r="C12402" t="str">
            <v>-</v>
          </cell>
          <cell r="D12402" t="str">
            <v>Motilal Oswal Nifty 500 ETF</v>
          </cell>
          <cell r="E12402">
            <v>23.651199999999999</v>
          </cell>
        </row>
        <row r="12403">
          <cell r="B12403" t="str">
            <v>INF247L01DK8</v>
          </cell>
          <cell r="C12403" t="str">
            <v>-</v>
          </cell>
          <cell r="D12403" t="str">
            <v>Motilal Oswal Nifty 500 Momentum 50 ETF</v>
          </cell>
          <cell r="E12403">
            <v>52.892600000000002</v>
          </cell>
        </row>
        <row r="12404">
          <cell r="B12404" t="str">
            <v>INF247L01FR8</v>
          </cell>
          <cell r="C12404" t="str">
            <v>-</v>
          </cell>
          <cell r="D12404" t="str">
            <v>Motilal Oswal Nifty Alpha 50 ETF</v>
          </cell>
          <cell r="E12404">
            <v>53.660499999999999</v>
          </cell>
        </row>
        <row r="12405">
          <cell r="B12405" t="str">
            <v>INF247L01EV3</v>
          </cell>
          <cell r="C12405" t="str">
            <v>-</v>
          </cell>
          <cell r="D12405" t="str">
            <v>Motilal Oswal Nifty Capital Market ETF</v>
          </cell>
          <cell r="E12405">
            <v>53.551299999999998</v>
          </cell>
        </row>
        <row r="12406">
          <cell r="B12406" t="str">
            <v>INF247L01GH7</v>
          </cell>
          <cell r="C12406" t="str">
            <v>-</v>
          </cell>
          <cell r="D12406" t="str">
            <v>Motilal Oswal Nifty Energy ETF</v>
          </cell>
          <cell r="E12406">
            <v>39.524999999999999</v>
          </cell>
        </row>
        <row r="12407">
          <cell r="B12407" t="str">
            <v>INF247L01DJ0</v>
          </cell>
          <cell r="C12407" t="str">
            <v>-</v>
          </cell>
          <cell r="D12407" t="str">
            <v>Motilal Oswal Nifty India Defence ETF</v>
          </cell>
          <cell r="E12407">
            <v>103.4273</v>
          </cell>
        </row>
        <row r="12408">
          <cell r="B12408" t="str">
            <v>INF247L01FK3</v>
          </cell>
          <cell r="C12408" t="str">
            <v>-</v>
          </cell>
          <cell r="D12408" t="str">
            <v>Motilal Oswal Nifty India Manufacturing ETF</v>
          </cell>
          <cell r="E12408">
            <v>159.5472</v>
          </cell>
        </row>
        <row r="12409">
          <cell r="B12409" t="str">
            <v>INF247L01FP2</v>
          </cell>
          <cell r="C12409" t="str">
            <v>-</v>
          </cell>
          <cell r="D12409" t="str">
            <v>Motilal Oswal Nifty India Tourism ETF</v>
          </cell>
          <cell r="E12409">
            <v>78.025800000000004</v>
          </cell>
        </row>
        <row r="12410">
          <cell r="B12410" t="str">
            <v>INF247L01023</v>
          </cell>
          <cell r="C12410" t="str">
            <v>-</v>
          </cell>
          <cell r="D12410" t="str">
            <v>Motilal Oswal Nifty Midcap 100 ETF</v>
          </cell>
          <cell r="E12410">
            <v>67.192599999999999</v>
          </cell>
        </row>
        <row r="12411">
          <cell r="B12411" t="str">
            <v>INF247L01FQ0</v>
          </cell>
          <cell r="C12411" t="str">
            <v>-</v>
          </cell>
          <cell r="D12411" t="str">
            <v>Motilal Oswal Nifty Midcap150 Momentum 50 ETF</v>
          </cell>
          <cell r="E12411">
            <v>63.017099999999999</v>
          </cell>
        </row>
        <row r="12412">
          <cell r="B12412" t="str">
            <v>INF247L01GK1</v>
          </cell>
          <cell r="C12412" t="str">
            <v>-</v>
          </cell>
          <cell r="D12412" t="str">
            <v>Motilal Oswal Nifty MNC ETF</v>
          </cell>
          <cell r="E12412">
            <v>32.5762</v>
          </cell>
        </row>
        <row r="12413">
          <cell r="B12413" t="str">
            <v>INF247L01FD8</v>
          </cell>
          <cell r="C12413" t="str">
            <v>-</v>
          </cell>
          <cell r="D12413" t="str">
            <v>MOTILAL OSWAL NIFTY NEXT 50 ETF</v>
          </cell>
          <cell r="E12413">
            <v>72.089799999999997</v>
          </cell>
        </row>
        <row r="12414">
          <cell r="B12414" t="str">
            <v>INF247L01FO5</v>
          </cell>
          <cell r="C12414" t="str">
            <v>-</v>
          </cell>
          <cell r="D12414" t="str">
            <v>Motilal Oswal Nifty PSE ETF</v>
          </cell>
          <cell r="E12414">
            <v>101.65</v>
          </cell>
        </row>
        <row r="12415">
          <cell r="B12415" t="str">
            <v>INF247L01CI4</v>
          </cell>
          <cell r="C12415" t="str">
            <v>-</v>
          </cell>
          <cell r="D12415" t="str">
            <v>Motilal Oswal Nifty Realty ETF</v>
          </cell>
          <cell r="E12415">
            <v>90.153099999999995</v>
          </cell>
        </row>
        <row r="12416">
          <cell r="B12416" t="str">
            <v>INF247L01GJ3</v>
          </cell>
          <cell r="C12416" t="str">
            <v>-</v>
          </cell>
          <cell r="D12416" t="str">
            <v>Motilal Oswal Nifty Services Sector ETF</v>
          </cell>
          <cell r="E12416">
            <v>30.918299999999999</v>
          </cell>
        </row>
        <row r="12417">
          <cell r="B12417" t="str">
            <v>INF247L01CH6</v>
          </cell>
          <cell r="C12417" t="str">
            <v>-</v>
          </cell>
          <cell r="D12417" t="str">
            <v>Motilal Oswal Nifty Smallcap 250 ETF</v>
          </cell>
          <cell r="E12417">
            <v>17.937999999999999</v>
          </cell>
        </row>
        <row r="12418">
          <cell r="B12418" t="str">
            <v>INF247L01FZ1</v>
          </cell>
          <cell r="C12418" t="str">
            <v>-</v>
          </cell>
          <cell r="D12418" t="str">
            <v>Motilal Oswal Silver ETF</v>
          </cell>
          <cell r="E12418">
            <v>220.82749999999999</v>
          </cell>
        </row>
        <row r="12419">
          <cell r="B12419" t="str">
            <v/>
          </cell>
          <cell r="C12419" t="str">
            <v/>
          </cell>
          <cell r="D12419" t="str">
            <v/>
          </cell>
        </row>
        <row r="12420">
          <cell r="B12420" t="str">
            <v/>
          </cell>
          <cell r="C12420" t="str">
            <v/>
          </cell>
          <cell r="D12420" t="str">
            <v/>
          </cell>
        </row>
        <row r="12421">
          <cell r="B12421" t="str">
            <v/>
          </cell>
          <cell r="C12421" t="str">
            <v/>
          </cell>
          <cell r="D12421" t="str">
            <v/>
          </cell>
        </row>
        <row r="12422">
          <cell r="B12422" t="str">
            <v>INF457M01133</v>
          </cell>
          <cell r="C12422" t="str">
            <v>-</v>
          </cell>
          <cell r="D12422" t="str">
            <v>CPSE ETF</v>
          </cell>
          <cell r="E12422">
            <v>96.950699999999998</v>
          </cell>
        </row>
        <row r="12423">
          <cell r="B12423" t="str">
            <v>INF204KC1EZ3</v>
          </cell>
          <cell r="C12423" t="str">
            <v>-</v>
          </cell>
          <cell r="D12423" t="str">
            <v>Nippon India BSE Sensex Next 30 ETF</v>
          </cell>
          <cell r="E12423">
            <v>42.336100000000002</v>
          </cell>
        </row>
        <row r="12424">
          <cell r="B12424" t="str">
            <v>INF204KA1UN7</v>
          </cell>
          <cell r="C12424" t="str">
            <v>-</v>
          </cell>
          <cell r="D12424" t="str">
            <v>Nippon India ETF BSE Sensex</v>
          </cell>
          <cell r="E12424">
            <v>881.57489999999996</v>
          </cell>
        </row>
        <row r="12425">
          <cell r="B12425" t="str">
            <v>INF204KB15D0</v>
          </cell>
          <cell r="C12425" t="str">
            <v>-</v>
          </cell>
          <cell r="D12425" t="str">
            <v>Nippon India ETF BSE Sensex Next 50</v>
          </cell>
          <cell r="E12425">
            <v>91.524199999999993</v>
          </cell>
        </row>
        <row r="12426">
          <cell r="B12426" t="str">
            <v>INF204KB19I1</v>
          </cell>
          <cell r="C12426" t="str">
            <v>-</v>
          </cell>
          <cell r="D12426" t="str">
            <v>Nippon India ETF Hang Seng BeES</v>
          </cell>
          <cell r="E12426">
            <v>454.3655</v>
          </cell>
        </row>
        <row r="12427">
          <cell r="B12427" t="str">
            <v>INF204K014N5</v>
          </cell>
          <cell r="C12427" t="str">
            <v>-</v>
          </cell>
          <cell r="D12427" t="str">
            <v>Nippon India ETF Nifty 100</v>
          </cell>
          <cell r="E12427">
            <v>265.78460000000001</v>
          </cell>
        </row>
        <row r="12428">
          <cell r="B12428" t="str">
            <v>INF732E01037</v>
          </cell>
          <cell r="C12428" t="str">
            <v>-</v>
          </cell>
          <cell r="D12428" t="str">
            <v>Nippon India ETF Nifty 1D Rate Liquid BeES - DAILY IDCW Option</v>
          </cell>
          <cell r="E12428">
            <v>1000</v>
          </cell>
        </row>
        <row r="12429">
          <cell r="B12429" t="str">
            <v>INF204KC1030</v>
          </cell>
          <cell r="C12429" t="str">
            <v>-</v>
          </cell>
          <cell r="D12429" t="str">
            <v>Nippon India ETF Nifty 5 yr Benchmark G-Sec</v>
          </cell>
          <cell r="E12429">
            <v>65.891300000000001</v>
          </cell>
        </row>
        <row r="12430">
          <cell r="B12430" t="str">
            <v>INF204KB14I2</v>
          </cell>
          <cell r="C12430" t="str">
            <v>-</v>
          </cell>
          <cell r="D12430" t="str">
            <v>Nippon India ETF Nifty 50 BeES</v>
          </cell>
          <cell r="E12430">
            <v>273.09429999999998</v>
          </cell>
        </row>
        <row r="12431">
          <cell r="B12431" t="str">
            <v>INF732E01128</v>
          </cell>
          <cell r="C12431" t="str">
            <v>-</v>
          </cell>
          <cell r="D12431" t="str">
            <v>Nippon India ETF Nifty 50 Shariah BeES</v>
          </cell>
          <cell r="E12431">
            <v>455.5068</v>
          </cell>
        </row>
        <row r="12432">
          <cell r="B12432" t="str">
            <v>INF204KB18I3</v>
          </cell>
          <cell r="C12432" t="str">
            <v>-</v>
          </cell>
          <cell r="D12432" t="str">
            <v>Nippon India ETF Nifty 50 Value 20</v>
          </cell>
          <cell r="E12432">
            <v>139.50460000000001</v>
          </cell>
        </row>
        <row r="12433">
          <cell r="B12433" t="str">
            <v>INF204KB1882</v>
          </cell>
          <cell r="C12433" t="str">
            <v>-</v>
          </cell>
          <cell r="D12433" t="str">
            <v>Nippon India ETF Nifty 8-13 yr G-Sec Long Term Gilt</v>
          </cell>
          <cell r="E12433">
            <v>29.8887</v>
          </cell>
        </row>
        <row r="12434">
          <cell r="B12434" t="str">
            <v>INF204KB15I9</v>
          </cell>
          <cell r="C12434" t="str">
            <v>-</v>
          </cell>
          <cell r="D12434" t="str">
            <v>Nippon India ETF Nifty Bank BeES</v>
          </cell>
          <cell r="E12434">
            <v>591.49810000000002</v>
          </cell>
        </row>
        <row r="12435">
          <cell r="B12435" t="str">
            <v>INF204KA1MS3</v>
          </cell>
          <cell r="C12435" t="str">
            <v>-</v>
          </cell>
          <cell r="D12435" t="str">
            <v>Nippon India ETF Nifty Dividend Opportunities 50</v>
          </cell>
          <cell r="E12435">
            <v>76.894300000000001</v>
          </cell>
        </row>
        <row r="12436">
          <cell r="B12436" t="str">
            <v>INF204KA1LD7</v>
          </cell>
          <cell r="C12436" t="str">
            <v>-</v>
          </cell>
          <cell r="D12436" t="str">
            <v>Nippon India ETF Nifty India Consumption</v>
          </cell>
          <cell r="E12436">
            <v>131.23500000000001</v>
          </cell>
        </row>
        <row r="12437">
          <cell r="B12437" t="str">
            <v>INF732E01268</v>
          </cell>
          <cell r="C12437" t="str">
            <v>-</v>
          </cell>
          <cell r="D12437" t="str">
            <v>Nippon India ETF Nifty Infrastructure BeES</v>
          </cell>
          <cell r="E12437">
            <v>967.49509999999998</v>
          </cell>
        </row>
        <row r="12438">
          <cell r="B12438" t="str">
            <v>INF204KB15V2</v>
          </cell>
          <cell r="C12438" t="str">
            <v>-</v>
          </cell>
          <cell r="D12438" t="str">
            <v>Nippon India ETF Nifty IT</v>
          </cell>
          <cell r="E12438">
            <v>31.728300000000001</v>
          </cell>
        </row>
        <row r="12439">
          <cell r="B12439" t="str">
            <v>INF204KB1V68</v>
          </cell>
          <cell r="C12439" t="str">
            <v>-</v>
          </cell>
          <cell r="D12439" t="str">
            <v>Nippon India ETF Nifty Midcap 150</v>
          </cell>
          <cell r="E12439">
            <v>236.90020000000001</v>
          </cell>
        </row>
        <row r="12440">
          <cell r="B12440" t="str">
            <v>INF732E01045</v>
          </cell>
          <cell r="C12440" t="str">
            <v>-</v>
          </cell>
          <cell r="D12440" t="str">
            <v>Nippon India ETF Nifty Next 50 Junior BeES</v>
          </cell>
          <cell r="E12440">
            <v>780.3845</v>
          </cell>
        </row>
        <row r="12441">
          <cell r="B12441" t="str">
            <v>INF204KB16I7</v>
          </cell>
          <cell r="C12441" t="str">
            <v>-</v>
          </cell>
          <cell r="D12441" t="str">
            <v>Nippon India ETF Nifty PSU Bank BeES</v>
          </cell>
          <cell r="E12441">
            <v>93.700800000000001</v>
          </cell>
        </row>
        <row r="12442">
          <cell r="B12442" t="str">
            <v>INF204KC1022</v>
          </cell>
          <cell r="C12442" t="str">
            <v>-</v>
          </cell>
          <cell r="D12442" t="str">
            <v>Nippon India ETF Nifty SDL Apr 2026 Top 20 Equal Weight</v>
          </cell>
          <cell r="E12442">
            <v>137.8305</v>
          </cell>
        </row>
        <row r="12443">
          <cell r="B12443" t="str">
            <v>INF204KC1FU1</v>
          </cell>
          <cell r="C12443" t="str">
            <v>-</v>
          </cell>
          <cell r="D12443" t="str">
            <v>Nippon India Nifty 1D Rate Liquid ETF-Growth</v>
          </cell>
          <cell r="E12443">
            <v>1048.5346999999999</v>
          </cell>
        </row>
        <row r="12444">
          <cell r="B12444" t="str">
            <v>INF204KC1337</v>
          </cell>
          <cell r="C12444" t="str">
            <v>-</v>
          </cell>
          <cell r="D12444" t="str">
            <v>Nippon India Nifty Auto ETF</v>
          </cell>
          <cell r="E12444">
            <v>282.11320000000001</v>
          </cell>
        </row>
        <row r="12445">
          <cell r="B12445" t="str">
            <v>INF204KC1GH6</v>
          </cell>
          <cell r="C12445" t="str">
            <v>-</v>
          </cell>
          <cell r="D12445" t="str">
            <v>Nippon India Nifty India Manufacturing ETF</v>
          </cell>
          <cell r="E12445">
            <v>160.5384</v>
          </cell>
        </row>
        <row r="12446">
          <cell r="B12446" t="str">
            <v>INF204KC1089</v>
          </cell>
          <cell r="C12446" t="str">
            <v>-</v>
          </cell>
          <cell r="D12446" t="str">
            <v>Nippon India Nifty Pharma ETF</v>
          </cell>
          <cell r="E12446">
            <v>26.468</v>
          </cell>
        </row>
        <row r="12447">
          <cell r="B12447" t="str">
            <v>INF204KC1402</v>
          </cell>
          <cell r="C12447" t="str">
            <v>-</v>
          </cell>
          <cell r="D12447" t="str">
            <v>Nippon India Silver ETF</v>
          </cell>
          <cell r="E12447">
            <v>213.583</v>
          </cell>
        </row>
        <row r="12448">
          <cell r="B12448" t="str">
            <v/>
          </cell>
          <cell r="C12448" t="str">
            <v/>
          </cell>
          <cell r="D12448" t="str">
            <v/>
          </cell>
        </row>
        <row r="12449">
          <cell r="B12449" t="str">
            <v/>
          </cell>
          <cell r="C12449" t="str">
            <v/>
          </cell>
          <cell r="D12449" t="str">
            <v/>
          </cell>
        </row>
        <row r="12450">
          <cell r="B12450" t="str">
            <v/>
          </cell>
          <cell r="C12450" t="str">
            <v/>
          </cell>
          <cell r="D12450" t="str">
            <v/>
          </cell>
        </row>
        <row r="12451">
          <cell r="B12451" t="str">
            <v>INF082J01499</v>
          </cell>
          <cell r="C12451" t="str">
            <v>-</v>
          </cell>
          <cell r="D12451" t="str">
            <v>Quantum Nifty 50 ETF</v>
          </cell>
          <cell r="E12451">
            <v>263.87520000000001</v>
          </cell>
        </row>
        <row r="12452">
          <cell r="B12452" t="str">
            <v/>
          </cell>
          <cell r="C12452" t="str">
            <v/>
          </cell>
          <cell r="D12452" t="str">
            <v/>
          </cell>
        </row>
        <row r="12453">
          <cell r="B12453" t="str">
            <v/>
          </cell>
          <cell r="C12453" t="str">
            <v/>
          </cell>
          <cell r="D12453" t="str">
            <v/>
          </cell>
        </row>
        <row r="12454">
          <cell r="B12454" t="str">
            <v/>
          </cell>
          <cell r="C12454" t="str">
            <v/>
          </cell>
          <cell r="D12454" t="str">
            <v/>
          </cell>
        </row>
        <row r="12455">
          <cell r="B12455" t="str">
            <v>INF200KA1572</v>
          </cell>
          <cell r="C12455" t="str">
            <v>-</v>
          </cell>
          <cell r="D12455" t="str">
            <v>SBI BSE 100 ETF</v>
          </cell>
          <cell r="E12455">
            <v>283.79379999999998</v>
          </cell>
        </row>
        <row r="12456">
          <cell r="B12456" t="str">
            <v>INF200KB1712</v>
          </cell>
          <cell r="C12456" t="str">
            <v>-</v>
          </cell>
          <cell r="D12456" t="str">
            <v>SBI BSE PSU BANK ETF</v>
          </cell>
          <cell r="E12456">
            <v>48.581299999999999</v>
          </cell>
        </row>
        <row r="12457">
          <cell r="B12457" t="str">
            <v>INF200K01VT2</v>
          </cell>
          <cell r="C12457" t="str">
            <v>-</v>
          </cell>
          <cell r="D12457" t="str">
            <v>SBI BSE SENSEX ETF</v>
          </cell>
          <cell r="E12457">
            <v>854.63660000000004</v>
          </cell>
        </row>
        <row r="12458">
          <cell r="B12458" t="str">
            <v>INF200KA1VQ2</v>
          </cell>
          <cell r="C12458" t="str">
            <v>-</v>
          </cell>
          <cell r="D12458" t="str">
            <v>SBI BSE Sensex Next 50 ETF</v>
          </cell>
          <cell r="E12458">
            <v>937.52940000000001</v>
          </cell>
        </row>
        <row r="12459">
          <cell r="B12459" t="str">
            <v>INF200KA1JT1</v>
          </cell>
          <cell r="C12459" t="str">
            <v>-</v>
          </cell>
          <cell r="D12459" t="str">
            <v>SBI Nifty 10 yr Benchmark G-Sec ETF</v>
          </cell>
          <cell r="E12459">
            <v>264.58879999999999</v>
          </cell>
        </row>
        <row r="12460">
          <cell r="B12460" t="str">
            <v>INF200KB1969</v>
          </cell>
          <cell r="C12460" t="str">
            <v>-</v>
          </cell>
          <cell r="D12460" t="str">
            <v>SBI Nifty 1D Rate Liquid ETF - Growth</v>
          </cell>
          <cell r="E12460">
            <v>1048.4998000000001</v>
          </cell>
        </row>
        <row r="12461">
          <cell r="B12461" t="str">
            <v>-</v>
          </cell>
          <cell r="C12461" t="str">
            <v>INF200KA13Z8</v>
          </cell>
          <cell r="D12461" t="str">
            <v>SBI NIFTY 1D Rate Liquid ETF - IDCW</v>
          </cell>
          <cell r="E12461">
            <v>1000</v>
          </cell>
        </row>
        <row r="12462">
          <cell r="B12462" t="str">
            <v>INF200KA1WX6</v>
          </cell>
          <cell r="C12462" t="str">
            <v>-</v>
          </cell>
          <cell r="D12462" t="str">
            <v>SBI Nifty 200 Quality 30 ETF</v>
          </cell>
          <cell r="E12462">
            <v>220.18260000000001</v>
          </cell>
        </row>
        <row r="12463">
          <cell r="B12463" t="str">
            <v>INF200KA1FS1</v>
          </cell>
          <cell r="C12463" t="str">
            <v>-</v>
          </cell>
          <cell r="D12463" t="str">
            <v>SBI Nifty 50 ETF</v>
          </cell>
          <cell r="E12463">
            <v>258.09480000000002</v>
          </cell>
        </row>
        <row r="12464">
          <cell r="B12464" t="str">
            <v>INF200KA1580</v>
          </cell>
          <cell r="C12464" t="str">
            <v>-</v>
          </cell>
          <cell r="D12464" t="str">
            <v>SBI Nifty Bank ETF</v>
          </cell>
          <cell r="E12464">
            <v>586.8229</v>
          </cell>
        </row>
        <row r="12465">
          <cell r="B12465" t="str">
            <v>INF200KA1X17</v>
          </cell>
          <cell r="C12465" t="str">
            <v>-</v>
          </cell>
          <cell r="D12465" t="str">
            <v>SBI Nifty Consumption ETF</v>
          </cell>
          <cell r="E12465">
            <v>121.61320000000001</v>
          </cell>
        </row>
        <row r="12466">
          <cell r="B12466" t="str">
            <v>INF200KA1S14</v>
          </cell>
          <cell r="C12466" t="str">
            <v>-</v>
          </cell>
          <cell r="D12466" t="str">
            <v>SBI Nifty IT ETF</v>
          </cell>
          <cell r="E12466">
            <v>316.71510000000001</v>
          </cell>
        </row>
        <row r="12467">
          <cell r="B12467" t="str">
            <v>INF200KB1AK8</v>
          </cell>
          <cell r="C12467" t="str">
            <v>-</v>
          </cell>
          <cell r="D12467" t="str">
            <v>SBI Nifty Midcap 150 ETF</v>
          </cell>
          <cell r="E12467">
            <v>22.964500000000001</v>
          </cell>
        </row>
        <row r="12468">
          <cell r="B12468" t="str">
            <v>INF200KB1AJ0</v>
          </cell>
          <cell r="C12468" t="str">
            <v>-</v>
          </cell>
          <cell r="D12468" t="str">
            <v>SBI Nifty Midcap 150 Momentum 50 ETF</v>
          </cell>
          <cell r="E12468">
            <v>62.191000000000003</v>
          </cell>
        </row>
        <row r="12469">
          <cell r="B12469" t="str">
            <v>INF200KA1598</v>
          </cell>
          <cell r="C12469" t="str">
            <v>-</v>
          </cell>
          <cell r="D12469" t="str">
            <v>SBI Nifty Next 50 ETF</v>
          </cell>
          <cell r="E12469">
            <v>773.70140000000004</v>
          </cell>
        </row>
        <row r="12470">
          <cell r="B12470" t="str">
            <v>INF200KA1S22</v>
          </cell>
          <cell r="C12470" t="str">
            <v>-</v>
          </cell>
          <cell r="D12470" t="str">
            <v>SBI Nifty Private Bank ETF</v>
          </cell>
          <cell r="E12470">
            <v>280.70819999999998</v>
          </cell>
        </row>
        <row r="12471">
          <cell r="B12471" t="str">
            <v>INF200KB1AY9</v>
          </cell>
          <cell r="C12471" t="str">
            <v>-</v>
          </cell>
          <cell r="D12471" t="str">
            <v>SBI Nifty Smallcap 250 ETF</v>
          </cell>
          <cell r="E12471">
            <v>17.863499999999998</v>
          </cell>
        </row>
        <row r="12472">
          <cell r="B12472" t="str">
            <v>INF200KB1AX1</v>
          </cell>
          <cell r="C12472" t="str">
            <v>-</v>
          </cell>
          <cell r="D12472" t="str">
            <v>SBI Nifty200 Value 30 ETF</v>
          </cell>
          <cell r="E12472">
            <v>14.954499999999999</v>
          </cell>
        </row>
        <row r="12473">
          <cell r="B12473" t="str">
            <v>INF200KB1282</v>
          </cell>
          <cell r="C12473" t="str">
            <v>-</v>
          </cell>
          <cell r="D12473" t="str">
            <v>SBI Nifty50 Equal Weight ETF</v>
          </cell>
          <cell r="E12473">
            <v>33.247300000000003</v>
          </cell>
        </row>
        <row r="12474">
          <cell r="B12474" t="str">
            <v>INF200KB1217</v>
          </cell>
          <cell r="C12474" t="str">
            <v>-</v>
          </cell>
          <cell r="D12474" t="str">
            <v>SBI Silver ETF</v>
          </cell>
          <cell r="E12474">
            <v>218.833</v>
          </cell>
        </row>
        <row r="12475">
          <cell r="B12475" t="str">
            <v/>
          </cell>
          <cell r="C12475" t="str">
            <v/>
          </cell>
          <cell r="D12475" t="str">
            <v/>
          </cell>
        </row>
        <row r="12476">
          <cell r="B12476" t="str">
            <v/>
          </cell>
          <cell r="C12476" t="str">
            <v/>
          </cell>
          <cell r="D12476" t="str">
            <v/>
          </cell>
        </row>
        <row r="12477">
          <cell r="B12477" t="str">
            <v/>
          </cell>
          <cell r="C12477" t="str">
            <v/>
          </cell>
          <cell r="D12477" t="str">
            <v/>
          </cell>
        </row>
        <row r="12478">
          <cell r="B12478" t="str">
            <v>INF680P01422</v>
          </cell>
          <cell r="C12478" t="str">
            <v>-</v>
          </cell>
          <cell r="D12478" t="str">
            <v>Shriram Nifty 1D Rate Liquid ETF - Growth</v>
          </cell>
          <cell r="E12478">
            <v>1113.9960000000001</v>
          </cell>
        </row>
        <row r="12479">
          <cell r="B12479" t="str">
            <v/>
          </cell>
          <cell r="C12479" t="str">
            <v/>
          </cell>
          <cell r="D12479" t="str">
            <v/>
          </cell>
        </row>
        <row r="12480">
          <cell r="B12480" t="str">
            <v/>
          </cell>
          <cell r="C12480" t="str">
            <v/>
          </cell>
          <cell r="D12480" t="str">
            <v/>
          </cell>
        </row>
        <row r="12481">
          <cell r="B12481" t="str">
            <v/>
          </cell>
          <cell r="C12481" t="str">
            <v/>
          </cell>
          <cell r="D12481" t="str">
            <v/>
          </cell>
        </row>
        <row r="12482">
          <cell r="B12482" t="str">
            <v>INF277K015R5</v>
          </cell>
          <cell r="C12482" t="str">
            <v>-</v>
          </cell>
          <cell r="D12482" t="str">
            <v>Tata Nifty 50 Exchange Traded Fund</v>
          </cell>
          <cell r="E12482">
            <v>260.91730000000001</v>
          </cell>
        </row>
        <row r="12483">
          <cell r="B12483" t="str">
            <v>INF277KA1364</v>
          </cell>
          <cell r="C12483" t="str">
            <v>-</v>
          </cell>
          <cell r="D12483" t="str">
            <v>Tata Nifty India Digital Exchange Traded Fund</v>
          </cell>
          <cell r="E12483">
            <v>84.645799999999994</v>
          </cell>
        </row>
        <row r="12484">
          <cell r="B12484" t="str">
            <v>INF277K010X4</v>
          </cell>
          <cell r="C12484" t="str">
            <v>-</v>
          </cell>
          <cell r="D12484" t="str">
            <v>Tata Nifty Private Bank Exchange Traded Fund</v>
          </cell>
          <cell r="E12484">
            <v>284.7647</v>
          </cell>
        </row>
        <row r="12485">
          <cell r="B12485" t="str">
            <v>INF277KA1984</v>
          </cell>
          <cell r="C12485" t="str">
            <v>-</v>
          </cell>
          <cell r="D12485" t="str">
            <v>Tata Silver Exchange Traded Fund</v>
          </cell>
          <cell r="E12485">
            <v>21.699400000000001</v>
          </cell>
        </row>
        <row r="12486">
          <cell r="B12486" t="str">
            <v/>
          </cell>
          <cell r="C12486" t="str">
            <v/>
          </cell>
          <cell r="D12486" t="str">
            <v/>
          </cell>
        </row>
        <row r="12487">
          <cell r="B12487" t="str">
            <v/>
          </cell>
          <cell r="C12487" t="str">
            <v/>
          </cell>
          <cell r="D12487" t="str">
            <v/>
          </cell>
        </row>
        <row r="12488">
          <cell r="B12488" t="str">
            <v/>
          </cell>
          <cell r="C12488" t="str">
            <v/>
          </cell>
          <cell r="D12488" t="str">
            <v/>
          </cell>
        </row>
        <row r="12489">
          <cell r="B12489" t="str">
            <v>INF789F1AUU3</v>
          </cell>
          <cell r="C12489" t="str">
            <v>-</v>
          </cell>
          <cell r="D12489" t="str">
            <v>UTI - BSE Sensex Next 50 Exchange Traded Fund</v>
          </cell>
          <cell r="E12489">
            <v>93.472300000000004</v>
          </cell>
        </row>
        <row r="12490">
          <cell r="B12490" t="str">
            <v>INF789F1AUW9</v>
          </cell>
          <cell r="C12490" t="str">
            <v>-</v>
          </cell>
          <cell r="D12490" t="str">
            <v>UTI Nifty Next 50 Exchange Traded Fund</v>
          </cell>
          <cell r="E12490">
            <v>77.953599999999994</v>
          </cell>
        </row>
        <row r="12491">
          <cell r="B12491" t="str">
            <v>INF789FB1X58</v>
          </cell>
          <cell r="C12491" t="str">
            <v>-</v>
          </cell>
          <cell r="D12491" t="str">
            <v>UTI BSE Sensex ETF</v>
          </cell>
          <cell r="E12491">
            <v>849.56290000000001</v>
          </cell>
        </row>
        <row r="12492">
          <cell r="B12492" t="str">
            <v>INF789F1AZF3</v>
          </cell>
          <cell r="C12492" t="str">
            <v>-</v>
          </cell>
          <cell r="D12492" t="str">
            <v>UTI Nifty 10 yr Benchmark G-Sec ETF</v>
          </cell>
          <cell r="E12492">
            <v>26.586300000000001</v>
          </cell>
        </row>
        <row r="12493">
          <cell r="B12493" t="str">
            <v>-</v>
          </cell>
          <cell r="C12493" t="str">
            <v>-</v>
          </cell>
          <cell r="D12493" t="str">
            <v>UTI Nifty 1D Rate Liquid ETF - Growth</v>
          </cell>
          <cell r="E12493">
            <v>1001.0486</v>
          </cell>
        </row>
        <row r="12494">
          <cell r="B12494" t="str">
            <v>INF789F1AZE6</v>
          </cell>
          <cell r="C12494" t="str">
            <v>-</v>
          </cell>
          <cell r="D12494" t="str">
            <v>UTI Nifty 5 yr Benchmark G-Sec ETF</v>
          </cell>
          <cell r="E12494">
            <v>66.081800000000001</v>
          </cell>
        </row>
        <row r="12495">
          <cell r="B12495" t="str">
            <v>INF789F1AZC0</v>
          </cell>
          <cell r="C12495" t="str">
            <v>-</v>
          </cell>
          <cell r="D12495" t="str">
            <v>UTI Nifty 50 ETF</v>
          </cell>
          <cell r="E12495">
            <v>265.77069999999998</v>
          </cell>
        </row>
        <row r="12496">
          <cell r="B12496" t="str">
            <v>INF789F1AUV1</v>
          </cell>
          <cell r="C12496" t="str">
            <v>-</v>
          </cell>
          <cell r="D12496" t="str">
            <v>UTI Nifty Bank ETF</v>
          </cell>
          <cell r="E12496">
            <v>59.092700000000001</v>
          </cell>
        </row>
        <row r="12497">
          <cell r="B12497" t="str">
            <v>INF789F1AZD8</v>
          </cell>
          <cell r="C12497" t="str">
            <v>-</v>
          </cell>
          <cell r="D12497" t="str">
            <v>UTI Nifty IT ETF</v>
          </cell>
          <cell r="E12497">
            <v>300.37200000000001</v>
          </cell>
        </row>
        <row r="12498">
          <cell r="B12498" t="str">
            <v>INF789F1AYX9</v>
          </cell>
          <cell r="C12498" t="str">
            <v>-</v>
          </cell>
          <cell r="D12498" t="str">
            <v>UTI Nifty Midcap 150 Exchange Traded Fund</v>
          </cell>
          <cell r="E12498">
            <v>231.55690000000001</v>
          </cell>
        </row>
        <row r="12499">
          <cell r="B12499" t="str">
            <v>INF789F1AYK6</v>
          </cell>
          <cell r="C12499" t="str">
            <v>-</v>
          </cell>
          <cell r="D12499" t="str">
            <v>UTI Silver Exchange Traded Fund</v>
          </cell>
          <cell r="E12499">
            <v>215.63460000000001</v>
          </cell>
        </row>
        <row r="12500">
          <cell r="B12500" t="str">
            <v/>
          </cell>
          <cell r="C12500" t="str">
            <v/>
          </cell>
          <cell r="D12500" t="str">
            <v/>
          </cell>
        </row>
        <row r="12501">
          <cell r="B12501" t="str">
            <v/>
          </cell>
          <cell r="C12501" t="str">
            <v/>
          </cell>
          <cell r="D12501" t="str">
            <v/>
          </cell>
        </row>
        <row r="12502">
          <cell r="B12502" t="str">
            <v/>
          </cell>
          <cell r="C12502" t="str">
            <v/>
          </cell>
          <cell r="D12502" t="str">
            <v/>
          </cell>
        </row>
        <row r="12503">
          <cell r="B12503" t="str">
            <v>INF0R8F01067</v>
          </cell>
          <cell r="C12503" t="str">
            <v>-</v>
          </cell>
          <cell r="D12503" t="str">
            <v>Zerodha Nifty 100 ETF</v>
          </cell>
          <cell r="E12503">
            <v>10.5189</v>
          </cell>
        </row>
        <row r="12504">
          <cell r="B12504" t="str">
            <v>INF0R8F01034</v>
          </cell>
          <cell r="C12504" t="str">
            <v>-</v>
          </cell>
          <cell r="D12504" t="str">
            <v>Zerodha Nifty 1D Rate Liquid ETF - Growth Option</v>
          </cell>
          <cell r="E12504">
            <v>115.113</v>
          </cell>
        </row>
        <row r="12505">
          <cell r="B12505" t="str">
            <v>INF0R8F01166</v>
          </cell>
          <cell r="C12505" t="str">
            <v>-</v>
          </cell>
          <cell r="D12505" t="str">
            <v>Zerodha Nifty 50 ETF</v>
          </cell>
          <cell r="E12505">
            <v>9.6212999999999997</v>
          </cell>
        </row>
        <row r="12506">
          <cell r="B12506" t="str">
            <v>INF0R8F01133</v>
          </cell>
          <cell r="C12506" t="str">
            <v>-</v>
          </cell>
          <cell r="D12506" t="str">
            <v>Zerodha Nifty 8-13 Yr G-Sec ETF</v>
          </cell>
          <cell r="E12506">
            <v>30.4391</v>
          </cell>
        </row>
        <row r="12507">
          <cell r="B12507" t="str">
            <v>INF0R8F01059</v>
          </cell>
          <cell r="C12507" t="str">
            <v>-</v>
          </cell>
          <cell r="D12507" t="str">
            <v>Zerodha Nifty Midcap 150 ETF</v>
          </cell>
          <cell r="E12507">
            <v>11.524800000000001</v>
          </cell>
        </row>
        <row r="12508">
          <cell r="B12508" t="str">
            <v>INF0R8F01141</v>
          </cell>
          <cell r="C12508" t="str">
            <v>-</v>
          </cell>
          <cell r="D12508" t="str">
            <v>Zerodha Nifty Smallcap 100 ETF</v>
          </cell>
          <cell r="E12508">
            <v>10.8568</v>
          </cell>
        </row>
        <row r="12509">
          <cell r="B12509" t="str">
            <v>INF0R8F01091</v>
          </cell>
          <cell r="C12509" t="str">
            <v>-</v>
          </cell>
          <cell r="D12509" t="str">
            <v>Zerodha Silver ETF</v>
          </cell>
          <cell r="E12509">
            <v>22.640499999999999</v>
          </cell>
        </row>
        <row r="12510">
          <cell r="B12510" t="str">
            <v/>
          </cell>
          <cell r="C12510" t="str">
            <v/>
          </cell>
          <cell r="D12510" t="str">
            <v/>
          </cell>
        </row>
        <row r="12511">
          <cell r="B12511" t="str">
            <v/>
          </cell>
          <cell r="C12511" t="str">
            <v/>
          </cell>
          <cell r="D12511" t="str">
            <v/>
          </cell>
        </row>
        <row r="12512">
          <cell r="B12512" t="str">
            <v/>
          </cell>
          <cell r="C12512" t="str">
            <v/>
          </cell>
          <cell r="D12512" t="str">
            <v/>
          </cell>
        </row>
        <row r="12513">
          <cell r="B12513" t="str">
            <v/>
          </cell>
          <cell r="C12513" t="str">
            <v/>
          </cell>
          <cell r="D12513" t="str">
            <v/>
          </cell>
        </row>
        <row r="12514">
          <cell r="B12514" t="str">
            <v/>
          </cell>
          <cell r="C12514" t="str">
            <v/>
          </cell>
          <cell r="D12514" t="str">
            <v/>
          </cell>
        </row>
        <row r="12515">
          <cell r="B12515" t="str">
            <v>INF209KB19C3</v>
          </cell>
          <cell r="C12515" t="str">
            <v>INF209KB10D0</v>
          </cell>
          <cell r="D12515" t="str">
            <v>Aditya Birla Sun Life US Equity Passive FOF-Direct IDCW</v>
          </cell>
          <cell r="E12515">
            <v>23.1065</v>
          </cell>
        </row>
        <row r="12516">
          <cell r="B12516" t="str">
            <v>INF209KB18C5</v>
          </cell>
          <cell r="C12516" t="str">
            <v>-</v>
          </cell>
          <cell r="D12516" t="str">
            <v>Aditya Birla Sun Life US Equity Passive FOF-Direct-Growth</v>
          </cell>
          <cell r="E12516">
            <v>23.103400000000001</v>
          </cell>
        </row>
        <row r="12517">
          <cell r="B12517" t="str">
            <v>INF209KB15C1</v>
          </cell>
          <cell r="C12517" t="str">
            <v>-</v>
          </cell>
          <cell r="D12517" t="str">
            <v>Aditya Birla Sun Life US Equity Passive FOF-Regular Growth</v>
          </cell>
          <cell r="E12517">
            <v>22.69</v>
          </cell>
        </row>
        <row r="12518">
          <cell r="B12518" t="str">
            <v>INF209KB16C9</v>
          </cell>
          <cell r="C12518" t="str">
            <v>INF209KB17C7</v>
          </cell>
          <cell r="D12518" t="str">
            <v>Aditya Birla Sun Life US Equity Passive FOF-Regular IDCW</v>
          </cell>
          <cell r="E12518">
            <v>22.688199999999998</v>
          </cell>
        </row>
        <row r="12519">
          <cell r="B12519" t="str">
            <v/>
          </cell>
          <cell r="C12519" t="str">
            <v/>
          </cell>
          <cell r="D12519" t="str">
            <v/>
          </cell>
        </row>
        <row r="12520">
          <cell r="B12520" t="str">
            <v/>
          </cell>
          <cell r="C12520" t="str">
            <v/>
          </cell>
          <cell r="D12520" t="str">
            <v/>
          </cell>
        </row>
        <row r="12521">
          <cell r="B12521" t="str">
            <v>INF209KB1E84</v>
          </cell>
          <cell r="C12521" t="str">
            <v>-</v>
          </cell>
          <cell r="D12521" t="str">
            <v>ADITYA BIRLA SUN LIFE BAL BHAVISHYA YOJNA DIRECT GROWTH</v>
          </cell>
          <cell r="E12521">
            <v>23.18</v>
          </cell>
        </row>
        <row r="12522">
          <cell r="B12522" t="str">
            <v>INF209KB1E76</v>
          </cell>
          <cell r="C12522" t="str">
            <v>-</v>
          </cell>
          <cell r="D12522" t="str">
            <v>ADITYA BIRLA SUN LIFE BAL BHAVISHYA YOJNA REGULAR GROWTH</v>
          </cell>
          <cell r="E12522">
            <v>20.56</v>
          </cell>
        </row>
        <row r="12523">
          <cell r="B12523" t="str">
            <v>INF209KB1F18</v>
          </cell>
          <cell r="C12523" t="str">
            <v>INF209KB1F26</v>
          </cell>
          <cell r="D12523" t="str">
            <v>ADITYA BIRLA SUN LIFE BAL BHAVISHYA YOJNA- Direct - IDCW</v>
          </cell>
          <cell r="E12523">
            <v>18.91</v>
          </cell>
        </row>
        <row r="12524">
          <cell r="B12524" t="str">
            <v>INF209KB1E92</v>
          </cell>
          <cell r="C12524" t="str">
            <v>INF209KB1F00</v>
          </cell>
          <cell r="D12524" t="str">
            <v>ADITYA BIRLA SUN LIFE BAL BHAVISHYA YOJNA- Regular - IDCW</v>
          </cell>
          <cell r="E12524">
            <v>16.78</v>
          </cell>
        </row>
        <row r="12525">
          <cell r="B12525" t="str">
            <v/>
          </cell>
          <cell r="C12525" t="str">
            <v/>
          </cell>
          <cell r="D12525" t="str">
            <v/>
          </cell>
        </row>
        <row r="12526">
          <cell r="B12526" t="str">
            <v/>
          </cell>
          <cell r="C12526" t="str">
            <v/>
          </cell>
          <cell r="D12526" t="str">
            <v/>
          </cell>
        </row>
        <row r="12527">
          <cell r="B12527" t="str">
            <v/>
          </cell>
          <cell r="C12527" t="str">
            <v/>
          </cell>
          <cell r="D12527" t="str">
            <v/>
          </cell>
        </row>
        <row r="12528">
          <cell r="B12528" t="str">
            <v>INF846K01WO1</v>
          </cell>
          <cell r="C12528" t="str">
            <v>-</v>
          </cell>
          <cell r="D12528" t="str">
            <v>Axis Children's Fund - Lock in - Direct Growth</v>
          </cell>
          <cell r="E12528">
            <v>29.936399999999999</v>
          </cell>
        </row>
        <row r="12529">
          <cell r="B12529" t="str">
            <v>INF846K01WP8</v>
          </cell>
          <cell r="C12529" t="str">
            <v>-</v>
          </cell>
          <cell r="D12529" t="str">
            <v>Axis Children's Fund - Lock in - Direct Plan - IDCW</v>
          </cell>
          <cell r="E12529">
            <v>27.576799999999999</v>
          </cell>
        </row>
        <row r="12530">
          <cell r="B12530" t="str">
            <v>INF846K01WJ1</v>
          </cell>
          <cell r="C12530" t="str">
            <v>-</v>
          </cell>
          <cell r="D12530" t="str">
            <v>Axis Children's Fund - Lock in - Regular Growth</v>
          </cell>
          <cell r="E12530">
            <v>26.106100000000001</v>
          </cell>
        </row>
        <row r="12531">
          <cell r="B12531" t="str">
            <v>INF846K01WK9</v>
          </cell>
          <cell r="C12531" t="str">
            <v>-</v>
          </cell>
          <cell r="D12531" t="str">
            <v>Axis Children's Fund - Lock in - Regular Plan - IDCW</v>
          </cell>
          <cell r="E12531">
            <v>24.085000000000001</v>
          </cell>
        </row>
        <row r="12532">
          <cell r="B12532" t="str">
            <v>INF846K01WR4</v>
          </cell>
          <cell r="C12532" t="str">
            <v>-</v>
          </cell>
          <cell r="D12532" t="str">
            <v>Axis Children's Fund - No Lock in - Direct Growth</v>
          </cell>
          <cell r="E12532">
            <v>30.508900000000001</v>
          </cell>
        </row>
        <row r="12533">
          <cell r="B12533" t="str">
            <v>INF846K01WS2</v>
          </cell>
          <cell r="C12533" t="str">
            <v>INF846K01WQ6</v>
          </cell>
          <cell r="D12533" t="str">
            <v>Axis Children's Fund - No Lock in - Direct Plan - IDCW</v>
          </cell>
          <cell r="E12533">
            <v>27.628900000000002</v>
          </cell>
        </row>
        <row r="12534">
          <cell r="B12534" t="str">
            <v>INF846K01WM5</v>
          </cell>
          <cell r="C12534" t="str">
            <v>-</v>
          </cell>
          <cell r="D12534" t="str">
            <v>Axis Children's Fund - No Lock in - Regular Plan - Growth</v>
          </cell>
          <cell r="E12534">
            <v>26.102900000000002</v>
          </cell>
        </row>
        <row r="12535">
          <cell r="B12535" t="str">
            <v>INF846K01WN3</v>
          </cell>
          <cell r="C12535" t="str">
            <v>INF846K01WL7</v>
          </cell>
          <cell r="D12535" t="str">
            <v>Axis Children's Fund - No Lock in - Regular Plan - IDCW</v>
          </cell>
          <cell r="E12535">
            <v>24.063199999999998</v>
          </cell>
        </row>
        <row r="12536">
          <cell r="B12536" t="str">
            <v/>
          </cell>
          <cell r="C12536" t="str">
            <v/>
          </cell>
          <cell r="D12536" t="str">
            <v/>
          </cell>
        </row>
        <row r="12537">
          <cell r="B12537" t="str">
            <v/>
          </cell>
          <cell r="C12537" t="str">
            <v/>
          </cell>
          <cell r="D12537" t="str">
            <v/>
          </cell>
        </row>
        <row r="12538">
          <cell r="B12538" t="str">
            <v/>
          </cell>
          <cell r="C12538" t="str">
            <v/>
          </cell>
          <cell r="D12538" t="str">
            <v/>
          </cell>
        </row>
        <row r="12539">
          <cell r="B12539" t="str">
            <v>INF251K01UE9</v>
          </cell>
          <cell r="C12539" t="str">
            <v>-</v>
          </cell>
          <cell r="D12539" t="str">
            <v>Baroda BNP Paribas Children's Fund - Direct Plan - Growth Option</v>
          </cell>
          <cell r="E12539">
            <v>11.3744</v>
          </cell>
        </row>
        <row r="12540">
          <cell r="B12540" t="str">
            <v>INF251K01UC3</v>
          </cell>
          <cell r="C12540" t="str">
            <v>-</v>
          </cell>
          <cell r="D12540" t="str">
            <v>Baroda BNP Paribas Children's Fund - Regular Plan - Growth Option</v>
          </cell>
          <cell r="E12540">
            <v>11.0494</v>
          </cell>
        </row>
        <row r="12541">
          <cell r="B12541" t="str">
            <v>INF251K01UD1</v>
          </cell>
          <cell r="C12541" t="str">
            <v>-</v>
          </cell>
          <cell r="D12541" t="str">
            <v>Baroda BNP Paribas Children's Fund - Regular Plan - IDCW Option</v>
          </cell>
          <cell r="E12541">
            <v>11.0494</v>
          </cell>
        </row>
        <row r="12542">
          <cell r="B12542" t="str">
            <v/>
          </cell>
          <cell r="C12542" t="str">
            <v/>
          </cell>
          <cell r="D12542" t="str">
            <v/>
          </cell>
        </row>
        <row r="12543">
          <cell r="B12543" t="str">
            <v/>
          </cell>
          <cell r="C12543" t="str">
            <v/>
          </cell>
          <cell r="D12543" t="str">
            <v/>
          </cell>
        </row>
        <row r="12544">
          <cell r="B12544" t="str">
            <v/>
          </cell>
          <cell r="C12544" t="str">
            <v/>
          </cell>
          <cell r="D12544" t="str">
            <v/>
          </cell>
        </row>
        <row r="12545">
          <cell r="B12545" t="str">
            <v>INF179KC1IX0</v>
          </cell>
          <cell r="C12545" t="str">
            <v>-</v>
          </cell>
          <cell r="D12545" t="str">
            <v>HDFC Childrens Fund - Direct Plan</v>
          </cell>
          <cell r="E12545">
            <v>322.55799999999999</v>
          </cell>
        </row>
        <row r="12546">
          <cell r="B12546" t="str">
            <v>INF179KC1IY8</v>
          </cell>
          <cell r="C12546" t="str">
            <v>-</v>
          </cell>
          <cell r="D12546" t="str">
            <v>HDFC Childrens Fund - Growth Plan</v>
          </cell>
          <cell r="E12546">
            <v>288.48399999999998</v>
          </cell>
        </row>
        <row r="12547">
          <cell r="B12547" t="str">
            <v>-</v>
          </cell>
          <cell r="C12547" t="str">
            <v>-</v>
          </cell>
          <cell r="D12547" t="str">
            <v>HDFC Childrens Fund Savings Plan-Direct Plan</v>
          </cell>
          <cell r="E12547">
            <v>45.880699999999997</v>
          </cell>
        </row>
        <row r="12548">
          <cell r="B12548" t="str">
            <v>-</v>
          </cell>
          <cell r="C12548" t="str">
            <v>-</v>
          </cell>
          <cell r="D12548" t="str">
            <v>HDFC Childrens Fund-Savings</v>
          </cell>
          <cell r="E12548">
            <v>44.072200000000002</v>
          </cell>
        </row>
        <row r="12549">
          <cell r="B12549" t="str">
            <v/>
          </cell>
          <cell r="C12549" t="str">
            <v/>
          </cell>
          <cell r="D12549" t="str">
            <v/>
          </cell>
        </row>
        <row r="12550">
          <cell r="B12550" t="str">
            <v/>
          </cell>
          <cell r="C12550" t="str">
            <v/>
          </cell>
          <cell r="D12550" t="str">
            <v/>
          </cell>
        </row>
        <row r="12551">
          <cell r="B12551" t="str">
            <v/>
          </cell>
          <cell r="C12551" t="str">
            <v/>
          </cell>
          <cell r="D12551" t="str">
            <v/>
          </cell>
        </row>
        <row r="12552">
          <cell r="B12552" t="str">
            <v>INF109K01Y49</v>
          </cell>
          <cell r="C12552" t="str">
            <v>-</v>
          </cell>
          <cell r="D12552" t="str">
            <v>ICICI Prudential Children's Fund - Direct Plan</v>
          </cell>
          <cell r="E12552">
            <v>360.04</v>
          </cell>
        </row>
        <row r="12553">
          <cell r="B12553" t="str">
            <v>INF109K01605</v>
          </cell>
          <cell r="C12553" t="str">
            <v>-</v>
          </cell>
          <cell r="D12553" t="str">
            <v>ICICI Prudential Children's Fund - Regular Plan</v>
          </cell>
          <cell r="E12553">
            <v>325.01</v>
          </cell>
        </row>
        <row r="12554">
          <cell r="B12554" t="str">
            <v/>
          </cell>
          <cell r="C12554" t="str">
            <v/>
          </cell>
          <cell r="D12554" t="str">
            <v/>
          </cell>
        </row>
        <row r="12555">
          <cell r="B12555" t="str">
            <v/>
          </cell>
          <cell r="C12555" t="str">
            <v/>
          </cell>
          <cell r="D12555" t="str">
            <v/>
          </cell>
        </row>
        <row r="12556">
          <cell r="B12556" t="str">
            <v/>
          </cell>
          <cell r="C12556" t="str">
            <v/>
          </cell>
          <cell r="D12556" t="str">
            <v/>
          </cell>
        </row>
        <row r="12557">
          <cell r="B12557" t="str">
            <v>INF767K01FB1</v>
          </cell>
          <cell r="C12557" t="str">
            <v>-</v>
          </cell>
          <cell r="D12557" t="str">
            <v>LIC MF Children's Fund-Direct Plan-Growth</v>
          </cell>
          <cell r="E12557">
            <v>37.4617</v>
          </cell>
        </row>
        <row r="12558">
          <cell r="B12558" t="str">
            <v>INF767K01048</v>
          </cell>
          <cell r="C12558" t="str">
            <v>-</v>
          </cell>
          <cell r="D12558" t="str">
            <v>LIC MF Children's Fund-Regular Plan-Growth</v>
          </cell>
          <cell r="E12558">
            <v>33.323099999999997</v>
          </cell>
        </row>
        <row r="12559">
          <cell r="B12559" t="str">
            <v/>
          </cell>
          <cell r="C12559" t="str">
            <v/>
          </cell>
          <cell r="D12559" t="str">
            <v/>
          </cell>
        </row>
        <row r="12560">
          <cell r="B12560" t="str">
            <v/>
          </cell>
          <cell r="C12560" t="str">
            <v/>
          </cell>
          <cell r="D12560" t="str">
            <v/>
          </cell>
        </row>
        <row r="12561">
          <cell r="B12561" t="str">
            <v/>
          </cell>
          <cell r="C12561" t="str">
            <v/>
          </cell>
          <cell r="D12561" t="str">
            <v/>
          </cell>
        </row>
        <row r="12562">
          <cell r="B12562" t="str">
            <v>INF200KA1R07</v>
          </cell>
          <cell r="C12562" t="str">
            <v>-</v>
          </cell>
          <cell r="D12562" t="str">
            <v>SBI Children's Fund - Investment Plan - Direct Plan - Growth</v>
          </cell>
          <cell r="E12562">
            <v>53.181399999999996</v>
          </cell>
        </row>
        <row r="12563">
          <cell r="B12563" t="str">
            <v>INF200KA1Q99</v>
          </cell>
          <cell r="C12563" t="str">
            <v>-</v>
          </cell>
          <cell r="D12563" t="str">
            <v>SBI Children's Fund - Investment Plan - Regular Plan - Growth</v>
          </cell>
          <cell r="E12563">
            <v>49.4649</v>
          </cell>
        </row>
        <row r="12564">
          <cell r="B12564" t="str">
            <v>INF200K01QR6</v>
          </cell>
          <cell r="C12564" t="str">
            <v>-</v>
          </cell>
          <cell r="D12564" t="str">
            <v>SBI Children's Fund - Savings Plan - DIRECT PLAN - GROWTH</v>
          </cell>
          <cell r="E12564">
            <v>129.4881</v>
          </cell>
        </row>
        <row r="12565">
          <cell r="B12565" t="str">
            <v>INF200K01776</v>
          </cell>
          <cell r="C12565" t="str">
            <v>-</v>
          </cell>
          <cell r="D12565" t="str">
            <v>SBI Children's Fund - Savings Plan - REGULAR PLAN - GROWTH</v>
          </cell>
          <cell r="E12565">
            <v>118.3462</v>
          </cell>
        </row>
        <row r="12566">
          <cell r="B12566" t="str">
            <v/>
          </cell>
          <cell r="C12566" t="str">
            <v/>
          </cell>
          <cell r="D12566" t="str">
            <v/>
          </cell>
        </row>
        <row r="12567">
          <cell r="B12567" t="str">
            <v/>
          </cell>
          <cell r="C12567" t="str">
            <v/>
          </cell>
          <cell r="D12567" t="str">
            <v/>
          </cell>
        </row>
        <row r="12568">
          <cell r="B12568" t="str">
            <v/>
          </cell>
          <cell r="C12568" t="str">
            <v/>
          </cell>
          <cell r="D12568" t="str">
            <v/>
          </cell>
        </row>
        <row r="12569">
          <cell r="B12569" t="str">
            <v>INF277K01AJ5</v>
          </cell>
          <cell r="C12569" t="str">
            <v>-</v>
          </cell>
          <cell r="D12569" t="str">
            <v>Tata Childrens Fund -Regular Plan-Growth Option</v>
          </cell>
          <cell r="E12569">
            <v>56.718899999999998</v>
          </cell>
        </row>
        <row r="12570">
          <cell r="B12570" t="str">
            <v>INF277K01QW4</v>
          </cell>
          <cell r="C12570" t="str">
            <v>-</v>
          </cell>
          <cell r="D12570" t="str">
            <v>Tata Childrens Fund-Direct Plan-Growth Option</v>
          </cell>
          <cell r="E12570">
            <v>63.4617</v>
          </cell>
        </row>
        <row r="12571">
          <cell r="B12571" t="str">
            <v/>
          </cell>
          <cell r="C12571" t="str">
            <v/>
          </cell>
          <cell r="D12571" t="str">
            <v/>
          </cell>
        </row>
        <row r="12572">
          <cell r="B12572" t="str">
            <v/>
          </cell>
          <cell r="C12572" t="str">
            <v/>
          </cell>
          <cell r="D12572" t="str">
            <v/>
          </cell>
        </row>
        <row r="12573">
          <cell r="B12573" t="str">
            <v/>
          </cell>
          <cell r="C12573" t="str">
            <v/>
          </cell>
          <cell r="D12573" t="str">
            <v/>
          </cell>
        </row>
        <row r="12574">
          <cell r="B12574" t="str">
            <v>INF582M01JK3</v>
          </cell>
          <cell r="C12574" t="str">
            <v>-</v>
          </cell>
          <cell r="D12574" t="str">
            <v>Union Children's Fund - Direct Plan - Growth Option</v>
          </cell>
          <cell r="E12574">
            <v>13.13</v>
          </cell>
        </row>
        <row r="12575">
          <cell r="B12575" t="str">
            <v>INF582M01JL1</v>
          </cell>
          <cell r="C12575" t="str">
            <v>-</v>
          </cell>
          <cell r="D12575" t="str">
            <v>Union Children's Fund - Direct Plan - IDCW Option</v>
          </cell>
          <cell r="E12575">
            <v>13.13</v>
          </cell>
        </row>
        <row r="12576">
          <cell r="B12576" t="str">
            <v>INF582M01JI7</v>
          </cell>
          <cell r="C12576" t="str">
            <v>-</v>
          </cell>
          <cell r="D12576" t="str">
            <v>Union Children's Fund - Regular Plan - Growth Option</v>
          </cell>
          <cell r="E12576">
            <v>12.7</v>
          </cell>
        </row>
        <row r="12577">
          <cell r="B12577" t="str">
            <v>INF582M01JJ5</v>
          </cell>
          <cell r="C12577" t="str">
            <v>-</v>
          </cell>
          <cell r="D12577" t="str">
            <v>Union Children's Fund - Regular Plan - IDCW Option</v>
          </cell>
          <cell r="E12577">
            <v>11.05</v>
          </cell>
        </row>
        <row r="12578">
          <cell r="B12578" t="str">
            <v/>
          </cell>
          <cell r="C12578" t="str">
            <v/>
          </cell>
          <cell r="D12578" t="str">
            <v/>
          </cell>
        </row>
        <row r="12579">
          <cell r="B12579" t="str">
            <v/>
          </cell>
          <cell r="C12579" t="str">
            <v/>
          </cell>
          <cell r="D12579" t="str">
            <v/>
          </cell>
        </row>
        <row r="12580">
          <cell r="B12580" t="str">
            <v/>
          </cell>
          <cell r="C12580" t="str">
            <v/>
          </cell>
          <cell r="D12580" t="str">
            <v/>
          </cell>
        </row>
        <row r="12581">
          <cell r="B12581" t="str">
            <v>INF789F1AZV0</v>
          </cell>
          <cell r="C12581" t="str">
            <v>-</v>
          </cell>
          <cell r="D12581" t="str">
            <v>UTI Children's Equity Fund - Direct Plan - Growth Option</v>
          </cell>
          <cell r="E12581">
            <v>90.4602</v>
          </cell>
        </row>
        <row r="12582">
          <cell r="B12582" t="str">
            <v>INF789F1AZZ1</v>
          </cell>
          <cell r="C12582" t="str">
            <v>-</v>
          </cell>
          <cell r="D12582" t="str">
            <v>UTI Children's Equity Fund - Direct Plan - IDCW</v>
          </cell>
          <cell r="E12582">
            <v>90.616399999999999</v>
          </cell>
        </row>
        <row r="12583">
          <cell r="B12583" t="str">
            <v>INF789F1AZT4</v>
          </cell>
          <cell r="C12583" t="str">
            <v>-</v>
          </cell>
          <cell r="D12583" t="str">
            <v>UTI Children's Equity Fund - Regular Plan - Growth Option</v>
          </cell>
          <cell r="E12583">
            <v>80.6096</v>
          </cell>
        </row>
        <row r="12584">
          <cell r="B12584" t="str">
            <v>INF789F1AZX6</v>
          </cell>
          <cell r="C12584" t="str">
            <v>-</v>
          </cell>
          <cell r="D12584" t="str">
            <v>UTI Children's Equity Fund - Regular Plan - IDCW</v>
          </cell>
          <cell r="E12584">
            <v>80.614500000000007</v>
          </cell>
        </row>
        <row r="12585">
          <cell r="B12585" t="str">
            <v>INF789F1AZR8</v>
          </cell>
          <cell r="C12585" t="str">
            <v>-</v>
          </cell>
          <cell r="D12585" t="str">
            <v>UTI Children's Hybrid Fund - Direct Plan</v>
          </cell>
          <cell r="E12585">
            <v>41.404800000000002</v>
          </cell>
        </row>
        <row r="12586">
          <cell r="B12586" t="str">
            <v>INF789F1AZP2</v>
          </cell>
          <cell r="C12586" t="str">
            <v>-</v>
          </cell>
          <cell r="D12586" t="str">
            <v>UTI Children's Hybrid Fund - Regular Plan</v>
          </cell>
          <cell r="E12586">
            <v>40.428100000000001</v>
          </cell>
        </row>
        <row r="12587">
          <cell r="B12587" t="str">
            <v/>
          </cell>
          <cell r="C12587" t="str">
            <v/>
          </cell>
          <cell r="D12587" t="str">
            <v/>
          </cell>
        </row>
        <row r="12588">
          <cell r="B12588" t="str">
            <v/>
          </cell>
          <cell r="C12588" t="str">
            <v/>
          </cell>
          <cell r="D12588" t="str">
            <v/>
          </cell>
        </row>
        <row r="12589">
          <cell r="B12589" t="str">
            <v/>
          </cell>
          <cell r="C12589" t="str">
            <v/>
          </cell>
          <cell r="D12589" t="str">
            <v/>
          </cell>
        </row>
        <row r="12590">
          <cell r="B12590" t="str">
            <v/>
          </cell>
          <cell r="C12590" t="str">
            <v/>
          </cell>
          <cell r="D12590" t="str">
            <v/>
          </cell>
        </row>
        <row r="12591">
          <cell r="B12591" t="str">
            <v/>
          </cell>
          <cell r="C12591" t="str">
            <v/>
          </cell>
          <cell r="D12591" t="str">
            <v/>
          </cell>
        </row>
        <row r="12592">
          <cell r="B12592" t="str">
            <v>INF209KB1I31</v>
          </cell>
          <cell r="C12592" t="str">
            <v>INF209KB1I49</v>
          </cell>
          <cell r="D12592" t="str">
            <v>Aditya Birla Sun Life Retirement Fund-The 30s Plan-Direct - Payout of IDCW</v>
          </cell>
          <cell r="E12592">
            <v>20.352</v>
          </cell>
        </row>
        <row r="12593">
          <cell r="B12593" t="str">
            <v>INF209KB1I23</v>
          </cell>
          <cell r="C12593" t="str">
            <v>-</v>
          </cell>
          <cell r="D12593" t="str">
            <v>Aditya Birla Sun Life Retirement Fund-The 30s Plan-Direct Growth</v>
          </cell>
          <cell r="E12593">
            <v>25.001999999999999</v>
          </cell>
        </row>
        <row r="12594">
          <cell r="B12594" t="str">
            <v>INF209KB1I07</v>
          </cell>
          <cell r="C12594" t="str">
            <v>INF209KB1I15</v>
          </cell>
          <cell r="D12594" t="str">
            <v>Aditya Birla Sun Life Retirement Fund-The 30s Plan-Regular - Payout of IDCW</v>
          </cell>
          <cell r="E12594">
            <v>18.207000000000001</v>
          </cell>
        </row>
        <row r="12595">
          <cell r="B12595" t="str">
            <v>INF209KB1H99</v>
          </cell>
          <cell r="C12595" t="str">
            <v>-</v>
          </cell>
          <cell r="D12595" t="str">
            <v>Aditya Birla Sun Life Retirement Fund-The 30s Plan-Regular Growth</v>
          </cell>
          <cell r="E12595">
            <v>22.364000000000001</v>
          </cell>
        </row>
        <row r="12596">
          <cell r="B12596" t="str">
            <v>INF209KB1I98</v>
          </cell>
          <cell r="C12596" t="str">
            <v>INF209KB1J06</v>
          </cell>
          <cell r="D12596" t="str">
            <v>Aditya Birla Sun Life Retirement Fund-The 40s Plan- Direct - Payout of IDCW</v>
          </cell>
          <cell r="E12596">
            <v>17.373000000000001</v>
          </cell>
        </row>
        <row r="12597">
          <cell r="B12597" t="str">
            <v>INF209KB1I80</v>
          </cell>
          <cell r="C12597" t="str">
            <v>-</v>
          </cell>
          <cell r="D12597" t="str">
            <v>Aditya Birla Sun Life Retirement Fund-The 40s Plan-Direct Plan-Growth</v>
          </cell>
          <cell r="E12597">
            <v>21.346</v>
          </cell>
        </row>
        <row r="12598">
          <cell r="B12598" t="str">
            <v>INF209KB1I64</v>
          </cell>
          <cell r="C12598" t="str">
            <v>-</v>
          </cell>
          <cell r="D12598" t="str">
            <v>Aditya Birla Sun Life Retirement Fund-The 40s Plan-Regular - Payout of IDCW</v>
          </cell>
          <cell r="E12598">
            <v>15.581</v>
          </cell>
        </row>
        <row r="12599">
          <cell r="B12599" t="str">
            <v>INF209KB1I56</v>
          </cell>
          <cell r="C12599" t="str">
            <v>INF209KB1I72</v>
          </cell>
          <cell r="D12599" t="str">
            <v>Aditya Birla Sun Life Retirement Fund-The 40s Plan-Regular Plan-Growth</v>
          </cell>
          <cell r="E12599">
            <v>19.143000000000001</v>
          </cell>
        </row>
        <row r="12600">
          <cell r="B12600" t="str">
            <v>INF209KB1J55</v>
          </cell>
          <cell r="C12600" t="str">
            <v>INF209KB1J63</v>
          </cell>
          <cell r="D12600" t="str">
            <v>Aditya Birla Sun Life Retirement Fund-The 50s Plan- Direct - Payout of IDCW</v>
          </cell>
          <cell r="E12600">
            <v>13.6211</v>
          </cell>
        </row>
        <row r="12601">
          <cell r="B12601" t="str">
            <v>INF209KB1J22</v>
          </cell>
          <cell r="C12601" t="str">
            <v>INF209KB1J30</v>
          </cell>
          <cell r="D12601" t="str">
            <v>Aditya Birla Sun Life Retirement Fund-The 50s Plan- Regular - Payout of IDCW</v>
          </cell>
          <cell r="E12601">
            <v>12.3126</v>
          </cell>
        </row>
        <row r="12602">
          <cell r="B12602" t="str">
            <v>INF209KB1J48</v>
          </cell>
          <cell r="C12602" t="str">
            <v>-</v>
          </cell>
          <cell r="D12602" t="str">
            <v>Aditya Birla Sun Life Retirement Fund-The 50s Plan-Direct Plan-Growth</v>
          </cell>
          <cell r="E12602">
            <v>16.7438</v>
          </cell>
        </row>
        <row r="12603">
          <cell r="B12603" t="str">
            <v>INF209KB1J14</v>
          </cell>
          <cell r="C12603" t="str">
            <v>-</v>
          </cell>
          <cell r="D12603" t="str">
            <v>Aditya Birla Sun Life Retirement Fund-The 50s Plan-Regular Plan-Growth</v>
          </cell>
          <cell r="E12603">
            <v>15.135</v>
          </cell>
        </row>
        <row r="12604">
          <cell r="B12604" t="str">
            <v>INF209KB1K11</v>
          </cell>
          <cell r="C12604" t="str">
            <v>INF209KB1K29</v>
          </cell>
          <cell r="D12604" t="str">
            <v>Aditya Birla Sun Life Retirement Fund-The 50s Plus-Debt Plan - Direct - Payout of IDCW</v>
          </cell>
          <cell r="E12604">
            <v>12.1356</v>
          </cell>
        </row>
        <row r="12605">
          <cell r="B12605" t="str">
            <v>INF209KB1J89</v>
          </cell>
          <cell r="C12605" t="str">
            <v>INF209KB1J97</v>
          </cell>
          <cell r="D12605" t="str">
            <v>Aditya Birla Sun Life Retirement Fund-The 50s Plus-Debt Plan - Regular - Payout of IDCW</v>
          </cell>
          <cell r="E12605">
            <v>11.0648</v>
          </cell>
        </row>
        <row r="12606">
          <cell r="B12606" t="str">
            <v>INF209KB1K03</v>
          </cell>
          <cell r="C12606" t="str">
            <v>-</v>
          </cell>
          <cell r="D12606" t="str">
            <v>Aditya Birla Sun Life Retirement Fund-The 50s Plus-Debt Plan-Direct Plan-Growth</v>
          </cell>
          <cell r="E12606">
            <v>14.9216</v>
          </cell>
        </row>
        <row r="12607">
          <cell r="B12607" t="str">
            <v>INF209KB1J71</v>
          </cell>
          <cell r="C12607" t="str">
            <v>-</v>
          </cell>
          <cell r="D12607" t="str">
            <v>Aditya Birla Sun Life Retirement Fund-The 50s Plus-Debt Plan-Regular Plan-Growth</v>
          </cell>
          <cell r="E12607">
            <v>13.6031</v>
          </cell>
        </row>
        <row r="12608">
          <cell r="B12608" t="str">
            <v/>
          </cell>
          <cell r="C12608" t="str">
            <v/>
          </cell>
          <cell r="D12608" t="str">
            <v/>
          </cell>
        </row>
        <row r="12609">
          <cell r="B12609" t="str">
            <v/>
          </cell>
          <cell r="C12609" t="str">
            <v/>
          </cell>
          <cell r="D12609" t="str">
            <v/>
          </cell>
        </row>
        <row r="12610">
          <cell r="B12610" t="str">
            <v/>
          </cell>
          <cell r="C12610" t="str">
            <v/>
          </cell>
          <cell r="D12610" t="str">
            <v/>
          </cell>
        </row>
        <row r="12611">
          <cell r="B12611" t="str">
            <v>INF846K01S86</v>
          </cell>
          <cell r="C12611" t="str">
            <v>-</v>
          </cell>
          <cell r="D12611" t="str">
            <v>Axis Retirement Fund - Aggressive Plan - Direct Growth</v>
          </cell>
          <cell r="E12611">
            <v>20.170000000000002</v>
          </cell>
        </row>
        <row r="12612">
          <cell r="B12612" t="str">
            <v>INF846K01S94</v>
          </cell>
          <cell r="C12612" t="str">
            <v>-</v>
          </cell>
          <cell r="D12612" t="str">
            <v>Axis Retirement Fund - Aggressive Plan - Direct Plan - IDCW</v>
          </cell>
          <cell r="E12612">
            <v>18.55</v>
          </cell>
        </row>
        <row r="12613">
          <cell r="B12613" t="str">
            <v>INF846K01T02</v>
          </cell>
          <cell r="C12613" t="str">
            <v>-</v>
          </cell>
          <cell r="D12613" t="str">
            <v>Axis Retirement Fund - Aggressive Plan - Regular Growth</v>
          </cell>
          <cell r="E12613">
            <v>18.27</v>
          </cell>
        </row>
        <row r="12614">
          <cell r="B12614" t="str">
            <v>INF846K01T10</v>
          </cell>
          <cell r="C12614" t="str">
            <v>-</v>
          </cell>
          <cell r="D12614" t="str">
            <v>Axis Retirement Fund - Aggressive Plan - Regular Plan - IDCW</v>
          </cell>
          <cell r="E12614">
            <v>16.84</v>
          </cell>
        </row>
        <row r="12615">
          <cell r="B12615" t="str">
            <v>INF846K01T69</v>
          </cell>
          <cell r="C12615" t="str">
            <v>-</v>
          </cell>
          <cell r="D12615" t="str">
            <v>Axis Retirement Fund - Conservative Plan - Direct Growth</v>
          </cell>
          <cell r="E12615">
            <v>17.619199999999999</v>
          </cell>
        </row>
        <row r="12616">
          <cell r="B12616" t="str">
            <v>INF846K01T77</v>
          </cell>
          <cell r="C12616" t="str">
            <v>-</v>
          </cell>
          <cell r="D12616" t="str">
            <v>Axis Retirement Fund - Conservative Plan - Direct Plan - IDCW</v>
          </cell>
          <cell r="E12616">
            <v>16.054500000000001</v>
          </cell>
        </row>
        <row r="12617">
          <cell r="B12617" t="str">
            <v>INF846K01T85</v>
          </cell>
          <cell r="C12617" t="str">
            <v>-</v>
          </cell>
          <cell r="D12617" t="str">
            <v>Axis Retirement Fund - Conservative Plan - Regular Growth</v>
          </cell>
          <cell r="E12617">
            <v>15.967499999999999</v>
          </cell>
        </row>
        <row r="12618">
          <cell r="B12618" t="str">
            <v>INF846K01T93</v>
          </cell>
          <cell r="C12618" t="str">
            <v>-</v>
          </cell>
          <cell r="D12618" t="str">
            <v>Axis Retirement Fund - Conservative Plan - Regular Plan - IDCW</v>
          </cell>
          <cell r="E12618">
            <v>14.714</v>
          </cell>
        </row>
        <row r="12619">
          <cell r="B12619" t="str">
            <v>INF846K01T28</v>
          </cell>
          <cell r="C12619" t="str">
            <v>-</v>
          </cell>
          <cell r="D12619" t="str">
            <v>Axis Retirement Fund - Dynamic Plan - Direct Growth</v>
          </cell>
          <cell r="E12619">
            <v>21.5</v>
          </cell>
        </row>
        <row r="12620">
          <cell r="B12620" t="str">
            <v>INF846K01T36</v>
          </cell>
          <cell r="C12620" t="str">
            <v>-</v>
          </cell>
          <cell r="D12620" t="str">
            <v>Axis Retirement Fund - Dynamic Plan - Direct Plan - IDCW</v>
          </cell>
          <cell r="E12620">
            <v>19.600000000000001</v>
          </cell>
        </row>
        <row r="12621">
          <cell r="B12621" t="str">
            <v>INF846K01T44</v>
          </cell>
          <cell r="C12621" t="str">
            <v>-</v>
          </cell>
          <cell r="D12621" t="str">
            <v>Axis Retirement Fund - Dynamic Plan - Regular Growth</v>
          </cell>
          <cell r="E12621">
            <v>19.39</v>
          </cell>
        </row>
        <row r="12622">
          <cell r="B12622" t="str">
            <v>INF846K01T51</v>
          </cell>
          <cell r="C12622" t="str">
            <v>-</v>
          </cell>
          <cell r="D12622" t="str">
            <v>Axis Retirement Fund - Dynamic Plan - Regular Plan - IDCW</v>
          </cell>
          <cell r="E12622">
            <v>17.88</v>
          </cell>
        </row>
        <row r="12623">
          <cell r="B12623" t="str">
            <v/>
          </cell>
          <cell r="C12623" t="str">
            <v/>
          </cell>
          <cell r="D12623" t="str">
            <v/>
          </cell>
        </row>
        <row r="12624">
          <cell r="B12624" t="str">
            <v/>
          </cell>
          <cell r="C12624" t="str">
            <v/>
          </cell>
          <cell r="D12624" t="str">
            <v/>
          </cell>
        </row>
        <row r="12625">
          <cell r="B12625" t="str">
            <v/>
          </cell>
          <cell r="C12625" t="str">
            <v/>
          </cell>
          <cell r="D12625" t="str">
            <v/>
          </cell>
        </row>
        <row r="12626">
          <cell r="B12626" t="str">
            <v>INF194KB1GU2</v>
          </cell>
          <cell r="C12626" t="str">
            <v>-</v>
          </cell>
          <cell r="D12626" t="str">
            <v>Bandhan Retirement Fund - Direct Plan - Growth</v>
          </cell>
          <cell r="E12626">
            <v>13.157999999999999</v>
          </cell>
        </row>
        <row r="12627">
          <cell r="B12627" t="str">
            <v>INF194KB1GV0</v>
          </cell>
          <cell r="C12627" t="str">
            <v>INF194KB1GW8</v>
          </cell>
          <cell r="D12627" t="str">
            <v>Bandhan Retirement Fund - Direct Plan - IDCW</v>
          </cell>
          <cell r="E12627">
            <v>13.148999999999999</v>
          </cell>
        </row>
        <row r="12628">
          <cell r="B12628" t="str">
            <v>INF194KB1GN7</v>
          </cell>
          <cell r="C12628" t="str">
            <v>-</v>
          </cell>
          <cell r="D12628" t="str">
            <v>Bandhan Retirement Fund - Regular Plan - Growth</v>
          </cell>
          <cell r="E12628">
            <v>12.568</v>
          </cell>
        </row>
        <row r="12629">
          <cell r="B12629" t="str">
            <v>INF194KB1GO5</v>
          </cell>
          <cell r="C12629" t="str">
            <v>INF194KB1GP2</v>
          </cell>
          <cell r="D12629" t="str">
            <v>Bandhan Retirement Fund - Regular Plan - IDCW</v>
          </cell>
          <cell r="E12629">
            <v>12.568</v>
          </cell>
        </row>
        <row r="12630">
          <cell r="B12630" t="str">
            <v/>
          </cell>
          <cell r="C12630" t="str">
            <v/>
          </cell>
          <cell r="D12630" t="str">
            <v/>
          </cell>
        </row>
        <row r="12631">
          <cell r="B12631" t="str">
            <v/>
          </cell>
          <cell r="C12631" t="str">
            <v/>
          </cell>
          <cell r="D12631" t="str">
            <v/>
          </cell>
        </row>
        <row r="12632">
          <cell r="B12632" t="str">
            <v/>
          </cell>
          <cell r="C12632" t="str">
            <v/>
          </cell>
          <cell r="D12632" t="str">
            <v/>
          </cell>
        </row>
        <row r="12633">
          <cell r="B12633" t="str">
            <v>INF251K01TJ0</v>
          </cell>
          <cell r="C12633" t="str">
            <v>-</v>
          </cell>
          <cell r="D12633" t="str">
            <v>Baroda BNP Paribas Retirement Fund - Direct plan - Growth option</v>
          </cell>
          <cell r="E12633">
            <v>11.8834</v>
          </cell>
        </row>
        <row r="12634">
          <cell r="B12634" t="str">
            <v>INF251K01TK8</v>
          </cell>
          <cell r="C12634" t="str">
            <v>-</v>
          </cell>
          <cell r="D12634" t="str">
            <v>Baroda BNP Paribas Retirement Fund - Direct plan - IDCW option</v>
          </cell>
          <cell r="E12634">
            <v>11.8834</v>
          </cell>
        </row>
        <row r="12635">
          <cell r="B12635" t="str">
            <v>INF251K01TH4</v>
          </cell>
          <cell r="C12635" t="str">
            <v>-</v>
          </cell>
          <cell r="D12635" t="str">
            <v>Baroda BNP Paribas Retirement Fund - Regular plan - Growth option</v>
          </cell>
          <cell r="E12635">
            <v>11.467599999999999</v>
          </cell>
        </row>
        <row r="12636">
          <cell r="B12636" t="str">
            <v>INF251K01TI2</v>
          </cell>
          <cell r="C12636" t="str">
            <v>-</v>
          </cell>
          <cell r="D12636" t="str">
            <v>Baroda BNP Paribas Retirement Fund - Regular plan - IDCW option</v>
          </cell>
          <cell r="E12636">
            <v>11.467599999999999</v>
          </cell>
        </row>
        <row r="12637">
          <cell r="B12637" t="str">
            <v/>
          </cell>
          <cell r="C12637" t="str">
            <v/>
          </cell>
          <cell r="D12637" t="str">
            <v/>
          </cell>
        </row>
        <row r="12638">
          <cell r="B12638" t="str">
            <v/>
          </cell>
          <cell r="C12638" t="str">
            <v/>
          </cell>
          <cell r="D12638" t="str">
            <v/>
          </cell>
        </row>
        <row r="12639">
          <cell r="B12639" t="str">
            <v/>
          </cell>
          <cell r="C12639" t="str">
            <v/>
          </cell>
          <cell r="D12639" t="str">
            <v/>
          </cell>
        </row>
        <row r="12640">
          <cell r="B12640" t="str">
            <v>INF090I01JZ3</v>
          </cell>
          <cell r="C12640" t="str">
            <v>-</v>
          </cell>
          <cell r="D12640" t="str">
            <v>Franklin India Retirement Fund - Direct - Growth</v>
          </cell>
          <cell r="E12640">
            <v>240.52670000000001</v>
          </cell>
        </row>
        <row r="12641">
          <cell r="B12641" t="str">
            <v>INF090I01KA4</v>
          </cell>
          <cell r="C12641" t="str">
            <v>INF090I01KB2</v>
          </cell>
          <cell r="D12641" t="str">
            <v>Franklin India Retirement Fund - Direct - IDCW</v>
          </cell>
          <cell r="E12641">
            <v>18.2956</v>
          </cell>
        </row>
        <row r="12642">
          <cell r="B12642" t="str">
            <v>INF090I01510</v>
          </cell>
          <cell r="C12642" t="str">
            <v>-</v>
          </cell>
          <cell r="D12642" t="str">
            <v>Franklin India Retirement Fund - Growth</v>
          </cell>
          <cell r="E12642">
            <v>217.7996</v>
          </cell>
        </row>
        <row r="12643">
          <cell r="B12643" t="str">
            <v>INF090I01528</v>
          </cell>
          <cell r="C12643" t="str">
            <v>INF090I01536</v>
          </cell>
          <cell r="D12643" t="str">
            <v>Franklin India Retirement Fund - IDCW</v>
          </cell>
          <cell r="E12643">
            <v>16.536799999999999</v>
          </cell>
        </row>
        <row r="12644">
          <cell r="B12644" t="str">
            <v/>
          </cell>
          <cell r="C12644" t="str">
            <v/>
          </cell>
          <cell r="D12644" t="str">
            <v/>
          </cell>
        </row>
        <row r="12645">
          <cell r="B12645" t="str">
            <v/>
          </cell>
          <cell r="C12645" t="str">
            <v/>
          </cell>
          <cell r="D12645" t="str">
            <v/>
          </cell>
        </row>
        <row r="12646">
          <cell r="B12646" t="str">
            <v/>
          </cell>
          <cell r="C12646" t="str">
            <v/>
          </cell>
          <cell r="D12646" t="str">
            <v/>
          </cell>
        </row>
        <row r="12647">
          <cell r="B12647" t="str">
            <v>INF179KB1MG8</v>
          </cell>
          <cell r="C12647" t="str">
            <v>-</v>
          </cell>
          <cell r="D12647" t="str">
            <v>HDFC Retirement Savings Fund - Equity Plan - Growth Option</v>
          </cell>
          <cell r="E12647">
            <v>48.189</v>
          </cell>
        </row>
        <row r="12648">
          <cell r="B12648" t="str">
            <v>INF179KB1MF0</v>
          </cell>
          <cell r="C12648" t="str">
            <v>-</v>
          </cell>
          <cell r="D12648" t="str">
            <v>HDFC Retirement Savings Fund - Equity Plan - Growth Option - Direct Plan</v>
          </cell>
          <cell r="E12648">
            <v>55.133000000000003</v>
          </cell>
        </row>
        <row r="12649">
          <cell r="B12649" t="str">
            <v>INF179KB1MK0</v>
          </cell>
          <cell r="C12649" t="str">
            <v>-</v>
          </cell>
          <cell r="D12649" t="str">
            <v>HDFC Retirement Savings Fund - Hybrid-Debt Plan - Growth Option</v>
          </cell>
          <cell r="E12649">
            <v>21.7883</v>
          </cell>
        </row>
        <row r="12650">
          <cell r="B12650" t="str">
            <v>INF179KB1MJ2</v>
          </cell>
          <cell r="C12650" t="str">
            <v>-</v>
          </cell>
          <cell r="D12650" t="str">
            <v>HDFC Retirement Savings Fund - Hybrid-Debt Plan - Growth Option - Direct Plan</v>
          </cell>
          <cell r="E12650">
            <v>24.843599999999999</v>
          </cell>
        </row>
        <row r="12651">
          <cell r="B12651" t="str">
            <v>INF179KB1MI4</v>
          </cell>
          <cell r="C12651" t="str">
            <v>-</v>
          </cell>
          <cell r="D12651" t="str">
            <v>HDFC Retirement Savings Fund - Hybrid-Equity Plan - Growth Option</v>
          </cell>
          <cell r="E12651">
            <v>37.109000000000002</v>
          </cell>
        </row>
        <row r="12652">
          <cell r="B12652" t="str">
            <v>INF179KB1MH6</v>
          </cell>
          <cell r="C12652" t="str">
            <v>-</v>
          </cell>
          <cell r="D12652" t="str">
            <v>HDFC Retirement Savings Fund - Hybrid-Equity Plan - Growth Option - Direct Plan</v>
          </cell>
          <cell r="E12652">
            <v>42.59</v>
          </cell>
        </row>
        <row r="12653">
          <cell r="B12653" t="str">
            <v/>
          </cell>
          <cell r="C12653" t="str">
            <v/>
          </cell>
          <cell r="D12653" t="str">
            <v/>
          </cell>
        </row>
        <row r="12654">
          <cell r="B12654" t="str">
            <v/>
          </cell>
          <cell r="C12654" t="str">
            <v/>
          </cell>
          <cell r="D12654" t="str">
            <v/>
          </cell>
        </row>
        <row r="12655">
          <cell r="B12655" t="str">
            <v/>
          </cell>
          <cell r="C12655" t="str">
            <v/>
          </cell>
          <cell r="D12655" t="str">
            <v/>
          </cell>
        </row>
        <row r="12656">
          <cell r="B12656" t="str">
            <v>INF109KC1TW4</v>
          </cell>
          <cell r="C12656" t="str">
            <v>-</v>
          </cell>
          <cell r="D12656" t="str">
            <v>ICICI Prudential Retirement Fund - Hybrid Aggressive - Direct Plan - Growth Option</v>
          </cell>
          <cell r="E12656">
            <v>31.09</v>
          </cell>
        </row>
        <row r="12657">
          <cell r="B12657" t="str">
            <v>INF109KC1TX2</v>
          </cell>
          <cell r="C12657" t="str">
            <v>-</v>
          </cell>
          <cell r="D12657" t="str">
            <v>ICICI Prudential Retirement Fund - Hybrid Aggressive - Direct Plan - IDCW Option</v>
          </cell>
          <cell r="E12657">
            <v>31.1</v>
          </cell>
        </row>
        <row r="12658">
          <cell r="B12658" t="str">
            <v>INF109KC1TU8</v>
          </cell>
          <cell r="C12658" t="str">
            <v>-</v>
          </cell>
          <cell r="D12658" t="str">
            <v>ICICI Prudential Retirement Fund - Hybrid Aggressive - Growth Option</v>
          </cell>
          <cell r="E12658">
            <v>27.76</v>
          </cell>
        </row>
        <row r="12659">
          <cell r="B12659" t="str">
            <v>INF109KC1TV6</v>
          </cell>
          <cell r="C12659" t="str">
            <v>-</v>
          </cell>
          <cell r="D12659" t="str">
            <v>ICICI Prudential Retirement Fund - Hybrid Aggressive - IDCW Option</v>
          </cell>
          <cell r="E12659">
            <v>27.75</v>
          </cell>
        </row>
        <row r="12660">
          <cell r="B12660" t="str">
            <v>INF109KC1UA8</v>
          </cell>
          <cell r="C12660" t="str">
            <v>-</v>
          </cell>
          <cell r="D12660" t="str">
            <v>ICICI Prudential Retirement Fund - Hybrid Conservative - Direct Plan - Growth Option</v>
          </cell>
          <cell r="E12660">
            <v>20.1158</v>
          </cell>
        </row>
        <row r="12661">
          <cell r="B12661" t="str">
            <v>INF109KC1UB6</v>
          </cell>
          <cell r="C12661" t="str">
            <v>-</v>
          </cell>
          <cell r="D12661" t="str">
            <v>ICICI Prudential Retirement Fund - Hybrid Conservative - Direct Plan - IDCW Option</v>
          </cell>
          <cell r="E12661">
            <v>20.115400000000001</v>
          </cell>
        </row>
        <row r="12662">
          <cell r="B12662" t="str">
            <v>INF109KC1TY0</v>
          </cell>
          <cell r="C12662" t="str">
            <v>-</v>
          </cell>
          <cell r="D12662" t="str">
            <v>ICICI Prudential Retirement Fund - Hybrid Conservative - Growth Option</v>
          </cell>
          <cell r="E12662">
            <v>18.244800000000001</v>
          </cell>
        </row>
        <row r="12663">
          <cell r="B12663" t="str">
            <v>INF109KC1TZ7</v>
          </cell>
          <cell r="C12663" t="str">
            <v>-</v>
          </cell>
          <cell r="D12663" t="str">
            <v>ICICI Prudential Retirement Fund - Hybrid Conservative - IDCW Option</v>
          </cell>
          <cell r="E12663">
            <v>18.244700000000002</v>
          </cell>
        </row>
        <row r="12664">
          <cell r="B12664" t="str">
            <v>INF109KC1UE0</v>
          </cell>
          <cell r="C12664" t="str">
            <v>-</v>
          </cell>
          <cell r="D12664" t="str">
            <v>ICICI Prudential Retirement Fund - Pure Debt - Direct Plan - Growth Option</v>
          </cell>
          <cell r="E12664">
            <v>17.158200000000001</v>
          </cell>
        </row>
        <row r="12665">
          <cell r="B12665" t="str">
            <v>INF109KC1UF7</v>
          </cell>
          <cell r="C12665" t="str">
            <v>-</v>
          </cell>
          <cell r="D12665" t="str">
            <v>ICICI Prudential Retirement Fund - Pure Debt - Direct Plan - IDCW Option</v>
          </cell>
          <cell r="E12665">
            <v>17.158100000000001</v>
          </cell>
        </row>
        <row r="12666">
          <cell r="B12666" t="str">
            <v>INF109KC1UC4</v>
          </cell>
          <cell r="C12666" t="str">
            <v>-</v>
          </cell>
          <cell r="D12666" t="str">
            <v>ICICI Prudential Retirement Fund - Pure Debt - Growth Option</v>
          </cell>
          <cell r="E12666">
            <v>15.661099999999999</v>
          </cell>
        </row>
        <row r="12667">
          <cell r="B12667" t="str">
            <v>INF109KC1UD2</v>
          </cell>
          <cell r="C12667" t="str">
            <v>-</v>
          </cell>
          <cell r="D12667" t="str">
            <v>ICICI Prudential Retirement Fund - Pure Debt - IDCW Option</v>
          </cell>
          <cell r="E12667">
            <v>15.661300000000001</v>
          </cell>
        </row>
        <row r="12668">
          <cell r="B12668" t="str">
            <v>INF109KC1TS2</v>
          </cell>
          <cell r="C12668" t="str">
            <v>-</v>
          </cell>
          <cell r="D12668" t="str">
            <v>ICICI Prudential Retirement Fund - Pure Equity - Direct Plan - Growth Option</v>
          </cell>
          <cell r="E12668">
            <v>39.06</v>
          </cell>
        </row>
        <row r="12669">
          <cell r="B12669" t="str">
            <v>INF109KC1TT0</v>
          </cell>
          <cell r="C12669" t="str">
            <v>-</v>
          </cell>
          <cell r="D12669" t="str">
            <v>ICICI Prudential Retirement Fund - Pure Equity - Direct Plan - IDCW Option</v>
          </cell>
          <cell r="E12669">
            <v>39.04</v>
          </cell>
        </row>
        <row r="12670">
          <cell r="B12670" t="str">
            <v>INF109KC1TQ6</v>
          </cell>
          <cell r="C12670" t="str">
            <v>-</v>
          </cell>
          <cell r="D12670" t="str">
            <v>ICICI Prudential Retirement Fund - Pure Equity - Growth Option</v>
          </cell>
          <cell r="E12670">
            <v>34.96</v>
          </cell>
        </row>
        <row r="12671">
          <cell r="B12671" t="str">
            <v>INF109KC1TR4</v>
          </cell>
          <cell r="C12671" t="str">
            <v>-</v>
          </cell>
          <cell r="D12671" t="str">
            <v>ICICI Prudential Retirement Fund - Pure Equity - IDCW Option</v>
          </cell>
          <cell r="E12671">
            <v>34.96</v>
          </cell>
        </row>
        <row r="12672">
          <cell r="B12672" t="str">
            <v/>
          </cell>
          <cell r="C12672" t="str">
            <v/>
          </cell>
          <cell r="D12672" t="str">
            <v/>
          </cell>
        </row>
        <row r="12673">
          <cell r="B12673" t="str">
            <v/>
          </cell>
          <cell r="C12673" t="str">
            <v/>
          </cell>
          <cell r="D12673" t="str">
            <v/>
          </cell>
        </row>
        <row r="12674">
          <cell r="B12674" t="str">
            <v/>
          </cell>
          <cell r="C12674" t="str">
            <v/>
          </cell>
          <cell r="D12674" t="str">
            <v/>
          </cell>
        </row>
        <row r="12675">
          <cell r="B12675" t="str">
            <v>INF204KA1C71</v>
          </cell>
          <cell r="C12675" t="str">
            <v>-</v>
          </cell>
          <cell r="D12675" t="str">
            <v>NIPPON INDIA RETIREMENT FUND - INCOME GENERATION SCHEME - Direct Plan - IDCW Option</v>
          </cell>
          <cell r="E12675">
            <v>23.402000000000001</v>
          </cell>
        </row>
        <row r="12676">
          <cell r="B12676" t="str">
            <v>INF204KA1C63</v>
          </cell>
          <cell r="C12676" t="str">
            <v>-</v>
          </cell>
          <cell r="D12676" t="str">
            <v>NIPPON INDIA RETIREMENT FUND - INCOME GENERATION SCHEME - IDCW Option</v>
          </cell>
          <cell r="E12676">
            <v>20.332899999999999</v>
          </cell>
        </row>
        <row r="12677">
          <cell r="B12677" t="str">
            <v>INF204KA1C30</v>
          </cell>
          <cell r="C12677" t="str">
            <v>-</v>
          </cell>
          <cell r="D12677" t="str">
            <v>Nippon India Retirement Fund- Income Generation Scheme- Direct Plan- Growth Plan - Growth Option</v>
          </cell>
          <cell r="E12677">
            <v>23.402000000000001</v>
          </cell>
        </row>
        <row r="12678">
          <cell r="B12678" t="str">
            <v>INF204KA1C55</v>
          </cell>
          <cell r="C12678" t="str">
            <v>-</v>
          </cell>
          <cell r="D12678" t="str">
            <v>Nippon India Retirement Fund- Income Generation Scheme- Direct Plan-Growth Plan- Bonus Option</v>
          </cell>
          <cell r="E12678">
            <v>23.402000000000001</v>
          </cell>
        </row>
        <row r="12679">
          <cell r="B12679" t="str">
            <v>INF204KA1C48</v>
          </cell>
          <cell r="C12679" t="str">
            <v>-</v>
          </cell>
          <cell r="D12679" t="str">
            <v>Nippon India Retirement Fund- Income Generation Scheme- Growth Plan- Bonus Option</v>
          </cell>
          <cell r="E12679">
            <v>20.330100000000002</v>
          </cell>
        </row>
        <row r="12680">
          <cell r="B12680" t="str">
            <v>INF204KA1C22</v>
          </cell>
          <cell r="C12680" t="str">
            <v>-</v>
          </cell>
          <cell r="D12680" t="str">
            <v>Nippon India Retirement Fund- Income Generation Scheme-Growth Plan - Growth Option</v>
          </cell>
          <cell r="E12680">
            <v>20.330100000000002</v>
          </cell>
        </row>
        <row r="12681">
          <cell r="B12681" t="str">
            <v>INF204KA1C14</v>
          </cell>
          <cell r="C12681" t="str">
            <v>-</v>
          </cell>
          <cell r="D12681" t="str">
            <v>NIPPON INDIA RETIREMENT FUND - WEALTH CREATION SCHEME - Direct Plan - IDCW Option</v>
          </cell>
          <cell r="E12681">
            <v>22.455500000000001</v>
          </cell>
        </row>
        <row r="12682">
          <cell r="B12682" t="str">
            <v>INF204KA1C06</v>
          </cell>
          <cell r="C12682" t="str">
            <v>-</v>
          </cell>
          <cell r="D12682" t="str">
            <v>NIPPON INDIA RETIREMENT FUND - WEALTH CREATION SCHEME - IDCW Option</v>
          </cell>
          <cell r="E12682">
            <v>19.131</v>
          </cell>
        </row>
        <row r="12683">
          <cell r="B12683" t="str">
            <v>INF204KA1B72</v>
          </cell>
          <cell r="C12683" t="str">
            <v>-</v>
          </cell>
          <cell r="D12683" t="str">
            <v>Nippon India Retirement Fund- Wealth Creation Scheme- Direct Plan- Growth Plan - Growth Option</v>
          </cell>
          <cell r="E12683">
            <v>32.420499999999997</v>
          </cell>
        </row>
        <row r="12684">
          <cell r="B12684" t="str">
            <v>INF204KA1B98</v>
          </cell>
          <cell r="C12684" t="str">
            <v>-</v>
          </cell>
          <cell r="D12684" t="str">
            <v>Nippon India Retirement Fund- Wealth Creation Scheme- Direct Plan-Growth Plan- Bonus Option</v>
          </cell>
          <cell r="E12684">
            <v>32.420499999999997</v>
          </cell>
        </row>
        <row r="12685">
          <cell r="B12685" t="str">
            <v>INF204KA1B64</v>
          </cell>
          <cell r="C12685" t="str">
            <v>-</v>
          </cell>
          <cell r="D12685" t="str">
            <v>Nippon India Retirement Fund- Wealth Creation Scheme- Growth Plan - Growth Option</v>
          </cell>
          <cell r="E12685">
            <v>28.507200000000001</v>
          </cell>
        </row>
        <row r="12686">
          <cell r="B12686" t="str">
            <v>INF204KA1B80</v>
          </cell>
          <cell r="C12686" t="str">
            <v>-</v>
          </cell>
          <cell r="D12686" t="str">
            <v>Nippon India Retirement Fund- Wealth Creation Scheme- Growth Plan- Bonus Option</v>
          </cell>
          <cell r="E12686">
            <v>28.507200000000001</v>
          </cell>
        </row>
        <row r="12687">
          <cell r="B12687" t="str">
            <v/>
          </cell>
          <cell r="C12687" t="str">
            <v/>
          </cell>
          <cell r="D12687" t="str">
            <v/>
          </cell>
        </row>
        <row r="12688">
          <cell r="B12688" t="str">
            <v/>
          </cell>
          <cell r="C12688" t="str">
            <v/>
          </cell>
          <cell r="D12688" t="str">
            <v/>
          </cell>
        </row>
        <row r="12689">
          <cell r="B12689" t="str">
            <v/>
          </cell>
          <cell r="C12689" t="str">
            <v/>
          </cell>
          <cell r="D12689" t="str">
            <v/>
          </cell>
        </row>
        <row r="12690">
          <cell r="B12690" t="str">
            <v>INF663L01Y61</v>
          </cell>
          <cell r="C12690" t="str">
            <v>-</v>
          </cell>
          <cell r="D12690" t="str">
            <v>PGIM India Retirement Fund - Direct Plan - Growth Option</v>
          </cell>
          <cell r="E12690">
            <v>12.65</v>
          </cell>
        </row>
        <row r="12691">
          <cell r="B12691" t="str">
            <v>INF663L01Y79</v>
          </cell>
          <cell r="C12691" t="str">
            <v>-</v>
          </cell>
          <cell r="D12691" t="str">
            <v>PGIM India Retirement Fund - Direct Plan - IDCW Payout Option</v>
          </cell>
          <cell r="E12691">
            <v>12.65</v>
          </cell>
        </row>
        <row r="12692">
          <cell r="B12692" t="str">
            <v>INF663L01Y46</v>
          </cell>
          <cell r="C12692" t="str">
            <v>-</v>
          </cell>
          <cell r="D12692" t="str">
            <v>PGIM India Retirement Fund - Regular Plan - Growth Option</v>
          </cell>
          <cell r="E12692">
            <v>12.19</v>
          </cell>
        </row>
        <row r="12693">
          <cell r="B12693" t="str">
            <v>INF663L01Y53</v>
          </cell>
          <cell r="C12693" t="str">
            <v>-</v>
          </cell>
          <cell r="D12693" t="str">
            <v>PGIM India Retirement Fund - Regular Plan - IDCW Payout Option</v>
          </cell>
          <cell r="E12693">
            <v>12.19</v>
          </cell>
        </row>
        <row r="12694">
          <cell r="B12694" t="str">
            <v/>
          </cell>
          <cell r="C12694" t="str">
            <v/>
          </cell>
          <cell r="D12694" t="str">
            <v/>
          </cell>
        </row>
        <row r="12695">
          <cell r="B12695" t="str">
            <v/>
          </cell>
          <cell r="C12695" t="str">
            <v/>
          </cell>
          <cell r="D12695" t="str">
            <v/>
          </cell>
        </row>
        <row r="12696">
          <cell r="B12696" t="str">
            <v/>
          </cell>
          <cell r="C12696" t="str">
            <v/>
          </cell>
          <cell r="D12696" t="str">
            <v/>
          </cell>
        </row>
        <row r="12697">
          <cell r="B12697" t="str">
            <v>INF200KA1S97</v>
          </cell>
          <cell r="C12697" t="str">
            <v>-</v>
          </cell>
          <cell r="D12697" t="str">
            <v>SBI Retirement Benefit Fund - Aggressive Hybrid Plan - Direct Plan - Growth</v>
          </cell>
          <cell r="E12697">
            <v>20.4941</v>
          </cell>
        </row>
        <row r="12698">
          <cell r="B12698" t="str">
            <v>INF200KA1T05</v>
          </cell>
          <cell r="C12698" t="str">
            <v>-</v>
          </cell>
          <cell r="D12698" t="str">
            <v>SBI Retirement Benefit Fund - Aggressive Hybrid Plan - Direct Plan - Income Distribution cum Capital Withdrawal Option (IDCW)</v>
          </cell>
          <cell r="E12698">
            <v>20.496200000000002</v>
          </cell>
        </row>
        <row r="12699">
          <cell r="B12699" t="str">
            <v>INF200KA1S71</v>
          </cell>
          <cell r="C12699" t="str">
            <v>-</v>
          </cell>
          <cell r="D12699" t="str">
            <v>SBI Retirement Benefit Fund - Aggressive Hybrid Plan - Regular Plan - Growth</v>
          </cell>
          <cell r="E12699">
            <v>19.257400000000001</v>
          </cell>
        </row>
        <row r="12700">
          <cell r="B12700" t="str">
            <v>INF200KA1S89</v>
          </cell>
          <cell r="C12700" t="str">
            <v>-</v>
          </cell>
          <cell r="D12700" t="str">
            <v>SBI Retirement Benefit Fund - Aggressive Hybrid Plan - Regular Plan - Income Distribution cum Capital Withdrawal Option (IDCW)</v>
          </cell>
          <cell r="E12700">
            <v>19.256900000000002</v>
          </cell>
        </row>
        <row r="12701">
          <cell r="B12701" t="str">
            <v>INF200KA1S55</v>
          </cell>
          <cell r="C12701" t="str">
            <v>-</v>
          </cell>
          <cell r="D12701" t="str">
            <v>SBI Retirement Benefit Fund - Aggressive Plan - Direct Plan - Growth</v>
          </cell>
          <cell r="E12701">
            <v>21.377199999999998</v>
          </cell>
        </row>
        <row r="12702">
          <cell r="B12702" t="str">
            <v>INF200KA1S63</v>
          </cell>
          <cell r="C12702" t="str">
            <v>-</v>
          </cell>
          <cell r="D12702" t="str">
            <v>SBI Retirement Benefit Fund - Aggressive Plan - Direct Plan - Income Distribution cum Capital Withdrawal Option (IDCW)</v>
          </cell>
          <cell r="E12702">
            <v>21.3658</v>
          </cell>
        </row>
        <row r="12703">
          <cell r="B12703" t="str">
            <v>INF200KA1S30</v>
          </cell>
          <cell r="C12703" t="str">
            <v>-</v>
          </cell>
          <cell r="D12703" t="str">
            <v>SBI Retirement Benefit Fund - Aggressive Plan - Regular Plan - Growth</v>
          </cell>
          <cell r="E12703">
            <v>19.9773</v>
          </cell>
        </row>
        <row r="12704">
          <cell r="B12704" t="str">
            <v>INF200KA1S48</v>
          </cell>
          <cell r="C12704" t="str">
            <v>-</v>
          </cell>
          <cell r="D12704" t="str">
            <v>SBI Retirement Benefit Fund - Aggressive Plan - Regular Plan - Income Distribution cum Capital Withdrawal Option (IDCW)</v>
          </cell>
          <cell r="E12704">
            <v>19.977799999999998</v>
          </cell>
        </row>
        <row r="12705">
          <cell r="B12705" t="str">
            <v>INF200KA1T70</v>
          </cell>
          <cell r="C12705" t="str">
            <v>-</v>
          </cell>
          <cell r="D12705" t="str">
            <v>SBI Retirement Benefit Fund - Conservative Hybrid Plan - Direct Plan - Growth</v>
          </cell>
          <cell r="E12705">
            <v>16.275300000000001</v>
          </cell>
        </row>
        <row r="12706">
          <cell r="B12706" t="str">
            <v>INF200KA1T88</v>
          </cell>
          <cell r="C12706" t="str">
            <v>-</v>
          </cell>
          <cell r="D12706" t="str">
            <v>SBI Retirement Benefit Fund - Conservative Hybrid Plan - Direct Plan - Income Distribution cum Capital Withdrawal Option (IDCW)</v>
          </cell>
          <cell r="E12706">
            <v>16.273199999999999</v>
          </cell>
        </row>
        <row r="12707">
          <cell r="B12707" t="str">
            <v>INF200KA1T54</v>
          </cell>
          <cell r="C12707" t="str">
            <v>-</v>
          </cell>
          <cell r="D12707" t="str">
            <v>SBI Retirement Benefit Fund - Conservative Hybrid Plan - Regular Plan - Growth</v>
          </cell>
          <cell r="E12707">
            <v>15.757899999999999</v>
          </cell>
        </row>
        <row r="12708">
          <cell r="B12708" t="str">
            <v>INF200KA1T62</v>
          </cell>
          <cell r="C12708" t="str">
            <v>-</v>
          </cell>
          <cell r="D12708" t="str">
            <v>SBI Retirement Benefit Fund - Conservative Hybrid Plan - Regular Plan - Income Distribution cum Capital Withdrawal Option (IDCW)</v>
          </cell>
          <cell r="E12708">
            <v>15.759600000000001</v>
          </cell>
        </row>
        <row r="12709">
          <cell r="B12709" t="str">
            <v>INF200KA1T39</v>
          </cell>
          <cell r="C12709" t="str">
            <v>-</v>
          </cell>
          <cell r="D12709" t="str">
            <v>SBI Retirement Benefit Fund - Conservative Plan - Direct Plan - Growth</v>
          </cell>
          <cell r="E12709">
            <v>14.972099999999999</v>
          </cell>
        </row>
        <row r="12710">
          <cell r="B12710" t="str">
            <v>INF200KA1T47</v>
          </cell>
          <cell r="C12710" t="str">
            <v>-</v>
          </cell>
          <cell r="D12710" t="str">
            <v>SBI Retirement Benefit Fund - Conservative Plan - Direct Plan - Income Distribution cum Capital Withdrawal Option (IDCW)</v>
          </cell>
          <cell r="E12710">
            <v>14.969900000000001</v>
          </cell>
        </row>
        <row r="12711">
          <cell r="B12711" t="str">
            <v>INF200KA1T13</v>
          </cell>
          <cell r="C12711" t="str">
            <v>-</v>
          </cell>
          <cell r="D12711" t="str">
            <v>SBI Retirement Benefit Fund - Conservative Plan - Regular Plan - Growth</v>
          </cell>
          <cell r="E12711">
            <v>14.576700000000001</v>
          </cell>
        </row>
        <row r="12712">
          <cell r="B12712" t="str">
            <v>INF200KA1T21</v>
          </cell>
          <cell r="C12712" t="str">
            <v>-</v>
          </cell>
          <cell r="D12712" t="str">
            <v>SBI Retirement Benefit Fund - Conservative Plan - Regular Plan - Income Distribution cum Capital Withdrawal Option (IDCW)</v>
          </cell>
          <cell r="E12712">
            <v>14.576599999999999</v>
          </cell>
        </row>
        <row r="12713">
          <cell r="B12713" t="str">
            <v/>
          </cell>
          <cell r="C12713" t="str">
            <v/>
          </cell>
          <cell r="D12713" t="str">
            <v/>
          </cell>
        </row>
        <row r="12714">
          <cell r="B12714" t="str">
            <v/>
          </cell>
          <cell r="C12714" t="str">
            <v/>
          </cell>
          <cell r="D12714" t="str">
            <v/>
          </cell>
        </row>
        <row r="12715">
          <cell r="B12715" t="str">
            <v/>
          </cell>
          <cell r="C12715" t="str">
            <v/>
          </cell>
          <cell r="D12715" t="str">
            <v/>
          </cell>
        </row>
        <row r="12716">
          <cell r="B12716" t="str">
            <v>INF277K01QM5</v>
          </cell>
          <cell r="C12716" t="str">
            <v>-</v>
          </cell>
          <cell r="D12716" t="str">
            <v>Tata Retirement Savings Fund- Conservative Plan-Direct Plan-Growth Option</v>
          </cell>
          <cell r="E12716">
            <v>38.870399999999997</v>
          </cell>
        </row>
        <row r="12717">
          <cell r="B12717" t="str">
            <v>INF277K01FI6</v>
          </cell>
          <cell r="C12717" t="str">
            <v>-</v>
          </cell>
          <cell r="D12717" t="str">
            <v>Tata Retirement Savings Fund- Conservative Plan-Regular Plan-Growth Option</v>
          </cell>
          <cell r="E12717">
            <v>32.805</v>
          </cell>
        </row>
        <row r="12718">
          <cell r="B12718" t="str">
            <v>INF277K01QN3</v>
          </cell>
          <cell r="C12718" t="str">
            <v>-</v>
          </cell>
          <cell r="D12718" t="str">
            <v>Tata Retirement Savings Fund- Moderate Plan -Direct Plan-Growth Option</v>
          </cell>
          <cell r="E12718">
            <v>81.477699999999999</v>
          </cell>
        </row>
        <row r="12719">
          <cell r="B12719" t="str">
            <v>INF277K01FH8</v>
          </cell>
          <cell r="C12719" t="str">
            <v>-</v>
          </cell>
          <cell r="D12719" t="str">
            <v>Tata Retirement Savings Fund- Moderate Plan-Regular Plan-Growth Option</v>
          </cell>
          <cell r="E12719">
            <v>67.472700000000003</v>
          </cell>
        </row>
        <row r="12720">
          <cell r="B12720" t="str">
            <v>INF277K01FG0</v>
          </cell>
          <cell r="C12720" t="str">
            <v>-</v>
          </cell>
          <cell r="D12720" t="str">
            <v>Tata Retirement Savings Fund - Progressive Plan -Regular Plan-Growth Option</v>
          </cell>
          <cell r="E12720">
            <v>68.517399999999995</v>
          </cell>
        </row>
        <row r="12721">
          <cell r="B12721" t="str">
            <v>INF277K01QO1</v>
          </cell>
          <cell r="C12721" t="str">
            <v>-</v>
          </cell>
          <cell r="D12721" t="str">
            <v>Tata Retirement Savings Fund- Progressive Plan -Direct Plan-Growth Option</v>
          </cell>
          <cell r="E12721">
            <v>84.418300000000002</v>
          </cell>
        </row>
        <row r="12722">
          <cell r="B12722" t="str">
            <v/>
          </cell>
          <cell r="C12722" t="str">
            <v/>
          </cell>
          <cell r="D12722" t="str">
            <v/>
          </cell>
        </row>
        <row r="12723">
          <cell r="B12723" t="str">
            <v/>
          </cell>
          <cell r="C12723" t="str">
            <v/>
          </cell>
          <cell r="D12723" t="str">
            <v/>
          </cell>
        </row>
        <row r="12724">
          <cell r="B12724" t="str">
            <v/>
          </cell>
          <cell r="C12724" t="str">
            <v/>
          </cell>
          <cell r="D12724" t="str">
            <v/>
          </cell>
        </row>
        <row r="12725">
          <cell r="B12725" t="str">
            <v>INF582M01IK5</v>
          </cell>
          <cell r="C12725" t="str">
            <v>-</v>
          </cell>
          <cell r="D12725" t="str">
            <v>Union Retirement Fund - Direct Plan - Growth Option</v>
          </cell>
          <cell r="E12725">
            <v>17.39</v>
          </cell>
        </row>
        <row r="12726">
          <cell r="B12726" t="str">
            <v>INF582M01IL3</v>
          </cell>
          <cell r="C12726" t="str">
            <v>-</v>
          </cell>
          <cell r="D12726" t="str">
            <v>Union Retirement Fund - Direct Plan - IDCW Option</v>
          </cell>
          <cell r="E12726">
            <v>17.39</v>
          </cell>
        </row>
        <row r="12727">
          <cell r="B12727" t="str">
            <v>INF582M01IM1</v>
          </cell>
          <cell r="C12727" t="str">
            <v>-</v>
          </cell>
          <cell r="D12727" t="str">
            <v>Union Retirement Fund - Regular Plan - Growth Option</v>
          </cell>
          <cell r="E12727">
            <v>16.48</v>
          </cell>
        </row>
        <row r="12728">
          <cell r="B12728" t="str">
            <v>INF582M01IN9</v>
          </cell>
          <cell r="C12728" t="str">
            <v>-</v>
          </cell>
          <cell r="D12728" t="str">
            <v>Union Retirement Fund - Regular Plan - IDCW Option</v>
          </cell>
          <cell r="E12728">
            <v>16.48</v>
          </cell>
        </row>
        <row r="12729">
          <cell r="B12729" t="str">
            <v/>
          </cell>
          <cell r="C12729" t="str">
            <v/>
          </cell>
          <cell r="D12729" t="str">
            <v/>
          </cell>
        </row>
        <row r="12730">
          <cell r="B12730" t="str">
            <v/>
          </cell>
          <cell r="C12730" t="str">
            <v/>
          </cell>
          <cell r="D12730" t="str">
            <v/>
          </cell>
        </row>
        <row r="12731">
          <cell r="B12731" t="str">
            <v/>
          </cell>
          <cell r="C12731" t="str">
            <v/>
          </cell>
          <cell r="D12731" t="str">
            <v/>
          </cell>
        </row>
        <row r="12732">
          <cell r="B12732" t="str">
            <v>INF789F1AA56</v>
          </cell>
          <cell r="C12732" t="str">
            <v>-</v>
          </cell>
          <cell r="D12732" t="str">
            <v>UTI Retirement Fund - Regular Plan</v>
          </cell>
          <cell r="E12732">
            <v>50.494999999999997</v>
          </cell>
        </row>
        <row r="12733">
          <cell r="B12733" t="str">
            <v>INF789F1AA64</v>
          </cell>
          <cell r="C12733" t="str">
            <v>-</v>
          </cell>
          <cell r="D12733" t="str">
            <v>UTI Retirement Fund- Direct Plan</v>
          </cell>
          <cell r="E12733">
            <v>54.8018</v>
          </cell>
        </row>
        <row r="12734">
          <cell r="B12734" t="str">
            <v/>
          </cell>
          <cell r="C12734" t="str">
            <v/>
          </cell>
          <cell r="D12734" t="str">
            <v/>
          </cell>
        </row>
        <row r="12735">
          <cell r="B12735" t="str">
            <v/>
          </cell>
          <cell r="C12735" t="str">
            <v/>
          </cell>
          <cell r="D12735" t="str">
            <v/>
          </cell>
        </row>
        <row r="12736">
          <cell r="B12736" t="str">
            <v/>
          </cell>
          <cell r="C12736" t="str">
            <v/>
          </cell>
          <cell r="D12736" t="str">
            <v/>
          </cell>
        </row>
        <row r="12737">
          <cell r="B12737" t="str">
            <v/>
          </cell>
          <cell r="C12737" t="str">
            <v/>
          </cell>
          <cell r="D12737" t="str">
            <v/>
          </cell>
        </row>
        <row r="12738">
          <cell r="B12738" t="str">
            <v/>
          </cell>
          <cell r="C12738" t="str">
            <v/>
          </cell>
          <cell r="D12738" t="str">
            <v/>
          </cell>
        </row>
        <row r="12739">
          <cell r="B12739" t="str">
            <v>-</v>
          </cell>
          <cell r="C12739" t="str">
            <v>INF174KA1DD0</v>
          </cell>
          <cell r="D12739" t="str">
            <v>Kotak Monthly Interval Plan Series 4-Direct Plan- Dividend Reinvestment</v>
          </cell>
          <cell r="E12739">
            <v>10.0087785</v>
          </cell>
        </row>
        <row r="12740">
          <cell r="B12740" t="str">
            <v>INF174KA1DB4</v>
          </cell>
          <cell r="C12740" t="str">
            <v>-</v>
          </cell>
          <cell r="D12740" t="str">
            <v>Kotak Monthly Interval Plan Series 4-Direct Plan- Growth</v>
          </cell>
          <cell r="E12740">
            <v>1E-4</v>
          </cell>
        </row>
        <row r="12741">
          <cell r="B12741" t="str">
            <v>-</v>
          </cell>
          <cell r="C12741" t="str">
            <v>INF174KA1DC2</v>
          </cell>
          <cell r="D12741" t="str">
            <v>Kotak Monthly Interval Plan Series 4-Regular Plan- Dividend Reinvestment</v>
          </cell>
          <cell r="E12741">
            <v>10.00871954</v>
          </cell>
        </row>
        <row r="12742">
          <cell r="B12742" t="str">
            <v>INF174KA1CZ5</v>
          </cell>
          <cell r="C12742" t="str">
            <v>-</v>
          </cell>
          <cell r="D12742" t="str">
            <v>Kotak Monthly Interval Plan Series 4-Regular Plan- Growth</v>
          </cell>
          <cell r="E12742">
            <v>10.07183073</v>
          </cell>
        </row>
        <row r="12743">
          <cell r="B12743" t="str">
            <v>INF174KA1913</v>
          </cell>
          <cell r="C12743" t="str">
            <v>-</v>
          </cell>
          <cell r="D12743" t="str">
            <v>Kotak Quarterly Interval Plan Series 12-Direct Plan-Growth</v>
          </cell>
          <cell r="E12743">
            <v>10.40029408</v>
          </cell>
        </row>
        <row r="12744">
          <cell r="B12744" t="str">
            <v>INF174KA1863</v>
          </cell>
          <cell r="C12744" t="str">
            <v>-</v>
          </cell>
          <cell r="D12744" t="str">
            <v>Kotak Quarterly Interval Plan Series 12-Regular Plan-Dividend Payout</v>
          </cell>
          <cell r="E12744">
            <v>10.018167</v>
          </cell>
        </row>
        <row r="12745">
          <cell r="B12745" t="str">
            <v>INF174KA1889</v>
          </cell>
          <cell r="C12745" t="str">
            <v>-</v>
          </cell>
          <cell r="D12745" t="str">
            <v>Kotak Quarterly Interval Plan Series 12-Regular Plan-Growth</v>
          </cell>
          <cell r="E12745">
            <v>10.39494886</v>
          </cell>
        </row>
        <row r="12746">
          <cell r="B12746" t="str">
            <v>INF174KA1CI1</v>
          </cell>
          <cell r="C12746" t="str">
            <v>-</v>
          </cell>
          <cell r="D12746" t="str">
            <v>Kotak Quarterly Interval Plan Series13- Direct Plan- Dividend Payout</v>
          </cell>
          <cell r="E12746">
            <v>10.0036</v>
          </cell>
        </row>
        <row r="12747">
          <cell r="B12747" t="str">
            <v>INF174KA1CJ9</v>
          </cell>
          <cell r="C12747" t="str">
            <v>-</v>
          </cell>
          <cell r="D12747" t="str">
            <v>Kotak Quarterly Interval Plan Series13- Direct Plan- Growth</v>
          </cell>
          <cell r="E12747">
            <v>10.185499999999999</v>
          </cell>
        </row>
        <row r="12748">
          <cell r="B12748" t="str">
            <v>INF174KA1CG5</v>
          </cell>
          <cell r="C12748" t="str">
            <v>-</v>
          </cell>
          <cell r="D12748" t="str">
            <v>Kotak Quarterly Interval Plan Series13- Regular Plan- Dividend Payout</v>
          </cell>
          <cell r="E12748">
            <v>10.0029</v>
          </cell>
        </row>
        <row r="12749">
          <cell r="B12749" t="str">
            <v>INF174KA1CH3</v>
          </cell>
          <cell r="C12749" t="str">
            <v>-</v>
          </cell>
          <cell r="D12749" t="str">
            <v>Kotak Quarterly Interval Plan Series13- Regular Plan- Growth</v>
          </cell>
          <cell r="E12749">
            <v>10.186199999999999</v>
          </cell>
        </row>
        <row r="12750">
          <cell r="B12750" t="str">
            <v/>
          </cell>
          <cell r="C12750" t="str">
            <v/>
          </cell>
          <cell r="D12750" t="str">
            <v/>
          </cell>
        </row>
        <row r="12751">
          <cell r="B12751" t="str">
            <v/>
          </cell>
          <cell r="C12751" t="str">
            <v/>
          </cell>
          <cell r="D12751" t="str">
            <v/>
          </cell>
        </row>
        <row r="12752">
          <cell r="B12752" t="str">
            <v/>
          </cell>
          <cell r="C12752" t="str">
            <v/>
          </cell>
          <cell r="D12752" t="str">
            <v/>
          </cell>
        </row>
        <row r="12753">
          <cell r="B12753" t="str">
            <v>INF204K01B81</v>
          </cell>
          <cell r="C12753" t="str">
            <v>-</v>
          </cell>
          <cell r="D12753" t="str">
            <v>Nippon India Annual Interval Fund - Series I - Direct Plan Growth Plan - Growth</v>
          </cell>
          <cell r="E12753">
            <v>28.652999999999999</v>
          </cell>
        </row>
        <row r="12754">
          <cell r="B12754" t="str">
            <v>INF204K01ED4</v>
          </cell>
          <cell r="C12754" t="str">
            <v>INF204K01EE2</v>
          </cell>
          <cell r="D12754" t="str">
            <v>NIPPON INDIA ANNUAL INTERVAL FUND - SERIES I - IDCW Option</v>
          </cell>
          <cell r="E12754">
            <v>13.3009</v>
          </cell>
        </row>
        <row r="12755">
          <cell r="B12755" t="str">
            <v>INF204K01EA0</v>
          </cell>
          <cell r="C12755" t="str">
            <v>INF204K01EB8</v>
          </cell>
          <cell r="D12755" t="str">
            <v>NIPPON INDIA ANNUAL INTERVAL FUND - SERIES I - RETAIL Plan - IDCW Option</v>
          </cell>
          <cell r="E12755">
            <v>13.2403</v>
          </cell>
        </row>
        <row r="12756">
          <cell r="B12756" t="str">
            <v>INF204K01EC6</v>
          </cell>
          <cell r="C12756" t="str">
            <v>-</v>
          </cell>
          <cell r="D12756" t="str">
            <v>Nippon India Interval Fund Annual Interval Fund Series-I- Growth Option</v>
          </cell>
          <cell r="E12756">
            <v>28.325600000000001</v>
          </cell>
        </row>
        <row r="12757">
          <cell r="B12757" t="str">
            <v>INF204K01DZ9</v>
          </cell>
          <cell r="C12757" t="str">
            <v>-</v>
          </cell>
          <cell r="D12757" t="str">
            <v>Nippon India Interval Fund Annual Interval Fund Series-I-Retail Plan Growth Option</v>
          </cell>
          <cell r="E12757">
            <v>38.023800000000001</v>
          </cell>
        </row>
        <row r="12758">
          <cell r="B12758" t="str">
            <v>INF204KB1P74</v>
          </cell>
          <cell r="C12758" t="str">
            <v>-</v>
          </cell>
          <cell r="D12758" t="str">
            <v>Nippon India Interval Fund V - Series 2 - Direct Plan - Dividend Payout Option</v>
          </cell>
          <cell r="E12758">
            <v>10</v>
          </cell>
        </row>
        <row r="12759">
          <cell r="B12759" t="str">
            <v>INF204KB1P66</v>
          </cell>
          <cell r="C12759" t="str">
            <v>-</v>
          </cell>
          <cell r="D12759" t="str">
            <v>Nippon India Interval Fund V - Series 2 - Direct Plan - Growth Option</v>
          </cell>
          <cell r="E12759">
            <v>10.855600000000001</v>
          </cell>
        </row>
        <row r="12760">
          <cell r="B12760" t="str">
            <v>INF204KB1P58</v>
          </cell>
          <cell r="C12760" t="str">
            <v>-</v>
          </cell>
          <cell r="D12760" t="str">
            <v>Nippon India Interval Fund V - Series 2 - Dividend Payout Option</v>
          </cell>
          <cell r="E12760">
            <v>10.0001</v>
          </cell>
        </row>
        <row r="12761">
          <cell r="B12761" t="str">
            <v>INF204KB1P41</v>
          </cell>
          <cell r="C12761" t="str">
            <v>-</v>
          </cell>
          <cell r="D12761" t="str">
            <v>Nippon India Interval Fund V - Series 2 - Growth Option</v>
          </cell>
          <cell r="E12761">
            <v>10.8332</v>
          </cell>
        </row>
        <row r="12762">
          <cell r="B12762" t="str">
            <v>INF204KB1M51</v>
          </cell>
          <cell r="C12762" t="str">
            <v>-</v>
          </cell>
          <cell r="D12762" t="str">
            <v>Nippon India Interval Fund V- Series 1- Direct Plan- Dividend Option</v>
          </cell>
          <cell r="E12762">
            <v>10</v>
          </cell>
        </row>
        <row r="12763">
          <cell r="B12763" t="str">
            <v>INF204KB1M44</v>
          </cell>
          <cell r="C12763" t="str">
            <v>-</v>
          </cell>
          <cell r="D12763" t="str">
            <v>Nippon India Interval Fund V- Series 1- Direct Plan-Growth Option</v>
          </cell>
          <cell r="E12763">
            <v>10.8758</v>
          </cell>
        </row>
        <row r="12764">
          <cell r="B12764" t="str">
            <v>INF204KB1M36</v>
          </cell>
          <cell r="C12764" t="str">
            <v>-</v>
          </cell>
          <cell r="D12764" t="str">
            <v>Nippon India Interval Fund V- Series 1- Dividend Option</v>
          </cell>
          <cell r="E12764">
            <v>10</v>
          </cell>
        </row>
        <row r="12765">
          <cell r="B12765" t="str">
            <v>INF204KB1M28</v>
          </cell>
          <cell r="C12765" t="str">
            <v>-</v>
          </cell>
          <cell r="D12765" t="str">
            <v>Nippon India Interval Fund V- Series 1- Growth Option</v>
          </cell>
          <cell r="E12765">
            <v>10.853899999999999</v>
          </cell>
        </row>
        <row r="12766">
          <cell r="B12766" t="str">
            <v>INF204K01DR6</v>
          </cell>
          <cell r="C12766" t="str">
            <v>INF204K01DS4</v>
          </cell>
          <cell r="D12766" t="str">
            <v>Nippon India Interval Fund-Quarterly Interval Fund Serie-II-Institutional Plan -Dividend Option</v>
          </cell>
          <cell r="E12766">
            <v>10.0304</v>
          </cell>
        </row>
        <row r="12767">
          <cell r="B12767" t="str">
            <v>INF204K01DN5</v>
          </cell>
          <cell r="C12767" t="str">
            <v>-</v>
          </cell>
          <cell r="D12767" t="str">
            <v>Nippon India Interval Fund-Quarterly Interval Fund Series-II-Growth Option</v>
          </cell>
          <cell r="E12767">
            <v>38.248800000000003</v>
          </cell>
        </row>
        <row r="12768">
          <cell r="B12768" t="str">
            <v>INF204K01F46</v>
          </cell>
          <cell r="C12768" t="str">
            <v>INF204K01F53</v>
          </cell>
          <cell r="D12768" t="str">
            <v>NIPPON INDIA QUARTERLY INTERVAL FUND - SERIES II - Direct Plan - IDCW Option</v>
          </cell>
          <cell r="E12768">
            <v>13.462</v>
          </cell>
        </row>
        <row r="12769">
          <cell r="B12769" t="str">
            <v>INF204K01F61</v>
          </cell>
          <cell r="C12769" t="str">
            <v>-</v>
          </cell>
          <cell r="D12769" t="str">
            <v>Nippon India Quarterly Interval Fund - Series II - Direct Plan Growth Plan - Growth</v>
          </cell>
          <cell r="E12769">
            <v>38.847999999999999</v>
          </cell>
        </row>
        <row r="12770">
          <cell r="B12770" t="str">
            <v>INF204K01DO3</v>
          </cell>
          <cell r="C12770" t="str">
            <v>INF204K01DP0</v>
          </cell>
          <cell r="D12770" t="str">
            <v>NIPPON INDIA QUARTERLY INTERVAL FUND - SERIES II - IDCW Option</v>
          </cell>
          <cell r="E12770">
            <v>13.411899999999999</v>
          </cell>
        </row>
        <row r="12771">
          <cell r="B12771" t="str">
            <v>INF204K01M47</v>
          </cell>
          <cell r="C12771" t="str">
            <v>INF204K01M54</v>
          </cell>
          <cell r="D12771" t="str">
            <v>Nippon India Yearly Interval Fund - Series 1 - Direct Plan - Dividend Plan - Dividend Option</v>
          </cell>
          <cell r="E12771">
            <v>10</v>
          </cell>
        </row>
        <row r="12772">
          <cell r="B12772" t="str">
            <v>INF204K01M39</v>
          </cell>
          <cell r="C12772" t="str">
            <v>-</v>
          </cell>
          <cell r="D12772" t="str">
            <v>Nippon India Yearly Interval Fund - Series 1 - Direct Plan - Growth Plan - Growth Option</v>
          </cell>
          <cell r="E12772">
            <v>18.449200000000001</v>
          </cell>
        </row>
        <row r="12773">
          <cell r="B12773" t="str">
            <v>INF204K01M13</v>
          </cell>
          <cell r="C12773" t="str">
            <v>INF204K01M21</v>
          </cell>
          <cell r="D12773" t="str">
            <v>Nippon India Yearly Interval Fund - Series 1 - Dividend Plan - Dividend Option</v>
          </cell>
          <cell r="E12773">
            <v>10</v>
          </cell>
        </row>
        <row r="12774">
          <cell r="B12774" t="str">
            <v>INF204K01M05</v>
          </cell>
          <cell r="C12774" t="str">
            <v>-</v>
          </cell>
          <cell r="D12774" t="str">
            <v>Nippon India Yearly Interval Fund - Series 1 - Growth Plan - Growth Option</v>
          </cell>
          <cell r="E12774">
            <v>18.322299999999998</v>
          </cell>
        </row>
        <row r="12775">
          <cell r="B12775" t="str">
            <v>INF204KA12F4</v>
          </cell>
          <cell r="C12775" t="str">
            <v>-</v>
          </cell>
          <cell r="D12775" t="str">
            <v>Reliance Interval Fund -IV -Series 2 - Direct Plan - Dividend Payout Option</v>
          </cell>
          <cell r="E12775">
            <v>12.9909</v>
          </cell>
        </row>
        <row r="12776">
          <cell r="B12776" t="str">
            <v>INF204KA13F2</v>
          </cell>
          <cell r="C12776" t="str">
            <v>-</v>
          </cell>
          <cell r="D12776" t="str">
            <v>Reliance Interval Fund -IV -Series 2 - Direct Plan - Growth Option</v>
          </cell>
          <cell r="E12776">
            <v>12.9909</v>
          </cell>
        </row>
        <row r="12777">
          <cell r="B12777" t="str">
            <v>INF204KA10F8</v>
          </cell>
          <cell r="C12777" t="str">
            <v>-</v>
          </cell>
          <cell r="D12777" t="str">
            <v>Reliance Interval Fund -IV -Series 2 - Dividend Payout Option</v>
          </cell>
          <cell r="E12777">
            <v>12.721</v>
          </cell>
        </row>
        <row r="12778">
          <cell r="B12778" t="str">
            <v>INF204KA11F6</v>
          </cell>
          <cell r="C12778" t="str">
            <v>-</v>
          </cell>
          <cell r="D12778" t="str">
            <v>Reliance Interval Fund -IV -Series 2 - Growth Option</v>
          </cell>
          <cell r="E12778">
            <v>12.721</v>
          </cell>
        </row>
        <row r="12779">
          <cell r="B12779" t="str">
            <v>INF204KA14I4</v>
          </cell>
          <cell r="C12779" t="str">
            <v>-</v>
          </cell>
          <cell r="D12779" t="str">
            <v>Reliance Interval Fund IV- Series 3- Direct Plan-Dividend Payout Option</v>
          </cell>
          <cell r="E12779">
            <v>12.6668</v>
          </cell>
        </row>
        <row r="12780">
          <cell r="B12780" t="str">
            <v>INF204KA15I1</v>
          </cell>
          <cell r="C12780" t="str">
            <v>-</v>
          </cell>
          <cell r="D12780" t="str">
            <v>Reliance Interval Fund IV- Series 3- Direct Plan-Growth option</v>
          </cell>
          <cell r="E12780">
            <v>12.6668</v>
          </cell>
        </row>
        <row r="12781">
          <cell r="B12781" t="str">
            <v>INF204KA12I8</v>
          </cell>
          <cell r="C12781" t="str">
            <v>-</v>
          </cell>
          <cell r="D12781" t="str">
            <v>Reliance Interval Fund IV- Series 3- Dividend Payout Option</v>
          </cell>
          <cell r="E12781">
            <v>12.432499999999999</v>
          </cell>
        </row>
        <row r="12782">
          <cell r="B12782" t="str">
            <v>INF204KA13I6</v>
          </cell>
          <cell r="C12782" t="str">
            <v>-</v>
          </cell>
          <cell r="D12782" t="str">
            <v>Reliance Interval Fund IV- Series 3- Growth option</v>
          </cell>
          <cell r="E12782">
            <v>12.432499999999999</v>
          </cell>
        </row>
        <row r="12783">
          <cell r="B12783" t="str">
            <v/>
          </cell>
          <cell r="C12783" t="str">
            <v/>
          </cell>
          <cell r="D12783" t="str">
            <v/>
          </cell>
        </row>
        <row r="12784">
          <cell r="B12784" t="str">
            <v/>
          </cell>
          <cell r="C12784" t="str">
            <v/>
          </cell>
          <cell r="D12784" t="str">
            <v/>
          </cell>
        </row>
        <row r="12785">
          <cell r="B12785" t="str">
            <v/>
          </cell>
          <cell r="C12785" t="str">
            <v/>
          </cell>
          <cell r="D12785" t="str">
            <v/>
          </cell>
        </row>
        <row r="12786">
          <cell r="B12786" t="str">
            <v/>
          </cell>
          <cell r="C12786" t="str">
            <v/>
          </cell>
          <cell r="D12786" t="str">
            <v/>
          </cell>
        </row>
        <row r="12787">
          <cell r="B12787" t="str">
            <v/>
          </cell>
          <cell r="C12787" t="str">
            <v/>
          </cell>
          <cell r="D12787" t="str">
            <v/>
          </cell>
        </row>
        <row r="12788">
          <cell r="B12788" t="str">
            <v>INF761K01DS3</v>
          </cell>
          <cell r="C12788" t="str">
            <v>-</v>
          </cell>
          <cell r="D12788" t="str">
            <v>BANK OF INDIA Mid Cap Tax Fund Series 1 Direct Plan Growth</v>
          </cell>
          <cell r="E12788">
            <v>30</v>
          </cell>
        </row>
        <row r="12789">
          <cell r="B12789" t="str">
            <v>INF761K01DT1</v>
          </cell>
          <cell r="C12789" t="str">
            <v>-</v>
          </cell>
          <cell r="D12789" t="str">
            <v>BANK OF INDIA Mid Cap Tax Fund Series 1 Direct Plan IDCW</v>
          </cell>
          <cell r="E12789">
            <v>30</v>
          </cell>
        </row>
        <row r="12790">
          <cell r="B12790" t="str">
            <v>INF761K01DU9</v>
          </cell>
          <cell r="C12790" t="str">
            <v>-</v>
          </cell>
          <cell r="D12790" t="str">
            <v>BANK OF INDIA Mid Cap Tax Fund Series 1 Regular Plan Growth</v>
          </cell>
          <cell r="E12790">
            <v>28.91</v>
          </cell>
        </row>
        <row r="12791">
          <cell r="B12791" t="str">
            <v>INF761K01DV7</v>
          </cell>
          <cell r="C12791" t="str">
            <v>-</v>
          </cell>
          <cell r="D12791" t="str">
            <v>BANK OF INDIA Mid Cap Tax Fund Series 1 Regular Plan IDCW</v>
          </cell>
          <cell r="E12791">
            <v>28.91</v>
          </cell>
        </row>
        <row r="12792">
          <cell r="B12792" t="str">
            <v>INF761K01EL6</v>
          </cell>
          <cell r="C12792" t="str">
            <v>-</v>
          </cell>
          <cell r="D12792" t="str">
            <v>BANK OF INDIA Midcap Tax Fund Series 2 Direct Plan Growth</v>
          </cell>
          <cell r="E12792">
            <v>34.78</v>
          </cell>
        </row>
        <row r="12793">
          <cell r="B12793" t="str">
            <v>INF761K01EK8</v>
          </cell>
          <cell r="C12793" t="str">
            <v>-</v>
          </cell>
          <cell r="D12793" t="str">
            <v>BANK OF INDIA Midcap Tax Fund Series 2 Direct Plan IDCW</v>
          </cell>
          <cell r="E12793">
            <v>34.78</v>
          </cell>
        </row>
        <row r="12794">
          <cell r="B12794" t="str">
            <v>INF761K01EN2</v>
          </cell>
          <cell r="C12794" t="str">
            <v>-</v>
          </cell>
          <cell r="D12794" t="str">
            <v>BANK OF INDIA Midcap Tax Fund Series 2 Regular Plan Growth</v>
          </cell>
          <cell r="E12794">
            <v>33.4</v>
          </cell>
        </row>
        <row r="12795">
          <cell r="B12795" t="str">
            <v>INF761K01EM4</v>
          </cell>
          <cell r="C12795" t="str">
            <v>-</v>
          </cell>
          <cell r="D12795" t="str">
            <v>BANK OF INDIA Midcap Tax Fund Series 2 Regular Plan IDCW</v>
          </cell>
          <cell r="E12795">
            <v>33.409999999999997</v>
          </cell>
        </row>
        <row r="12796">
          <cell r="B12796" t="str">
            <v/>
          </cell>
          <cell r="C12796" t="str">
            <v/>
          </cell>
          <cell r="D12796" t="str">
            <v/>
          </cell>
        </row>
        <row r="12797">
          <cell r="B12797" t="str">
            <v/>
          </cell>
          <cell r="C12797" t="str">
            <v/>
          </cell>
          <cell r="D12797" t="str">
            <v/>
          </cell>
        </row>
        <row r="12798">
          <cell r="B12798" t="str">
            <v/>
          </cell>
          <cell r="C12798" t="str">
            <v/>
          </cell>
          <cell r="D12798" t="str">
            <v/>
          </cell>
        </row>
        <row r="12799">
          <cell r="B12799" t="str">
            <v>INF109KC1077</v>
          </cell>
          <cell r="C12799" t="str">
            <v>-</v>
          </cell>
          <cell r="D12799" t="str">
            <v>ICICI Prudential Long Term Wealth Enhancement Fund - Cumulative Option</v>
          </cell>
          <cell r="E12799">
            <v>28.83</v>
          </cell>
        </row>
        <row r="12800">
          <cell r="B12800" t="str">
            <v>INF109KC1093</v>
          </cell>
          <cell r="C12800" t="str">
            <v>-</v>
          </cell>
          <cell r="D12800" t="str">
            <v>ICICI Prudential Long Term Wealth Enhancement Fund - Direct Plan Cumulative Option</v>
          </cell>
          <cell r="E12800">
            <v>30.18</v>
          </cell>
        </row>
        <row r="12801">
          <cell r="B12801" t="str">
            <v>INF109KC1101</v>
          </cell>
          <cell r="C12801" t="str">
            <v>-</v>
          </cell>
          <cell r="D12801" t="str">
            <v>ICICI Prudential Long Term Wealth Enhancement Fund - Direct Plan IDCW Option</v>
          </cell>
          <cell r="E12801">
            <v>30.18</v>
          </cell>
        </row>
        <row r="12802">
          <cell r="B12802" t="str">
            <v>INF109KC1085</v>
          </cell>
          <cell r="C12802" t="str">
            <v>-</v>
          </cell>
          <cell r="D12802" t="str">
            <v>ICICI Prudential Long Term Wealth Enhancement Fund - IDCW Option</v>
          </cell>
          <cell r="E12802">
            <v>28.83</v>
          </cell>
        </row>
        <row r="12803">
          <cell r="B12803" t="str">
            <v>INF109KA1XQ0</v>
          </cell>
          <cell r="C12803" t="str">
            <v>-</v>
          </cell>
          <cell r="D12803" t="str">
            <v>ICICI Prudential R.I.G.H.T. Fund Dividend</v>
          </cell>
          <cell r="E12803">
            <v>22.73</v>
          </cell>
        </row>
        <row r="12804">
          <cell r="B12804" t="str">
            <v>INF109KA1XP2</v>
          </cell>
          <cell r="C12804" t="str">
            <v>-</v>
          </cell>
          <cell r="D12804" t="str">
            <v>ICICI Prudential R.I.G.H.T. Fund Growth</v>
          </cell>
          <cell r="E12804">
            <v>39.090000000000003</v>
          </cell>
        </row>
        <row r="12805">
          <cell r="B12805" t="str">
            <v/>
          </cell>
          <cell r="C12805" t="str">
            <v/>
          </cell>
          <cell r="D12805" t="str">
            <v/>
          </cell>
        </row>
        <row r="12806">
          <cell r="B12806" t="str">
            <v/>
          </cell>
          <cell r="C12806" t="str">
            <v/>
          </cell>
          <cell r="D12806" t="str">
            <v/>
          </cell>
        </row>
        <row r="12807">
          <cell r="B12807" t="str">
            <v/>
          </cell>
          <cell r="C12807" t="str">
            <v/>
          </cell>
          <cell r="D12807" t="str">
            <v/>
          </cell>
        </row>
        <row r="12808">
          <cell r="B12808" t="str">
            <v>INF204K01ON2</v>
          </cell>
          <cell r="C12808" t="str">
            <v>-</v>
          </cell>
          <cell r="D12808" t="str">
            <v>Reliance Equity Linked Saving Fund - Series I - Dividend Plan</v>
          </cell>
          <cell r="E12808">
            <v>32.082000000000001</v>
          </cell>
        </row>
        <row r="12809">
          <cell r="B12809" t="str">
            <v>INF204K01OM4</v>
          </cell>
          <cell r="C12809" t="str">
            <v>-</v>
          </cell>
          <cell r="D12809" t="str">
            <v>Reliance Equity Linked Saving Fund - Series I - Growth Plan</v>
          </cell>
          <cell r="E12809">
            <v>32.082000000000001</v>
          </cell>
        </row>
        <row r="12810">
          <cell r="B12810" t="str">
            <v/>
          </cell>
          <cell r="C12810" t="str">
            <v/>
          </cell>
          <cell r="D12810" t="str">
            <v/>
          </cell>
        </row>
        <row r="12811">
          <cell r="B12811" t="str">
            <v/>
          </cell>
          <cell r="C12811" t="str">
            <v/>
          </cell>
          <cell r="D12811" t="str">
            <v/>
          </cell>
        </row>
        <row r="12812">
          <cell r="B12812" t="str">
            <v/>
          </cell>
          <cell r="C12812" t="str">
            <v/>
          </cell>
          <cell r="D12812" t="str">
            <v/>
          </cell>
        </row>
        <row r="12813">
          <cell r="B12813" t="str">
            <v>INF200KA1LS9</v>
          </cell>
          <cell r="C12813" t="str">
            <v>-</v>
          </cell>
          <cell r="D12813" t="str">
            <v>SBI Long Term Advantage Fund - Series IV - Direct Plan - Growth</v>
          </cell>
          <cell r="E12813">
            <v>49.544199999999996</v>
          </cell>
        </row>
        <row r="12814">
          <cell r="B12814" t="str">
            <v>INF200KA1LT7</v>
          </cell>
          <cell r="C12814" t="str">
            <v>-</v>
          </cell>
          <cell r="D12814" t="str">
            <v>SBI Long Term Advantage Fund - Series IV - Direct Plan - Income Distribution cum Capital Withdrawal Option (IDCW)</v>
          </cell>
          <cell r="E12814">
            <v>42.039499999999997</v>
          </cell>
        </row>
        <row r="12815">
          <cell r="B12815" t="str">
            <v>INF200KA1LQ3</v>
          </cell>
          <cell r="C12815" t="str">
            <v>-</v>
          </cell>
          <cell r="D12815" t="str">
            <v>SBI Long Term Advantage Fund - Series IV - Regular Plan - Growth</v>
          </cell>
          <cell r="E12815">
            <v>46.997900000000001</v>
          </cell>
        </row>
        <row r="12816">
          <cell r="B12816" t="str">
            <v>INF200KA1LR1</v>
          </cell>
          <cell r="C12816" t="str">
            <v>-</v>
          </cell>
          <cell r="D12816" t="str">
            <v>SBI Long Term Advantage Fund - Series IV - Regular Plan - Income Distribution cum Capital Withdrawal Option (IDCW)</v>
          </cell>
          <cell r="E12816">
            <v>39.816699999999997</v>
          </cell>
        </row>
        <row r="12817">
          <cell r="B12817" t="str">
            <v>INF200KA1RW8</v>
          </cell>
          <cell r="C12817" t="str">
            <v>-</v>
          </cell>
          <cell r="D12817" t="str">
            <v>SBI Long Term Advantage Fund - Series V - Direct Plan - Growth</v>
          </cell>
          <cell r="E12817">
            <v>33.321300000000001</v>
          </cell>
        </row>
        <row r="12818">
          <cell r="B12818" t="str">
            <v>INF200KA1RX6</v>
          </cell>
          <cell r="C12818" t="str">
            <v>-</v>
          </cell>
          <cell r="D12818" t="str">
            <v>SBI Long Term Advantage Fund - Series V - Direct Plan - Income Distribution cum Capital Withdrawal Option (IDCW)</v>
          </cell>
          <cell r="E12818">
            <v>33.322499999999998</v>
          </cell>
        </row>
        <row r="12819">
          <cell r="B12819" t="str">
            <v>INF200KA1RV0</v>
          </cell>
          <cell r="C12819" t="str">
            <v>-</v>
          </cell>
          <cell r="D12819" t="str">
            <v>SBI Long Term Advantage Fund - Series V - Regular Plan - Income Distribution cum Capital Withdrawal Option (IDCW)</v>
          </cell>
          <cell r="E12819">
            <v>31.9346</v>
          </cell>
        </row>
        <row r="12820">
          <cell r="B12820" t="str">
            <v>INF200KA1RU2</v>
          </cell>
          <cell r="C12820" t="str">
            <v>-</v>
          </cell>
          <cell r="D12820" t="str">
            <v>SBI Long Term Advantage Fund Series V - Regular Plan - Growth</v>
          </cell>
          <cell r="E12820">
            <v>31.948</v>
          </cell>
        </row>
        <row r="12821">
          <cell r="B12821" t="str">
            <v>INF200KA1TO1</v>
          </cell>
          <cell r="C12821" t="str">
            <v>-</v>
          </cell>
          <cell r="D12821" t="str">
            <v>SBI Long Term Advantage Fund - Series VI - Direct Plan - Growth</v>
          </cell>
          <cell r="E12821">
            <v>31.864000000000001</v>
          </cell>
        </row>
        <row r="12822">
          <cell r="B12822" t="str">
            <v>INF200KA1TP8</v>
          </cell>
          <cell r="C12822" t="str">
            <v>-</v>
          </cell>
          <cell r="D12822" t="str">
            <v>SBI Long Term Advantage Fund - Series VI - Direct Plan - Income Distribution cum Capital Withdrawal Option (IDCW)</v>
          </cell>
          <cell r="E12822">
            <v>31.8368</v>
          </cell>
        </row>
        <row r="12823">
          <cell r="B12823" t="str">
            <v>INF200KA1TM5</v>
          </cell>
          <cell r="C12823" t="str">
            <v>-</v>
          </cell>
          <cell r="D12823" t="str">
            <v>SBI Long Term Advantage Fund - Series VI - Regular Plan - Growth</v>
          </cell>
          <cell r="E12823">
            <v>30.5685</v>
          </cell>
        </row>
        <row r="12824">
          <cell r="B12824" t="str">
            <v>INF200KA1TN3</v>
          </cell>
          <cell r="C12824" t="str">
            <v>-</v>
          </cell>
          <cell r="D12824" t="str">
            <v>SBI Long Term Advantage Fund - Series VI - Regular Plan - Income Distribution cum Capital Withdrawal Option (IDCW)</v>
          </cell>
          <cell r="E12824">
            <v>30.574999999999999</v>
          </cell>
        </row>
        <row r="12825">
          <cell r="B12825" t="str">
            <v/>
          </cell>
          <cell r="C12825" t="str">
            <v/>
          </cell>
          <cell r="D12825" t="str">
            <v/>
          </cell>
        </row>
        <row r="12826">
          <cell r="B12826" t="str">
            <v/>
          </cell>
          <cell r="C12826" t="str">
            <v/>
          </cell>
          <cell r="D12826" t="str">
            <v/>
          </cell>
        </row>
        <row r="12827">
          <cell r="B12827" t="str">
            <v/>
          </cell>
          <cell r="C12827" t="str">
            <v/>
          </cell>
          <cell r="D12827" t="str">
            <v/>
          </cell>
        </row>
        <row r="12828">
          <cell r="B12828" t="str">
            <v>INF903JA1443</v>
          </cell>
          <cell r="C12828" t="str">
            <v>-</v>
          </cell>
          <cell r="D12828" t="str">
            <v>Sundaram Long Term Micro Cap Tax Advantage Fund Series III Direct Plan - Growth</v>
          </cell>
          <cell r="E12828">
            <v>36.853000000000002</v>
          </cell>
        </row>
        <row r="12829">
          <cell r="B12829" t="str">
            <v>INF903JA1450</v>
          </cell>
          <cell r="C12829" t="str">
            <v>-</v>
          </cell>
          <cell r="D12829" t="str">
            <v>Sundaram Long Term Micro Cap Tax Advantage Fund Series III Direct Plan - Payout of Income Distribution cum Capital Withdrawal (IDCW)</v>
          </cell>
          <cell r="E12829">
            <v>32.3187</v>
          </cell>
        </row>
        <row r="12830">
          <cell r="B12830" t="str">
            <v>INF903JA1427</v>
          </cell>
          <cell r="C12830" t="str">
            <v>-</v>
          </cell>
          <cell r="D12830" t="str">
            <v>Sundaram Long Term Micro Cap Tax Advantage Fund Series III Regular Plan - Growth</v>
          </cell>
          <cell r="E12830">
            <v>35.709499999999998</v>
          </cell>
        </row>
        <row r="12831">
          <cell r="B12831" t="str">
            <v>INF903JA1435</v>
          </cell>
          <cell r="C12831" t="str">
            <v>-</v>
          </cell>
          <cell r="D12831" t="str">
            <v>Sundaram Long Term Micro Cap Tax Advantage Fund Series III Regular Plan - Payout of Income Distribution cum Capital Withdrawal (IDCW)</v>
          </cell>
          <cell r="E12831">
            <v>31.243200000000002</v>
          </cell>
        </row>
        <row r="12832">
          <cell r="B12832" t="str">
            <v>INF903JA1526</v>
          </cell>
          <cell r="C12832" t="str">
            <v>-</v>
          </cell>
          <cell r="D12832" t="str">
            <v>Sundaram Long Term Micro Cap Tax Advantage Fund Series IV Direct Plan - Growth</v>
          </cell>
          <cell r="E12832">
            <v>31.854199999999999</v>
          </cell>
        </row>
        <row r="12833">
          <cell r="B12833" t="str">
            <v>INF903JA1534</v>
          </cell>
          <cell r="C12833" t="str">
            <v>-</v>
          </cell>
          <cell r="D12833" t="str">
            <v>Sundaram Long Term Micro Cap Tax Advantage Fund Series IV Direct Plan - Payout of Income Distribution cum Capital Withdrawal (IDCW)</v>
          </cell>
          <cell r="E12833">
            <v>30.3187</v>
          </cell>
        </row>
        <row r="12834">
          <cell r="B12834" t="str">
            <v>INF903JA1500</v>
          </cell>
          <cell r="C12834" t="str">
            <v>-</v>
          </cell>
          <cell r="D12834" t="str">
            <v>Sundaram Long Term Micro Cap Tax Advantage Fund Series IV Regular Plan - Growth</v>
          </cell>
          <cell r="E12834">
            <v>31.115600000000001</v>
          </cell>
        </row>
        <row r="12835">
          <cell r="B12835" t="str">
            <v>INF903JA1518</v>
          </cell>
          <cell r="C12835" t="str">
            <v>-</v>
          </cell>
          <cell r="D12835" t="str">
            <v>Sundaram Long Term Micro Cap Tax Advantage Fund Series IV Regular Plan - Payout of Income Distribution cum Capital Withdrawal (IDCW)</v>
          </cell>
          <cell r="E12835">
            <v>29.584399999999999</v>
          </cell>
        </row>
        <row r="12836">
          <cell r="B12836" t="str">
            <v>INF903JA1AZ0</v>
          </cell>
          <cell r="C12836" t="str">
            <v>-</v>
          </cell>
          <cell r="D12836" t="str">
            <v>Sundaram Long Term Micro Cap Tax Advantage Fund Series VI Direct Plan - Growth</v>
          </cell>
          <cell r="E12836">
            <v>30.093</v>
          </cell>
        </row>
        <row r="12837">
          <cell r="B12837" t="str">
            <v>INF903JA1BA1</v>
          </cell>
          <cell r="C12837" t="str">
            <v>-</v>
          </cell>
          <cell r="D12837" t="str">
            <v>Sundaram Long Term Micro Cap Tax Advantage Fund Series VI Direct Plan - Payout of Income Distribution cum Capital Withdrawal (IDCW)</v>
          </cell>
          <cell r="E12837">
            <v>29.125800000000002</v>
          </cell>
        </row>
        <row r="12838">
          <cell r="B12838" t="str">
            <v>INF903JA1AX5</v>
          </cell>
          <cell r="C12838" t="str">
            <v>-</v>
          </cell>
          <cell r="D12838" t="str">
            <v>Sundaram Long Term Micro Cap Tax Advantage Fund Series VI Regular Plan - Growth</v>
          </cell>
          <cell r="E12838">
            <v>28.6297</v>
          </cell>
        </row>
        <row r="12839">
          <cell r="B12839" t="str">
            <v>INF903JA1AY3</v>
          </cell>
          <cell r="C12839" t="str">
            <v>-</v>
          </cell>
          <cell r="D12839" t="str">
            <v>Sundaram Long Term Micro Cap Tax Advantage Fund Series VI Regular Plan - Payout of Income Distribution cum Capital Withdrawal (IDCW)</v>
          </cell>
          <cell r="E12839">
            <v>27.668700000000001</v>
          </cell>
        </row>
        <row r="12840">
          <cell r="B12840" t="str">
            <v>INF903JA1955</v>
          </cell>
          <cell r="C12840" t="str">
            <v>-</v>
          </cell>
          <cell r="D12840" t="str">
            <v>Sundaram Long Term Micro Cap Tax Advantage Fund Series V Direct Plan - Growth</v>
          </cell>
          <cell r="E12840">
            <v>31.2743</v>
          </cell>
        </row>
        <row r="12841">
          <cell r="B12841" t="str">
            <v>INF903JA1963</v>
          </cell>
          <cell r="C12841" t="str">
            <v>-</v>
          </cell>
          <cell r="D12841" t="str">
            <v>Sundaram Long Term Micro Cap Tax Advantage Fund Series V Direct Plan - Payout of Income Distribution cum Capital Withdrawal (IDCW)</v>
          </cell>
          <cell r="E12841">
            <v>29.774799999999999</v>
          </cell>
        </row>
        <row r="12842">
          <cell r="B12842" t="str">
            <v>INF903JA1930</v>
          </cell>
          <cell r="C12842" t="str">
            <v>-</v>
          </cell>
          <cell r="D12842" t="str">
            <v>Sundaram Long Term Micro Cap Tax Advantage Fund Series V Regular Plan - Growth</v>
          </cell>
          <cell r="E12842">
            <v>30.3385</v>
          </cell>
        </row>
        <row r="12843">
          <cell r="B12843" t="str">
            <v>INF903JA1948</v>
          </cell>
          <cell r="C12843" t="str">
            <v>-</v>
          </cell>
          <cell r="D12843" t="str">
            <v>Sundaram Long Term Micro Cap Tax Advantage Fund Series V Regular Plan - Payout of Income Distribution cum Capital Withdrawal (IDCW)</v>
          </cell>
          <cell r="E12843">
            <v>28.8477</v>
          </cell>
        </row>
        <row r="12844">
          <cell r="B12844" t="str">
            <v>INF903J014A9</v>
          </cell>
          <cell r="C12844" t="str">
            <v>-</v>
          </cell>
          <cell r="D12844" t="str">
            <v>Sundaram Long Term Tax Advantage Fund Series I Direct Plan - Growth</v>
          </cell>
          <cell r="E12844">
            <v>31.712499999999999</v>
          </cell>
        </row>
        <row r="12845">
          <cell r="B12845" t="str">
            <v>INF903J015A6</v>
          </cell>
          <cell r="C12845" t="str">
            <v>-</v>
          </cell>
          <cell r="D12845" t="str">
            <v>Sundaram Long Term Tax Advantage Fund Series I Direct Plan - Payout of Income Distribution cum Capital Withdrawal (IDCW)</v>
          </cell>
          <cell r="E12845">
            <v>25.183800000000002</v>
          </cell>
        </row>
        <row r="12846">
          <cell r="B12846" t="str">
            <v>INF903J012A3</v>
          </cell>
          <cell r="C12846" t="str">
            <v>-</v>
          </cell>
          <cell r="D12846" t="str">
            <v>Sundaram Long Term Tax Advantage Fund Series I Regular Plan - Growth</v>
          </cell>
          <cell r="E12846">
            <v>30.9664</v>
          </cell>
        </row>
        <row r="12847">
          <cell r="B12847" t="str">
            <v>INF903J013A1</v>
          </cell>
          <cell r="C12847" t="str">
            <v>-</v>
          </cell>
          <cell r="D12847" t="str">
            <v>Sundaram Long Term Tax Advantage Fund Series I Regular Plan - Payout of Income Distribution cum Capital Withdrawal (IDCW)</v>
          </cell>
          <cell r="E12847">
            <v>24.475100000000001</v>
          </cell>
        </row>
        <row r="12848">
          <cell r="B12848" t="str">
            <v>INF903JA1BT1</v>
          </cell>
          <cell r="C12848" t="str">
            <v>-</v>
          </cell>
          <cell r="D12848" t="str">
            <v>Sundaram Long Term Tax Advantage Fund Series III Direct Plan - Growth</v>
          </cell>
          <cell r="E12848">
            <v>32.4069</v>
          </cell>
        </row>
        <row r="12849">
          <cell r="B12849" t="str">
            <v>INF903JA1BU9</v>
          </cell>
          <cell r="C12849" t="str">
            <v>-</v>
          </cell>
          <cell r="D12849" t="str">
            <v>Sundaram Long Term Tax Advantage Fund Series III Direct Plan - Payout of Income Distribution cum Capital Withdrawal (IDCW)</v>
          </cell>
          <cell r="E12849">
            <v>30.851299999999998</v>
          </cell>
        </row>
        <row r="12850">
          <cell r="B12850" t="str">
            <v>INF903JA1BR5</v>
          </cell>
          <cell r="C12850" t="str">
            <v>-</v>
          </cell>
          <cell r="D12850" t="str">
            <v>Sundaram Long Term Tax Advantage Fund Series III Regular Plan - Growth</v>
          </cell>
          <cell r="E12850">
            <v>31.322299999999998</v>
          </cell>
        </row>
        <row r="12851">
          <cell r="B12851" t="str">
            <v>INF903JA1BS3</v>
          </cell>
          <cell r="C12851" t="str">
            <v>-</v>
          </cell>
          <cell r="D12851" t="str">
            <v>Sundaram Long Term Tax Advantage Fund Series III Regular Plan - Payout of Income Distribution cum Capital Withdrawal (IDCW)</v>
          </cell>
          <cell r="E12851">
            <v>29.7761</v>
          </cell>
        </row>
        <row r="12852">
          <cell r="B12852" t="str">
            <v>INF903JA1CZ6</v>
          </cell>
          <cell r="C12852" t="str">
            <v>-</v>
          </cell>
          <cell r="D12852" t="str">
            <v>Sundaram Long Term Tax Advantage Fund Series IV Direct Plan - Growth</v>
          </cell>
          <cell r="E12852">
            <v>37.247</v>
          </cell>
        </row>
        <row r="12853">
          <cell r="B12853" t="str">
            <v>INF903JA1DA7</v>
          </cell>
          <cell r="C12853" t="str">
            <v>-</v>
          </cell>
          <cell r="D12853" t="str">
            <v>Sundaram Long Term Tax Advantage Fund Series IV Direct Plan - Payout of Income Distribution cum Capital Withdrawal (IDCW)</v>
          </cell>
          <cell r="E12853">
            <v>34.221699999999998</v>
          </cell>
        </row>
        <row r="12854">
          <cell r="B12854" t="str">
            <v>INF903JA1CX1</v>
          </cell>
          <cell r="C12854" t="str">
            <v>-</v>
          </cell>
          <cell r="D12854" t="str">
            <v>Sundaram Long Term Tax Advantage Fund Series IV Regular Plan - Growth</v>
          </cell>
          <cell r="E12854">
            <v>36.450600000000001</v>
          </cell>
        </row>
        <row r="12855">
          <cell r="B12855" t="str">
            <v>INF903JA1CY9</v>
          </cell>
          <cell r="C12855" t="str">
            <v>-</v>
          </cell>
          <cell r="D12855" t="str">
            <v>Sundaram Long Term Tax Advantage Fund Series IV Regular Plan - Payout of Income Distribution cum Capital Withdrawal (IDCW)</v>
          </cell>
          <cell r="E12855">
            <v>33.449300000000001</v>
          </cell>
        </row>
        <row r="12856">
          <cell r="B12856" t="str">
            <v>INF903J011W9</v>
          </cell>
          <cell r="C12856" t="str">
            <v>-</v>
          </cell>
          <cell r="D12856" t="str">
            <v>Sundaram Long Term Tax Advantage Fund Series II Direct Plan - Growth</v>
          </cell>
          <cell r="E12856">
            <v>36.321599999999997</v>
          </cell>
        </row>
        <row r="12857">
          <cell r="B12857" t="str">
            <v>INF903J012W7</v>
          </cell>
          <cell r="C12857" t="str">
            <v>-</v>
          </cell>
          <cell r="D12857" t="str">
            <v>Sundaram Long Term Tax Advantage Fund Series II Direct Plan - Payout of Income Distribution cum Capital Withdrawal (IDCW)</v>
          </cell>
          <cell r="E12857">
            <v>28.061599999999999</v>
          </cell>
        </row>
        <row r="12858">
          <cell r="B12858" t="str">
            <v>INF903J019V4</v>
          </cell>
          <cell r="C12858" t="str">
            <v>-</v>
          </cell>
          <cell r="D12858" t="str">
            <v>Sundaram Long Term Tax Advantage Fund Series II Regular Plan - Growth</v>
          </cell>
          <cell r="E12858">
            <v>35.177599999999998</v>
          </cell>
        </row>
        <row r="12859">
          <cell r="B12859" t="str">
            <v>INF903J010W1</v>
          </cell>
          <cell r="C12859" t="str">
            <v>-</v>
          </cell>
          <cell r="D12859" t="str">
            <v>Sundaram Long Term Tax Advantage Fund Series II Regular Plan - Payout of Income Distribution cum Capital Withdrawal (IDCW)</v>
          </cell>
          <cell r="E12859">
            <v>27.032</v>
          </cell>
        </row>
        <row r="12860">
          <cell r="B12860" t="str">
            <v/>
          </cell>
          <cell r="C12860" t="str">
            <v/>
          </cell>
          <cell r="D12860" t="str">
            <v/>
          </cell>
        </row>
        <row r="12861">
          <cell r="B12861" t="str">
            <v/>
          </cell>
          <cell r="C12861" t="str">
            <v/>
          </cell>
          <cell r="D12861" t="str">
            <v/>
          </cell>
        </row>
        <row r="12862">
          <cell r="B12862" t="str">
            <v/>
          </cell>
          <cell r="C12862" t="str">
            <v/>
          </cell>
          <cell r="D12862" t="str">
            <v/>
          </cell>
        </row>
        <row r="12863">
          <cell r="B12863" t="str">
            <v>INF789FB19N1</v>
          </cell>
          <cell r="C12863" t="str">
            <v>-</v>
          </cell>
          <cell r="D12863" t="str">
            <v>UTI Long Term Advantage Fund Series III - Direct Plan - Growth Option</v>
          </cell>
          <cell r="E12863">
            <v>23.2926</v>
          </cell>
        </row>
        <row r="12864">
          <cell r="B12864" t="str">
            <v>INF789FB18N3</v>
          </cell>
          <cell r="C12864" t="str">
            <v>-</v>
          </cell>
          <cell r="D12864" t="str">
            <v>UTI Long Term Advantage Fund Series III - Direct Plan - IDCW</v>
          </cell>
          <cell r="E12864">
            <v>21.168299999999999</v>
          </cell>
        </row>
        <row r="12865">
          <cell r="B12865" t="str">
            <v>INF789FB17N5</v>
          </cell>
          <cell r="C12865" t="str">
            <v>-</v>
          </cell>
          <cell r="D12865" t="str">
            <v>UTI Long Term Advantage Fund Series III - Regular Plan - Growth Option</v>
          </cell>
          <cell r="E12865">
            <v>22.077100000000002</v>
          </cell>
        </row>
        <row r="12866">
          <cell r="B12866" t="str">
            <v>INF789FB16N7</v>
          </cell>
          <cell r="C12866" t="str">
            <v>-</v>
          </cell>
          <cell r="D12866" t="str">
            <v>UTI Long Term Advantage Fund Series III - Regular Plan - IDCW</v>
          </cell>
          <cell r="E12866">
            <v>19.988099999999999</v>
          </cell>
        </row>
        <row r="12867">
          <cell r="B12867" t="str">
            <v>INF789FC1FE5</v>
          </cell>
          <cell r="C12867" t="str">
            <v>-</v>
          </cell>
          <cell r="D12867" t="str">
            <v>UTI Long Term Advantage Fund Series IV - Direct Plan - Growth Option</v>
          </cell>
          <cell r="E12867">
            <v>16.4953</v>
          </cell>
        </row>
        <row r="12868">
          <cell r="B12868" t="str">
            <v>INF789FC1FD7</v>
          </cell>
          <cell r="C12868" t="str">
            <v>-</v>
          </cell>
          <cell r="D12868" t="str">
            <v>UTI Long Term Advantage Fund Series IV - Direct Plan - IDCW</v>
          </cell>
          <cell r="E12868">
            <v>16.4953</v>
          </cell>
        </row>
        <row r="12869">
          <cell r="B12869" t="str">
            <v>INF789FC1FC9</v>
          </cell>
          <cell r="C12869" t="str">
            <v>-</v>
          </cell>
          <cell r="D12869" t="str">
            <v>UTI Long Term Advantage Fund Series IV - Regular Plan - Growth Option</v>
          </cell>
          <cell r="E12869">
            <v>15.718299999999999</v>
          </cell>
        </row>
        <row r="12870">
          <cell r="B12870" t="str">
            <v>INF789FC1FB1</v>
          </cell>
          <cell r="C12870" t="str">
            <v>-</v>
          </cell>
          <cell r="D12870" t="str">
            <v>UTI Long Term Advantage Fund Series IV - Regular Plan - IDCW</v>
          </cell>
          <cell r="E12870">
            <v>15.718299999999999</v>
          </cell>
        </row>
        <row r="12871">
          <cell r="B12871" t="str">
            <v>INF789FC1HT9</v>
          </cell>
          <cell r="C12871" t="str">
            <v>-</v>
          </cell>
          <cell r="D12871" t="str">
            <v>UTI Long Term Advantage Fund Series V - Direct Plan - Growth Option</v>
          </cell>
          <cell r="E12871">
            <v>15.4735</v>
          </cell>
        </row>
        <row r="12872">
          <cell r="B12872" t="str">
            <v>INF789FC1HS1</v>
          </cell>
          <cell r="C12872" t="str">
            <v>-</v>
          </cell>
          <cell r="D12872" t="str">
            <v>UTI Long Term Advantage Fund Series V - Direct Plan - IDCW</v>
          </cell>
          <cell r="E12872">
            <v>15.4735</v>
          </cell>
        </row>
        <row r="12873">
          <cell r="B12873" t="str">
            <v>INF789FC1HR3</v>
          </cell>
          <cell r="C12873" t="str">
            <v>-</v>
          </cell>
          <cell r="D12873" t="str">
            <v>UTI Long Term Advantage Fund Series V - Regular Plan - Growth Option</v>
          </cell>
          <cell r="E12873">
            <v>14.7433</v>
          </cell>
        </row>
        <row r="12874">
          <cell r="B12874" t="str">
            <v>INF789FC1HQ5</v>
          </cell>
          <cell r="C12874" t="str">
            <v>-</v>
          </cell>
          <cell r="D12874" t="str">
            <v>UTI Long Term Advantage Fund Series V - Regular Plan - IDCW</v>
          </cell>
          <cell r="E12874">
            <v>14.7433</v>
          </cell>
        </row>
        <row r="12875">
          <cell r="B12875" t="str">
            <v>INF789FC1V82</v>
          </cell>
          <cell r="C12875" t="str">
            <v>-</v>
          </cell>
          <cell r="D12875" t="str">
            <v>UTI Long Term Advantage Fund Series VI - Direct Plan - Growth Option</v>
          </cell>
          <cell r="E12875">
            <v>12.708600000000001</v>
          </cell>
        </row>
        <row r="12876">
          <cell r="B12876" t="str">
            <v>INF789FC1V74</v>
          </cell>
          <cell r="C12876" t="str">
            <v>-</v>
          </cell>
          <cell r="D12876" t="str">
            <v>UTI Long Term Advantage Fund Series VI - Direct Plan - IDCW</v>
          </cell>
          <cell r="E12876">
            <v>12.708</v>
          </cell>
        </row>
        <row r="12877">
          <cell r="B12877" t="str">
            <v>INF789FC1V66</v>
          </cell>
          <cell r="C12877" t="str">
            <v>-</v>
          </cell>
          <cell r="D12877" t="str">
            <v>UTI Long Term Advantage Fund Series VI - Regular Plan - Growth Option</v>
          </cell>
          <cell r="E12877">
            <v>12.219799999999999</v>
          </cell>
        </row>
        <row r="12878">
          <cell r="B12878" t="str">
            <v>INF789FC1V58</v>
          </cell>
          <cell r="C12878" t="str">
            <v>-</v>
          </cell>
          <cell r="D12878" t="str">
            <v>UTI Long Term Advantage Fund Series VI - Regular Plan - IDCW</v>
          </cell>
          <cell r="E12878">
            <v>12.219900000000001</v>
          </cell>
        </row>
        <row r="12879">
          <cell r="B12879" t="str">
            <v>-</v>
          </cell>
          <cell r="C12879" t="str">
            <v>-</v>
          </cell>
          <cell r="D12879" t="str">
            <v>UTI - Master Equity Plan Unit Scheme</v>
          </cell>
          <cell r="E12879">
            <v>220.67959999999999</v>
          </cell>
        </row>
        <row r="12880">
          <cell r="B12880" t="str">
            <v/>
          </cell>
          <cell r="C12880" t="str">
            <v/>
          </cell>
          <cell r="D12880" t="str">
            <v/>
          </cell>
        </row>
        <row r="12881">
          <cell r="B12881" t="str">
            <v/>
          </cell>
          <cell r="C12881" t="str">
            <v/>
          </cell>
          <cell r="D12881" t="str">
            <v/>
          </cell>
        </row>
        <row r="12882">
          <cell r="B12882" t="str">
            <v/>
          </cell>
          <cell r="C12882" t="str">
            <v/>
          </cell>
          <cell r="D12882" t="str">
            <v/>
          </cell>
        </row>
        <row r="12883">
          <cell r="B12883" t="str">
            <v/>
          </cell>
          <cell r="C12883" t="str">
            <v/>
          </cell>
          <cell r="D12883" t="str">
            <v/>
          </cell>
        </row>
        <row r="12884">
          <cell r="B12884" t="str">
            <v/>
          </cell>
          <cell r="C12884" t="str">
            <v/>
          </cell>
          <cell r="D12884" t="str">
            <v/>
          </cell>
        </row>
        <row r="12885">
          <cell r="B12885" t="str">
            <v>INF179KC1AL2</v>
          </cell>
          <cell r="C12885" t="str">
            <v>-</v>
          </cell>
          <cell r="D12885" t="str">
            <v>HDFC Equity Opp Fund - II - 1100D June 2017 (1) - Growth Option</v>
          </cell>
          <cell r="E12885">
            <v>13.298</v>
          </cell>
        </row>
        <row r="12886">
          <cell r="B12886" t="str">
            <v>INF179KC1AJ6</v>
          </cell>
          <cell r="C12886" t="str">
            <v>-</v>
          </cell>
          <cell r="D12886" t="str">
            <v>HDFC Equity Opp Fund - II - 1100D June 2017 (1) - Growth Option - Direct Plan</v>
          </cell>
          <cell r="E12886">
            <v>13.895</v>
          </cell>
        </row>
        <row r="12887">
          <cell r="B12887" t="str">
            <v>INF179KC1AM0</v>
          </cell>
          <cell r="C12887" t="str">
            <v>-</v>
          </cell>
          <cell r="D12887" t="str">
            <v>HDFC Equity Opp Fund - II - 1100D June 2017 (1) - IDCW Option</v>
          </cell>
          <cell r="E12887">
            <v>10</v>
          </cell>
        </row>
        <row r="12888">
          <cell r="B12888" t="str">
            <v>INF179KC1AK4</v>
          </cell>
          <cell r="C12888" t="str">
            <v>-</v>
          </cell>
          <cell r="D12888" t="str">
            <v>HDFC Equity Opp Fund - II - 1100D June 2017 (1) - IDCW Option - Direct Plan</v>
          </cell>
          <cell r="E12888">
            <v>10</v>
          </cell>
        </row>
        <row r="12889">
          <cell r="B12889" t="str">
            <v>INF179KC1AH0</v>
          </cell>
          <cell r="C12889" t="str">
            <v>-</v>
          </cell>
          <cell r="D12889" t="str">
            <v>HDFC Equity Opp Fund - II - 1126D May 2017 (1) - Growth Option</v>
          </cell>
          <cell r="E12889">
            <v>14.316000000000001</v>
          </cell>
        </row>
        <row r="12890">
          <cell r="B12890" t="str">
            <v>INF179KC1AF4</v>
          </cell>
          <cell r="C12890" t="str">
            <v>-</v>
          </cell>
          <cell r="D12890" t="str">
            <v>HDFC Equity Opp Fund - II - 1126D May 2017 (1) - Growth Option - Direct Plan</v>
          </cell>
          <cell r="E12890">
            <v>14.837</v>
          </cell>
        </row>
        <row r="12891">
          <cell r="B12891" t="str">
            <v>INF179KC1AI8</v>
          </cell>
          <cell r="C12891" t="str">
            <v>-</v>
          </cell>
          <cell r="D12891" t="str">
            <v>HDFC Equity Opp Fund - II - 1126D May 2017 (1) - IDCW Option</v>
          </cell>
          <cell r="E12891">
            <v>10</v>
          </cell>
        </row>
        <row r="12892">
          <cell r="B12892" t="str">
            <v>INF179KC1AG2</v>
          </cell>
          <cell r="C12892" t="str">
            <v>-</v>
          </cell>
          <cell r="D12892" t="str">
            <v>HDFC Equity Opp Fund - II - 1126D May 2017 (1) - IDCW Option - Direct Plan</v>
          </cell>
          <cell r="E12892">
            <v>10</v>
          </cell>
        </row>
        <row r="12893">
          <cell r="B12893" t="str">
            <v/>
          </cell>
          <cell r="C12893" t="str">
            <v/>
          </cell>
          <cell r="D12893" t="str">
            <v/>
          </cell>
        </row>
        <row r="12894">
          <cell r="B12894" t="str">
            <v/>
          </cell>
          <cell r="C12894" t="str">
            <v/>
          </cell>
          <cell r="D12894" t="str">
            <v/>
          </cell>
        </row>
        <row r="12895">
          <cell r="B12895" t="str">
            <v/>
          </cell>
          <cell r="C12895" t="str">
            <v/>
          </cell>
          <cell r="D12895" t="str">
            <v/>
          </cell>
        </row>
        <row r="12896">
          <cell r="B12896" t="str">
            <v>INF109KC1BL5</v>
          </cell>
          <cell r="C12896" t="str">
            <v>-</v>
          </cell>
          <cell r="D12896" t="str">
            <v>ICICI Prudential Bharat Consumption Fund - Series 1 - Cumulative Option</v>
          </cell>
          <cell r="E12896">
            <v>15.62</v>
          </cell>
        </row>
        <row r="12897">
          <cell r="B12897" t="str">
            <v>INF109KC1BN1</v>
          </cell>
          <cell r="C12897" t="str">
            <v>-</v>
          </cell>
          <cell r="D12897" t="str">
            <v>ICICI Prudential Bharat Consumption Fund - Series 1 - Direct Plan - Cumulative Option</v>
          </cell>
          <cell r="E12897">
            <v>16.04</v>
          </cell>
        </row>
        <row r="12898">
          <cell r="B12898" t="str">
            <v>INF109KC1BO9</v>
          </cell>
          <cell r="C12898" t="str">
            <v>-</v>
          </cell>
          <cell r="D12898" t="str">
            <v>ICICI Prudential Bharat Consumption Fund - Series 1 - Direct Plan - IDCW Option</v>
          </cell>
          <cell r="E12898">
            <v>16.04</v>
          </cell>
        </row>
        <row r="12899">
          <cell r="B12899" t="str">
            <v>INF109KC1BM3</v>
          </cell>
          <cell r="C12899" t="str">
            <v>-</v>
          </cell>
          <cell r="D12899" t="str">
            <v>ICICI Prudential Bharat Consumption Fund - Series 1 - IDCW Option</v>
          </cell>
          <cell r="E12899">
            <v>15.62</v>
          </cell>
        </row>
        <row r="12900">
          <cell r="B12900" t="str">
            <v>INF109KC1CV2</v>
          </cell>
          <cell r="C12900" t="str">
            <v>-</v>
          </cell>
          <cell r="D12900" t="str">
            <v>ICICI Prudential Bharat Consumption Fund - Series 2 - Cumulative Option</v>
          </cell>
          <cell r="E12900">
            <v>15.77</v>
          </cell>
        </row>
        <row r="12901">
          <cell r="B12901" t="str">
            <v>INF109KC1CX8</v>
          </cell>
          <cell r="C12901" t="str">
            <v>-</v>
          </cell>
          <cell r="D12901" t="str">
            <v>ICICI Prudential Bharat Consumption Fund - Series 2 - Direct Plan - Cumulative Option</v>
          </cell>
          <cell r="E12901">
            <v>16.14</v>
          </cell>
        </row>
        <row r="12902">
          <cell r="B12902" t="str">
            <v>INF109KC1CY6</v>
          </cell>
          <cell r="C12902" t="str">
            <v>-</v>
          </cell>
          <cell r="D12902" t="str">
            <v>ICICI Prudential Bharat Consumption Fund - Series 2 - Direct Plan - IDCW Option</v>
          </cell>
          <cell r="E12902">
            <v>16.14</v>
          </cell>
        </row>
        <row r="12903">
          <cell r="B12903" t="str">
            <v>INF109KC1CW0</v>
          </cell>
          <cell r="C12903" t="str">
            <v>-</v>
          </cell>
          <cell r="D12903" t="str">
            <v>ICICI Prudential Bharat Consumption Fund - Series 2 - IDCW Option</v>
          </cell>
          <cell r="E12903">
            <v>15.77</v>
          </cell>
        </row>
        <row r="12904">
          <cell r="B12904" t="str">
            <v>INF109KC1GQ3</v>
          </cell>
          <cell r="C12904" t="str">
            <v>-</v>
          </cell>
          <cell r="D12904" t="str">
            <v>ICICI Prudential Bharat Consumption Fund - Series 3 - Cumulative Option</v>
          </cell>
          <cell r="E12904">
            <v>16.55</v>
          </cell>
        </row>
        <row r="12905">
          <cell r="B12905" t="str">
            <v>INF109KC1GS9</v>
          </cell>
          <cell r="C12905" t="str">
            <v>-</v>
          </cell>
          <cell r="D12905" t="str">
            <v>ICICI Prudential Bharat Consumption Fund - Series 3 - Direct Plan - Cumulative Option</v>
          </cell>
          <cell r="E12905">
            <v>17.010000000000002</v>
          </cell>
        </row>
        <row r="12906">
          <cell r="B12906" t="str">
            <v>INF109KC1GT7</v>
          </cell>
          <cell r="C12906" t="str">
            <v>-</v>
          </cell>
          <cell r="D12906" t="str">
            <v>ICICI Prudential Bharat Consumption Fund - Series 3 - Direct Plan - IDCW Option</v>
          </cell>
          <cell r="E12906">
            <v>17.010000000000002</v>
          </cell>
        </row>
        <row r="12907">
          <cell r="B12907" t="str">
            <v>INF109KC1GR1</v>
          </cell>
          <cell r="C12907" t="str">
            <v>-</v>
          </cell>
          <cell r="D12907" t="str">
            <v>ICICI Prudential Bharat Consumption Fund - Series 3 - IDCW Option</v>
          </cell>
          <cell r="E12907">
            <v>16.55</v>
          </cell>
        </row>
        <row r="12908">
          <cell r="B12908" t="str">
            <v>INF109KC1IU1</v>
          </cell>
          <cell r="C12908" t="str">
            <v>-</v>
          </cell>
          <cell r="D12908" t="str">
            <v>ICICI Prudential Bharat Consumption Fund - Series 4 - Cumulative Option</v>
          </cell>
          <cell r="E12908">
            <v>14.76</v>
          </cell>
        </row>
        <row r="12909">
          <cell r="B12909" t="str">
            <v>INF109KC1IW7</v>
          </cell>
          <cell r="C12909" t="str">
            <v>-</v>
          </cell>
          <cell r="D12909" t="str">
            <v>ICICI Prudential Bharat Consumption Fund - Series 4 - Direct Plan - Cumulative Option</v>
          </cell>
          <cell r="E12909">
            <v>15.13</v>
          </cell>
        </row>
        <row r="12910">
          <cell r="B12910" t="str">
            <v>INF109KC1IX5</v>
          </cell>
          <cell r="C12910" t="str">
            <v>-</v>
          </cell>
          <cell r="D12910" t="str">
            <v>ICICI Prudential Bharat Consumption Fund - Series 4 - Direct Plan - IDCW Option</v>
          </cell>
          <cell r="E12910">
            <v>15.13</v>
          </cell>
        </row>
        <row r="12911">
          <cell r="B12911" t="str">
            <v>INF109KC1IV9</v>
          </cell>
          <cell r="C12911" t="str">
            <v>-</v>
          </cell>
          <cell r="D12911" t="str">
            <v>ICICI Prudential Bharat Consumption Fund - Series 4 - IDCW Option</v>
          </cell>
          <cell r="E12911">
            <v>14.76</v>
          </cell>
        </row>
        <row r="12912">
          <cell r="B12912" t="str">
            <v>INF109KC1NO4</v>
          </cell>
          <cell r="C12912" t="str">
            <v>-</v>
          </cell>
          <cell r="D12912" t="str">
            <v>ICICI Prudential Bharat Consumption Fund - Series 5 - Cumulative Option</v>
          </cell>
          <cell r="E12912">
            <v>18.190000000000001</v>
          </cell>
        </row>
        <row r="12913">
          <cell r="B12913" t="str">
            <v>INF109KC1NQ9</v>
          </cell>
          <cell r="C12913" t="str">
            <v>-</v>
          </cell>
          <cell r="D12913" t="str">
            <v>ICICI Prudential Bharat Consumption Fund - Series 5 - Direct Plan - Cumulative Option</v>
          </cell>
          <cell r="E12913">
            <v>18.510000000000002</v>
          </cell>
        </row>
        <row r="12914">
          <cell r="B12914" t="str">
            <v>INF109KC1NR7</v>
          </cell>
          <cell r="C12914" t="str">
            <v>-</v>
          </cell>
          <cell r="D12914" t="str">
            <v>ICICI Prudential Bharat Consumption Fund - Series 5 - Direct Plan - IDCW Option</v>
          </cell>
          <cell r="E12914">
            <v>18.510000000000002</v>
          </cell>
        </row>
        <row r="12915">
          <cell r="B12915" t="str">
            <v>INF109KC1NP1</v>
          </cell>
          <cell r="C12915" t="str">
            <v>-</v>
          </cell>
          <cell r="D12915" t="str">
            <v>ICICI Prudential Bharat Consumption Fund - Series 5 - IDCW Option</v>
          </cell>
          <cell r="E12915">
            <v>18.190000000000001</v>
          </cell>
        </row>
        <row r="12916">
          <cell r="B12916" t="str">
            <v>INF109KB1MX8</v>
          </cell>
          <cell r="C12916" t="str">
            <v>-</v>
          </cell>
          <cell r="D12916" t="str">
            <v>ICICI Prudential Business Cycle Fund - Series 1  Cumulative Option</v>
          </cell>
          <cell r="E12916">
            <v>12.8</v>
          </cell>
        </row>
        <row r="12917">
          <cell r="B12917" t="str">
            <v>INF109KB1MV2</v>
          </cell>
          <cell r="C12917" t="str">
            <v>-</v>
          </cell>
          <cell r="D12917" t="str">
            <v>ICICI Prudential Business Cycle Fund - Series 1 Direct Plan Cumulative Option</v>
          </cell>
          <cell r="E12917">
            <v>13.27</v>
          </cell>
        </row>
        <row r="12918">
          <cell r="B12918" t="str">
            <v>INF109KB1MW0</v>
          </cell>
          <cell r="C12918" t="str">
            <v>-</v>
          </cell>
          <cell r="D12918" t="str">
            <v>ICICI Prudential Business Cycle Fund - Series 1 Direct Plan Dividend Option</v>
          </cell>
          <cell r="E12918">
            <v>10.01</v>
          </cell>
        </row>
        <row r="12919">
          <cell r="B12919" t="str">
            <v>INF109KB1MY6</v>
          </cell>
          <cell r="C12919" t="str">
            <v>-</v>
          </cell>
          <cell r="D12919" t="str">
            <v>ICICI Prudential Business Cycle Fund - Series 1 Dividend Option</v>
          </cell>
          <cell r="E12919">
            <v>9.61</v>
          </cell>
        </row>
        <row r="12920">
          <cell r="B12920" t="str">
            <v>INF109KB1OH7</v>
          </cell>
          <cell r="C12920" t="str">
            <v>-</v>
          </cell>
          <cell r="D12920" t="str">
            <v>ICICI Prudential Business Cycle Fund - Series 2  Cumulative Option</v>
          </cell>
          <cell r="E12920">
            <v>13.99</v>
          </cell>
        </row>
        <row r="12921">
          <cell r="B12921" t="str">
            <v>INF109KB1OI5</v>
          </cell>
          <cell r="C12921" t="str">
            <v>-</v>
          </cell>
          <cell r="D12921" t="str">
            <v>ICICI Prudential Business Cycle Fund - Series 2  Dividend Option</v>
          </cell>
          <cell r="E12921">
            <v>10.29</v>
          </cell>
        </row>
        <row r="12922">
          <cell r="B12922" t="str">
            <v>INF109KB1OF1</v>
          </cell>
          <cell r="C12922" t="str">
            <v>-</v>
          </cell>
          <cell r="D12922" t="str">
            <v>ICICI Prudential Business Cycle Fund - Series 2 Direct Plan Cumulative Option</v>
          </cell>
          <cell r="E12922">
            <v>14.46</v>
          </cell>
        </row>
        <row r="12923">
          <cell r="B12923" t="str">
            <v>INF109KB1OG9</v>
          </cell>
          <cell r="C12923" t="str">
            <v>-</v>
          </cell>
          <cell r="D12923" t="str">
            <v>ICICI Prudential Business Cycle Fund - Series 2 Direct Plan Dividend Option</v>
          </cell>
          <cell r="E12923">
            <v>10.69</v>
          </cell>
        </row>
        <row r="12924">
          <cell r="B12924" t="str">
            <v>INF109KB1PX1</v>
          </cell>
          <cell r="C12924" t="str">
            <v>-</v>
          </cell>
          <cell r="D12924" t="str">
            <v>ICICI Prudential Business Cycle Fund - Series 3 Cumulative option</v>
          </cell>
          <cell r="E12924">
            <v>13.56</v>
          </cell>
        </row>
        <row r="12925">
          <cell r="B12925" t="str">
            <v>INF109KB1PZ6</v>
          </cell>
          <cell r="C12925" t="str">
            <v>-</v>
          </cell>
          <cell r="D12925" t="str">
            <v>ICICI Prudential Business Cycle Fund - Series 3 Direct Plan Cumulative option</v>
          </cell>
          <cell r="E12925">
            <v>14.19</v>
          </cell>
        </row>
        <row r="12926">
          <cell r="B12926" t="str">
            <v>INF109KB1QA7</v>
          </cell>
          <cell r="C12926" t="str">
            <v>-</v>
          </cell>
          <cell r="D12926" t="str">
            <v>ICICI Prudential Business Cycle Fund - Series 3 Direct Plan Dividend option</v>
          </cell>
          <cell r="E12926">
            <v>9.68</v>
          </cell>
        </row>
        <row r="12927">
          <cell r="B12927" t="str">
            <v>INF109KB1PY9</v>
          </cell>
          <cell r="C12927" t="str">
            <v>-</v>
          </cell>
          <cell r="D12927" t="str">
            <v>ICICI Prudential Business Cycle Fund - Series 3 Dividend option</v>
          </cell>
          <cell r="E12927">
            <v>9.15</v>
          </cell>
        </row>
        <row r="12928">
          <cell r="B12928" t="str">
            <v>INF109KA1LK8</v>
          </cell>
          <cell r="C12928" t="str">
            <v>-</v>
          </cell>
          <cell r="D12928" t="str">
            <v>ICICI Prudential Equity Savings Fund - Series 1  - Dividend</v>
          </cell>
          <cell r="E12928">
            <v>12.06</v>
          </cell>
        </row>
        <row r="12929">
          <cell r="B12929" t="str">
            <v>INF109KA1LJ0</v>
          </cell>
          <cell r="C12929" t="str">
            <v>-</v>
          </cell>
          <cell r="D12929" t="str">
            <v>ICICI Prudential Equity Savings Fund - Series 1 - Cumulative</v>
          </cell>
          <cell r="E12929">
            <v>20.54</v>
          </cell>
        </row>
        <row r="12930">
          <cell r="B12930" t="str">
            <v>INF109KA1LL6</v>
          </cell>
          <cell r="C12930" t="str">
            <v>-</v>
          </cell>
          <cell r="D12930" t="str">
            <v>ICICI Prudential Equity Savings Fund - Series 1 Direct Plan - Cumulative</v>
          </cell>
          <cell r="E12930">
            <v>21.08</v>
          </cell>
        </row>
        <row r="12931">
          <cell r="B12931" t="str">
            <v>INF109KA1LM4</v>
          </cell>
          <cell r="C12931" t="str">
            <v>-</v>
          </cell>
          <cell r="D12931" t="str">
            <v>ICICI Prudential Equity Savings Fund - Series 1 Direct Plan - Dividend</v>
          </cell>
          <cell r="E12931">
            <v>12.48</v>
          </cell>
        </row>
        <row r="12932">
          <cell r="B12932" t="str">
            <v>INF109KB12R8</v>
          </cell>
          <cell r="C12932" t="str">
            <v>-</v>
          </cell>
          <cell r="D12932" t="str">
            <v>ICICI Prudential Growth Fund- Series 1 Direct Dividend</v>
          </cell>
          <cell r="E12932">
            <v>14.47</v>
          </cell>
        </row>
        <row r="12933">
          <cell r="B12933" t="str">
            <v>INF109KB13R6</v>
          </cell>
          <cell r="C12933" t="str">
            <v>-</v>
          </cell>
          <cell r="D12933" t="str">
            <v>ICICI Prudential Growth Fund- Series 1 Dividend</v>
          </cell>
          <cell r="E12933">
            <v>13.23</v>
          </cell>
        </row>
        <row r="12934">
          <cell r="B12934" t="str">
            <v>INF109KC1796</v>
          </cell>
          <cell r="C12934" t="str">
            <v>-</v>
          </cell>
          <cell r="D12934" t="str">
            <v>ICICI Prudential Growth Fund - Series 2 Direct Dividend</v>
          </cell>
          <cell r="E12934">
            <v>16.02</v>
          </cell>
        </row>
        <row r="12935">
          <cell r="B12935" t="str">
            <v>INF109KC1804</v>
          </cell>
          <cell r="C12935" t="str">
            <v>-</v>
          </cell>
          <cell r="D12935" t="str">
            <v>ICICI Prudential Growth Fund - Series 2 Dividend</v>
          </cell>
          <cell r="E12935">
            <v>14.68</v>
          </cell>
        </row>
        <row r="12936">
          <cell r="B12936" t="str">
            <v>INF109KA1S17</v>
          </cell>
          <cell r="C12936" t="str">
            <v>-</v>
          </cell>
          <cell r="D12936" t="str">
            <v>ICICI Prudential Growth Fund - Series 3 Direct IDCW</v>
          </cell>
          <cell r="E12936">
            <v>13.67</v>
          </cell>
        </row>
        <row r="12937">
          <cell r="B12937" t="str">
            <v>INF109KA1S09</v>
          </cell>
          <cell r="C12937" t="str">
            <v>-</v>
          </cell>
          <cell r="D12937" t="str">
            <v>ICICI Prudential Growth Fund - Series 3 IDCW</v>
          </cell>
          <cell r="E12937">
            <v>12.5</v>
          </cell>
        </row>
        <row r="12938">
          <cell r="B12938" t="str">
            <v>INF109KA1Y76</v>
          </cell>
          <cell r="C12938" t="str">
            <v>-</v>
          </cell>
          <cell r="D12938" t="str">
            <v>ICICI Prudential Growth Fund - Series 4 Direct Dividend</v>
          </cell>
          <cell r="E12938">
            <v>11.62</v>
          </cell>
        </row>
        <row r="12939">
          <cell r="B12939" t="str">
            <v>INF109KA1Y68</v>
          </cell>
          <cell r="C12939" t="str">
            <v>-</v>
          </cell>
          <cell r="D12939" t="str">
            <v>ICICI Prudential Growth Fund - Series 4 Dividend</v>
          </cell>
          <cell r="E12939">
            <v>10.89</v>
          </cell>
        </row>
        <row r="12940">
          <cell r="B12940" t="str">
            <v>INF109KA13K3</v>
          </cell>
          <cell r="C12940" t="str">
            <v>-</v>
          </cell>
          <cell r="D12940" t="str">
            <v>ICICI Prudential Growth Fund - Series 5 Direct Dividend</v>
          </cell>
          <cell r="E12940">
            <v>11.11</v>
          </cell>
        </row>
        <row r="12941">
          <cell r="B12941" t="str">
            <v>INF109KA12K5</v>
          </cell>
          <cell r="C12941" t="str">
            <v>-</v>
          </cell>
          <cell r="D12941" t="str">
            <v>ICICI Prudential Growth Fund - Series 5 Dividend</v>
          </cell>
          <cell r="E12941">
            <v>10.47</v>
          </cell>
        </row>
        <row r="12942">
          <cell r="B12942" t="str">
            <v>INF109KA14O3</v>
          </cell>
          <cell r="C12942" t="str">
            <v>-</v>
          </cell>
          <cell r="D12942" t="str">
            <v>ICICI Prudential Growth Fund - Series 6  Dividend</v>
          </cell>
          <cell r="E12942">
            <v>10.29</v>
          </cell>
        </row>
        <row r="12943">
          <cell r="B12943" t="str">
            <v>INF109KA15O0</v>
          </cell>
          <cell r="C12943" t="str">
            <v>-</v>
          </cell>
          <cell r="D12943" t="str">
            <v>ICICI Prudential Growth Fund - Series 6 Direct Dividend</v>
          </cell>
          <cell r="E12943">
            <v>10.97</v>
          </cell>
        </row>
        <row r="12944">
          <cell r="B12944" t="str">
            <v>INF109KA18P1</v>
          </cell>
          <cell r="C12944" t="str">
            <v>-</v>
          </cell>
          <cell r="D12944" t="str">
            <v>ICICI Prudential Growth Fund - Series 7  Dividend</v>
          </cell>
          <cell r="E12944">
            <v>9.98</v>
          </cell>
        </row>
        <row r="12945">
          <cell r="B12945" t="str">
            <v>INF109KA19P9</v>
          </cell>
          <cell r="C12945" t="str">
            <v>-</v>
          </cell>
          <cell r="D12945" t="str">
            <v>ICICI Prudential Growth Fund - Series 7 Direct Dividend</v>
          </cell>
          <cell r="E12945">
            <v>10.54</v>
          </cell>
        </row>
        <row r="12946">
          <cell r="B12946" t="str">
            <v>INF109KA19R5</v>
          </cell>
          <cell r="C12946" t="str">
            <v>-</v>
          </cell>
          <cell r="D12946" t="str">
            <v>ICICI Prudential Growth Fund - Series 8  Dividend</v>
          </cell>
          <cell r="E12946">
            <v>10.71</v>
          </cell>
        </row>
        <row r="12947">
          <cell r="B12947" t="str">
            <v>INF109KA10S2</v>
          </cell>
          <cell r="C12947" t="str">
            <v>-</v>
          </cell>
          <cell r="D12947" t="str">
            <v>ICICI Prudential Growth Fund - Series 8 Direct Dividend</v>
          </cell>
          <cell r="E12947">
            <v>10.82</v>
          </cell>
        </row>
        <row r="12948">
          <cell r="B12948" t="str">
            <v>INF109KB1128</v>
          </cell>
          <cell r="C12948" t="str">
            <v>-</v>
          </cell>
          <cell r="D12948" t="str">
            <v>ICICI Prudential India Recovery Fund - Series 1 Direct Dividend</v>
          </cell>
          <cell r="E12948">
            <v>9.9499999999999993</v>
          </cell>
        </row>
        <row r="12949">
          <cell r="B12949" t="str">
            <v>INF109KB1110</v>
          </cell>
          <cell r="C12949" t="str">
            <v>-</v>
          </cell>
          <cell r="D12949" t="str">
            <v>ICICI Prudential India Recovery Fund - Series 1 Dividend</v>
          </cell>
          <cell r="E12949">
            <v>9.4600000000000009</v>
          </cell>
        </row>
        <row r="12950">
          <cell r="B12950" t="str">
            <v>INF109KB1300</v>
          </cell>
          <cell r="C12950" t="str">
            <v>-</v>
          </cell>
          <cell r="D12950" t="str">
            <v>ICICI Prudential India Recovery Fund - Series 2 Direct Dividend</v>
          </cell>
          <cell r="E12950">
            <v>10.54</v>
          </cell>
        </row>
        <row r="12951">
          <cell r="B12951" t="str">
            <v>INF109KB1292</v>
          </cell>
          <cell r="C12951" t="str">
            <v>-</v>
          </cell>
          <cell r="D12951" t="str">
            <v>ICICI Prudential India Recovery Fund - Series 2 Dividend</v>
          </cell>
          <cell r="E12951">
            <v>9.89</v>
          </cell>
        </row>
        <row r="12952">
          <cell r="B12952" t="str">
            <v>INF109KB1MD0</v>
          </cell>
          <cell r="C12952" t="str">
            <v>-</v>
          </cell>
          <cell r="D12952" t="str">
            <v>ICICI Prudential India Recovery Fund - Series 3 Cumulative Option</v>
          </cell>
          <cell r="E12952">
            <v>13.82</v>
          </cell>
        </row>
        <row r="12953">
          <cell r="B12953" t="str">
            <v>INF109KB1ME8</v>
          </cell>
          <cell r="C12953" t="str">
            <v>-</v>
          </cell>
          <cell r="D12953" t="str">
            <v>ICICI Prudential India Recovery Fund - Series 3 Direct Plan Cumulative Option</v>
          </cell>
          <cell r="E12953">
            <v>14.35</v>
          </cell>
        </row>
        <row r="12954">
          <cell r="B12954" t="str">
            <v>INF109KB1LQ4</v>
          </cell>
          <cell r="C12954" t="str">
            <v>-</v>
          </cell>
          <cell r="D12954" t="str">
            <v>ICICI Prudential India Recovery Fund - Series 3 Direct Plan Dividend Option</v>
          </cell>
          <cell r="E12954">
            <v>10.220000000000001</v>
          </cell>
        </row>
        <row r="12955">
          <cell r="B12955" t="str">
            <v>INF109KB1LP6</v>
          </cell>
          <cell r="C12955" t="str">
            <v>-</v>
          </cell>
          <cell r="D12955" t="str">
            <v>ICICI Prudential India Recovery Fund - Series 3 Dividend Option</v>
          </cell>
          <cell r="E12955">
            <v>9.9600000000000009</v>
          </cell>
        </row>
        <row r="12956">
          <cell r="B12956" t="str">
            <v>INF109KB1QX9</v>
          </cell>
          <cell r="C12956" t="str">
            <v>-</v>
          </cell>
          <cell r="D12956" t="str">
            <v>ICICI Prudential India Recovery Fund - Series 4 Cumulative Option</v>
          </cell>
          <cell r="E12956">
            <v>16.559999999999999</v>
          </cell>
        </row>
        <row r="12957">
          <cell r="B12957" t="str">
            <v>INF109KB1QY7</v>
          </cell>
          <cell r="C12957" t="str">
            <v>-</v>
          </cell>
          <cell r="D12957" t="str">
            <v>ICICI Prudential India Recovery Fund - Series 4 Direct Plan Cumulative Option</v>
          </cell>
          <cell r="E12957">
            <v>17.28</v>
          </cell>
        </row>
        <row r="12958">
          <cell r="B12958" t="str">
            <v>INF109KB1QW1</v>
          </cell>
          <cell r="C12958" t="str">
            <v>-</v>
          </cell>
          <cell r="D12958" t="str">
            <v>ICICI Prudential India Recovery Fund - Series 4 Direct Plan Dividend Option</v>
          </cell>
          <cell r="E12958">
            <v>12.19</v>
          </cell>
        </row>
        <row r="12959">
          <cell r="B12959" t="str">
            <v>INF109KB1QV3</v>
          </cell>
          <cell r="C12959" t="str">
            <v>-</v>
          </cell>
          <cell r="D12959" t="str">
            <v>ICICI Prudential India Recovery Fund - Series 4 Dividend Option</v>
          </cell>
          <cell r="E12959">
            <v>11.58</v>
          </cell>
        </row>
        <row r="12960">
          <cell r="B12960" t="str">
            <v>INF109KB1UT9</v>
          </cell>
          <cell r="C12960" t="str">
            <v>-</v>
          </cell>
          <cell r="D12960" t="str">
            <v>ICICI Prudential India Recovery Fund - Series 5 Cumulative Option</v>
          </cell>
          <cell r="E12960">
            <v>13.78</v>
          </cell>
        </row>
        <row r="12961">
          <cell r="B12961" t="str">
            <v>INF109KB1UU7</v>
          </cell>
          <cell r="C12961" t="str">
            <v>-</v>
          </cell>
          <cell r="D12961" t="str">
            <v>ICICI Prudential India Recovery Fund - Series 5 Direct Plan Cumulative Option</v>
          </cell>
          <cell r="E12961">
            <v>14.28</v>
          </cell>
        </row>
        <row r="12962">
          <cell r="B12962" t="str">
            <v>INF109KB1US1</v>
          </cell>
          <cell r="C12962" t="str">
            <v>-</v>
          </cell>
          <cell r="D12962" t="str">
            <v>ICICI Prudential India Recovery Fund - Series 5 Direct Plan Dividend Option</v>
          </cell>
          <cell r="E12962">
            <v>10.85</v>
          </cell>
        </row>
        <row r="12963">
          <cell r="B12963" t="str">
            <v>INF109KB1UR3</v>
          </cell>
          <cell r="C12963" t="str">
            <v>-</v>
          </cell>
          <cell r="D12963" t="str">
            <v>ICICI Prudential India Recovery Fund - Series 5 Dividend Option</v>
          </cell>
          <cell r="E12963">
            <v>10.47</v>
          </cell>
        </row>
        <row r="12964">
          <cell r="B12964" t="str">
            <v>INF109KB1WJ6</v>
          </cell>
          <cell r="C12964" t="str">
            <v>-</v>
          </cell>
          <cell r="D12964" t="str">
            <v>ICICI Prudential India Recovery Fund - Series 7 Direct Plan Dividend Option</v>
          </cell>
          <cell r="E12964">
            <v>11.9</v>
          </cell>
        </row>
        <row r="12965">
          <cell r="B12965" t="str">
            <v>INF109KB1WI8</v>
          </cell>
          <cell r="C12965" t="str">
            <v>-</v>
          </cell>
          <cell r="D12965" t="str">
            <v>ICICI Prudential India Recovery Fund - Series 7 Dividend Option</v>
          </cell>
          <cell r="E12965">
            <v>11.35</v>
          </cell>
        </row>
        <row r="12966">
          <cell r="B12966" t="str">
            <v>INF109KB1J57</v>
          </cell>
          <cell r="C12966" t="str">
            <v>-</v>
          </cell>
          <cell r="D12966" t="str">
            <v>ICICI Prudential Value Fund - Series 1 - Direct Dividend</v>
          </cell>
          <cell r="E12966">
            <v>11.43</v>
          </cell>
        </row>
        <row r="12967">
          <cell r="B12967" t="str">
            <v>INF109KB1J40</v>
          </cell>
          <cell r="C12967" t="str">
            <v>-</v>
          </cell>
          <cell r="D12967" t="str">
            <v>ICICI Prudential Value Fund - Series 1 -Dividend</v>
          </cell>
          <cell r="E12967">
            <v>10.42</v>
          </cell>
        </row>
        <row r="12968">
          <cell r="B12968" t="str">
            <v>INF109KB1L87</v>
          </cell>
          <cell r="C12968" t="str">
            <v>-</v>
          </cell>
          <cell r="D12968" t="str">
            <v>ICICI Prudential Value Fund - Series 10 - Cumulative Option</v>
          </cell>
          <cell r="E12968">
            <v>11.89</v>
          </cell>
        </row>
        <row r="12969">
          <cell r="B12969" t="str">
            <v>INF109KB1M03</v>
          </cell>
          <cell r="C12969" t="str">
            <v>-</v>
          </cell>
          <cell r="D12969" t="str">
            <v>ICICI Prudential Value Fund - Series 10 - Direct Plan - Cumulative Option</v>
          </cell>
          <cell r="E12969">
            <v>12.32</v>
          </cell>
        </row>
        <row r="12970">
          <cell r="B12970" t="str">
            <v>INF109KB1M11</v>
          </cell>
          <cell r="C12970" t="str">
            <v>-</v>
          </cell>
          <cell r="D12970" t="str">
            <v>ICICI Prudential Value Fund - Series 10 - Direct Plan - Dividend Option</v>
          </cell>
          <cell r="E12970">
            <v>10.91</v>
          </cell>
        </row>
        <row r="12971">
          <cell r="B12971" t="str">
            <v>INF109KB1L95</v>
          </cell>
          <cell r="C12971" t="str">
            <v>-</v>
          </cell>
          <cell r="D12971" t="str">
            <v>ICICI Prudential Value Fund - Series 10 - Dividend Option</v>
          </cell>
          <cell r="E12971">
            <v>10.5</v>
          </cell>
        </row>
        <row r="12972">
          <cell r="B12972" t="str">
            <v>INF109KB1M60</v>
          </cell>
          <cell r="C12972" t="str">
            <v>-</v>
          </cell>
          <cell r="D12972" t="str">
            <v>ICICI Prudential Value Fund - Series 11 - Cumulative Option</v>
          </cell>
          <cell r="E12972">
            <v>13.09</v>
          </cell>
        </row>
        <row r="12973">
          <cell r="B12973" t="str">
            <v>INF109KB1M86</v>
          </cell>
          <cell r="C12973" t="str">
            <v>-</v>
          </cell>
          <cell r="D12973" t="str">
            <v>ICICI Prudential Value Fund - Series 11 - Direct Plan - Cumulative Option</v>
          </cell>
          <cell r="E12973">
            <v>13.54</v>
          </cell>
        </row>
        <row r="12974">
          <cell r="B12974" t="str">
            <v>INF109KB1M94</v>
          </cell>
          <cell r="C12974" t="str">
            <v>-</v>
          </cell>
          <cell r="D12974" t="str">
            <v>ICICI Prudential Value Fund - Series 11 - Direct Plan - Dividend Option</v>
          </cell>
          <cell r="E12974">
            <v>11.69</v>
          </cell>
        </row>
        <row r="12975">
          <cell r="B12975" t="str">
            <v>INF109KB1M78</v>
          </cell>
          <cell r="C12975" t="str">
            <v>-</v>
          </cell>
          <cell r="D12975" t="str">
            <v>ICICI Prudential Value Fund - Series 11 - Dividend Option</v>
          </cell>
          <cell r="E12975">
            <v>11.27</v>
          </cell>
        </row>
        <row r="12976">
          <cell r="B12976" t="str">
            <v>INF109KB1X91</v>
          </cell>
          <cell r="C12976" t="str">
            <v>-</v>
          </cell>
          <cell r="D12976" t="str">
            <v>ICICI Prudential Value Fund - Series 12 - Direct Plan - Dividend Option</v>
          </cell>
          <cell r="E12976">
            <v>12.21</v>
          </cell>
        </row>
        <row r="12977">
          <cell r="B12977" t="str">
            <v>INF109KB1X75</v>
          </cell>
          <cell r="C12977" t="str">
            <v>-</v>
          </cell>
          <cell r="D12977" t="str">
            <v>ICICI Prudential Value Fund - Series 12 - Dividend Option</v>
          </cell>
          <cell r="E12977">
            <v>11.68</v>
          </cell>
        </row>
        <row r="12978">
          <cell r="B12978" t="str">
            <v>INF109KB13C8</v>
          </cell>
          <cell r="C12978" t="str">
            <v>-</v>
          </cell>
          <cell r="D12978" t="str">
            <v>ICICI Prudential Value Fund - Series 13 - Direct Plan - Dividend Option</v>
          </cell>
          <cell r="E12978">
            <v>11.95</v>
          </cell>
        </row>
        <row r="12979">
          <cell r="B12979" t="str">
            <v>INF109KB11C2</v>
          </cell>
          <cell r="C12979" t="str">
            <v>-</v>
          </cell>
          <cell r="D12979" t="str">
            <v>ICICI Prudential Value Fund - Series 13 - Dividend Option</v>
          </cell>
          <cell r="E12979">
            <v>11.46</v>
          </cell>
        </row>
        <row r="12980">
          <cell r="B12980" t="str">
            <v>INF109KB16J6</v>
          </cell>
          <cell r="C12980" t="str">
            <v>-</v>
          </cell>
          <cell r="D12980" t="str">
            <v>ICICI Prudential Value Fund - Series 14 - Cumulative Option</v>
          </cell>
          <cell r="E12980">
            <v>12.39</v>
          </cell>
        </row>
        <row r="12981">
          <cell r="B12981" t="str">
            <v>INF109KB18J2</v>
          </cell>
          <cell r="C12981" t="str">
            <v>-</v>
          </cell>
          <cell r="D12981" t="str">
            <v>ICICI Prudential Value Fund - Series 14 - Direct Plan - Cumulative Option</v>
          </cell>
          <cell r="E12981">
            <v>12.99</v>
          </cell>
        </row>
        <row r="12982">
          <cell r="B12982" t="str">
            <v>INF109KB19J0</v>
          </cell>
          <cell r="C12982" t="str">
            <v>-</v>
          </cell>
          <cell r="D12982" t="str">
            <v>ICICI Prudential Value Fund - Series 14 - Direct Plan - Dividend Option</v>
          </cell>
          <cell r="E12982">
            <v>12.39</v>
          </cell>
        </row>
        <row r="12983">
          <cell r="B12983" t="str">
            <v>INF109KB17J4</v>
          </cell>
          <cell r="C12983" t="str">
            <v>-</v>
          </cell>
          <cell r="D12983" t="str">
            <v>ICICI Prudential Value Fund - Series 14 - Dividend Option</v>
          </cell>
          <cell r="E12983">
            <v>11.81</v>
          </cell>
        </row>
        <row r="12984">
          <cell r="B12984" t="str">
            <v>INF109KB16S7</v>
          </cell>
          <cell r="C12984" t="str">
            <v>-</v>
          </cell>
          <cell r="D12984" t="str">
            <v>ICICI Prudential Value Fund - Series 15 - Cumulative Option</v>
          </cell>
          <cell r="E12984">
            <v>12.7</v>
          </cell>
        </row>
        <row r="12985">
          <cell r="B12985" t="str">
            <v>INF109KB18S3</v>
          </cell>
          <cell r="C12985" t="str">
            <v>-</v>
          </cell>
          <cell r="D12985" t="str">
            <v>ICICI Prudential Value Fund - Series 15 - Direct Plan - Cumulative Option</v>
          </cell>
          <cell r="E12985">
            <v>13.18</v>
          </cell>
        </row>
        <row r="12986">
          <cell r="B12986" t="str">
            <v>INF109KB19S1</v>
          </cell>
          <cell r="C12986" t="str">
            <v>-</v>
          </cell>
          <cell r="D12986" t="str">
            <v>ICICI Prudential Value Fund - Series 15 - Direct Plan - Dividend Option</v>
          </cell>
          <cell r="E12986">
            <v>12.7</v>
          </cell>
        </row>
        <row r="12987">
          <cell r="B12987" t="str">
            <v>INF109KB17S5</v>
          </cell>
          <cell r="C12987" t="str">
            <v>-</v>
          </cell>
          <cell r="D12987" t="str">
            <v>ICICI Prudential Value Fund - Series 15 - Dividend Option</v>
          </cell>
          <cell r="E12987">
            <v>12.39</v>
          </cell>
        </row>
        <row r="12988">
          <cell r="B12988" t="str">
            <v>INF109KB15T7</v>
          </cell>
          <cell r="C12988" t="str">
            <v>-</v>
          </cell>
          <cell r="D12988" t="str">
            <v>ICICI Prudential Value Fund - Series 16 - Cumulative Option</v>
          </cell>
          <cell r="E12988">
            <v>12.52</v>
          </cell>
        </row>
        <row r="12989">
          <cell r="B12989" t="str">
            <v>INF109KB17T3</v>
          </cell>
          <cell r="C12989" t="str">
            <v>-</v>
          </cell>
          <cell r="D12989" t="str">
            <v>ICICI Prudential Value Fund - Series 16 - Direct Plan - Cumulative Option</v>
          </cell>
          <cell r="E12989">
            <v>12.93</v>
          </cell>
        </row>
        <row r="12990">
          <cell r="B12990" t="str">
            <v>INF109KB18T1</v>
          </cell>
          <cell r="C12990" t="str">
            <v>-</v>
          </cell>
          <cell r="D12990" t="str">
            <v>ICICI Prudential Value Fund - Series 16 - Direct Plan - Dividend Option</v>
          </cell>
          <cell r="E12990">
            <v>12.32</v>
          </cell>
        </row>
        <row r="12991">
          <cell r="B12991" t="str">
            <v>INF109KB16T5</v>
          </cell>
          <cell r="C12991" t="str">
            <v>-</v>
          </cell>
          <cell r="D12991" t="str">
            <v>ICICI Prudential Value Fund - Series 16 - Dividend Option</v>
          </cell>
          <cell r="E12991">
            <v>12.01</v>
          </cell>
        </row>
        <row r="12992">
          <cell r="B12992" t="str">
            <v>INF109KB11W0</v>
          </cell>
          <cell r="C12992" t="str">
            <v>-</v>
          </cell>
          <cell r="D12992" t="str">
            <v>ICICI Prudential Value Fund - Series 17 - Cumulative Option</v>
          </cell>
          <cell r="E12992">
            <v>12.9</v>
          </cell>
        </row>
        <row r="12993">
          <cell r="B12993" t="str">
            <v>INF109KB19V5</v>
          </cell>
          <cell r="C12993" t="str">
            <v>-</v>
          </cell>
          <cell r="D12993" t="str">
            <v>ICICI Prudential Value Fund - Series 17 - Direct Plan - Cumulative Option</v>
          </cell>
          <cell r="E12993">
            <v>13.36</v>
          </cell>
        </row>
        <row r="12994">
          <cell r="B12994" t="str">
            <v>INF109KB10W2</v>
          </cell>
          <cell r="C12994" t="str">
            <v>-</v>
          </cell>
          <cell r="D12994" t="str">
            <v>ICICI Prudential Value Fund - Series 17 - Direct Plan - IDCW Option</v>
          </cell>
          <cell r="E12994">
            <v>13.04</v>
          </cell>
        </row>
        <row r="12995">
          <cell r="B12995" t="str">
            <v>INF109KB12W8</v>
          </cell>
          <cell r="C12995" t="str">
            <v>-</v>
          </cell>
          <cell r="D12995" t="str">
            <v>ICICI Prudential Value Fund - Series 17 - IDCW Option</v>
          </cell>
          <cell r="E12995">
            <v>12.59</v>
          </cell>
        </row>
        <row r="12996">
          <cell r="B12996" t="str">
            <v>INF109KB11Y6</v>
          </cell>
          <cell r="C12996" t="str">
            <v>-</v>
          </cell>
          <cell r="D12996" t="str">
            <v>ICICI Prudential Value Fund - Series 18 - Cumulative Option</v>
          </cell>
          <cell r="E12996">
            <v>14.75</v>
          </cell>
        </row>
        <row r="12997">
          <cell r="B12997" t="str">
            <v>INF109KB13Y2</v>
          </cell>
          <cell r="C12997" t="str">
            <v>-</v>
          </cell>
          <cell r="D12997" t="str">
            <v>ICICI Prudential Value Fund - Series 18 - Direct Plan - Cumulative Option</v>
          </cell>
          <cell r="E12997">
            <v>15.23</v>
          </cell>
        </row>
        <row r="12998">
          <cell r="B12998" t="str">
            <v>INF109KB14Y0</v>
          </cell>
          <cell r="C12998" t="str">
            <v>-</v>
          </cell>
          <cell r="D12998" t="str">
            <v>ICICI Prudential Value Fund - Series 18 - Direct Plan - IDCW Option</v>
          </cell>
          <cell r="E12998">
            <v>14.87</v>
          </cell>
        </row>
        <row r="12999">
          <cell r="B12999" t="str">
            <v>INF109KB12Y4</v>
          </cell>
          <cell r="C12999" t="str">
            <v>-</v>
          </cell>
          <cell r="D12999" t="str">
            <v>ICICI Prudential Value Fund - Series 18 - IDCW Option</v>
          </cell>
          <cell r="E12999">
            <v>14.41</v>
          </cell>
        </row>
        <row r="13000">
          <cell r="B13000" t="str">
            <v>INF109KB16Z2</v>
          </cell>
          <cell r="C13000" t="str">
            <v>-</v>
          </cell>
          <cell r="D13000" t="str">
            <v>ICICI Prudential Value Fund - Series 19 - Cumulative Option</v>
          </cell>
          <cell r="E13000">
            <v>14.45</v>
          </cell>
        </row>
        <row r="13001">
          <cell r="B13001" t="str">
            <v>INF109KB18Z8</v>
          </cell>
          <cell r="C13001" t="str">
            <v>-</v>
          </cell>
          <cell r="D13001" t="str">
            <v>ICICI Prudential Value Fund - Series 19 - Direct Plan - Cumulative Option</v>
          </cell>
          <cell r="E13001">
            <v>14.94</v>
          </cell>
        </row>
        <row r="13002">
          <cell r="B13002" t="str">
            <v>INF109KB19Z6</v>
          </cell>
          <cell r="C13002" t="str">
            <v>-</v>
          </cell>
          <cell r="D13002" t="str">
            <v>ICICI Prudential Value Fund - Series 19 - Direct Plan - IDCW Option</v>
          </cell>
          <cell r="E13002">
            <v>14.94</v>
          </cell>
        </row>
        <row r="13003">
          <cell r="B13003" t="str">
            <v>INF109KB17Z0</v>
          </cell>
          <cell r="C13003" t="str">
            <v>-</v>
          </cell>
          <cell r="D13003" t="str">
            <v>ICICI Prudential Value Fund - Series 19 - IDCW Option</v>
          </cell>
          <cell r="E13003">
            <v>14.45</v>
          </cell>
        </row>
        <row r="13004">
          <cell r="B13004" t="str">
            <v>INF109KB1L38</v>
          </cell>
          <cell r="C13004" t="str">
            <v>-</v>
          </cell>
          <cell r="D13004" t="str">
            <v>ICICI Prudential Value Fund - Series 2 - Direct Dividend</v>
          </cell>
          <cell r="E13004">
            <v>11.51</v>
          </cell>
        </row>
        <row r="13005">
          <cell r="B13005" t="str">
            <v>INF109KB1L20</v>
          </cell>
          <cell r="C13005" t="str">
            <v>-</v>
          </cell>
          <cell r="D13005" t="str">
            <v>ICICI Prudential Value Fund - Series 2 - Dividend</v>
          </cell>
          <cell r="E13005">
            <v>10.48</v>
          </cell>
        </row>
        <row r="13006">
          <cell r="B13006" t="str">
            <v>INF109KC1333</v>
          </cell>
          <cell r="C13006" t="str">
            <v>-</v>
          </cell>
          <cell r="D13006" t="str">
            <v>ICICI Prudential Value Fund - Series 20 - Cumulative Option</v>
          </cell>
          <cell r="E13006">
            <v>13.43</v>
          </cell>
        </row>
        <row r="13007">
          <cell r="B13007" t="str">
            <v>INF109KC1358</v>
          </cell>
          <cell r="C13007" t="str">
            <v>-</v>
          </cell>
          <cell r="D13007" t="str">
            <v>ICICI Prudential Value Fund - Series 20 - Direct Plan - Cumulative Option</v>
          </cell>
          <cell r="E13007">
            <v>13.78</v>
          </cell>
        </row>
        <row r="13008">
          <cell r="B13008" t="str">
            <v>INF109KC1366</v>
          </cell>
          <cell r="C13008" t="str">
            <v>-</v>
          </cell>
          <cell r="D13008" t="str">
            <v>ICICI Prudential Value Fund - Series 20 - Direct Plan - IDCW Option</v>
          </cell>
          <cell r="E13008">
            <v>13.78</v>
          </cell>
        </row>
        <row r="13009">
          <cell r="B13009" t="str">
            <v>INF109KC1341</v>
          </cell>
          <cell r="C13009" t="str">
            <v>-</v>
          </cell>
          <cell r="D13009" t="str">
            <v>ICICI Prudential Value Fund - Series 20 - IDCW Option</v>
          </cell>
          <cell r="E13009">
            <v>13.43</v>
          </cell>
        </row>
        <row r="13010">
          <cell r="B13010" t="str">
            <v>INF109KA1OE5</v>
          </cell>
          <cell r="C13010" t="str">
            <v>-</v>
          </cell>
          <cell r="D13010" t="str">
            <v>ICICI Prudential Value Fund - Series 3 - Direct Dividend</v>
          </cell>
          <cell r="E13010">
            <v>11.48</v>
          </cell>
        </row>
        <row r="13011">
          <cell r="B13011" t="str">
            <v>INF109KA1OD7</v>
          </cell>
          <cell r="C13011" t="str">
            <v>-</v>
          </cell>
          <cell r="D13011" t="str">
            <v>ICICI Prudential Value Fund - Series 3 - Dividend</v>
          </cell>
          <cell r="E13011">
            <v>10.49</v>
          </cell>
        </row>
        <row r="13012">
          <cell r="B13012" t="str">
            <v>INF109KA1TQ8</v>
          </cell>
          <cell r="C13012" t="str">
            <v>-</v>
          </cell>
          <cell r="D13012" t="str">
            <v>ICICI Prudential Value Fund - Series 4  Dividend</v>
          </cell>
          <cell r="E13012">
            <v>10.17</v>
          </cell>
        </row>
        <row r="13013">
          <cell r="B13013" t="str">
            <v>INF109KA1TP0</v>
          </cell>
          <cell r="C13013" t="str">
            <v>-</v>
          </cell>
          <cell r="D13013" t="str">
            <v>ICICI Prudential Value Fund - Series 4 Cumulative Option</v>
          </cell>
          <cell r="E13013">
            <v>21.15</v>
          </cell>
        </row>
        <row r="13014">
          <cell r="B13014" t="str">
            <v>INF109KA1TR6</v>
          </cell>
          <cell r="C13014" t="str">
            <v>-</v>
          </cell>
          <cell r="D13014" t="str">
            <v>ICICI Prudential Value Fund - Series 4 Direct Plan Cumulative Option</v>
          </cell>
          <cell r="E13014">
            <v>22.23</v>
          </cell>
        </row>
        <row r="13015">
          <cell r="B13015" t="str">
            <v>INF109KA1TS4</v>
          </cell>
          <cell r="C13015" t="str">
            <v>-</v>
          </cell>
          <cell r="D13015" t="str">
            <v>ICICI Prudential Value Fund - Series 4 Direct Plan Dividend</v>
          </cell>
          <cell r="E13015">
            <v>10.82</v>
          </cell>
        </row>
        <row r="13016">
          <cell r="B13016" t="str">
            <v>INF109KA1J00</v>
          </cell>
          <cell r="C13016" t="str">
            <v>-</v>
          </cell>
          <cell r="D13016" t="str">
            <v>ICICI Prudential Value Fund - Series 5  Cumulative Option</v>
          </cell>
          <cell r="E13016">
            <v>14.71</v>
          </cell>
        </row>
        <row r="13017">
          <cell r="B13017" t="str">
            <v>INF109KA1J26</v>
          </cell>
          <cell r="C13017" t="str">
            <v>-</v>
          </cell>
          <cell r="D13017" t="str">
            <v>ICICI Prudential Value Fund - Series 5 Direct Plan Cumulative Option</v>
          </cell>
          <cell r="E13017">
            <v>15.46</v>
          </cell>
        </row>
        <row r="13018">
          <cell r="B13018" t="str">
            <v>INF109KA1J34</v>
          </cell>
          <cell r="C13018" t="str">
            <v>-</v>
          </cell>
          <cell r="D13018" t="str">
            <v>ICICI Prudential Value Fund - Series 5 Direct Plan Dividend Option</v>
          </cell>
          <cell r="E13018">
            <v>11.26</v>
          </cell>
        </row>
        <row r="13019">
          <cell r="B13019" t="str">
            <v>INF109KA1J18</v>
          </cell>
          <cell r="C13019" t="str">
            <v>-</v>
          </cell>
          <cell r="D13019" t="str">
            <v>ICICI Prudential Value Fund - Series 5 Dividend Option</v>
          </cell>
          <cell r="E13019">
            <v>10.59</v>
          </cell>
        </row>
        <row r="13020">
          <cell r="B13020" t="str">
            <v>INF109KB1557</v>
          </cell>
          <cell r="C13020" t="str">
            <v>-</v>
          </cell>
          <cell r="D13020" t="str">
            <v>ICICI Prudential Value Fund - Series 6  Cumulative Option</v>
          </cell>
          <cell r="E13020">
            <v>12.66</v>
          </cell>
        </row>
        <row r="13021">
          <cell r="B13021" t="str">
            <v>INF109KB1565</v>
          </cell>
          <cell r="C13021" t="str">
            <v>-</v>
          </cell>
          <cell r="D13021" t="str">
            <v>ICICI Prudential Value Fund - Series 6  Dividend Option</v>
          </cell>
          <cell r="E13021">
            <v>9.9600000000000009</v>
          </cell>
        </row>
        <row r="13022">
          <cell r="B13022" t="str">
            <v>INF109KB1573</v>
          </cell>
          <cell r="C13022" t="str">
            <v>-</v>
          </cell>
          <cell r="D13022" t="str">
            <v>ICICI Prudential Value Fund - Series 6 Direct Plan Cumulative Option</v>
          </cell>
          <cell r="E13022">
            <v>13.25</v>
          </cell>
        </row>
        <row r="13023">
          <cell r="B13023" t="str">
            <v>INF109KB1581</v>
          </cell>
          <cell r="C13023" t="str">
            <v>-</v>
          </cell>
          <cell r="D13023" t="str">
            <v>ICICI Prudential Value Fund - Series 6 Direct Plan Dividend Option</v>
          </cell>
          <cell r="E13023">
            <v>10.43</v>
          </cell>
        </row>
        <row r="13024">
          <cell r="B13024" t="str">
            <v>INF109KB1EW7</v>
          </cell>
          <cell r="C13024" t="str">
            <v>-</v>
          </cell>
          <cell r="D13024" t="str">
            <v>ICICI Prudential Value Fund - Series 7 Direct Plan Dividend Option</v>
          </cell>
          <cell r="E13024">
            <v>10.98</v>
          </cell>
        </row>
        <row r="13025">
          <cell r="B13025" t="str">
            <v>INF109KB1EU1</v>
          </cell>
          <cell r="C13025" t="str">
            <v>-</v>
          </cell>
          <cell r="D13025" t="str">
            <v>ICICI Prudential Value Fund - Series 7 Dividend Option</v>
          </cell>
          <cell r="E13025">
            <v>10.51</v>
          </cell>
        </row>
        <row r="13026">
          <cell r="B13026" t="str">
            <v>INF109KC1JK0</v>
          </cell>
          <cell r="C13026" t="str">
            <v>-</v>
          </cell>
          <cell r="D13026" t="str">
            <v>ICICI Prudential Value Fund - Series 8 Direct Plan Dividend Option</v>
          </cell>
          <cell r="E13026">
            <v>10.88</v>
          </cell>
        </row>
        <row r="13027">
          <cell r="B13027" t="str">
            <v>INF109KC1JJ2</v>
          </cell>
          <cell r="C13027" t="str">
            <v>-</v>
          </cell>
          <cell r="D13027" t="str">
            <v>ICICI Prudential Value Fund - Series 8 Dividend Option</v>
          </cell>
          <cell r="E13027">
            <v>10.17</v>
          </cell>
        </row>
        <row r="13028">
          <cell r="B13028" t="str">
            <v>INF109KB1I25</v>
          </cell>
          <cell r="C13028" t="str">
            <v>-</v>
          </cell>
          <cell r="D13028" t="str">
            <v>ICICI Prudential Value Fund - Series 9 - Cumulative Option</v>
          </cell>
          <cell r="E13028">
            <v>12.27</v>
          </cell>
        </row>
        <row r="13029">
          <cell r="B13029" t="str">
            <v>INF109KB1I41</v>
          </cell>
          <cell r="C13029" t="str">
            <v>-</v>
          </cell>
          <cell r="D13029" t="str">
            <v>ICICI Prudential Value Fund - Series 9 - Direct Plan - Cumulative Option</v>
          </cell>
          <cell r="E13029">
            <v>12.6</v>
          </cell>
        </row>
        <row r="13030">
          <cell r="B13030" t="str">
            <v>INF109KB1I58</v>
          </cell>
          <cell r="C13030" t="str">
            <v>-</v>
          </cell>
          <cell r="D13030" t="str">
            <v>ICICI Prudential Value Fund - Series 9 - Direct Plan - Dividend Option</v>
          </cell>
          <cell r="E13030">
            <v>10.85</v>
          </cell>
        </row>
        <row r="13031">
          <cell r="B13031" t="str">
            <v>INF109KB1I33</v>
          </cell>
          <cell r="C13031" t="str">
            <v>-</v>
          </cell>
          <cell r="D13031" t="str">
            <v>ICICI Prudential Value Fund - Series 9 - Dividend Option</v>
          </cell>
          <cell r="E13031">
            <v>10.53</v>
          </cell>
        </row>
        <row r="13032">
          <cell r="B13032" t="str">
            <v/>
          </cell>
          <cell r="C13032" t="str">
            <v/>
          </cell>
          <cell r="D13032" t="str">
            <v/>
          </cell>
        </row>
        <row r="13033">
          <cell r="B13033" t="str">
            <v/>
          </cell>
          <cell r="C13033" t="str">
            <v/>
          </cell>
          <cell r="D13033" t="str">
            <v/>
          </cell>
        </row>
        <row r="13034">
          <cell r="B13034" t="str">
            <v/>
          </cell>
          <cell r="C13034" t="str">
            <v/>
          </cell>
          <cell r="D13034" t="str">
            <v/>
          </cell>
        </row>
        <row r="13035">
          <cell r="B13035" t="str">
            <v>INF174K01P57</v>
          </cell>
          <cell r="C13035" t="str">
            <v>-</v>
          </cell>
          <cell r="D13035" t="str">
            <v>Kotak India Gorwth Fund - Series I - Direct Plan - Dividend</v>
          </cell>
          <cell r="E13035">
            <v>11.212776570000001</v>
          </cell>
        </row>
        <row r="13036">
          <cell r="B13036" t="str">
            <v>INF174K01P40</v>
          </cell>
          <cell r="C13036" t="str">
            <v>-</v>
          </cell>
          <cell r="D13036" t="str">
            <v>Kotak India Gorwth Fund - Series I - Direct Plan - Growth</v>
          </cell>
          <cell r="E13036">
            <v>13.27862178</v>
          </cell>
        </row>
        <row r="13037">
          <cell r="B13037" t="str">
            <v>INF174K01P32</v>
          </cell>
          <cell r="C13037" t="str">
            <v>-</v>
          </cell>
          <cell r="D13037" t="str">
            <v>Kotak India Gorwth Fund - Series I - Regular Plan - Dividend</v>
          </cell>
          <cell r="E13037">
            <v>11.00627096</v>
          </cell>
        </row>
        <row r="13038">
          <cell r="B13038" t="str">
            <v>INF174K01P24</v>
          </cell>
          <cell r="C13038" t="str">
            <v>-</v>
          </cell>
          <cell r="D13038" t="str">
            <v>Kotak India Gorwth Fund - Series I - Regular Plan - Growth</v>
          </cell>
          <cell r="E13038">
            <v>13.070731439999999</v>
          </cell>
        </row>
        <row r="13039">
          <cell r="B13039" t="str">
            <v>INF174KA1GD3</v>
          </cell>
          <cell r="C13039" t="str">
            <v>-</v>
          </cell>
          <cell r="D13039" t="str">
            <v>Kotak India Growth Fund Series 4 - Regular Plan- Growth option</v>
          </cell>
          <cell r="E13039">
            <v>29.187100399999999</v>
          </cell>
        </row>
        <row r="13040">
          <cell r="B13040" t="str">
            <v>INF174KA1GF8</v>
          </cell>
          <cell r="C13040" t="str">
            <v>-</v>
          </cell>
          <cell r="D13040" t="str">
            <v>Kotak India Growth Fund Series 4-Direct Plan - Growth Option</v>
          </cell>
          <cell r="E13040">
            <v>31.062626460000001</v>
          </cell>
        </row>
        <row r="13041">
          <cell r="B13041" t="str">
            <v>INF174KA1GG6</v>
          </cell>
          <cell r="C13041" t="str">
            <v>-</v>
          </cell>
          <cell r="D13041" t="str">
            <v>Kotak India Growth Fund Series 4-Direct Plan-ayout of Income Distribution cum capital withdrawal option</v>
          </cell>
          <cell r="E13041">
            <v>30.84950529</v>
          </cell>
        </row>
        <row r="13042">
          <cell r="B13042" t="str">
            <v>INF174KA1GE1</v>
          </cell>
          <cell r="C13042" t="str">
            <v>-</v>
          </cell>
          <cell r="D13042" t="str">
            <v>Kotak India Growth Fund Series 4-Regular Plan-ayout of Income Distribution cum capital withdrawal option</v>
          </cell>
          <cell r="E13042">
            <v>29.18842837</v>
          </cell>
        </row>
        <row r="13043">
          <cell r="B13043" t="str">
            <v>INF174K014X0</v>
          </cell>
          <cell r="C13043" t="str">
            <v>-</v>
          </cell>
          <cell r="D13043" t="str">
            <v xml:space="preserve">Kotak India Growth Fund Series 5-Direct PLan-ayout of Income Distribution cum capital withdrawal option </v>
          </cell>
          <cell r="E13043">
            <v>14.74284682</v>
          </cell>
        </row>
        <row r="13044">
          <cell r="B13044" t="str">
            <v>INF174K013X2</v>
          </cell>
          <cell r="C13044" t="str">
            <v>-</v>
          </cell>
          <cell r="D13044" t="str">
            <v>Kotak India Growth Fund Series 5-Direct Plan-Growth Option</v>
          </cell>
          <cell r="E13044">
            <v>14.74283395</v>
          </cell>
        </row>
        <row r="13045">
          <cell r="B13045" t="str">
            <v>INF174K012X4</v>
          </cell>
          <cell r="C13045" t="str">
            <v>-</v>
          </cell>
          <cell r="D13045" t="str">
            <v xml:space="preserve">Kotak India Growth Fund Series 5-Regular Plan-ayout of Income Distribution cum capital withdrawal option </v>
          </cell>
          <cell r="E13045">
            <v>14.636548100000001</v>
          </cell>
        </row>
        <row r="13046">
          <cell r="B13046" t="str">
            <v>INF174K011X6</v>
          </cell>
          <cell r="C13046" t="str">
            <v>-</v>
          </cell>
          <cell r="D13046" t="str">
            <v>Kotak India Growth Fund Series 5-Regular Plan-Growth Option</v>
          </cell>
          <cell r="E13046">
            <v>14.63654539</v>
          </cell>
        </row>
        <row r="13047">
          <cell r="B13047" t="str">
            <v>INF174KA1525</v>
          </cell>
          <cell r="C13047" t="str">
            <v>-</v>
          </cell>
          <cell r="D13047" t="str">
            <v>Kotak India Growth Fund Series 7 - Direct Plan - Growth Option</v>
          </cell>
          <cell r="E13047">
            <v>15.09747791</v>
          </cell>
        </row>
        <row r="13048">
          <cell r="B13048" t="str">
            <v>INF174KA1517</v>
          </cell>
          <cell r="C13048" t="str">
            <v>-</v>
          </cell>
          <cell r="D13048" t="str">
            <v xml:space="preserve">Kotak India Growth Fund Series 7 - Regular Plan - ayout of Income Distribution cum capital withdrawal option </v>
          </cell>
          <cell r="E13048">
            <v>14.616852590000001</v>
          </cell>
        </row>
        <row r="13049">
          <cell r="B13049" t="str">
            <v>INF174KA1509</v>
          </cell>
          <cell r="C13049" t="str">
            <v>-</v>
          </cell>
          <cell r="D13049" t="str">
            <v>Kotak India Growth Fund Series 7 - Regular Plan - Growth Option</v>
          </cell>
          <cell r="E13049">
            <v>14.61685271</v>
          </cell>
        </row>
        <row r="13050">
          <cell r="B13050" t="str">
            <v>INF174KA1533</v>
          </cell>
          <cell r="C13050" t="str">
            <v>-</v>
          </cell>
          <cell r="D13050" t="str">
            <v xml:space="preserve">Kotak India Growth Fund Series 7 -Direct Plan  -ayout of Income Distribution cum capital withdrawal option </v>
          </cell>
          <cell r="E13050">
            <v>15.097524590000001</v>
          </cell>
        </row>
        <row r="13051">
          <cell r="B13051" t="str">
            <v/>
          </cell>
          <cell r="C13051" t="str">
            <v/>
          </cell>
          <cell r="D13051" t="str">
            <v/>
          </cell>
        </row>
        <row r="13052">
          <cell r="B13052" t="str">
            <v/>
          </cell>
          <cell r="C13052" t="str">
            <v/>
          </cell>
          <cell r="D13052" t="str">
            <v/>
          </cell>
        </row>
        <row r="13053">
          <cell r="B13053" t="str">
            <v/>
          </cell>
          <cell r="C13053" t="str">
            <v/>
          </cell>
          <cell r="D13053" t="str">
            <v/>
          </cell>
        </row>
        <row r="13054">
          <cell r="B13054" t="str">
            <v>INF204KB1RR3</v>
          </cell>
          <cell r="C13054" t="str">
            <v>-</v>
          </cell>
          <cell r="D13054" t="str">
            <v>Nippon India Capital Builder Fund IV- Series A- Direct Plan-Dividend Payout Option</v>
          </cell>
          <cell r="E13054">
            <v>10.327</v>
          </cell>
        </row>
        <row r="13055">
          <cell r="B13055" t="str">
            <v>INF204KB1RQ5</v>
          </cell>
          <cell r="C13055" t="str">
            <v>-</v>
          </cell>
          <cell r="D13055" t="str">
            <v>Nippon India Capital Builder Fund IV- Series A- Direct Plan-Growth Option</v>
          </cell>
          <cell r="E13055">
            <v>10.327</v>
          </cell>
        </row>
        <row r="13056">
          <cell r="B13056" t="str">
            <v>INF204KB1RP7</v>
          </cell>
          <cell r="C13056" t="str">
            <v>-</v>
          </cell>
          <cell r="D13056" t="str">
            <v>Nippon India Capital Builder Fund IV- Series A- Dividend Payout Option</v>
          </cell>
          <cell r="E13056">
            <v>10.045199999999999</v>
          </cell>
        </row>
        <row r="13057">
          <cell r="B13057" t="str">
            <v>INF204KB1RO0</v>
          </cell>
          <cell r="C13057" t="str">
            <v>-</v>
          </cell>
          <cell r="D13057" t="str">
            <v>Nippon India Capital Builder Fund IV- Series A- Growth Option</v>
          </cell>
          <cell r="E13057">
            <v>10.045199999999999</v>
          </cell>
        </row>
        <row r="13058">
          <cell r="B13058" t="str">
            <v>INF204KB1ST7</v>
          </cell>
          <cell r="C13058" t="str">
            <v>-</v>
          </cell>
          <cell r="D13058" t="str">
            <v>Nippon India Capital Builder Fund IV- Series C- Direct Plan-Dividend Payout Option</v>
          </cell>
          <cell r="E13058">
            <v>11.4785</v>
          </cell>
        </row>
        <row r="13059">
          <cell r="B13059" t="str">
            <v>INF204KB1SS9</v>
          </cell>
          <cell r="C13059" t="str">
            <v>-</v>
          </cell>
          <cell r="D13059" t="str">
            <v>Nippon India Capital Builder Fund IV- Series C- Direct Plan-Growth Option</v>
          </cell>
          <cell r="E13059">
            <v>11.4785</v>
          </cell>
        </row>
        <row r="13060">
          <cell r="B13060" t="str">
            <v>INF204KB1SR1</v>
          </cell>
          <cell r="C13060" t="str">
            <v>-</v>
          </cell>
          <cell r="D13060" t="str">
            <v>Nippon India Capital Builder Fund IV- Series C- Dividend Payout Option</v>
          </cell>
          <cell r="E13060">
            <v>11.1685</v>
          </cell>
        </row>
        <row r="13061">
          <cell r="B13061" t="str">
            <v>INF204KB1SQ3</v>
          </cell>
          <cell r="C13061" t="str">
            <v>-</v>
          </cell>
          <cell r="D13061" t="str">
            <v>Nippon India Capital Builder Fund IV- Series C- Growth Option</v>
          </cell>
          <cell r="E13061">
            <v>11.1685</v>
          </cell>
        </row>
        <row r="13062">
          <cell r="B13062" t="str">
            <v>INF204KB1TI8</v>
          </cell>
          <cell r="C13062" t="str">
            <v>-</v>
          </cell>
          <cell r="D13062" t="str">
            <v>Nippon India Capital Builder Fund IV- Series D- Direct Plan- Growth Option</v>
          </cell>
          <cell r="E13062">
            <v>10.6411</v>
          </cell>
        </row>
        <row r="13063">
          <cell r="B13063" t="str">
            <v>INF204KB1TJ6</v>
          </cell>
          <cell r="C13063" t="str">
            <v>-</v>
          </cell>
          <cell r="D13063" t="str">
            <v>Nippon India Capital Builder Fund IV- Series D- Direct Plan-Dividend Payout Option</v>
          </cell>
          <cell r="E13063">
            <v>10.6411</v>
          </cell>
        </row>
        <row r="13064">
          <cell r="B13064" t="str">
            <v>INF204KB1TH0</v>
          </cell>
          <cell r="C13064" t="str">
            <v>-</v>
          </cell>
          <cell r="D13064" t="str">
            <v>Nippon India Capital Builder Fund IV- Series D- Dividend Payout Option</v>
          </cell>
          <cell r="E13064">
            <v>10.3583</v>
          </cell>
        </row>
        <row r="13065">
          <cell r="B13065" t="str">
            <v>INF204KB1TG2</v>
          </cell>
          <cell r="C13065" t="str">
            <v>-</v>
          </cell>
          <cell r="D13065" t="str">
            <v>Nippon India Capital Builder Fund IV- Series D- Growth Option</v>
          </cell>
          <cell r="E13065">
            <v>10.3583</v>
          </cell>
        </row>
        <row r="13066">
          <cell r="B13066" t="str">
            <v>INF204KB1UH8</v>
          </cell>
          <cell r="C13066" t="str">
            <v>-</v>
          </cell>
          <cell r="D13066" t="str">
            <v>NIPPON INDIA FIXED HORIZON FUND - XXXVI - SERIES 1 - DIRECT Plan - IDCW Option</v>
          </cell>
          <cell r="E13066">
            <v>10</v>
          </cell>
        </row>
        <row r="13067">
          <cell r="B13067" t="str">
            <v>INF204KB1UF2</v>
          </cell>
          <cell r="C13067" t="str">
            <v>-</v>
          </cell>
          <cell r="D13067" t="str">
            <v>NIPPON INDIA FIXED HORIZON FUND - XXXVI - SERIES 1 - IDCW Option</v>
          </cell>
          <cell r="E13067">
            <v>10</v>
          </cell>
        </row>
        <row r="13068">
          <cell r="B13068" t="str">
            <v>INF204KB1UG0</v>
          </cell>
          <cell r="C13068" t="str">
            <v>-</v>
          </cell>
          <cell r="D13068" t="str">
            <v>Nippon India Fixed Horizon Fund XXXVI- Series 1- Direct Plan-Growth Option</v>
          </cell>
          <cell r="E13068">
            <v>12.686400000000001</v>
          </cell>
        </row>
        <row r="13069">
          <cell r="B13069" t="str">
            <v>INF204KB1UE5</v>
          </cell>
          <cell r="C13069" t="str">
            <v>-</v>
          </cell>
          <cell r="D13069" t="str">
            <v>Nippon India Fixed Horizon Fund XXXVI- Series 1- Growth Option</v>
          </cell>
          <cell r="E13069">
            <v>12.644</v>
          </cell>
        </row>
        <row r="13070">
          <cell r="B13070" t="str">
            <v>INF204KB1I57</v>
          </cell>
          <cell r="C13070" t="str">
            <v>-</v>
          </cell>
          <cell r="D13070" t="str">
            <v>NIPPON INDIA - INDIA OPPORTUNITIES FUND - SERIES A - DIRECT Plan - IDCW Option</v>
          </cell>
          <cell r="E13070">
            <v>16.597000000000001</v>
          </cell>
        </row>
        <row r="13071">
          <cell r="B13071" t="str">
            <v>INF204KB1I32</v>
          </cell>
          <cell r="C13071" t="str">
            <v>-</v>
          </cell>
          <cell r="D13071" t="str">
            <v>NIPPON INDIA - INDIA OPPORTUNITIES FUND - SERIES A - IDCW Option</v>
          </cell>
          <cell r="E13071">
            <v>16.065200000000001</v>
          </cell>
        </row>
        <row r="13072">
          <cell r="B13072" t="str">
            <v>INF204KB1I40</v>
          </cell>
          <cell r="C13072" t="str">
            <v>-</v>
          </cell>
          <cell r="D13072" t="str">
            <v>Nippon India India Opportunities Fund - Series A - Direct Plan - Growth Option</v>
          </cell>
          <cell r="E13072">
            <v>16.597000000000001</v>
          </cell>
        </row>
        <row r="13073">
          <cell r="B13073" t="str">
            <v>INF204KB1I24</v>
          </cell>
          <cell r="C13073" t="str">
            <v>-</v>
          </cell>
          <cell r="D13073" t="str">
            <v>Nippon India India Opportunities Fund - Series A - Growth Option</v>
          </cell>
          <cell r="E13073">
            <v>16.065200000000001</v>
          </cell>
        </row>
        <row r="13074">
          <cell r="B13074" t="str">
            <v>INF204KA1ZJ4</v>
          </cell>
          <cell r="C13074" t="str">
            <v>-</v>
          </cell>
          <cell r="D13074" t="str">
            <v>Reliance Capital Builder Fund II - Series B - Direct Plan - Dividend Payout Option</v>
          </cell>
          <cell r="E13074">
            <v>13.8329</v>
          </cell>
        </row>
        <row r="13075">
          <cell r="B13075" t="str">
            <v>INF204KA1ZI6</v>
          </cell>
          <cell r="C13075" t="str">
            <v>-</v>
          </cell>
          <cell r="D13075" t="str">
            <v>Reliance Capital Builder Fund II - Series B - Direct Plan - Growth Option</v>
          </cell>
          <cell r="E13075">
            <v>13.8329</v>
          </cell>
        </row>
        <row r="13076">
          <cell r="B13076" t="str">
            <v>INF204KA1ZH8</v>
          </cell>
          <cell r="C13076" t="str">
            <v>-</v>
          </cell>
          <cell r="D13076" t="str">
            <v>Reliance Capital Builder Fund II - Series B - Dividend Payout Option</v>
          </cell>
          <cell r="E13076">
            <v>13.0421</v>
          </cell>
        </row>
        <row r="13077">
          <cell r="B13077" t="str">
            <v>INF204KA1ZG0</v>
          </cell>
          <cell r="C13077" t="str">
            <v>-</v>
          </cell>
          <cell r="D13077" t="str">
            <v>Reliance Capital Builder Fund II - Series B - Growth Option</v>
          </cell>
          <cell r="E13077">
            <v>13.0421</v>
          </cell>
        </row>
        <row r="13078">
          <cell r="B13078" t="str">
            <v>INF204KA1F86</v>
          </cell>
          <cell r="C13078" t="str">
            <v>-</v>
          </cell>
          <cell r="D13078" t="str">
            <v>Reliance Capital Builder Fund II - Series C - Direct Plan - Dividend Payout Option</v>
          </cell>
          <cell r="E13078">
            <v>12.5434</v>
          </cell>
        </row>
        <row r="13079">
          <cell r="B13079" t="str">
            <v>INF204KA1F78</v>
          </cell>
          <cell r="C13079" t="str">
            <v>-</v>
          </cell>
          <cell r="D13079" t="str">
            <v>Reliance Capital Builder Fund II - Series C - Direct Plan - Growth Option</v>
          </cell>
          <cell r="E13079">
            <v>12.5434</v>
          </cell>
        </row>
        <row r="13080">
          <cell r="B13080" t="str">
            <v>INF204KA1F60</v>
          </cell>
          <cell r="C13080" t="str">
            <v>-</v>
          </cell>
          <cell r="D13080" t="str">
            <v>Reliance Capital Builder Fund II - Series C - Dividend Payout Option</v>
          </cell>
          <cell r="E13080">
            <v>12.1517</v>
          </cell>
        </row>
        <row r="13081">
          <cell r="B13081" t="str">
            <v>INF204KA1F52</v>
          </cell>
          <cell r="C13081" t="str">
            <v>-</v>
          </cell>
          <cell r="D13081" t="str">
            <v>Reliance Capital Builder Fund II - Series C - Growth Option</v>
          </cell>
          <cell r="E13081">
            <v>12.1517</v>
          </cell>
        </row>
        <row r="13082">
          <cell r="B13082" t="str">
            <v>INF204KA1YL3</v>
          </cell>
          <cell r="C13082" t="str">
            <v>-</v>
          </cell>
          <cell r="D13082" t="str">
            <v>Reliance Capital Builder Fund II- Series A- Direct Plan-Dividend Payout Option</v>
          </cell>
          <cell r="E13082">
            <v>10</v>
          </cell>
        </row>
        <row r="13083">
          <cell r="B13083" t="str">
            <v>INF204KA1YK5</v>
          </cell>
          <cell r="C13083" t="str">
            <v>-</v>
          </cell>
          <cell r="D13083" t="str">
            <v>Reliance Capital Builder Fund II- Series A- Direct Plan-Growth Option</v>
          </cell>
          <cell r="E13083">
            <v>14.5494</v>
          </cell>
        </row>
        <row r="13084">
          <cell r="B13084" t="str">
            <v>INF204KA1YJ7</v>
          </cell>
          <cell r="C13084" t="str">
            <v>-</v>
          </cell>
          <cell r="D13084" t="str">
            <v>Reliance Capital Builder Fund II- Series A- Dividend Payout Option</v>
          </cell>
          <cell r="E13084">
            <v>10</v>
          </cell>
        </row>
        <row r="13085">
          <cell r="B13085" t="str">
            <v>INF204KA1YI9</v>
          </cell>
          <cell r="C13085" t="str">
            <v>-</v>
          </cell>
          <cell r="D13085" t="str">
            <v>Reliance Capital Builder Fund II- Series A- Growth Option</v>
          </cell>
          <cell r="E13085">
            <v>14.2989</v>
          </cell>
        </row>
        <row r="13086">
          <cell r="B13086" t="str">
            <v>INF204KA16D0</v>
          </cell>
          <cell r="C13086" t="str">
            <v>-</v>
          </cell>
          <cell r="D13086" t="str">
            <v>Reliance Capital Builder Fund III - Series A - Direct Plan - Dividend Payout Option</v>
          </cell>
          <cell r="E13086">
            <v>12.0184</v>
          </cell>
        </row>
        <row r="13087">
          <cell r="B13087" t="str">
            <v>INF204KA15D2</v>
          </cell>
          <cell r="C13087" t="str">
            <v>-</v>
          </cell>
          <cell r="D13087" t="str">
            <v>Reliance Capital Builder Fund III - Series A - Direct Plan - Growth Option</v>
          </cell>
          <cell r="E13087">
            <v>13.316599999999999</v>
          </cell>
        </row>
        <row r="13088">
          <cell r="B13088" t="str">
            <v>INF204KA14D5</v>
          </cell>
          <cell r="C13088" t="str">
            <v>-</v>
          </cell>
          <cell r="D13088" t="str">
            <v>Reliance Capital Builder Fund III - Series A - Dividend Payout Option</v>
          </cell>
          <cell r="E13088">
            <v>11.5589</v>
          </cell>
        </row>
        <row r="13089">
          <cell r="B13089" t="str">
            <v>INF204KA13D7</v>
          </cell>
          <cell r="C13089" t="str">
            <v>-</v>
          </cell>
          <cell r="D13089" t="str">
            <v>Reliance Capital Builder Fund III - Series A - Growth Option</v>
          </cell>
          <cell r="E13089">
            <v>12.8527</v>
          </cell>
        </row>
        <row r="13090">
          <cell r="B13090" t="str">
            <v>INF204KA1RY0</v>
          </cell>
          <cell r="C13090" t="str">
            <v>-</v>
          </cell>
          <cell r="D13090" t="str">
            <v>Reliance Capital Builder Fund- Series A- Direct Plan- Dividend Payout Opotion</v>
          </cell>
          <cell r="E13090">
            <v>17.903600000000001</v>
          </cell>
        </row>
        <row r="13091">
          <cell r="B13091" t="str">
            <v>INF204KA1RX2</v>
          </cell>
          <cell r="C13091" t="str">
            <v>-</v>
          </cell>
          <cell r="D13091" t="str">
            <v>Reliance Capital Builder Fund- Series A- Direct Plan- Growth Option</v>
          </cell>
          <cell r="E13091">
            <v>17.903600000000001</v>
          </cell>
        </row>
        <row r="13092">
          <cell r="B13092" t="str">
            <v>INF204KA1RW4</v>
          </cell>
          <cell r="C13092" t="str">
            <v>-</v>
          </cell>
          <cell r="D13092" t="str">
            <v>Reliance Capital Builder Fund- Series A- Dividend Payout Option</v>
          </cell>
          <cell r="E13092">
            <v>17.461099999999998</v>
          </cell>
        </row>
        <row r="13093">
          <cell r="B13093" t="str">
            <v>INF204KA1RV6</v>
          </cell>
          <cell r="C13093" t="str">
            <v>-</v>
          </cell>
          <cell r="D13093" t="str">
            <v>Reliance Capital Builder Fund- Series A- Growth Option</v>
          </cell>
          <cell r="E13093">
            <v>17.461099999999998</v>
          </cell>
        </row>
        <row r="13094">
          <cell r="B13094" t="str">
            <v>INF204KA1SW2</v>
          </cell>
          <cell r="C13094" t="str">
            <v>-</v>
          </cell>
          <cell r="D13094" t="str">
            <v>Reliance Capital Builder Fund- Series B- Direct Plan- Dividend Payout Option</v>
          </cell>
          <cell r="E13094">
            <v>13.8255</v>
          </cell>
        </row>
        <row r="13095">
          <cell r="B13095" t="str">
            <v>INF204KA1SV4</v>
          </cell>
          <cell r="C13095" t="str">
            <v>-</v>
          </cell>
          <cell r="D13095" t="str">
            <v>Reliance Capital Builder Fund- Series B- Direct Plan- Growth Opiton</v>
          </cell>
          <cell r="E13095">
            <v>13.8255</v>
          </cell>
        </row>
        <row r="13096">
          <cell r="B13096" t="str">
            <v>INF204KA1SU6</v>
          </cell>
          <cell r="C13096" t="str">
            <v>-</v>
          </cell>
          <cell r="D13096" t="str">
            <v>Reliance Capital Builder Fund- Series B- Dividend Payout Option</v>
          </cell>
          <cell r="E13096">
            <v>13.2339</v>
          </cell>
        </row>
        <row r="13097">
          <cell r="B13097" t="str">
            <v>INF204KA1ST8</v>
          </cell>
          <cell r="C13097" t="str">
            <v>-</v>
          </cell>
          <cell r="D13097" t="str">
            <v>Reliance Capital Builder Fund- Series B- Growth Option</v>
          </cell>
          <cell r="E13097">
            <v>13.2339</v>
          </cell>
        </row>
        <row r="13098">
          <cell r="B13098" t="str">
            <v>INF204KA1UE6</v>
          </cell>
          <cell r="C13098" t="str">
            <v>-</v>
          </cell>
          <cell r="D13098" t="str">
            <v>Reliance Capital Builder Fund- Series C- Direct Plan- Dividend Payout Option</v>
          </cell>
          <cell r="E13098">
            <v>14.4939</v>
          </cell>
        </row>
        <row r="13099">
          <cell r="B13099" t="str">
            <v>INF204KA1UD8</v>
          </cell>
          <cell r="C13099" t="str">
            <v>-</v>
          </cell>
          <cell r="D13099" t="str">
            <v>Reliance Capital Builder Fund- Series C- Direct Plan- Growth Option</v>
          </cell>
          <cell r="E13099">
            <v>14.4939</v>
          </cell>
        </row>
        <row r="13100">
          <cell r="B13100" t="str">
            <v>INF204KA1UC0</v>
          </cell>
          <cell r="C13100" t="str">
            <v>-</v>
          </cell>
          <cell r="D13100" t="str">
            <v>Reliance Capital Builder Fund- Series C- Dividend Payout Option</v>
          </cell>
          <cell r="E13100">
            <v>13.8573</v>
          </cell>
        </row>
        <row r="13101">
          <cell r="B13101" t="str">
            <v>INF204KA1UB2</v>
          </cell>
          <cell r="C13101" t="str">
            <v>-</v>
          </cell>
          <cell r="D13101" t="str">
            <v>Reliance Capital Builder Fund- Series C- Growth Option</v>
          </cell>
          <cell r="E13101">
            <v>13.8573</v>
          </cell>
        </row>
        <row r="13102">
          <cell r="B13102" t="str">
            <v>INF204K018R7</v>
          </cell>
          <cell r="C13102" t="str">
            <v>-</v>
          </cell>
          <cell r="D13102" t="str">
            <v>Reliance Close Ended Equity Fund - Series A - Direct Plan - Dividend Payout Option</v>
          </cell>
          <cell r="E13102">
            <v>12.2273</v>
          </cell>
        </row>
        <row r="13103">
          <cell r="B13103" t="str">
            <v>INF204K017R9</v>
          </cell>
          <cell r="C13103" t="str">
            <v>-</v>
          </cell>
          <cell r="D13103" t="str">
            <v>Reliance Close Ended Equity Fund - Series A - Direct Plan - Growth Option</v>
          </cell>
          <cell r="E13103">
            <v>23.824100000000001</v>
          </cell>
        </row>
        <row r="13104">
          <cell r="B13104" t="str">
            <v>INF204K016R1</v>
          </cell>
          <cell r="C13104" t="str">
            <v>-</v>
          </cell>
          <cell r="D13104" t="str">
            <v>Reliance Close Ended Equity Fund - Series A - Dividend Payout Option</v>
          </cell>
          <cell r="E13104">
            <v>11.2608</v>
          </cell>
        </row>
        <row r="13105">
          <cell r="B13105" t="str">
            <v>INF204K015R3</v>
          </cell>
          <cell r="C13105" t="str">
            <v>-</v>
          </cell>
          <cell r="D13105" t="str">
            <v>Reliance Close Ended Equity Fund - Series A - Growth Option</v>
          </cell>
          <cell r="E13105">
            <v>22.668800000000001</v>
          </cell>
        </row>
        <row r="13106">
          <cell r="B13106" t="str">
            <v>INF204K012S8</v>
          </cell>
          <cell r="C13106" t="str">
            <v>-</v>
          </cell>
          <cell r="D13106" t="str">
            <v>Reliance Close Ended Equity Fund - Series B - Direct Plan - Dividend Payout Option</v>
          </cell>
          <cell r="E13106">
            <v>12.256399999999999</v>
          </cell>
        </row>
        <row r="13107">
          <cell r="B13107" t="str">
            <v>INF204K011S0</v>
          </cell>
          <cell r="C13107" t="str">
            <v>-</v>
          </cell>
          <cell r="D13107" t="str">
            <v>Reliance Close Ended Equity Fund - Series B - Direct Plan - Growth Option</v>
          </cell>
          <cell r="E13107">
            <v>23.883700000000001</v>
          </cell>
        </row>
        <row r="13108">
          <cell r="B13108" t="str">
            <v>INF204K010S2</v>
          </cell>
          <cell r="C13108" t="str">
            <v>-</v>
          </cell>
          <cell r="D13108" t="str">
            <v>Reliance Close Ended Equity Fund - Series B - Dividend Payout Option</v>
          </cell>
          <cell r="E13108">
            <v>11.251799999999999</v>
          </cell>
        </row>
        <row r="13109">
          <cell r="B13109" t="str">
            <v>INF204K019R5</v>
          </cell>
          <cell r="C13109" t="str">
            <v>-</v>
          </cell>
          <cell r="D13109" t="str">
            <v>Reliance Close Ended Equity Fund - Series B - Growth Option</v>
          </cell>
          <cell r="E13109">
            <v>22.652000000000001</v>
          </cell>
        </row>
        <row r="13110">
          <cell r="B13110" t="str">
            <v>INF204KA1OW1</v>
          </cell>
          <cell r="C13110" t="str">
            <v>-</v>
          </cell>
          <cell r="D13110" t="str">
            <v>Reliance Close Ended Equity Fund II- Series A- Direct Plan- Dividend Payout Option</v>
          </cell>
          <cell r="E13110">
            <v>13.6958</v>
          </cell>
        </row>
        <row r="13111">
          <cell r="B13111" t="str">
            <v>INF204KA1OV3</v>
          </cell>
          <cell r="C13111" t="str">
            <v>-</v>
          </cell>
          <cell r="D13111" t="str">
            <v>Reliance Close Ended Equity Fund II- Series A- Direct Plan- Growth Option</v>
          </cell>
          <cell r="E13111">
            <v>19.330100000000002</v>
          </cell>
        </row>
        <row r="13112">
          <cell r="B13112" t="str">
            <v>INF204KA1OU5</v>
          </cell>
          <cell r="C13112" t="str">
            <v>-</v>
          </cell>
          <cell r="D13112" t="str">
            <v>Reliance Close Ended Equity Fund II- Series A- Dividend Payout Option</v>
          </cell>
          <cell r="E13112">
            <v>12.913600000000001</v>
          </cell>
        </row>
        <row r="13113">
          <cell r="B13113" t="str">
            <v>INF204KA1OT7</v>
          </cell>
          <cell r="C13113" t="str">
            <v>-</v>
          </cell>
          <cell r="D13113" t="str">
            <v>Reliance Close Ended Equity Fund II- Series A- Growth Option</v>
          </cell>
          <cell r="E13113">
            <v>18.505199999999999</v>
          </cell>
        </row>
        <row r="13114">
          <cell r="B13114" t="str">
            <v/>
          </cell>
          <cell r="C13114" t="str">
            <v/>
          </cell>
          <cell r="D13114" t="str">
            <v/>
          </cell>
        </row>
        <row r="13115">
          <cell r="B13115" t="str">
            <v/>
          </cell>
          <cell r="C13115" t="str">
            <v/>
          </cell>
          <cell r="D13115" t="str">
            <v/>
          </cell>
        </row>
        <row r="13116">
          <cell r="B13116" t="str">
            <v/>
          </cell>
          <cell r="C13116" t="str">
            <v/>
          </cell>
          <cell r="D13116" t="str">
            <v/>
          </cell>
        </row>
        <row r="13117">
          <cell r="B13117" t="str">
            <v>INF789FC1Q55</v>
          </cell>
          <cell r="C13117" t="str">
            <v>-</v>
          </cell>
          <cell r="D13117" t="str">
            <v>UTI Focussed Equity Fund Series - 1 (2195 Days) - Direct Plan - Dividend Option</v>
          </cell>
          <cell r="E13117">
            <v>14.205</v>
          </cell>
        </row>
        <row r="13118">
          <cell r="B13118" t="str">
            <v>INF789FC1Q63</v>
          </cell>
          <cell r="C13118" t="str">
            <v>-</v>
          </cell>
          <cell r="D13118" t="str">
            <v>UTI Focussed Equity Fund Series - 1 (2195 Days) - Direct Plan - Growth Option</v>
          </cell>
          <cell r="E13118">
            <v>15.3687</v>
          </cell>
        </row>
        <row r="13119">
          <cell r="B13119" t="str">
            <v>INF789FC1Q30</v>
          </cell>
          <cell r="C13119" t="str">
            <v>-</v>
          </cell>
          <cell r="D13119" t="str">
            <v>UTI Focussed Equity Fund Series - 1 (2195 Days) - Regular Plan - Dividend Option</v>
          </cell>
          <cell r="E13119">
            <v>13.2056</v>
          </cell>
        </row>
        <row r="13120">
          <cell r="B13120" t="str">
            <v>INF789FC1Q48</v>
          </cell>
          <cell r="C13120" t="str">
            <v>-</v>
          </cell>
          <cell r="D13120" t="str">
            <v>UTI Focussed Equity Fund Series - 1 (2195 Days) - Regular Plan - Growth Option</v>
          </cell>
          <cell r="E13120">
            <v>14.3308</v>
          </cell>
        </row>
        <row r="13121">
          <cell r="B13121" t="str">
            <v>INF789FC1T37</v>
          </cell>
          <cell r="C13121" t="str">
            <v>-</v>
          </cell>
          <cell r="D13121" t="str">
            <v>UTI Focussed Equity Fund - Series IV (1104 Days) - Direct Plan - Dividend  Option</v>
          </cell>
          <cell r="E13121">
            <v>10.6409</v>
          </cell>
        </row>
        <row r="13122">
          <cell r="B13122" t="str">
            <v>INF789FC1T45</v>
          </cell>
          <cell r="C13122" t="str">
            <v>-</v>
          </cell>
          <cell r="D13122" t="str">
            <v>UTI Focussed Equity Fund - Series IV (1104 Days) - Direct Plan - Growth Option</v>
          </cell>
          <cell r="E13122">
            <v>10.6409</v>
          </cell>
        </row>
        <row r="13123">
          <cell r="B13123" t="str">
            <v>INF789FC1T11</v>
          </cell>
          <cell r="C13123" t="str">
            <v>-</v>
          </cell>
          <cell r="D13123" t="str">
            <v>UTI Focussed Equity Fund - Series IV (1104 Days) - Regular Plan - Dividend Option</v>
          </cell>
          <cell r="E13123">
            <v>10.2531</v>
          </cell>
        </row>
        <row r="13124">
          <cell r="B13124" t="str">
            <v>INF789FC1T29</v>
          </cell>
          <cell r="C13124" t="str">
            <v>-</v>
          </cell>
          <cell r="D13124" t="str">
            <v>UTI Focussed Equity Fund - Series IV (1104 Days) - Regular Plan - Growth Option</v>
          </cell>
          <cell r="E13124">
            <v>10.253</v>
          </cell>
        </row>
        <row r="13125">
          <cell r="B13125" t="str">
            <v>INF789FC1X15</v>
          </cell>
          <cell r="C13125" t="str">
            <v>-</v>
          </cell>
          <cell r="D13125" t="str">
            <v>UTI Focussed Equity Fund - Series V (1102 Days) - Direct Plan - Dividend Option</v>
          </cell>
          <cell r="E13125">
            <v>11.8178</v>
          </cell>
        </row>
        <row r="13126">
          <cell r="B13126" t="str">
            <v>INF789FC1X23</v>
          </cell>
          <cell r="C13126" t="str">
            <v>-</v>
          </cell>
          <cell r="D13126" t="str">
            <v>UTI Focussed Equity Fund - Series V (1102 Days) - Direct Plan - Growth Option</v>
          </cell>
          <cell r="E13126">
            <v>11.8178</v>
          </cell>
        </row>
        <row r="13127">
          <cell r="B13127" t="str">
            <v>INF789FC1W99</v>
          </cell>
          <cell r="C13127" t="str">
            <v>-</v>
          </cell>
          <cell r="D13127" t="str">
            <v>UTI Focussed Equity Fund - Series V (1102 Days) - Regular Plan - Dividend Option</v>
          </cell>
          <cell r="E13127">
            <v>11.361700000000001</v>
          </cell>
        </row>
        <row r="13128">
          <cell r="B13128" t="str">
            <v>INF789FC1X07</v>
          </cell>
          <cell r="C13128" t="str">
            <v>-</v>
          </cell>
          <cell r="D13128" t="str">
            <v>UTI Focussed Equity Fund - Series V (1102 Days) - Regular Plan - Growth Option</v>
          </cell>
          <cell r="E13128">
            <v>11.361700000000001</v>
          </cell>
        </row>
        <row r="13129">
          <cell r="B13129" t="str">
            <v>INF789FC12G8</v>
          </cell>
          <cell r="C13129" t="str">
            <v>-</v>
          </cell>
          <cell r="D13129" t="str">
            <v>UTI Focussed Equity Fund - Series VI (1150 Days) - Direct Plan - Growth Option</v>
          </cell>
          <cell r="E13129">
            <v>13.725300000000001</v>
          </cell>
        </row>
        <row r="13130">
          <cell r="B13130" t="str">
            <v>INF789FC11G0</v>
          </cell>
          <cell r="C13130" t="str">
            <v>-</v>
          </cell>
          <cell r="D13130" t="str">
            <v>UTI Focussed Equity Fund - Series VI (1150 Days) - Direct Plan - IDCW</v>
          </cell>
          <cell r="E13130">
            <v>13.725300000000001</v>
          </cell>
        </row>
        <row r="13131">
          <cell r="B13131" t="str">
            <v>INF789FC10G2</v>
          </cell>
          <cell r="C13131" t="str">
            <v>-</v>
          </cell>
          <cell r="D13131" t="str">
            <v>UTI Focussed Equity Fund - Series VI (1150 Days) - Regular Plan - Growth Option</v>
          </cell>
          <cell r="E13131">
            <v>13.216900000000001</v>
          </cell>
        </row>
        <row r="13132">
          <cell r="B13132" t="str">
            <v>INF789FC19F5</v>
          </cell>
          <cell r="C13132" t="str">
            <v>-</v>
          </cell>
          <cell r="D13132" t="str">
            <v>UTI Focussed Equity Fund - Series VI (1150 Days) - Regular Plan - IDCW</v>
          </cell>
          <cell r="E13132">
            <v>13.216900000000001</v>
          </cell>
        </row>
        <row r="13133">
          <cell r="B13133" t="str">
            <v>INF789FC18D2</v>
          </cell>
          <cell r="C13133" t="str">
            <v>-</v>
          </cell>
          <cell r="D13133" t="str">
            <v>UTI Long Term Advantage Fund Series VII - Direct Plan - Growth Option</v>
          </cell>
          <cell r="E13133">
            <v>13.1836</v>
          </cell>
        </row>
        <row r="13134">
          <cell r="B13134" t="str">
            <v>INF789FC17D4</v>
          </cell>
          <cell r="C13134" t="str">
            <v>-</v>
          </cell>
          <cell r="D13134" t="str">
            <v>UTI Long Term Advantage Fund Series VII - Direct Plan - IDCW</v>
          </cell>
          <cell r="E13134">
            <v>13.1836</v>
          </cell>
        </row>
        <row r="13135">
          <cell r="B13135" t="str">
            <v>INF789FC16D6</v>
          </cell>
          <cell r="C13135" t="str">
            <v>-</v>
          </cell>
          <cell r="D13135" t="str">
            <v>UTI Long Term Advantage Fund Series VII - Regular Plan - Growth Option</v>
          </cell>
          <cell r="E13135">
            <v>12.737</v>
          </cell>
        </row>
        <row r="13136">
          <cell r="B13136" t="str">
            <v>INF789FC15D8</v>
          </cell>
          <cell r="C13136" t="str">
            <v>-</v>
          </cell>
          <cell r="D13136" t="str">
            <v>UTI Long Term Advantage Fund Series VII - Regular Plan - IDCW</v>
          </cell>
          <cell r="E13136">
            <v>12.737</v>
          </cell>
        </row>
        <row r="13137">
          <cell r="B13137" t="str">
            <v/>
          </cell>
          <cell r="C13137" t="str">
            <v/>
          </cell>
          <cell r="D13137" t="str">
            <v/>
          </cell>
        </row>
        <row r="13138">
          <cell r="B13138" t="str">
            <v/>
          </cell>
          <cell r="C13138" t="str">
            <v/>
          </cell>
          <cell r="D13138" t="str">
            <v/>
          </cell>
        </row>
        <row r="13139">
          <cell r="B13139" t="str">
            <v/>
          </cell>
          <cell r="C13139" t="str">
            <v/>
          </cell>
          <cell r="D13139" t="str">
            <v/>
          </cell>
        </row>
        <row r="13140">
          <cell r="B13140" t="str">
            <v/>
          </cell>
          <cell r="C13140" t="str">
            <v/>
          </cell>
          <cell r="D13140" t="str">
            <v/>
          </cell>
        </row>
        <row r="13141">
          <cell r="B13141" t="str">
            <v/>
          </cell>
          <cell r="C13141" t="str">
            <v/>
          </cell>
          <cell r="D13141" t="str">
            <v/>
          </cell>
        </row>
        <row r="13142">
          <cell r="B13142" t="str">
            <v>INF209KB11Y4</v>
          </cell>
          <cell r="C13142" t="str">
            <v>-</v>
          </cell>
          <cell r="D13142" t="str">
            <v>Aditya Birla Sun Life Fixed Maturity Plan - Series UQ (92 days) - Direct Plan - Growth Option</v>
          </cell>
          <cell r="E13142">
            <v>10.187900000000001</v>
          </cell>
        </row>
        <row r="13143">
          <cell r="B13143" t="str">
            <v>INF209KB12Y2</v>
          </cell>
          <cell r="C13143" t="str">
            <v>-</v>
          </cell>
          <cell r="D13143" t="str">
            <v>Aditya Birla Sun Life Fixed Maturity Plan - Series UQ (92 days) - Direct Plan - Payout of IDCW Option</v>
          </cell>
          <cell r="E13143">
            <v>10</v>
          </cell>
        </row>
        <row r="13144">
          <cell r="B13144" t="str">
            <v>INF209KB19X9</v>
          </cell>
          <cell r="C13144" t="str">
            <v>-</v>
          </cell>
          <cell r="D13144" t="str">
            <v>Aditya Birla Sun Life Fixed Maturity Plan - Series UQ (92 days) - Regular Plan - Growth Option</v>
          </cell>
          <cell r="E13144">
            <v>10.183999999999999</v>
          </cell>
        </row>
        <row r="13145">
          <cell r="B13145" t="str">
            <v>INF209KB10Y6</v>
          </cell>
          <cell r="C13145" t="str">
            <v>-</v>
          </cell>
          <cell r="D13145" t="str">
            <v>Aditya Birla Sun Life Fixed Maturity Plan - Series UQ (92 days) - Regular Plan - Payout of IDCW Option</v>
          </cell>
          <cell r="E13145">
            <v>10</v>
          </cell>
        </row>
        <row r="13146">
          <cell r="B13146" t="str">
            <v>INF209KB15Y5</v>
          </cell>
          <cell r="C13146" t="str">
            <v>-</v>
          </cell>
          <cell r="D13146" t="str">
            <v>Aditya Birla Sun Life Fixed Maturity Plan - Series UR (85 days) - Direct Plan - Growth Option</v>
          </cell>
          <cell r="E13146">
            <v>10.171799999999999</v>
          </cell>
        </row>
        <row r="13147">
          <cell r="B13147" t="str">
            <v>INF209KB16Y3</v>
          </cell>
          <cell r="C13147" t="str">
            <v>-</v>
          </cell>
          <cell r="D13147" t="str">
            <v>Aditya Birla Sun Life Fixed Maturity Plan - Series UR (85 days) - Direct Plan - Payout of IDCW Option</v>
          </cell>
          <cell r="E13147">
            <v>10</v>
          </cell>
        </row>
        <row r="13148">
          <cell r="B13148" t="str">
            <v>INF209KB13Y0</v>
          </cell>
          <cell r="C13148" t="str">
            <v>-</v>
          </cell>
          <cell r="D13148" t="str">
            <v>Aditya Birla Sun Life Fixed Maturity Plan - Series UR (85 days) - Regular Plan - Growth Option</v>
          </cell>
          <cell r="E13148">
            <v>10.1694</v>
          </cell>
        </row>
        <row r="13149">
          <cell r="B13149" t="str">
            <v>INF209KB14Y8</v>
          </cell>
          <cell r="C13149" t="str">
            <v>-</v>
          </cell>
          <cell r="D13149" t="str">
            <v>Aditya Birla Sun Life Fixed Maturity Plan - Series UR (85 days) - Regular Plan - Payout of IDCW Option</v>
          </cell>
          <cell r="E13149">
            <v>10</v>
          </cell>
        </row>
        <row r="13150">
          <cell r="B13150" t="str">
            <v>INF209KB13Z7</v>
          </cell>
          <cell r="C13150" t="str">
            <v>-</v>
          </cell>
          <cell r="D13150" t="str">
            <v>Aditya Birla Sun Life Fixed Maturity Plan - Series US (100 days) - Direct Plan - Growth Option</v>
          </cell>
          <cell r="E13150">
            <v>10.2094</v>
          </cell>
        </row>
        <row r="13151">
          <cell r="B13151" t="str">
            <v>INF209KB14Z5</v>
          </cell>
          <cell r="C13151" t="str">
            <v>-</v>
          </cell>
          <cell r="D13151" t="str">
            <v>Aditya Birla Sun Life Fixed Maturity Plan - Series US (100 days) - Direct Plan - Payout of IDCW Option</v>
          </cell>
          <cell r="E13151">
            <v>10</v>
          </cell>
        </row>
        <row r="13152">
          <cell r="B13152" t="str">
            <v>INF209KB11Z1</v>
          </cell>
          <cell r="C13152" t="str">
            <v>-</v>
          </cell>
          <cell r="D13152" t="str">
            <v>Aditya Birla Sun Life Fixed Maturity Plan - Series US (100 days) - Regular Plan - Growth Option</v>
          </cell>
          <cell r="E13152">
            <v>10.2066</v>
          </cell>
        </row>
        <row r="13153">
          <cell r="B13153" t="str">
            <v>INF209KB12Z9</v>
          </cell>
          <cell r="C13153" t="str">
            <v>-</v>
          </cell>
          <cell r="D13153" t="str">
            <v>Aditya Birla Sun Life Fixed Maturity Plan - Series US (100 days) - Regular Plan - Payout of IDCW Option</v>
          </cell>
          <cell r="E13153">
            <v>10</v>
          </cell>
        </row>
        <row r="13154">
          <cell r="B13154" t="str">
            <v>INF209KB12A2</v>
          </cell>
          <cell r="C13154" t="str">
            <v>-</v>
          </cell>
          <cell r="D13154" t="str">
            <v>Aditya Birla Sun Life Fixed Term Plan - Series TI (1837 days) - Direct Plan - Growth Option</v>
          </cell>
          <cell r="E13154">
            <v>13.572100000000001</v>
          </cell>
        </row>
        <row r="13155">
          <cell r="B13155" t="str">
            <v>INF209KB13A0</v>
          </cell>
          <cell r="C13155" t="str">
            <v>-</v>
          </cell>
          <cell r="D13155" t="str">
            <v>Aditya Birla Sun Life Fixed Term Plan - Series TI (1837 days) - Direct Plan - Payout of IDCW option</v>
          </cell>
          <cell r="E13155">
            <v>10</v>
          </cell>
        </row>
        <row r="13156">
          <cell r="B13156" t="str">
            <v>INF209KB10A6</v>
          </cell>
          <cell r="C13156" t="str">
            <v>-</v>
          </cell>
          <cell r="D13156" t="str">
            <v>Aditya Birla Sun Life Fixed Term Plan - Series TI (1837 days) - Regular Plan - Growth Option</v>
          </cell>
          <cell r="E13156">
            <v>13.504099999999999</v>
          </cell>
        </row>
        <row r="13157">
          <cell r="B13157" t="str">
            <v>INF209KB11A4</v>
          </cell>
          <cell r="C13157" t="str">
            <v>-</v>
          </cell>
          <cell r="D13157" t="str">
            <v>Aditya Birla Sun Life Fixed Term Plan - Series TI (1837 days) - Regular Plan - Payout of IDCW option</v>
          </cell>
          <cell r="E13157">
            <v>10</v>
          </cell>
        </row>
        <row r="13158">
          <cell r="B13158" t="str">
            <v>INF209KB16A3</v>
          </cell>
          <cell r="C13158" t="str">
            <v>-</v>
          </cell>
          <cell r="D13158" t="str">
            <v>Aditya Birla Sun Life Fixed Term Plan - Series TJ (1838 days) - Direct Plan - Growth Option</v>
          </cell>
          <cell r="E13158">
            <v>13.625999999999999</v>
          </cell>
        </row>
        <row r="13159">
          <cell r="B13159" t="str">
            <v>INF209KB17A1</v>
          </cell>
          <cell r="C13159" t="str">
            <v>-</v>
          </cell>
          <cell r="D13159" t="str">
            <v>Aditya Birla Sun Life Fixed Term Plan - Series TJ (1838 days) - Direct Plan - Payout of IDCW Option</v>
          </cell>
          <cell r="E13159">
            <v>13.6279</v>
          </cell>
        </row>
        <row r="13160">
          <cell r="B13160" t="str">
            <v>INF209KB14A8</v>
          </cell>
          <cell r="C13160" t="str">
            <v>-</v>
          </cell>
          <cell r="D13160" t="str">
            <v>Aditya Birla Sun Life Fixed Term Plan - Series TJ (1838 days) - Regular Plan - Growth Option</v>
          </cell>
          <cell r="E13160">
            <v>13.563000000000001</v>
          </cell>
        </row>
        <row r="13161">
          <cell r="B13161" t="str">
            <v>INF209KB15A5</v>
          </cell>
          <cell r="C13161" t="str">
            <v>-</v>
          </cell>
          <cell r="D13161" t="str">
            <v>Aditya Birla Sun Life Fixed Term Plan - Series TJ (1838 days) - Regular Plan - Payout of IDCW Option</v>
          </cell>
          <cell r="E13161">
            <v>13.563000000000001</v>
          </cell>
        </row>
        <row r="13162">
          <cell r="B13162" t="str">
            <v>INF209KB14H3</v>
          </cell>
          <cell r="C13162" t="str">
            <v>-</v>
          </cell>
          <cell r="D13162" t="str">
            <v>Aditya Birla Sun Life Fixed Term Plan - Series TQ (1879 days) - Direct Plan - Growth Option</v>
          </cell>
          <cell r="E13162">
            <v>13.2073</v>
          </cell>
        </row>
        <row r="13163">
          <cell r="B13163" t="str">
            <v>INF209KB12H7</v>
          </cell>
          <cell r="C13163" t="str">
            <v>-</v>
          </cell>
          <cell r="D13163" t="str">
            <v>Aditya Birla Sun Life Fixed Term Plan - Series TQ (1879 days) - Regular Plan - Growth Option</v>
          </cell>
          <cell r="E13163">
            <v>13.162000000000001</v>
          </cell>
        </row>
        <row r="13164">
          <cell r="B13164" t="str">
            <v>INF209KB13H5</v>
          </cell>
          <cell r="C13164" t="str">
            <v>-</v>
          </cell>
          <cell r="D13164" t="str">
            <v>Aditya Birla Sun Life Fixed Term Plan - Series TQ (1879 days) - Regular Plan - Payout of IDCW option</v>
          </cell>
          <cell r="E13164">
            <v>13.161899999999999</v>
          </cell>
        </row>
        <row r="13165">
          <cell r="B13165" t="str">
            <v>INF209KB18P7</v>
          </cell>
          <cell r="C13165" t="str">
            <v>-</v>
          </cell>
          <cell r="D13165" t="str">
            <v>Aditya Birla Sun Life Fixed Term Plan - Series UB (1224 days) - Direct Plan Growth Option</v>
          </cell>
          <cell r="E13165">
            <v>12.581</v>
          </cell>
        </row>
        <row r="13166">
          <cell r="B13166" t="str">
            <v>INF209KB17P9</v>
          </cell>
          <cell r="C13166" t="str">
            <v>-</v>
          </cell>
          <cell r="D13166" t="str">
            <v>Aditya Birla Sun Life Fixed Term Plan - Series UB (1224 days) - Regular Plan - Payout of IDCW Option</v>
          </cell>
          <cell r="E13166">
            <v>10</v>
          </cell>
        </row>
        <row r="13167">
          <cell r="B13167" t="str">
            <v>INF209KB16P1</v>
          </cell>
          <cell r="C13167" t="str">
            <v>-</v>
          </cell>
          <cell r="D13167" t="str">
            <v>Aditya Birla Sun Life Fixed Term Plan - Series UB (1224 days)- Regular Plan - Growth Option</v>
          </cell>
          <cell r="E13167">
            <v>12.5389</v>
          </cell>
        </row>
        <row r="13168">
          <cell r="B13168" t="str">
            <v>INF209KB18S1</v>
          </cell>
          <cell r="C13168" t="str">
            <v>-</v>
          </cell>
          <cell r="D13168" t="str">
            <v>Aditya Birla Sun Life Fixed Term Plan - Series UF (180 days) - Direct Plan - Growth Option</v>
          </cell>
          <cell r="E13168">
            <v>10.371600000000001</v>
          </cell>
        </row>
        <row r="13169">
          <cell r="B13169" t="str">
            <v>INF209KB19S9</v>
          </cell>
          <cell r="C13169" t="str">
            <v>-</v>
          </cell>
          <cell r="D13169" t="str">
            <v>Aditya Birla Sun Life Fixed Term Plan - Series UF (180 days) - Direct Plan - Payout of IDCW Option</v>
          </cell>
          <cell r="E13169">
            <v>10</v>
          </cell>
        </row>
        <row r="13170">
          <cell r="B13170" t="str">
            <v>INF209KB16S5</v>
          </cell>
          <cell r="C13170" t="str">
            <v>-</v>
          </cell>
          <cell r="D13170" t="str">
            <v>Aditya Birla Sun Life Fixed Term Plan - Series UF (180 days) - Regular Plan - Growth Option</v>
          </cell>
          <cell r="E13170">
            <v>10.3665</v>
          </cell>
        </row>
        <row r="13171">
          <cell r="B13171" t="str">
            <v>INF209KB17S3</v>
          </cell>
          <cell r="C13171" t="str">
            <v>-</v>
          </cell>
          <cell r="D13171" t="str">
            <v>Aditya Birla Sun Life Fixed Term Plan - Series UF (180 days) - Regular Plan - Payout of IDCW Option</v>
          </cell>
          <cell r="E13171">
            <v>10</v>
          </cell>
        </row>
        <row r="13172">
          <cell r="B13172" t="str">
            <v>INF209KB13V6</v>
          </cell>
          <cell r="C13172" t="str">
            <v>-</v>
          </cell>
          <cell r="D13172" t="str">
            <v>Aditya Birla Sun Life Fixed Term Plan - Series UJ (1110 days) - Direct Plan - Growth Option</v>
          </cell>
          <cell r="E13172">
            <v>12.353899999999999</v>
          </cell>
        </row>
        <row r="13173">
          <cell r="B13173" t="str">
            <v>INF209KB14V4</v>
          </cell>
          <cell r="C13173" t="str">
            <v>-</v>
          </cell>
          <cell r="D13173" t="str">
            <v>Aditya Birla Sun Life Fixed Term Plan - Series UJ (1110 days) - Direct Plan - Payout of IDCW Option</v>
          </cell>
          <cell r="E13173">
            <v>10</v>
          </cell>
        </row>
        <row r="13174">
          <cell r="B13174" t="str">
            <v>INF209KB11V0</v>
          </cell>
          <cell r="C13174" t="str">
            <v>-</v>
          </cell>
          <cell r="D13174" t="str">
            <v>Aditya Birla Sun Life Fixed Term Plan - Series UJ (1110 days) - Regular Plan - Growth Option</v>
          </cell>
          <cell r="E13174">
            <v>12.317</v>
          </cell>
        </row>
        <row r="13175">
          <cell r="B13175" t="str">
            <v>INF209KB12V8</v>
          </cell>
          <cell r="C13175" t="str">
            <v>-</v>
          </cell>
          <cell r="D13175" t="str">
            <v>Aditya Birla Sun Life Fixed Term Plan - Series UJ (1110 days) - Regular Plan - Payout of IDCW Option</v>
          </cell>
          <cell r="E13175">
            <v>10</v>
          </cell>
        </row>
        <row r="13176">
          <cell r="B13176" t="str">
            <v/>
          </cell>
          <cell r="C13176" t="str">
            <v/>
          </cell>
          <cell r="D13176" t="str">
            <v/>
          </cell>
        </row>
        <row r="13177">
          <cell r="B13177" t="str">
            <v/>
          </cell>
          <cell r="C13177" t="str">
            <v/>
          </cell>
          <cell r="D13177" t="str">
            <v/>
          </cell>
        </row>
        <row r="13178">
          <cell r="B13178" t="str">
            <v/>
          </cell>
          <cell r="C13178" t="str">
            <v/>
          </cell>
          <cell r="D13178" t="str">
            <v/>
          </cell>
        </row>
        <row r="13179">
          <cell r="B13179" t="str">
            <v>INF846KA1440</v>
          </cell>
          <cell r="C13179" t="str">
            <v>-</v>
          </cell>
          <cell r="D13179" t="str">
            <v>Axis Fixed Maturity Plan - Series 129 (108 Days) - Direct Plan - Growth</v>
          </cell>
          <cell r="E13179">
            <v>10.207800000000001</v>
          </cell>
        </row>
        <row r="13180">
          <cell r="B13180" t="str">
            <v>INF846KA1465</v>
          </cell>
          <cell r="C13180" t="str">
            <v>-</v>
          </cell>
          <cell r="D13180" t="str">
            <v>Axis Fixed Maturity Plan - Series 129 (108 Days) - Direct Plan - IDCW</v>
          </cell>
          <cell r="E13180">
            <v>10.207800000000001</v>
          </cell>
        </row>
        <row r="13181">
          <cell r="B13181" t="str">
            <v>INF846KA1432</v>
          </cell>
          <cell r="C13181" t="str">
            <v>-</v>
          </cell>
          <cell r="D13181" t="str">
            <v>Axis Fixed Maturity Plan - Series 129 (108 Days) - Regular Plan - Growth</v>
          </cell>
          <cell r="E13181">
            <v>10.203200000000001</v>
          </cell>
        </row>
        <row r="13182">
          <cell r="B13182" t="str">
            <v>INF846KA1457</v>
          </cell>
          <cell r="C13182" t="str">
            <v>-</v>
          </cell>
          <cell r="D13182" t="str">
            <v>Axis Fixed Maturity Plan - Series 129 (108 Days) - Regular Plan - IDCW</v>
          </cell>
          <cell r="E13182">
            <v>10.203200000000001</v>
          </cell>
        </row>
        <row r="13183">
          <cell r="B13183" t="str">
            <v>INF846KA1481</v>
          </cell>
          <cell r="C13183" t="str">
            <v>-</v>
          </cell>
          <cell r="D13183" t="str">
            <v>Axis Fixed Maturity Plan - Series 130 (92 Days) - Direct Plan - Growth</v>
          </cell>
          <cell r="E13183">
            <v>10.182</v>
          </cell>
        </row>
        <row r="13184">
          <cell r="B13184" t="str">
            <v>INF846KA1507</v>
          </cell>
          <cell r="C13184" t="str">
            <v>-</v>
          </cell>
          <cell r="D13184" t="str">
            <v>Axis Fixed Maturity Plan - Series 130 (92 Days) - Direct Plan - IDCW</v>
          </cell>
          <cell r="E13184">
            <v>10.182</v>
          </cell>
        </row>
        <row r="13185">
          <cell r="B13185" t="str">
            <v>INF846KA1473</v>
          </cell>
          <cell r="C13185" t="str">
            <v>-</v>
          </cell>
          <cell r="D13185" t="str">
            <v>Axis Fixed Maturity Plan - Series 130 (92 Days) - Regular Plan - Growth</v>
          </cell>
          <cell r="E13185">
            <v>10.178100000000001</v>
          </cell>
        </row>
        <row r="13186">
          <cell r="B13186" t="str">
            <v>INF846KA1499</v>
          </cell>
          <cell r="C13186" t="str">
            <v>-</v>
          </cell>
          <cell r="D13186" t="str">
            <v>Axis Fixed Maturity Plan - Series 130 (92 Days) - Regular Plan - IDCW</v>
          </cell>
          <cell r="E13186">
            <v>10.178100000000001</v>
          </cell>
        </row>
        <row r="13187">
          <cell r="B13187" t="str">
            <v>INF846K011Q8</v>
          </cell>
          <cell r="C13187" t="str">
            <v>-</v>
          </cell>
          <cell r="D13187" t="str">
            <v>Axis Fixed Term Plan - Series 113 (1228 Days) - Direct Plan - Growth</v>
          </cell>
          <cell r="E13187">
            <v>12.679</v>
          </cell>
        </row>
        <row r="13188">
          <cell r="B13188" t="str">
            <v>INF846K012Q6</v>
          </cell>
          <cell r="C13188" t="str">
            <v>-</v>
          </cell>
          <cell r="D13188" t="str">
            <v>Axis Fixed Term Plan - Series 113 (1228 Days) - Direct Plan - Quarterly IDCW</v>
          </cell>
          <cell r="E13188">
            <v>12.679</v>
          </cell>
        </row>
        <row r="13189">
          <cell r="B13189" t="str">
            <v>INF846K014Q2</v>
          </cell>
          <cell r="C13189" t="str">
            <v>-</v>
          </cell>
          <cell r="D13189" t="str">
            <v>Axis Fixed Term Plan - Series 113 (1228 Days) - Regular Plan - Growth</v>
          </cell>
          <cell r="E13189">
            <v>12.5844</v>
          </cell>
        </row>
        <row r="13190">
          <cell r="B13190" t="str">
            <v>INF846K016Q7</v>
          </cell>
          <cell r="C13190" t="str">
            <v>-</v>
          </cell>
          <cell r="D13190" t="str">
            <v>Axis Fixed Term Plan - Series 113 (1228 Days) - Regular Plan - Half Yearly IDCW</v>
          </cell>
          <cell r="E13190">
            <v>12.5844</v>
          </cell>
        </row>
        <row r="13191">
          <cell r="B13191" t="str">
            <v>INF846K015Q9</v>
          </cell>
          <cell r="C13191" t="str">
            <v>-</v>
          </cell>
          <cell r="D13191" t="str">
            <v>Axis Fixed Term Plan - Series 113 (1228 Days) - Regular Plan - Quarterly IDCW</v>
          </cell>
          <cell r="E13191">
            <v>12.5944</v>
          </cell>
        </row>
        <row r="13192">
          <cell r="B13192" t="str">
            <v/>
          </cell>
          <cell r="C13192" t="str">
            <v/>
          </cell>
          <cell r="D13192" t="str">
            <v/>
          </cell>
        </row>
        <row r="13193">
          <cell r="B13193" t="str">
            <v/>
          </cell>
          <cell r="C13193" t="str">
            <v/>
          </cell>
          <cell r="D13193" t="str">
            <v/>
          </cell>
        </row>
        <row r="13194">
          <cell r="B13194" t="str">
            <v/>
          </cell>
          <cell r="C13194" t="str">
            <v/>
          </cell>
          <cell r="D13194" t="str">
            <v/>
          </cell>
        </row>
        <row r="13195">
          <cell r="B13195" t="str">
            <v>INF194KB1JD2</v>
          </cell>
          <cell r="C13195" t="str">
            <v>-</v>
          </cell>
          <cell r="D13195" t="str">
            <v>Bandhan Fixed Maturity Plan (FMP) - Series 209 (93 Days) - Direct Plan - Growth</v>
          </cell>
          <cell r="E13195">
            <v>10.191172399999999</v>
          </cell>
        </row>
        <row r="13196">
          <cell r="B13196" t="str">
            <v>INF194KB1JE0</v>
          </cell>
          <cell r="C13196" t="str">
            <v>-</v>
          </cell>
          <cell r="D13196" t="str">
            <v>Bandhan Fixed Maturity Plan (FMP) - Series 209 (93 Days) - Direct Plan - IDCW</v>
          </cell>
          <cell r="E13196">
            <v>10.191169560000001</v>
          </cell>
        </row>
        <row r="13197">
          <cell r="B13197" t="str">
            <v>INF194KB1JG5</v>
          </cell>
          <cell r="C13197" t="str">
            <v>-</v>
          </cell>
          <cell r="D13197" t="str">
            <v>Bandhan Fixed Maturity Plan (FMP) - Series 209 (93 Days) - Regular Plan - Growth</v>
          </cell>
          <cell r="E13197">
            <v>10.188285860000001</v>
          </cell>
        </row>
        <row r="13198">
          <cell r="B13198" t="str">
            <v>INF194KB1JH3</v>
          </cell>
          <cell r="C13198" t="str">
            <v>-</v>
          </cell>
          <cell r="D13198" t="str">
            <v>Bandhan Fixed Maturity Plan (FMP) - Series 209 (93 Days) - Regular Plan - IDCW</v>
          </cell>
          <cell r="E13198">
            <v>10.18828585</v>
          </cell>
        </row>
        <row r="13199">
          <cell r="B13199" t="str">
            <v>INF194KB1793</v>
          </cell>
          <cell r="C13199" t="str">
            <v>-</v>
          </cell>
          <cell r="D13199" t="str">
            <v>BANDHAN Fixed Term Plan Series 179 DIRECT PLAN HALF YEARLY-IDCW (3652 days)</v>
          </cell>
          <cell r="E13199">
            <v>11.547000000000001</v>
          </cell>
        </row>
        <row r="13200">
          <cell r="B13200" t="str">
            <v>INF194KB1777</v>
          </cell>
          <cell r="C13200" t="str">
            <v>-</v>
          </cell>
          <cell r="D13200" t="str">
            <v>BANDHAN Fixed Term Plan Series 179 DIRECT PLAN-GROWTH (3652 days)</v>
          </cell>
          <cell r="E13200">
            <v>18.090800000000002</v>
          </cell>
        </row>
        <row r="13201">
          <cell r="B13201" t="str">
            <v>INF194KB1769</v>
          </cell>
          <cell r="C13201" t="str">
            <v>-</v>
          </cell>
          <cell r="D13201" t="str">
            <v>BANDHAN Fixed Term Plan Series 179 REGULAR PLAN PERIODIC-IDCW (3652 days)</v>
          </cell>
          <cell r="E13201">
            <v>15.301500000000001</v>
          </cell>
        </row>
        <row r="13202">
          <cell r="B13202" t="str">
            <v>INF194KB1736</v>
          </cell>
          <cell r="C13202" t="str">
            <v>-</v>
          </cell>
          <cell r="D13202" t="str">
            <v>BANDHAN Fixed Term Plan Series 179 REGULAR PLAN-GROWTH (3652 days)</v>
          </cell>
          <cell r="E13202">
            <v>17.760899999999999</v>
          </cell>
        </row>
        <row r="13203">
          <cell r="B13203" t="str">
            <v>INF194KB1298</v>
          </cell>
          <cell r="C13203" t="str">
            <v>-</v>
          </cell>
          <cell r="D13203" t="str">
            <v>IDFC Fixed Term Plan Series 167 REGULAR PLAN HALF YEARLY-IDCW (1202 days)</v>
          </cell>
          <cell r="E13203">
            <v>10.41782744</v>
          </cell>
        </row>
        <row r="13204">
          <cell r="B13204" t="str">
            <v>INF194KB1280</v>
          </cell>
          <cell r="C13204" t="str">
            <v>-</v>
          </cell>
          <cell r="D13204" t="str">
            <v>IDFC Fixed Term Plan Series 167 REGULAR PLAN QUARTERLY-IDCW (1202 days)</v>
          </cell>
          <cell r="E13204">
            <v>10.4732</v>
          </cell>
        </row>
        <row r="13205">
          <cell r="B13205" t="str">
            <v>INF194KB1272</v>
          </cell>
          <cell r="C13205" t="str">
            <v>-</v>
          </cell>
          <cell r="D13205" t="str">
            <v>IDFC Fixed Term Plan Series 167 REGULAR PLAN-GROWTH (1202 days)</v>
          </cell>
          <cell r="E13205">
            <v>12.861922010000001</v>
          </cell>
        </row>
        <row r="13206">
          <cell r="B13206" t="str">
            <v/>
          </cell>
          <cell r="C13206" t="str">
            <v/>
          </cell>
          <cell r="D13206" t="str">
            <v/>
          </cell>
        </row>
        <row r="13207">
          <cell r="B13207" t="str">
            <v/>
          </cell>
          <cell r="C13207" t="str">
            <v/>
          </cell>
          <cell r="D13207" t="str">
            <v/>
          </cell>
        </row>
        <row r="13208">
          <cell r="B13208" t="str">
            <v/>
          </cell>
          <cell r="C13208" t="str">
            <v/>
          </cell>
          <cell r="D13208" t="str">
            <v/>
          </cell>
        </row>
        <row r="13209">
          <cell r="B13209" t="str">
            <v>INF740KA1QH8</v>
          </cell>
          <cell r="C13209" t="str">
            <v>-</v>
          </cell>
          <cell r="D13209" t="str">
            <v>DSP FMP Series - 264 - 60M - 17D - Direct - Growth</v>
          </cell>
          <cell r="E13209">
            <v>13.3508</v>
          </cell>
        </row>
        <row r="13210">
          <cell r="B13210" t="str">
            <v>INF740KA1QI6</v>
          </cell>
          <cell r="C13210" t="str">
            <v>INF740KA1QJ4</v>
          </cell>
          <cell r="D13210" t="str">
            <v>DSP FMP Series - 264 - 60M - 17D - Direct - IDCW</v>
          </cell>
          <cell r="E13210">
            <v>13.3508</v>
          </cell>
        </row>
        <row r="13211">
          <cell r="B13211" t="str">
            <v>INF740KA1QF2</v>
          </cell>
          <cell r="C13211" t="str">
            <v>INF740KA1QG0</v>
          </cell>
          <cell r="D13211" t="str">
            <v>DSP FMP Series - 264 - 60M - 17D - Regular - IDCW</v>
          </cell>
          <cell r="E13211">
            <v>13.252800000000001</v>
          </cell>
        </row>
        <row r="13212">
          <cell r="B13212" t="str">
            <v>INF740KA1QE5</v>
          </cell>
          <cell r="C13212" t="str">
            <v>-</v>
          </cell>
          <cell r="D13212" t="str">
            <v>DSP FMP Series - 264 - 60M - 17D - Regular Plan - Growth</v>
          </cell>
          <cell r="E13212">
            <v>13.253399999999999</v>
          </cell>
        </row>
        <row r="13213">
          <cell r="B13213" t="str">
            <v>INF740KA1YL4</v>
          </cell>
          <cell r="C13213" t="str">
            <v>-</v>
          </cell>
          <cell r="D13213" t="str">
            <v>DSP FMP Series - 267 - 1172 Days - Direct - Growth</v>
          </cell>
          <cell r="E13213">
            <v>12.998699999999999</v>
          </cell>
        </row>
        <row r="13214">
          <cell r="B13214" t="str">
            <v>INF740KA1YM2</v>
          </cell>
          <cell r="C13214" t="str">
            <v>INF740KA1YN0</v>
          </cell>
          <cell r="D13214" t="str">
            <v>DSP FMP Series - 267 - 1172 Days - Direct - IDCW</v>
          </cell>
          <cell r="E13214">
            <v>12.712899999999999</v>
          </cell>
        </row>
        <row r="13215">
          <cell r="B13215" t="str">
            <v>INF740KA1YI0</v>
          </cell>
          <cell r="C13215" t="str">
            <v>-</v>
          </cell>
          <cell r="D13215" t="str">
            <v>DSP FMP Series - 267 - 1172 Days - Regular - Growth</v>
          </cell>
          <cell r="E13215">
            <v>12.946999999999999</v>
          </cell>
        </row>
        <row r="13216">
          <cell r="B13216" t="str">
            <v>INF740KA1YJ8</v>
          </cell>
          <cell r="C13216" t="str">
            <v>INF740KA1YK6</v>
          </cell>
          <cell r="D13216" t="str">
            <v>DSP FMP Series - 267 - 1172 Days - Regular - IDCW</v>
          </cell>
          <cell r="E13216">
            <v>12.6654</v>
          </cell>
        </row>
        <row r="13217">
          <cell r="B13217" t="str">
            <v>INF740KA1RO2</v>
          </cell>
          <cell r="C13217" t="str">
            <v>-</v>
          </cell>
          <cell r="D13217" t="str">
            <v>DSP FMP Series - 268 - 1281 Days - Direct - Growth</v>
          </cell>
          <cell r="E13217">
            <v>12.7765</v>
          </cell>
        </row>
        <row r="13218">
          <cell r="B13218" t="str">
            <v>INF740KA1RQ7</v>
          </cell>
          <cell r="C13218" t="str">
            <v>INF740KA1RP9</v>
          </cell>
          <cell r="D13218" t="str">
            <v>DSP FMP Series - 268 - 1281 Days - Direct - IDCW</v>
          </cell>
          <cell r="E13218">
            <v>12.775499999999999</v>
          </cell>
        </row>
        <row r="13219">
          <cell r="B13219" t="str">
            <v>INF740KA1RL8</v>
          </cell>
          <cell r="C13219" t="str">
            <v>-</v>
          </cell>
          <cell r="D13219" t="str">
            <v>DSP FMP Series - 268 - 1281 Days - Regular - Growth</v>
          </cell>
          <cell r="E13219">
            <v>12.7094</v>
          </cell>
        </row>
        <row r="13220">
          <cell r="B13220" t="str">
            <v>INF740KA1RN4</v>
          </cell>
          <cell r="C13220" t="str">
            <v>INF740KA1RM6</v>
          </cell>
          <cell r="D13220" t="str">
            <v>DSP FMP Series - 268 - 1281 Days - Regular - IDCW</v>
          </cell>
          <cell r="E13220">
            <v>12.7094</v>
          </cell>
        </row>
        <row r="13221">
          <cell r="B13221" t="str">
            <v>INF740KA1YR1</v>
          </cell>
          <cell r="C13221" t="str">
            <v>-</v>
          </cell>
          <cell r="D13221" t="str">
            <v>DSP FMP Series - 270 - 1172 Days - Direct - Growth</v>
          </cell>
          <cell r="E13221">
            <v>12.7563</v>
          </cell>
        </row>
        <row r="13222">
          <cell r="B13222" t="str">
            <v>INF740KA1YS9</v>
          </cell>
          <cell r="C13222" t="str">
            <v>INF740KA1YT7</v>
          </cell>
          <cell r="D13222" t="str">
            <v>DSP FMP Series - 270 - 1172 Days - Direct - IDCW</v>
          </cell>
          <cell r="E13222">
            <v>12.7569</v>
          </cell>
        </row>
        <row r="13223">
          <cell r="B13223" t="str">
            <v>INF740KA1YO8</v>
          </cell>
          <cell r="C13223" t="str">
            <v>-</v>
          </cell>
          <cell r="D13223" t="str">
            <v>DSP FMP Series - 270 - 1172 Days - Regular - Growth</v>
          </cell>
          <cell r="E13223">
            <v>12.7127</v>
          </cell>
        </row>
        <row r="13224">
          <cell r="B13224" t="str">
            <v>INF740KA1YP5</v>
          </cell>
          <cell r="C13224" t="str">
            <v>INF740KA1YQ3</v>
          </cell>
          <cell r="D13224" t="str">
            <v>DSP FMP Series - 270 - 1172 Days - Regular - IDCW</v>
          </cell>
          <cell r="E13224">
            <v>12.437200000000001</v>
          </cell>
        </row>
        <row r="13225">
          <cell r="B13225" t="str">
            <v/>
          </cell>
          <cell r="C13225" t="str">
            <v/>
          </cell>
          <cell r="D13225" t="str">
            <v/>
          </cell>
        </row>
        <row r="13226">
          <cell r="B13226" t="str">
            <v/>
          </cell>
          <cell r="C13226" t="str">
            <v/>
          </cell>
          <cell r="D13226" t="str">
            <v/>
          </cell>
        </row>
        <row r="13227">
          <cell r="B13227" t="str">
            <v/>
          </cell>
          <cell r="C13227" t="str">
            <v/>
          </cell>
          <cell r="D13227" t="str">
            <v/>
          </cell>
        </row>
        <row r="13228">
          <cell r="B13228" t="str">
            <v>INF179KC1HC6</v>
          </cell>
          <cell r="C13228" t="str">
            <v>-</v>
          </cell>
          <cell r="D13228" t="str">
            <v>HDFC Charity Fund for Cancer Cure - IDCW Option - 50% IDCW Donation Option</v>
          </cell>
          <cell r="E13228">
            <v>10.124499999999999</v>
          </cell>
        </row>
        <row r="13229">
          <cell r="B13229" t="str">
            <v>INF179KC1HD4</v>
          </cell>
          <cell r="C13229" t="str">
            <v>-</v>
          </cell>
          <cell r="D13229" t="str">
            <v>HDFC Charity Fund for Cancer Cure - IDCW Option - 75% IDCW Donation Option</v>
          </cell>
          <cell r="E13229">
            <v>10.124499999999999</v>
          </cell>
        </row>
        <row r="13230">
          <cell r="B13230" t="str">
            <v>INF179KC1HA0</v>
          </cell>
          <cell r="C13230" t="str">
            <v>-</v>
          </cell>
          <cell r="D13230" t="str">
            <v>HDFC Charity Fund for Cancer Cure - IDCW Option - Direct Plan - 50% IDCW Donation Option</v>
          </cell>
          <cell r="E13230">
            <v>10.124499999999999</v>
          </cell>
        </row>
        <row r="13231">
          <cell r="B13231" t="str">
            <v>INF179KC1HB8</v>
          </cell>
          <cell r="C13231" t="str">
            <v>-</v>
          </cell>
          <cell r="D13231" t="str">
            <v>HDFC Charity Fund for Cancer Cure - IDCW Option - Direct Plan - 75% IDCW Donation Option</v>
          </cell>
          <cell r="E13231">
            <v>10.124499999999999</v>
          </cell>
        </row>
        <row r="13232">
          <cell r="B13232" t="str">
            <v>INF179KC1932</v>
          </cell>
          <cell r="C13232" t="str">
            <v>-</v>
          </cell>
          <cell r="D13232" t="str">
            <v>HDFC FMP 1100D April 2019 (1) - Growth Option</v>
          </cell>
          <cell r="E13232">
            <v>12.399900000000001</v>
          </cell>
        </row>
        <row r="13233">
          <cell r="B13233" t="str">
            <v>INF179KC1908</v>
          </cell>
          <cell r="C13233" t="str">
            <v>-</v>
          </cell>
          <cell r="D13233" t="str">
            <v>HDFC FMP 1100D April 2019 (1) - Growth Option - Direct Plan</v>
          </cell>
          <cell r="E13233">
            <v>12.473100000000001</v>
          </cell>
        </row>
        <row r="13234">
          <cell r="B13234" t="str">
            <v>INF179KC1940</v>
          </cell>
          <cell r="C13234" t="str">
            <v>-</v>
          </cell>
          <cell r="D13234" t="str">
            <v>HDFC FMP 1100D April 2019 (1) - IDCW Option</v>
          </cell>
          <cell r="E13234">
            <v>10</v>
          </cell>
        </row>
        <row r="13235">
          <cell r="B13235" t="str">
            <v>INF179KC1916</v>
          </cell>
          <cell r="C13235" t="str">
            <v>-</v>
          </cell>
          <cell r="D13235" t="str">
            <v>HDFC FMP 1100D April 2019 (1) - IDCW Option - Direct Plan</v>
          </cell>
          <cell r="E13235">
            <v>10</v>
          </cell>
        </row>
        <row r="13236">
          <cell r="B13236" t="str">
            <v>INF179KC1957</v>
          </cell>
          <cell r="C13236" t="str">
            <v>-</v>
          </cell>
          <cell r="D13236" t="str">
            <v>HDFC FMP 1100D April 2019 (1) - Quarterly IDCW Option</v>
          </cell>
          <cell r="E13236">
            <v>10</v>
          </cell>
        </row>
        <row r="13237">
          <cell r="B13237" t="str">
            <v>INF179KC1924</v>
          </cell>
          <cell r="C13237" t="str">
            <v>-</v>
          </cell>
          <cell r="D13237" t="str">
            <v>HDFC FMP 1100D April 2019 (1) - Quarterly IDCW Option - Direct Plan</v>
          </cell>
          <cell r="E13237">
            <v>10</v>
          </cell>
        </row>
        <row r="13238">
          <cell r="B13238" t="str">
            <v>INF179KC1692</v>
          </cell>
          <cell r="C13238" t="str">
            <v>-</v>
          </cell>
          <cell r="D13238" t="str">
            <v>HDFC FMP 1118D March 2019 (1) - Growth Option</v>
          </cell>
          <cell r="E13238">
            <v>12.3925</v>
          </cell>
        </row>
        <row r="13239">
          <cell r="B13239" t="str">
            <v>INF179KC1668</v>
          </cell>
          <cell r="C13239" t="str">
            <v>-</v>
          </cell>
          <cell r="D13239" t="str">
            <v>HDFC FMP 1118D March 2019 (1) - Growth Option - Direct Plan</v>
          </cell>
          <cell r="E13239">
            <v>12.4472</v>
          </cell>
        </row>
        <row r="13240">
          <cell r="B13240" t="str">
            <v>INF179KC1700</v>
          </cell>
          <cell r="C13240" t="str">
            <v>-</v>
          </cell>
          <cell r="D13240" t="str">
            <v>HDFC FMP 1118D March 2019 (1) - IDCW Option</v>
          </cell>
          <cell r="E13240">
            <v>10</v>
          </cell>
        </row>
        <row r="13241">
          <cell r="B13241" t="str">
            <v>INF179KC1676</v>
          </cell>
          <cell r="C13241" t="str">
            <v>-</v>
          </cell>
          <cell r="D13241" t="str">
            <v>HDFC FMP 1118D March 2019 (1) - IDCW Option - Direct Plan</v>
          </cell>
          <cell r="E13241">
            <v>10</v>
          </cell>
        </row>
        <row r="13242">
          <cell r="B13242" t="str">
            <v>INF179KC1718</v>
          </cell>
          <cell r="C13242" t="str">
            <v>-</v>
          </cell>
          <cell r="D13242" t="str">
            <v>HDFC FMP 1118D March 2019 (1) - Quarterly IDCW Option</v>
          </cell>
          <cell r="E13242">
            <v>10</v>
          </cell>
        </row>
        <row r="13243">
          <cell r="B13243" t="str">
            <v>INF179KC1635</v>
          </cell>
          <cell r="C13243" t="str">
            <v>-</v>
          </cell>
          <cell r="D13243" t="str">
            <v>HDFC FMP 1120D March 2019 (1) - Growth Option</v>
          </cell>
          <cell r="E13243">
            <v>12.353999999999999</v>
          </cell>
        </row>
        <row r="13244">
          <cell r="B13244" t="str">
            <v>INF179KC1601</v>
          </cell>
          <cell r="C13244" t="str">
            <v>-</v>
          </cell>
          <cell r="D13244" t="str">
            <v>HDFC FMP 1120D March 2019 (1) - Growth Option - Direct Plan</v>
          </cell>
          <cell r="E13244">
            <v>12.452</v>
          </cell>
        </row>
        <row r="13245">
          <cell r="B13245" t="str">
            <v>INF179KC1643</v>
          </cell>
          <cell r="C13245" t="str">
            <v>-</v>
          </cell>
          <cell r="D13245" t="str">
            <v>HDFC FMP 1120D March 2019 (1) - IDCW Option</v>
          </cell>
          <cell r="E13245">
            <v>10</v>
          </cell>
        </row>
        <row r="13246">
          <cell r="B13246" t="str">
            <v>INF179KC1619</v>
          </cell>
          <cell r="C13246" t="str">
            <v>-</v>
          </cell>
          <cell r="D13246" t="str">
            <v>HDFC FMP 1120D March 2019 (1) - IDCW Option - Direct Plan</v>
          </cell>
          <cell r="E13246">
            <v>10</v>
          </cell>
        </row>
        <row r="13247">
          <cell r="B13247" t="str">
            <v>INF179KC1650</v>
          </cell>
          <cell r="C13247" t="str">
            <v>-</v>
          </cell>
          <cell r="D13247" t="str">
            <v>HDFC FMP 1120D March 2019 (1) - Quarterly IDCW Option</v>
          </cell>
          <cell r="E13247">
            <v>10</v>
          </cell>
        </row>
        <row r="13248">
          <cell r="B13248" t="str">
            <v>INF179KC1627</v>
          </cell>
          <cell r="C13248" t="str">
            <v>-</v>
          </cell>
          <cell r="D13248" t="str">
            <v>HDFC FMP 1120D March 2019 (1) - Quarterly IDCW Option - Direct Plan</v>
          </cell>
          <cell r="E13248">
            <v>10</v>
          </cell>
        </row>
        <row r="13249">
          <cell r="B13249" t="str">
            <v>INF179KC1510</v>
          </cell>
          <cell r="C13249" t="str">
            <v>-</v>
          </cell>
          <cell r="D13249" t="str">
            <v>HDFC FMP 1126D March 2019 (1) - Growth Option</v>
          </cell>
          <cell r="E13249">
            <v>12.5025</v>
          </cell>
        </row>
        <row r="13250">
          <cell r="B13250" t="str">
            <v>INF179KC1486</v>
          </cell>
          <cell r="C13250" t="str">
            <v>-</v>
          </cell>
          <cell r="D13250" t="str">
            <v>HDFC FMP 1126D March 2019 (1) - Growth Option - Direct Plan</v>
          </cell>
          <cell r="E13250">
            <v>12.601599999999999</v>
          </cell>
        </row>
        <row r="13251">
          <cell r="B13251" t="str">
            <v>-</v>
          </cell>
          <cell r="C13251" t="str">
            <v>INF179KC1528</v>
          </cell>
          <cell r="D13251" t="str">
            <v>HDFC FMP 1126D March 2019 (1) - IDCW Option</v>
          </cell>
          <cell r="E13251">
            <v>10</v>
          </cell>
        </row>
        <row r="13252">
          <cell r="B13252" t="str">
            <v>INF179KC1494</v>
          </cell>
          <cell r="C13252" t="str">
            <v>-</v>
          </cell>
          <cell r="D13252" t="str">
            <v>HDFC FMP 1126D March 2019 (1) - IDCW Option - Direct Plan</v>
          </cell>
          <cell r="E13252">
            <v>10</v>
          </cell>
        </row>
        <row r="13253">
          <cell r="B13253" t="str">
            <v>INF179KC1536</v>
          </cell>
          <cell r="C13253" t="str">
            <v>-</v>
          </cell>
          <cell r="D13253" t="str">
            <v>HDFC FMP 1126D March 2019 (1) - Quarterly IDCW Option</v>
          </cell>
          <cell r="E13253">
            <v>10</v>
          </cell>
        </row>
        <row r="13254">
          <cell r="B13254" t="str">
            <v>INF179KC1502</v>
          </cell>
          <cell r="C13254" t="str">
            <v>-</v>
          </cell>
          <cell r="D13254" t="str">
            <v>HDFC FMP 1126D March 2019 (1) - Quarterly IDCW Option - Direct Plan</v>
          </cell>
          <cell r="E13254">
            <v>10</v>
          </cell>
        </row>
        <row r="13255">
          <cell r="B13255" t="str">
            <v>INF179KC1577</v>
          </cell>
          <cell r="C13255" t="str">
            <v>-</v>
          </cell>
          <cell r="D13255" t="str">
            <v>HDFC FMP 1127D March 2019 (1) - Growth Option</v>
          </cell>
          <cell r="E13255">
            <v>12.4084</v>
          </cell>
        </row>
        <row r="13256">
          <cell r="B13256" t="str">
            <v>INF179KC1544</v>
          </cell>
          <cell r="C13256" t="str">
            <v>-</v>
          </cell>
          <cell r="D13256" t="str">
            <v>HDFC FMP 1127D March 2019 (1) - Growth Option - Direct Plan</v>
          </cell>
          <cell r="E13256">
            <v>12.507</v>
          </cell>
        </row>
        <row r="13257">
          <cell r="B13257" t="str">
            <v>INF179KC1585</v>
          </cell>
          <cell r="C13257" t="str">
            <v>-</v>
          </cell>
          <cell r="D13257" t="str">
            <v>HDFC FMP 1127D March 2019 (1) - IDCW Option</v>
          </cell>
          <cell r="E13257">
            <v>10</v>
          </cell>
        </row>
        <row r="13258">
          <cell r="B13258" t="str">
            <v>INF179KC1551</v>
          </cell>
          <cell r="C13258" t="str">
            <v>-</v>
          </cell>
          <cell r="D13258" t="str">
            <v>HDFC FMP 1127D March 2019 (1) - IDCW Option - Direct Plan</v>
          </cell>
          <cell r="E13258">
            <v>10</v>
          </cell>
        </row>
        <row r="13259">
          <cell r="B13259" t="str">
            <v>INF179KC1593</v>
          </cell>
          <cell r="C13259" t="str">
            <v>-</v>
          </cell>
          <cell r="D13259" t="str">
            <v>HDFC FMP 1127D March 2019 (1) - Quarterly IDCW Option</v>
          </cell>
          <cell r="E13259">
            <v>10</v>
          </cell>
        </row>
        <row r="13260">
          <cell r="B13260" t="str">
            <v>INF179KC1569</v>
          </cell>
          <cell r="C13260" t="str">
            <v>-</v>
          </cell>
          <cell r="D13260" t="str">
            <v>HDFC FMP 1127D March 2019 (1) - Quarterly IDCW Option - Direct Plan</v>
          </cell>
          <cell r="E13260">
            <v>10</v>
          </cell>
        </row>
        <row r="13261">
          <cell r="B13261" t="str">
            <v>INF179KC1452</v>
          </cell>
          <cell r="C13261" t="str">
            <v>-</v>
          </cell>
          <cell r="D13261" t="str">
            <v>HDFC FMP 1133D February 2019 (1) - Growth Option</v>
          </cell>
          <cell r="E13261">
            <v>12.5318</v>
          </cell>
        </row>
        <row r="13262">
          <cell r="B13262" t="str">
            <v>INF179KC1429</v>
          </cell>
          <cell r="C13262" t="str">
            <v>-</v>
          </cell>
          <cell r="D13262" t="str">
            <v>HDFC FMP 1133D February 2019 (1) - Growth Option - Direct Plan</v>
          </cell>
          <cell r="E13262">
            <v>12.631399999999999</v>
          </cell>
        </row>
        <row r="13263">
          <cell r="B13263" t="str">
            <v>INF179KC1460</v>
          </cell>
          <cell r="C13263" t="str">
            <v>-</v>
          </cell>
          <cell r="D13263" t="str">
            <v>HDFC FMP 1133D February 2019 (1) - IDCW Option</v>
          </cell>
          <cell r="E13263">
            <v>10</v>
          </cell>
        </row>
        <row r="13264">
          <cell r="B13264" t="str">
            <v>INF179KC1437</v>
          </cell>
          <cell r="C13264" t="str">
            <v>-</v>
          </cell>
          <cell r="D13264" t="str">
            <v>HDFC FMP 1133D February 2019 (1) - IDCW Option - Direct Plan</v>
          </cell>
          <cell r="E13264">
            <v>10</v>
          </cell>
        </row>
        <row r="13265">
          <cell r="B13265" t="str">
            <v>INF179KC1478</v>
          </cell>
          <cell r="C13265" t="str">
            <v>-</v>
          </cell>
          <cell r="D13265" t="str">
            <v>HDFC FMP 1133D February 2019 (1) - Quarterly IDCW Option</v>
          </cell>
          <cell r="E13265">
            <v>10</v>
          </cell>
        </row>
        <row r="13266">
          <cell r="B13266" t="str">
            <v>INF179KC1445</v>
          </cell>
          <cell r="C13266" t="str">
            <v>-</v>
          </cell>
          <cell r="D13266" t="str">
            <v>HDFC FMP 1133D February 2019 (1) - Quarterly IDCW Option - Direct Plan</v>
          </cell>
          <cell r="E13266">
            <v>10</v>
          </cell>
        </row>
        <row r="13267">
          <cell r="B13267" t="str">
            <v>INF179KC1395</v>
          </cell>
          <cell r="C13267" t="str">
            <v>-</v>
          </cell>
          <cell r="D13267" t="str">
            <v>HDFC FMP 1146D February 2019 (1) - Growth Option</v>
          </cell>
          <cell r="E13267">
            <v>12.585100000000001</v>
          </cell>
        </row>
        <row r="13268">
          <cell r="B13268" t="str">
            <v>INF179KC1361</v>
          </cell>
          <cell r="C13268" t="str">
            <v>-</v>
          </cell>
          <cell r="D13268" t="str">
            <v>HDFC FMP 1146D February 2019 (1) - Growth Option - Direct Plan</v>
          </cell>
          <cell r="E13268">
            <v>12.6858</v>
          </cell>
        </row>
        <row r="13269">
          <cell r="B13269" t="str">
            <v>INF179KC1403</v>
          </cell>
          <cell r="C13269" t="str">
            <v>-</v>
          </cell>
          <cell r="D13269" t="str">
            <v>HDFC FMP 1146D February 2019 (1) - IDCW Option</v>
          </cell>
          <cell r="E13269">
            <v>10</v>
          </cell>
        </row>
        <row r="13270">
          <cell r="B13270" t="str">
            <v>INF179KC1379</v>
          </cell>
          <cell r="C13270" t="str">
            <v>-</v>
          </cell>
          <cell r="D13270" t="str">
            <v>HDFC FMP 1146D February 2019 (1) - IDCW Option - Direct Plan</v>
          </cell>
          <cell r="E13270">
            <v>10</v>
          </cell>
        </row>
        <row r="13271">
          <cell r="B13271" t="str">
            <v>INF179KC1411</v>
          </cell>
          <cell r="C13271" t="str">
            <v>-</v>
          </cell>
          <cell r="D13271" t="str">
            <v>HDFC FMP 1146D February 2019 (1) - Quarterly IDCW Option</v>
          </cell>
          <cell r="E13271">
            <v>10</v>
          </cell>
        </row>
        <row r="13272">
          <cell r="B13272" t="str">
            <v>INF179KC1387</v>
          </cell>
          <cell r="C13272" t="str">
            <v>-</v>
          </cell>
          <cell r="D13272" t="str">
            <v>HDFC FMP 1146D February 2019 (1) - Quarterly IDCW Option - Direct Plan</v>
          </cell>
          <cell r="E13272">
            <v>10</v>
          </cell>
        </row>
        <row r="13273">
          <cell r="B13273" t="str">
            <v>INF179KC1338</v>
          </cell>
          <cell r="C13273" t="str">
            <v>-</v>
          </cell>
          <cell r="D13273" t="str">
            <v>HDFC FMP 1154D February 2019 (1) - Growth Option</v>
          </cell>
          <cell r="E13273">
            <v>12.574999999999999</v>
          </cell>
        </row>
        <row r="13274">
          <cell r="B13274" t="str">
            <v>INF179KC1304</v>
          </cell>
          <cell r="C13274" t="str">
            <v>-</v>
          </cell>
          <cell r="D13274" t="str">
            <v>HDFC FMP 1154D February 2019 (1) - Growth Option - Direct Plan</v>
          </cell>
          <cell r="E13274">
            <v>12.675000000000001</v>
          </cell>
        </row>
        <row r="13275">
          <cell r="B13275" t="str">
            <v>INF179KC1346</v>
          </cell>
          <cell r="C13275" t="str">
            <v>-</v>
          </cell>
          <cell r="D13275" t="str">
            <v>HDFC FMP 1154D February 2019 (1) - IDCW Option</v>
          </cell>
          <cell r="E13275">
            <v>10</v>
          </cell>
        </row>
        <row r="13276">
          <cell r="B13276" t="str">
            <v>INF179KC1312</v>
          </cell>
          <cell r="C13276" t="str">
            <v>-</v>
          </cell>
          <cell r="D13276" t="str">
            <v>HDFC FMP 1154D February 2019 (1) - IDCW Option - Direct Plan</v>
          </cell>
          <cell r="E13276">
            <v>10</v>
          </cell>
        </row>
        <row r="13277">
          <cell r="B13277" t="str">
            <v>INF179KC1353</v>
          </cell>
          <cell r="C13277" t="str">
            <v>-</v>
          </cell>
          <cell r="D13277" t="str">
            <v>HDFC FMP 1154D February 2019 (1) - Quarterly IDCW Option</v>
          </cell>
          <cell r="E13277">
            <v>10</v>
          </cell>
        </row>
        <row r="13278">
          <cell r="B13278" t="str">
            <v>INF179KC1320</v>
          </cell>
          <cell r="C13278" t="str">
            <v>-</v>
          </cell>
          <cell r="D13278" t="str">
            <v>HDFC FMP 1154D February 2019 (1) - Quarterly IDCW Option - Direct Plan</v>
          </cell>
          <cell r="E13278">
            <v>10</v>
          </cell>
        </row>
        <row r="13279">
          <cell r="B13279" t="str">
            <v>INF179KC1CX3</v>
          </cell>
          <cell r="C13279" t="str">
            <v>-</v>
          </cell>
          <cell r="D13279" t="str">
            <v>HDFC FMP 1158D July 2022 - Growth Option</v>
          </cell>
          <cell r="E13279">
            <v>12.3088</v>
          </cell>
        </row>
        <row r="13280">
          <cell r="B13280" t="str">
            <v>INF179KC1CU9</v>
          </cell>
          <cell r="C13280" t="str">
            <v>-</v>
          </cell>
          <cell r="D13280" t="str">
            <v>HDFC FMP 1158D July 2022 - Growth Option - Direct Plan</v>
          </cell>
          <cell r="E13280">
            <v>12.415100000000001</v>
          </cell>
        </row>
        <row r="13281">
          <cell r="B13281" t="str">
            <v>INF179KC1CY1</v>
          </cell>
          <cell r="C13281" t="str">
            <v>-</v>
          </cell>
          <cell r="D13281" t="str">
            <v>HDFC FMP 1158D July 2022 - IDCW Option</v>
          </cell>
          <cell r="E13281">
            <v>10</v>
          </cell>
        </row>
        <row r="13282">
          <cell r="B13282" t="str">
            <v>INF179KC1CV7</v>
          </cell>
          <cell r="C13282" t="str">
            <v>-</v>
          </cell>
          <cell r="D13282" t="str">
            <v>HDFC FMP 1158D July 2022 - IDCW Option - Direct Plan</v>
          </cell>
          <cell r="E13282">
            <v>10</v>
          </cell>
        </row>
        <row r="13283">
          <cell r="B13283" t="str">
            <v>INF179KC1CZ8</v>
          </cell>
          <cell r="C13283" t="str">
            <v>-</v>
          </cell>
          <cell r="D13283" t="str">
            <v>HDFC FMP 1158D July 2022 - Quarterly IDCW Option</v>
          </cell>
          <cell r="E13283">
            <v>10</v>
          </cell>
        </row>
        <row r="13284">
          <cell r="B13284" t="str">
            <v>INF179KC1CW5</v>
          </cell>
          <cell r="C13284" t="str">
            <v>-</v>
          </cell>
          <cell r="D13284" t="str">
            <v>HDFC FMP 1158D July 2022 - Quarterly IDCW Option - Direct Plan</v>
          </cell>
          <cell r="E13284">
            <v>10</v>
          </cell>
        </row>
        <row r="13285">
          <cell r="B13285" t="str">
            <v>INF179KC1CL8</v>
          </cell>
          <cell r="C13285" t="str">
            <v>-</v>
          </cell>
          <cell r="D13285" t="str">
            <v>HDFC FMP 1162D March 2022 - Growth Option</v>
          </cell>
          <cell r="E13285">
            <v>11.989100000000001</v>
          </cell>
        </row>
        <row r="13286">
          <cell r="B13286" t="str">
            <v>INF179KC1CI4</v>
          </cell>
          <cell r="C13286" t="str">
            <v>-</v>
          </cell>
          <cell r="D13286" t="str">
            <v>HDFC FMP 1162D March 2022 - Growth Option - Direct Plan</v>
          </cell>
          <cell r="E13286">
            <v>12.0456</v>
          </cell>
        </row>
        <row r="13287">
          <cell r="B13287" t="str">
            <v>INF179KC1CM6</v>
          </cell>
          <cell r="C13287" t="str">
            <v>-</v>
          </cell>
          <cell r="D13287" t="str">
            <v>HDFC FMP 1162D March 2022 - IDCW Option</v>
          </cell>
          <cell r="E13287">
            <v>10</v>
          </cell>
        </row>
        <row r="13288">
          <cell r="B13288" t="str">
            <v>INF179KC1CJ2</v>
          </cell>
          <cell r="C13288" t="str">
            <v>-</v>
          </cell>
          <cell r="D13288" t="str">
            <v>HDFC FMP 1162D March 2022 - IDCW Option - Direct Plan</v>
          </cell>
          <cell r="E13288">
            <v>10</v>
          </cell>
        </row>
        <row r="13289">
          <cell r="B13289" t="str">
            <v>INF179KC1CN4</v>
          </cell>
          <cell r="C13289" t="str">
            <v>-</v>
          </cell>
          <cell r="D13289" t="str">
            <v>HDFC FMP 1162D March 2022 - Quarterly Dividend Option</v>
          </cell>
          <cell r="E13289">
            <v>10</v>
          </cell>
        </row>
        <row r="13290">
          <cell r="B13290" t="str">
            <v>INF179KC1CK0</v>
          </cell>
          <cell r="C13290" t="str">
            <v>-</v>
          </cell>
          <cell r="D13290" t="str">
            <v>HDFC FMP 1162D March 2022 - Quarterly Dividend Option - Direct Plan</v>
          </cell>
          <cell r="E13290">
            <v>10</v>
          </cell>
        </row>
        <row r="13291">
          <cell r="B13291" t="str">
            <v>INF179KC1270</v>
          </cell>
          <cell r="C13291" t="str">
            <v>-</v>
          </cell>
          <cell r="D13291" t="str">
            <v>HDFC FMP 1168D January 2019 (1) - Growth Option</v>
          </cell>
          <cell r="E13291">
            <v>12.664400000000001</v>
          </cell>
        </row>
        <row r="13292">
          <cell r="B13292" t="str">
            <v>INF179KC1247</v>
          </cell>
          <cell r="C13292" t="str">
            <v>-</v>
          </cell>
          <cell r="D13292" t="str">
            <v>HDFC FMP 1168D January 2019 (1) - Growth Option - Direct Plan</v>
          </cell>
          <cell r="E13292">
            <v>12.7715</v>
          </cell>
        </row>
        <row r="13293">
          <cell r="B13293" t="str">
            <v>INF179KC1288</v>
          </cell>
          <cell r="C13293" t="str">
            <v>-</v>
          </cell>
          <cell r="D13293" t="str">
            <v>HDFC FMP 1168D January 2019 (1) - IDCW Option</v>
          </cell>
          <cell r="E13293">
            <v>10</v>
          </cell>
        </row>
        <row r="13294">
          <cell r="B13294" t="str">
            <v>INF179KC1254</v>
          </cell>
          <cell r="C13294" t="str">
            <v>-</v>
          </cell>
          <cell r="D13294" t="str">
            <v>HDFC FMP 1168D January 2019 (1) - IDCW Option - Direct Plan</v>
          </cell>
          <cell r="E13294">
            <v>10</v>
          </cell>
        </row>
        <row r="13295">
          <cell r="B13295" t="str">
            <v>INF179KC1296</v>
          </cell>
          <cell r="C13295" t="str">
            <v>-</v>
          </cell>
          <cell r="D13295" t="str">
            <v>HDFC FMP 1168D January 2019 (1) - Quarterly IDCW Option</v>
          </cell>
          <cell r="E13295">
            <v>10</v>
          </cell>
        </row>
        <row r="13296">
          <cell r="B13296" t="str">
            <v>INF179KC1262</v>
          </cell>
          <cell r="C13296" t="str">
            <v>-</v>
          </cell>
          <cell r="D13296" t="str">
            <v>HDFC FMP 1168D January 2019 (1) - Quarterly IDCW Option - Direct Plan</v>
          </cell>
          <cell r="E13296">
            <v>10</v>
          </cell>
        </row>
        <row r="13297">
          <cell r="B13297" t="str">
            <v>INF179KB1C32</v>
          </cell>
          <cell r="C13297" t="str">
            <v>-</v>
          </cell>
          <cell r="D13297" t="str">
            <v>HDFC FMP 1170D February 2017 (1) - Direct Option - Dividend Option</v>
          </cell>
          <cell r="E13297">
            <v>10</v>
          </cell>
        </row>
        <row r="13298">
          <cell r="B13298" t="str">
            <v>INF179KB1C24</v>
          </cell>
          <cell r="C13298" t="str">
            <v>-</v>
          </cell>
          <cell r="D13298" t="str">
            <v>HDFC FMP 1170D February 2017 (1) - Direct Option - Growth Option</v>
          </cell>
          <cell r="E13298">
            <v>12.895099999999999</v>
          </cell>
        </row>
        <row r="13299">
          <cell r="B13299" t="str">
            <v>INF179KB1C40</v>
          </cell>
          <cell r="C13299" t="str">
            <v>-</v>
          </cell>
          <cell r="D13299" t="str">
            <v>HDFC FMP 1170D February 2017 (1) - Direct Option - Quarterly Dividend Option</v>
          </cell>
          <cell r="E13299">
            <v>10</v>
          </cell>
        </row>
        <row r="13300">
          <cell r="B13300" t="str">
            <v>INF179KB1C65</v>
          </cell>
          <cell r="C13300" t="str">
            <v>-</v>
          </cell>
          <cell r="D13300" t="str">
            <v>HDFC FMP 1170D February 2017 (1) - Regular Option - Dividend Option</v>
          </cell>
          <cell r="E13300">
            <v>10</v>
          </cell>
        </row>
        <row r="13301">
          <cell r="B13301" t="str">
            <v>INF179KB1C57</v>
          </cell>
          <cell r="C13301" t="str">
            <v>-</v>
          </cell>
          <cell r="D13301" t="str">
            <v>HDFC FMP 1170D February 2017 (1) - Regular Option - Growth Option</v>
          </cell>
          <cell r="E13301">
            <v>12.743600000000001</v>
          </cell>
        </row>
        <row r="13302">
          <cell r="B13302" t="str">
            <v>INF179KB1C73</v>
          </cell>
          <cell r="C13302" t="str">
            <v>-</v>
          </cell>
          <cell r="D13302" t="str">
            <v>HDFC FMP 1170D February 2017 (1) - Regular Option - Quarterly Dividend Option</v>
          </cell>
          <cell r="E13302">
            <v>10</v>
          </cell>
        </row>
        <row r="13303">
          <cell r="B13303" t="str">
            <v>INF179KC1213</v>
          </cell>
          <cell r="C13303" t="str">
            <v>-</v>
          </cell>
          <cell r="D13303" t="str">
            <v>HDFC FMP 1175D January 2019 (1) - Growth Option</v>
          </cell>
          <cell r="E13303">
            <v>12.682399999999999</v>
          </cell>
        </row>
        <row r="13304">
          <cell r="B13304" t="str">
            <v>INF179KC1189</v>
          </cell>
          <cell r="C13304" t="str">
            <v>-</v>
          </cell>
          <cell r="D13304" t="str">
            <v>HDFC FMP 1175D January 2019 (1) - Growth Option - Direct Plan</v>
          </cell>
          <cell r="E13304">
            <v>12.7896</v>
          </cell>
        </row>
        <row r="13305">
          <cell r="B13305" t="str">
            <v>INF179KC1221</v>
          </cell>
          <cell r="C13305" t="str">
            <v>-</v>
          </cell>
          <cell r="D13305" t="str">
            <v>HDFC FMP 1175D January 2019 (1) - IDCW Option</v>
          </cell>
          <cell r="E13305">
            <v>10</v>
          </cell>
        </row>
        <row r="13306">
          <cell r="B13306" t="str">
            <v>INF179KC1197</v>
          </cell>
          <cell r="C13306" t="str">
            <v>-</v>
          </cell>
          <cell r="D13306" t="str">
            <v>HDFC FMP 1175D January 2019 (1) - IDCW Option - Direct Plan</v>
          </cell>
          <cell r="E13306">
            <v>10</v>
          </cell>
        </row>
        <row r="13307">
          <cell r="B13307" t="str">
            <v>INF179KC1239</v>
          </cell>
          <cell r="C13307" t="str">
            <v>-</v>
          </cell>
          <cell r="D13307" t="str">
            <v>HDFC FMP 1175D January 2019 (1) - Quarterly IDCW Option</v>
          </cell>
          <cell r="E13307">
            <v>10</v>
          </cell>
        </row>
        <row r="13308">
          <cell r="B13308" t="str">
            <v>INF179KC1205</v>
          </cell>
          <cell r="C13308" t="str">
            <v>-</v>
          </cell>
          <cell r="D13308" t="str">
            <v>HDFC FMP 1175D January 2019 (1) - Quarterly IDCW Option - Direct Plan</v>
          </cell>
          <cell r="E13308">
            <v>10</v>
          </cell>
        </row>
        <row r="13309">
          <cell r="B13309" t="str">
            <v>INF179KC1155</v>
          </cell>
          <cell r="C13309" t="str">
            <v>-</v>
          </cell>
          <cell r="D13309" t="str">
            <v>HDFC FMP 1182D January 2019 (1) - Growth Option</v>
          </cell>
          <cell r="E13309">
            <v>12.722899999999999</v>
          </cell>
        </row>
        <row r="13310">
          <cell r="B13310" t="str">
            <v>INF179KC1122</v>
          </cell>
          <cell r="C13310" t="str">
            <v>-</v>
          </cell>
          <cell r="D13310" t="str">
            <v>HDFC FMP 1182D January 2019 (1) - Growth Option - Direct Plan</v>
          </cell>
          <cell r="E13310">
            <v>12.8188</v>
          </cell>
        </row>
        <row r="13311">
          <cell r="B13311" t="str">
            <v>INF179KC1163</v>
          </cell>
          <cell r="C13311" t="str">
            <v>-</v>
          </cell>
          <cell r="D13311" t="str">
            <v>HDFC FMP 1182D January 2019 (1) - IDCW Option</v>
          </cell>
          <cell r="E13311">
            <v>10</v>
          </cell>
        </row>
        <row r="13312">
          <cell r="B13312" t="str">
            <v>INF179KC1171</v>
          </cell>
          <cell r="C13312" t="str">
            <v>-</v>
          </cell>
          <cell r="D13312" t="str">
            <v>HDFC FMP 1182D January 2019 (1) - Quarterly IDCW Option</v>
          </cell>
          <cell r="E13312">
            <v>10</v>
          </cell>
        </row>
        <row r="13313">
          <cell r="B13313" t="str">
            <v>INF179KC1148</v>
          </cell>
          <cell r="C13313" t="str">
            <v>-</v>
          </cell>
          <cell r="D13313" t="str">
            <v>HDFC FMP 1182D January 2019 (1) - Quarterly IDCW Option - Direct Plan</v>
          </cell>
          <cell r="E13313">
            <v>10</v>
          </cell>
        </row>
        <row r="13314">
          <cell r="B13314" t="str">
            <v>INF179KC1098</v>
          </cell>
          <cell r="C13314" t="str">
            <v>-</v>
          </cell>
          <cell r="D13314" t="str">
            <v>HDFC FMP 1190D January 2019 (1) - Growth Option</v>
          </cell>
          <cell r="E13314">
            <v>12.747400000000001</v>
          </cell>
        </row>
        <row r="13315">
          <cell r="B13315" t="str">
            <v>INF179KC1064</v>
          </cell>
          <cell r="C13315" t="str">
            <v>-</v>
          </cell>
          <cell r="D13315" t="str">
            <v>HDFC FMP 1190D January 2019 (1) - Growth Option - Direct Plan</v>
          </cell>
          <cell r="E13315">
            <v>12.842499999999999</v>
          </cell>
        </row>
        <row r="13316">
          <cell r="B13316" t="str">
            <v>INF179KC1072</v>
          </cell>
          <cell r="C13316" t="str">
            <v>-</v>
          </cell>
          <cell r="D13316" t="str">
            <v>HDFC FMP 1190D January 2019 (1) - IDCW Option - Direct Plan</v>
          </cell>
          <cell r="E13316">
            <v>10</v>
          </cell>
        </row>
        <row r="13317">
          <cell r="B13317" t="str">
            <v>INF179KC1114</v>
          </cell>
          <cell r="C13317" t="str">
            <v>-</v>
          </cell>
          <cell r="D13317" t="str">
            <v>HDFC FMP 1190D January 2019 (1) - Quarterly IDCW Option</v>
          </cell>
          <cell r="E13317">
            <v>10</v>
          </cell>
        </row>
        <row r="13318">
          <cell r="B13318" t="str">
            <v>INF179KC1080</v>
          </cell>
          <cell r="C13318" t="str">
            <v>-</v>
          </cell>
          <cell r="D13318" t="str">
            <v>HDFC FMP 1190D January 2019 (1) - Quarterly IDCW Option - Direct Plan</v>
          </cell>
          <cell r="E13318">
            <v>10</v>
          </cell>
        </row>
        <row r="13319">
          <cell r="B13319" t="str">
            <v>INF179KC1031</v>
          </cell>
          <cell r="C13319" t="str">
            <v>-</v>
          </cell>
          <cell r="D13319" t="str">
            <v>HDFC FMP 1196D December 2018 (1) - Growth Option</v>
          </cell>
          <cell r="E13319">
            <v>12.7552</v>
          </cell>
        </row>
        <row r="13320">
          <cell r="B13320" t="str">
            <v>INF179KB19Z9</v>
          </cell>
          <cell r="C13320" t="str">
            <v>-</v>
          </cell>
          <cell r="D13320" t="str">
            <v>HDFC FMP 1196D December 2018 (1) - Growth Option - Direct Plan</v>
          </cell>
          <cell r="E13320">
            <v>12.856999999999999</v>
          </cell>
        </row>
        <row r="13321">
          <cell r="B13321" t="str">
            <v>INF179KC1049</v>
          </cell>
          <cell r="C13321" t="str">
            <v>-</v>
          </cell>
          <cell r="D13321" t="str">
            <v>HDFC FMP 1196D December 2018 (1) - IDCW Option</v>
          </cell>
          <cell r="E13321">
            <v>10</v>
          </cell>
        </row>
        <row r="13322">
          <cell r="B13322" t="str">
            <v>INF179KC1015</v>
          </cell>
          <cell r="C13322" t="str">
            <v>-</v>
          </cell>
          <cell r="D13322" t="str">
            <v>HDFC FMP 1196D December 2018 (1) - IDCW Option - Direct Plan</v>
          </cell>
          <cell r="E13322">
            <v>10</v>
          </cell>
        </row>
        <row r="13323">
          <cell r="B13323" t="str">
            <v>INF179KC1056</v>
          </cell>
          <cell r="C13323" t="str">
            <v>-</v>
          </cell>
          <cell r="D13323" t="str">
            <v>HDFC FMP 1196D December 2018 (1) - Quarterly IDCW Option</v>
          </cell>
          <cell r="E13323">
            <v>10</v>
          </cell>
        </row>
        <row r="13324">
          <cell r="B13324" t="str">
            <v>INF179KC1023</v>
          </cell>
          <cell r="C13324" t="str">
            <v>-</v>
          </cell>
          <cell r="D13324" t="str">
            <v>HDFC FMP 1196D December 2018 (1) - Quarterly IDCW Option - Direct Plan</v>
          </cell>
          <cell r="E13324">
            <v>10</v>
          </cell>
        </row>
        <row r="13325">
          <cell r="B13325" t="str">
            <v>INF179KB16Z5</v>
          </cell>
          <cell r="C13325" t="str">
            <v>-</v>
          </cell>
          <cell r="D13325" t="str">
            <v>HDFC FMP 1203D December 2018 (1) - Growth Option</v>
          </cell>
          <cell r="E13325">
            <v>12.78</v>
          </cell>
        </row>
        <row r="13326">
          <cell r="B13326" t="str">
            <v>INF179KB13Z2</v>
          </cell>
          <cell r="C13326" t="str">
            <v>-</v>
          </cell>
          <cell r="D13326" t="str">
            <v>HDFC FMP 1203D December 2018 (1) - Growth Option - Direct Plan</v>
          </cell>
          <cell r="E13326">
            <v>12.875500000000001</v>
          </cell>
        </row>
        <row r="13327">
          <cell r="B13327" t="str">
            <v>INF179KB17Z3</v>
          </cell>
          <cell r="C13327" t="str">
            <v>-</v>
          </cell>
          <cell r="D13327" t="str">
            <v>HDFC FMP 1203D December 2018 (1) - IDCW Option</v>
          </cell>
          <cell r="E13327">
            <v>10</v>
          </cell>
        </row>
        <row r="13328">
          <cell r="B13328" t="str">
            <v>INF179KB18Z1</v>
          </cell>
          <cell r="C13328" t="str">
            <v>-</v>
          </cell>
          <cell r="D13328" t="str">
            <v>HDFC FMP 1203D December 2018 (1) - Quarterly IDCW Option</v>
          </cell>
          <cell r="E13328">
            <v>10</v>
          </cell>
        </row>
        <row r="13329">
          <cell r="B13329" t="str">
            <v>INF179KC1EQ3</v>
          </cell>
          <cell r="C13329" t="str">
            <v>-</v>
          </cell>
          <cell r="D13329" t="str">
            <v>HDFC FMP 1204D December - Growth Option</v>
          </cell>
          <cell r="E13329">
            <v>12.4354</v>
          </cell>
        </row>
        <row r="13330">
          <cell r="B13330" t="str">
            <v>INF179KC1EN0</v>
          </cell>
          <cell r="C13330" t="str">
            <v>-</v>
          </cell>
          <cell r="D13330" t="str">
            <v>HDFC FMP 1204D December - Growth Option - Direct Plan</v>
          </cell>
          <cell r="E13330">
            <v>12.537599999999999</v>
          </cell>
        </row>
        <row r="13331">
          <cell r="B13331" t="str">
            <v>INF179KC1ER1</v>
          </cell>
          <cell r="C13331" t="str">
            <v>-</v>
          </cell>
          <cell r="D13331" t="str">
            <v>HDFC FMP 1204D December - IDCW Option</v>
          </cell>
          <cell r="E13331">
            <v>10</v>
          </cell>
        </row>
        <row r="13332">
          <cell r="B13332" t="str">
            <v>INF179KC1EO8</v>
          </cell>
          <cell r="C13332" t="str">
            <v>-</v>
          </cell>
          <cell r="D13332" t="str">
            <v>HDFC FMP 1204D December - IDCW Option - Direct Plan</v>
          </cell>
          <cell r="E13332">
            <v>10</v>
          </cell>
        </row>
        <row r="13333">
          <cell r="B13333" t="str">
            <v>INF179KC1ES9</v>
          </cell>
          <cell r="C13333" t="str">
            <v>-</v>
          </cell>
          <cell r="D13333" t="str">
            <v>HDFC FMP 1204D December - Quarterly IDCW Option</v>
          </cell>
          <cell r="E13333">
            <v>10</v>
          </cell>
        </row>
        <row r="13334">
          <cell r="B13334" t="str">
            <v>INF179KC1EP5</v>
          </cell>
          <cell r="C13334" t="str">
            <v>-</v>
          </cell>
          <cell r="D13334" t="str">
            <v>HDFC FMP 1204D December - Quarterly IDCW Option - Direct Plan</v>
          </cell>
          <cell r="E13334">
            <v>10</v>
          </cell>
        </row>
        <row r="13335">
          <cell r="B13335" t="str">
            <v>INF179KB10Z8</v>
          </cell>
          <cell r="C13335" t="str">
            <v>-</v>
          </cell>
          <cell r="D13335" t="str">
            <v>HDFC FMP 1211D December 2018 (1) - Growth Option</v>
          </cell>
          <cell r="E13335">
            <v>12.7973</v>
          </cell>
        </row>
        <row r="13336">
          <cell r="B13336" t="str">
            <v>INF179KB17Y6</v>
          </cell>
          <cell r="C13336" t="str">
            <v>-</v>
          </cell>
          <cell r="D13336" t="str">
            <v>HDFC FMP 1211D December 2018 (1) - Growth Option - Direct Plan</v>
          </cell>
          <cell r="E13336">
            <v>12.896699999999999</v>
          </cell>
        </row>
        <row r="13337">
          <cell r="B13337" t="str">
            <v>INF179KB14Y3</v>
          </cell>
          <cell r="C13337" t="str">
            <v>-</v>
          </cell>
          <cell r="D13337" t="str">
            <v>HDFC FMP 1218D December 2018 (1) - Growth Option</v>
          </cell>
          <cell r="E13337">
            <v>12.867599999999999</v>
          </cell>
        </row>
        <row r="13338">
          <cell r="B13338" t="str">
            <v>INF179KB11Y9</v>
          </cell>
          <cell r="C13338" t="str">
            <v>-</v>
          </cell>
          <cell r="D13338" t="str">
            <v>HDFC FMP 1218D December 2018 (1) - Growth Option - Direct Plan</v>
          </cell>
          <cell r="E13338">
            <v>12.962899999999999</v>
          </cell>
        </row>
        <row r="13339">
          <cell r="B13339" t="str">
            <v>INF179KB15Y0</v>
          </cell>
          <cell r="C13339" t="str">
            <v>-</v>
          </cell>
          <cell r="D13339" t="str">
            <v>HDFC FMP 1218D December 2018 (1) - IDCW Option</v>
          </cell>
          <cell r="E13339">
            <v>10</v>
          </cell>
        </row>
        <row r="13340">
          <cell r="B13340" t="str">
            <v>INF179KB12Y7</v>
          </cell>
          <cell r="C13340" t="str">
            <v>-</v>
          </cell>
          <cell r="D13340" t="str">
            <v>HDFC FMP 1218D December 2018 (1) - IDCW Option - Direct Plan</v>
          </cell>
          <cell r="E13340">
            <v>10</v>
          </cell>
        </row>
        <row r="13341">
          <cell r="B13341" t="str">
            <v>INF179KB16Y8</v>
          </cell>
          <cell r="C13341" t="str">
            <v>-</v>
          </cell>
          <cell r="D13341" t="str">
            <v>HDFC FMP 1218D December 2018 (1) - Quarterly IDCW Option</v>
          </cell>
          <cell r="E13341">
            <v>10</v>
          </cell>
        </row>
        <row r="13342">
          <cell r="B13342" t="str">
            <v>-</v>
          </cell>
          <cell r="C13342" t="str">
            <v>-</v>
          </cell>
          <cell r="D13342" t="str">
            <v>HDFC FMP 1218D December 2018(1)-Direct Plan-Quarterly Div Option</v>
          </cell>
          <cell r="E13342">
            <v>10</v>
          </cell>
        </row>
        <row r="13343">
          <cell r="B13343" t="str">
            <v>INF179KB18X6</v>
          </cell>
          <cell r="C13343" t="str">
            <v>-</v>
          </cell>
          <cell r="D13343" t="str">
            <v>HDFC FMP 1224D DECEMBER 2018 (1) - Growth Option</v>
          </cell>
          <cell r="E13343">
            <v>12.8352</v>
          </cell>
        </row>
        <row r="13344">
          <cell r="B13344" t="str">
            <v>INF179KB15X2</v>
          </cell>
          <cell r="C13344" t="str">
            <v>-</v>
          </cell>
          <cell r="D13344" t="str">
            <v>HDFC FMP 1224D DECEMBER 2018 (1) - Growth Option - Direct Plan</v>
          </cell>
          <cell r="E13344">
            <v>12.944800000000001</v>
          </cell>
        </row>
        <row r="13345">
          <cell r="B13345" t="str">
            <v>INF179KB19X4</v>
          </cell>
          <cell r="C13345" t="str">
            <v>-</v>
          </cell>
          <cell r="D13345" t="str">
            <v>HDFC FMP 1224D DECEMBER 2018 (1) - IDCW Option</v>
          </cell>
          <cell r="E13345">
            <v>10</v>
          </cell>
        </row>
        <row r="13346">
          <cell r="B13346" t="str">
            <v>INF179KB16X0</v>
          </cell>
          <cell r="C13346" t="str">
            <v>-</v>
          </cell>
          <cell r="D13346" t="str">
            <v>HDFC FMP 1224D DECEMBER 2018 (1) - IDCW Option - Direct Plan</v>
          </cell>
          <cell r="E13346">
            <v>10</v>
          </cell>
        </row>
        <row r="13347">
          <cell r="B13347" t="str">
            <v>INF179KB10Y1</v>
          </cell>
          <cell r="C13347" t="str">
            <v>-</v>
          </cell>
          <cell r="D13347" t="str">
            <v>HDFC FMP 1224D DECEMBER 2018 (1) - Quarterly IDCW Option</v>
          </cell>
          <cell r="E13347">
            <v>10</v>
          </cell>
        </row>
        <row r="13348">
          <cell r="B13348" t="str">
            <v>INF179KB18W8</v>
          </cell>
          <cell r="C13348" t="str">
            <v>-</v>
          </cell>
          <cell r="D13348" t="str">
            <v>HDFC FMP 1232D NOVEMBER 2018 (1) - Growth Option</v>
          </cell>
          <cell r="E13348">
            <v>12.959899999999999</v>
          </cell>
        </row>
        <row r="13349">
          <cell r="B13349" t="str">
            <v>INF179KB15W4</v>
          </cell>
          <cell r="C13349" t="str">
            <v>-</v>
          </cell>
          <cell r="D13349" t="str">
            <v>HDFC FMP 1232D NOVEMBER 2018 (1) - Growth Option - Direct Plan</v>
          </cell>
          <cell r="E13349">
            <v>13.0571</v>
          </cell>
        </row>
        <row r="13350">
          <cell r="B13350" t="str">
            <v>INF179KB10X3</v>
          </cell>
          <cell r="C13350" t="str">
            <v>-</v>
          </cell>
          <cell r="D13350" t="str">
            <v>HDFC FMP 1232D NOVEMBER 2018 (1) - Quarterly IDCW Option</v>
          </cell>
          <cell r="E13350">
            <v>10</v>
          </cell>
        </row>
        <row r="13351">
          <cell r="B13351" t="str">
            <v>INF179KB17W0</v>
          </cell>
          <cell r="C13351" t="str">
            <v>-</v>
          </cell>
          <cell r="D13351" t="str">
            <v>HDFC FMP 1232D NOVEMBER 2018 (1) - Quarterly IDCW Option - Direct Plan</v>
          </cell>
          <cell r="E13351">
            <v>10</v>
          </cell>
        </row>
        <row r="13352">
          <cell r="B13352" t="str">
            <v>INF179KB12W1</v>
          </cell>
          <cell r="C13352" t="str">
            <v>-</v>
          </cell>
          <cell r="D13352" t="str">
            <v>HDFC FMP 1246D NOVEMBER 2018 (1) - Growth Option</v>
          </cell>
          <cell r="E13352">
            <v>12.994</v>
          </cell>
        </row>
        <row r="13353">
          <cell r="B13353" t="str">
            <v>INF179KB19V8</v>
          </cell>
          <cell r="C13353" t="str">
            <v>-</v>
          </cell>
          <cell r="D13353" t="str">
            <v>HDFC FMP 1246D NOVEMBER 2018 (1) - Growth Option - Direct Plan</v>
          </cell>
          <cell r="E13353">
            <v>13.091200000000001</v>
          </cell>
        </row>
        <row r="13354">
          <cell r="B13354" t="str">
            <v>INF179KB13W9</v>
          </cell>
          <cell r="C13354" t="str">
            <v>-</v>
          </cell>
          <cell r="D13354" t="str">
            <v>HDFC FMP 1246D NOVEMBER 2018 (1) - IDCW Option</v>
          </cell>
          <cell r="E13354">
            <v>10</v>
          </cell>
        </row>
        <row r="13355">
          <cell r="B13355" t="str">
            <v>INF179KB10W5</v>
          </cell>
          <cell r="C13355" t="str">
            <v>-</v>
          </cell>
          <cell r="D13355" t="str">
            <v>HDFC FMP 1246D NOVEMBER 2018 (1) - IDCW Option - Direct Plan</v>
          </cell>
          <cell r="E13355">
            <v>10</v>
          </cell>
        </row>
        <row r="13356">
          <cell r="B13356" t="str">
            <v>INF179KB14W7</v>
          </cell>
          <cell r="C13356" t="str">
            <v>-</v>
          </cell>
          <cell r="D13356" t="str">
            <v>HDFC FMP 1246D NOVEMBER 2018 (1) - Quarterly IDCW Option</v>
          </cell>
          <cell r="E13356">
            <v>10</v>
          </cell>
        </row>
        <row r="13357">
          <cell r="B13357" t="str">
            <v>INF179KB11W3</v>
          </cell>
          <cell r="C13357" t="str">
            <v>-</v>
          </cell>
          <cell r="D13357" t="str">
            <v>HDFC FMP 1246D NOVEMBER 2018 (1) - Quarterly IDCW Option - Direct Plan</v>
          </cell>
          <cell r="E13357">
            <v>10</v>
          </cell>
        </row>
        <row r="13358">
          <cell r="B13358" t="str">
            <v>INF179KB16V4</v>
          </cell>
          <cell r="C13358" t="str">
            <v>-</v>
          </cell>
          <cell r="D13358" t="str">
            <v>HDFC FMP 1260D October 2018 (1) - Growth Option</v>
          </cell>
          <cell r="E13358">
            <v>13.058299999999999</v>
          </cell>
        </row>
        <row r="13359">
          <cell r="B13359" t="str">
            <v>INF179KB13V1</v>
          </cell>
          <cell r="C13359" t="str">
            <v>-</v>
          </cell>
          <cell r="D13359" t="str">
            <v>HDFC FMP 1260D October 2018 (1) - Growth Option - Direct Plan</v>
          </cell>
          <cell r="E13359">
            <v>13.1714</v>
          </cell>
        </row>
        <row r="13360">
          <cell r="B13360" t="str">
            <v>INF179KB15V6</v>
          </cell>
          <cell r="C13360" t="str">
            <v>-</v>
          </cell>
          <cell r="D13360" t="str">
            <v>HDFC FMP 1260D October 2018 (1) - Quarterly IDCW Option - Direct Plan</v>
          </cell>
          <cell r="E13360">
            <v>10</v>
          </cell>
        </row>
        <row r="13361">
          <cell r="B13361" t="str">
            <v>INF179KB10V7</v>
          </cell>
          <cell r="C13361" t="str">
            <v>-</v>
          </cell>
          <cell r="D13361" t="str">
            <v>HDFC FMP 1261D October 2018 (1) - Growth Option</v>
          </cell>
          <cell r="E13361">
            <v>12.969099999999999</v>
          </cell>
        </row>
        <row r="13362">
          <cell r="B13362" t="str">
            <v>INF179KB17U4</v>
          </cell>
          <cell r="C13362" t="str">
            <v>-</v>
          </cell>
          <cell r="D13362" t="str">
            <v>HDFC FMP 1261D October 2018 (1) - Growth Option - Direct Plan</v>
          </cell>
          <cell r="E13362">
            <v>13.0815</v>
          </cell>
        </row>
        <row r="13363">
          <cell r="B13363" t="str">
            <v>INF179KB18U2</v>
          </cell>
          <cell r="C13363" t="str">
            <v>-</v>
          </cell>
          <cell r="D13363" t="str">
            <v>HDFC FMP 1261D October 2018 (1) - IDCW Option - Direct Plan</v>
          </cell>
          <cell r="E13363">
            <v>10</v>
          </cell>
        </row>
        <row r="13364">
          <cell r="B13364" t="str">
            <v>INF179KB19U0</v>
          </cell>
          <cell r="C13364" t="str">
            <v>-</v>
          </cell>
          <cell r="D13364" t="str">
            <v>HDFC FMP 1261D October 2018 (1) - Quarterly IDCW Option - Direct Plan</v>
          </cell>
          <cell r="E13364">
            <v>10</v>
          </cell>
        </row>
        <row r="13365">
          <cell r="B13365" t="str">
            <v>INF179KB14U1</v>
          </cell>
          <cell r="C13365" t="str">
            <v>-</v>
          </cell>
          <cell r="D13365" t="str">
            <v>HDFC FMP 1265D October 2018 (1) - Growth Option</v>
          </cell>
          <cell r="E13365">
            <v>13.0684</v>
          </cell>
        </row>
        <row r="13366">
          <cell r="B13366" t="str">
            <v>INF179KB11U7</v>
          </cell>
          <cell r="C13366" t="str">
            <v>-</v>
          </cell>
          <cell r="D13366" t="str">
            <v>HDFC FMP 1265D October 2018 (1) - Growth Option - Direct Plan</v>
          </cell>
          <cell r="E13366">
            <v>13.2028</v>
          </cell>
        </row>
        <row r="13367">
          <cell r="B13367" t="str">
            <v>INF179KB15U8</v>
          </cell>
          <cell r="C13367" t="str">
            <v>-</v>
          </cell>
          <cell r="D13367" t="str">
            <v>HDFC FMP 1265D October 2018 (1) - IDCW Option</v>
          </cell>
          <cell r="E13367">
            <v>10</v>
          </cell>
        </row>
        <row r="13368">
          <cell r="B13368" t="str">
            <v>INF179KB12U5</v>
          </cell>
          <cell r="C13368" t="str">
            <v>-</v>
          </cell>
          <cell r="D13368" t="str">
            <v>HDFC FMP 1265D October 2018 (1) - IDCW Option - Direct Plan</v>
          </cell>
          <cell r="E13368">
            <v>10</v>
          </cell>
        </row>
        <row r="13369">
          <cell r="B13369" t="str">
            <v>INF179KB16U6</v>
          </cell>
          <cell r="C13369" t="str">
            <v>-</v>
          </cell>
          <cell r="D13369" t="str">
            <v>HDFC FMP 1265D October 2018 (1) - Quarterly IDCW Option</v>
          </cell>
          <cell r="E13369">
            <v>10</v>
          </cell>
        </row>
        <row r="13370">
          <cell r="B13370" t="str">
            <v>INF179KB13U3</v>
          </cell>
          <cell r="C13370" t="str">
            <v>-</v>
          </cell>
          <cell r="D13370" t="str">
            <v>HDFC FMP 1265D October 2018 (1) - Quarterly IDCW Option - Direct Plan</v>
          </cell>
          <cell r="E13370">
            <v>10</v>
          </cell>
        </row>
        <row r="13371">
          <cell r="B13371" t="str">
            <v>-</v>
          </cell>
          <cell r="C13371" t="str">
            <v>-</v>
          </cell>
          <cell r="D13371" t="str">
            <v>HDFC FMP 1269D March 2023 - Growth Option</v>
          </cell>
          <cell r="E13371">
            <v>12.510400000000001</v>
          </cell>
        </row>
        <row r="13372">
          <cell r="B13372" t="str">
            <v>-</v>
          </cell>
          <cell r="C13372" t="str">
            <v>-</v>
          </cell>
          <cell r="D13372" t="str">
            <v>HDFC FMP 1269D March 2023 - Growth Option - Direct Plan</v>
          </cell>
          <cell r="E13372">
            <v>12.6158</v>
          </cell>
        </row>
        <row r="13373">
          <cell r="B13373" t="str">
            <v>-</v>
          </cell>
          <cell r="C13373" t="str">
            <v>-</v>
          </cell>
          <cell r="D13373" t="str">
            <v>HDFC FMP 1269D March 2023 - IDCW Option</v>
          </cell>
          <cell r="E13373">
            <v>12.510400000000001</v>
          </cell>
        </row>
        <row r="13374">
          <cell r="B13374" t="str">
            <v>-</v>
          </cell>
          <cell r="C13374" t="str">
            <v>-</v>
          </cell>
          <cell r="D13374" t="str">
            <v>HDFC FMP 1269D March 2023 - IDCW Option - Direct Plan</v>
          </cell>
          <cell r="E13374">
            <v>12.6158</v>
          </cell>
        </row>
        <row r="13375">
          <cell r="B13375" t="str">
            <v>-</v>
          </cell>
          <cell r="C13375" t="str">
            <v>-</v>
          </cell>
          <cell r="D13375" t="str">
            <v>HDFC FMP 1269D March 2023 - Quarterly IDCW Option</v>
          </cell>
          <cell r="E13375">
            <v>10.065</v>
          </cell>
        </row>
        <row r="13376">
          <cell r="B13376" t="str">
            <v>-</v>
          </cell>
          <cell r="C13376" t="str">
            <v>-</v>
          </cell>
          <cell r="D13376" t="str">
            <v>HDFC FMP 1269D March 2023 - Quarterly IDCW Option - Direct Plan</v>
          </cell>
          <cell r="E13376">
            <v>10.067399999999999</v>
          </cell>
        </row>
        <row r="13377">
          <cell r="B13377" t="str">
            <v>INF179KB18T4</v>
          </cell>
          <cell r="C13377" t="str">
            <v>-</v>
          </cell>
          <cell r="D13377" t="str">
            <v>HDFC FMP 1274D October 2018 (1) - Growth Option</v>
          </cell>
          <cell r="E13377">
            <v>13.105</v>
          </cell>
        </row>
        <row r="13378">
          <cell r="B13378" t="str">
            <v>INF179KB15T0</v>
          </cell>
          <cell r="C13378" t="str">
            <v>-</v>
          </cell>
          <cell r="D13378" t="str">
            <v>HDFC FMP 1274D October 2018 (1) - Growth Option - Direct Plan</v>
          </cell>
          <cell r="E13378">
            <v>13.2233</v>
          </cell>
        </row>
        <row r="13379">
          <cell r="B13379" t="str">
            <v>INF179KB19T2</v>
          </cell>
          <cell r="C13379" t="str">
            <v>-</v>
          </cell>
          <cell r="D13379" t="str">
            <v>HDFC FMP 1274D October 2018 (1) - IDCW Option</v>
          </cell>
          <cell r="E13379">
            <v>10</v>
          </cell>
        </row>
        <row r="13380">
          <cell r="B13380" t="str">
            <v>INF179KB16T8</v>
          </cell>
          <cell r="C13380" t="str">
            <v>-</v>
          </cell>
          <cell r="D13380" t="str">
            <v>HDFC FMP 1274D October 2018 (1) - IDCW Option - Direct Plan</v>
          </cell>
          <cell r="E13380">
            <v>10</v>
          </cell>
        </row>
        <row r="13381">
          <cell r="B13381" t="str">
            <v>INF179KB10U9</v>
          </cell>
          <cell r="C13381" t="str">
            <v>-</v>
          </cell>
          <cell r="D13381" t="str">
            <v>HDFC FMP 1274D October 2018 (1) - Quarterly IDCW Option</v>
          </cell>
          <cell r="E13381">
            <v>10</v>
          </cell>
        </row>
        <row r="13382">
          <cell r="B13382" t="str">
            <v>INF179KB17T6</v>
          </cell>
          <cell r="C13382" t="str">
            <v>-</v>
          </cell>
          <cell r="D13382" t="str">
            <v>HDFC FMP 1274D October 2018 (1) - Quarterly IDCW Option - Direct Plan</v>
          </cell>
          <cell r="E13382">
            <v>10</v>
          </cell>
        </row>
        <row r="13383">
          <cell r="B13383" t="str">
            <v>INF179KB16S0</v>
          </cell>
          <cell r="C13383" t="str">
            <v>-</v>
          </cell>
          <cell r="D13383" t="str">
            <v>HDFC FMP 1280D October 2018 (1) - Growth Option</v>
          </cell>
          <cell r="E13383">
            <v>13.129799999999999</v>
          </cell>
        </row>
        <row r="13384">
          <cell r="B13384" t="str">
            <v>INF179KB13S7</v>
          </cell>
          <cell r="C13384" t="str">
            <v>-</v>
          </cell>
          <cell r="D13384" t="str">
            <v>HDFC FMP 1280D October 2018 (1) - Growth Option - Direct Plan</v>
          </cell>
          <cell r="E13384">
            <v>13.254899999999999</v>
          </cell>
        </row>
        <row r="13385">
          <cell r="B13385" t="str">
            <v>INF179KB18S6</v>
          </cell>
          <cell r="C13385" t="str">
            <v>-</v>
          </cell>
          <cell r="D13385" t="str">
            <v>HDFC FMP 1280D October 2018 (1) - Quarterly IDCW Option</v>
          </cell>
          <cell r="E13385">
            <v>10</v>
          </cell>
        </row>
        <row r="13386">
          <cell r="B13386" t="str">
            <v>INF179KB12T7</v>
          </cell>
          <cell r="C13386" t="str">
            <v>-</v>
          </cell>
          <cell r="D13386" t="str">
            <v>HDFC FMP 1344D October 2018 (1) - Growth Option</v>
          </cell>
          <cell r="E13386">
            <v>13.3581</v>
          </cell>
        </row>
        <row r="13387">
          <cell r="B13387" t="str">
            <v>INF179KB19S4</v>
          </cell>
          <cell r="C13387" t="str">
            <v>-</v>
          </cell>
          <cell r="D13387" t="str">
            <v>HDFC FMP 1344D October 2018 (1) - Growth Option - Direct Plan</v>
          </cell>
          <cell r="E13387">
            <v>13.506399999999999</v>
          </cell>
        </row>
        <row r="13388">
          <cell r="B13388" t="str">
            <v>INF179KB13T5</v>
          </cell>
          <cell r="C13388" t="str">
            <v>-</v>
          </cell>
          <cell r="D13388" t="str">
            <v>HDFC FMP 1344D October 2018 (1) - IDCW Option</v>
          </cell>
          <cell r="E13388">
            <v>10</v>
          </cell>
        </row>
        <row r="13389">
          <cell r="B13389" t="str">
            <v>INF179KB10T1</v>
          </cell>
          <cell r="C13389" t="str">
            <v>-</v>
          </cell>
          <cell r="D13389" t="str">
            <v>HDFC FMP 1344D October 2018 (1) - IDCW Option - Direct Plan</v>
          </cell>
          <cell r="E13389">
            <v>10</v>
          </cell>
        </row>
        <row r="13390">
          <cell r="B13390" t="str">
            <v>INF179KB14T3</v>
          </cell>
          <cell r="C13390" t="str">
            <v>-</v>
          </cell>
          <cell r="D13390" t="str">
            <v>HDFC FMP 1344D October 2018 (1) - Quarterly IDCW Option</v>
          </cell>
          <cell r="E13390">
            <v>10</v>
          </cell>
        </row>
        <row r="13391">
          <cell r="B13391" t="str">
            <v>INF179KB11T9</v>
          </cell>
          <cell r="C13391" t="str">
            <v>-</v>
          </cell>
          <cell r="D13391" t="str">
            <v>HDFC FMP 1344D October 2018 (1) - Quarterly IDCW Option - Direct Plan</v>
          </cell>
          <cell r="E13391">
            <v>10</v>
          </cell>
        </row>
        <row r="13392">
          <cell r="B13392" t="str">
            <v>-</v>
          </cell>
          <cell r="C13392" t="str">
            <v>-</v>
          </cell>
          <cell r="D13392" t="str">
            <v>HDFC FMP 1359D September - Growth Option</v>
          </cell>
          <cell r="E13392">
            <v>12.878399999999999</v>
          </cell>
        </row>
        <row r="13393">
          <cell r="B13393" t="str">
            <v>-</v>
          </cell>
          <cell r="C13393" t="str">
            <v>-</v>
          </cell>
          <cell r="D13393" t="str">
            <v>HDFC FMP 1359D September - Growth Option - Direct Plan</v>
          </cell>
          <cell r="E13393">
            <v>12.998200000000001</v>
          </cell>
        </row>
        <row r="13394">
          <cell r="B13394" t="str">
            <v>-</v>
          </cell>
          <cell r="C13394" t="str">
            <v>-</v>
          </cell>
          <cell r="D13394" t="str">
            <v>HDFC FMP 1359D September - IDCW Option</v>
          </cell>
          <cell r="E13394">
            <v>10</v>
          </cell>
        </row>
        <row r="13395">
          <cell r="B13395" t="str">
            <v>-</v>
          </cell>
          <cell r="C13395" t="str">
            <v>-</v>
          </cell>
          <cell r="D13395" t="str">
            <v>HDFC FMP 1359D September - IDCW Option - Direct Plan</v>
          </cell>
          <cell r="E13395">
            <v>10</v>
          </cell>
        </row>
        <row r="13396">
          <cell r="B13396" t="str">
            <v>-</v>
          </cell>
          <cell r="C13396" t="str">
            <v>-</v>
          </cell>
          <cell r="D13396" t="str">
            <v>HDFC FMP 1359D September - Quarterly IDCW Option</v>
          </cell>
          <cell r="E13396">
            <v>10</v>
          </cell>
        </row>
        <row r="13397">
          <cell r="B13397" t="str">
            <v>-</v>
          </cell>
          <cell r="C13397" t="str">
            <v>-</v>
          </cell>
          <cell r="D13397" t="str">
            <v>HDFC FMP 1359D September - Quarterly IDCW Option - Direct Plan</v>
          </cell>
          <cell r="E13397">
            <v>10</v>
          </cell>
        </row>
        <row r="13398">
          <cell r="B13398" t="str">
            <v>INF179KB10S3</v>
          </cell>
          <cell r="C13398" t="str">
            <v>-</v>
          </cell>
          <cell r="D13398" t="str">
            <v>HDFC FMP 1372D September 2018 (1) - Growth Option</v>
          </cell>
          <cell r="E13398">
            <v>13.3497</v>
          </cell>
        </row>
        <row r="13399">
          <cell r="B13399" t="str">
            <v>INF179KB17R0</v>
          </cell>
          <cell r="C13399" t="str">
            <v>-</v>
          </cell>
          <cell r="D13399" t="str">
            <v>HDFC FMP 1372D September 2018 (1) - Growth Option - Direct Plan</v>
          </cell>
          <cell r="E13399">
            <v>13.4575</v>
          </cell>
        </row>
        <row r="13400">
          <cell r="B13400" t="str">
            <v>INF179KB11S1</v>
          </cell>
          <cell r="C13400" t="str">
            <v>-</v>
          </cell>
          <cell r="D13400" t="str">
            <v>HDFC FMP 1372D September 2018 (1) - IDCW Option</v>
          </cell>
          <cell r="E13400">
            <v>10</v>
          </cell>
        </row>
        <row r="13401">
          <cell r="B13401" t="str">
            <v>INF179KB18R8</v>
          </cell>
          <cell r="C13401" t="str">
            <v>-</v>
          </cell>
          <cell r="D13401" t="str">
            <v>HDFC FMP 1372D September 2018 (1) - IDCW Option - Direct Plan</v>
          </cell>
          <cell r="E13401">
            <v>10</v>
          </cell>
        </row>
        <row r="13402">
          <cell r="B13402" t="str">
            <v>INF179KB19R6</v>
          </cell>
          <cell r="C13402" t="str">
            <v>-</v>
          </cell>
          <cell r="D13402" t="str">
            <v>HDFC FMP 1372D September 2018 (1) - Quarterly IDCW Option - Direct Plan</v>
          </cell>
          <cell r="E13402">
            <v>10</v>
          </cell>
        </row>
        <row r="13403">
          <cell r="B13403" t="str">
            <v>INF179KB12Q3</v>
          </cell>
          <cell r="C13403" t="str">
            <v>-</v>
          </cell>
          <cell r="D13403" t="str">
            <v>HDFC FMP 1381D September 2018 (1) - Growth Option</v>
          </cell>
          <cell r="E13403">
            <v>13.4359</v>
          </cell>
        </row>
        <row r="13404">
          <cell r="B13404" t="str">
            <v>INF179KB19P0</v>
          </cell>
          <cell r="C13404" t="str">
            <v>-</v>
          </cell>
          <cell r="D13404" t="str">
            <v>HDFC FMP 1381D September 2018 (1) - Growth Option - Direct Plan</v>
          </cell>
          <cell r="E13404">
            <v>13.5632</v>
          </cell>
        </row>
        <row r="13405">
          <cell r="B13405" t="str">
            <v>INF179KB13Q1</v>
          </cell>
          <cell r="C13405" t="str">
            <v>-</v>
          </cell>
          <cell r="D13405" t="str">
            <v>HDFC FMP 1381D September 2018 (1) - IDCW Option</v>
          </cell>
          <cell r="E13405">
            <v>10</v>
          </cell>
        </row>
        <row r="13406">
          <cell r="B13406" t="str">
            <v>INF179KB10Q7</v>
          </cell>
          <cell r="C13406" t="str">
            <v>-</v>
          </cell>
          <cell r="D13406" t="str">
            <v>HDFC FMP 1381D September 2018 (1) - IDCW Option - Direct Plan</v>
          </cell>
          <cell r="E13406">
            <v>10</v>
          </cell>
        </row>
        <row r="13407">
          <cell r="B13407" t="str">
            <v>INF179KB14Q9</v>
          </cell>
          <cell r="C13407" t="str">
            <v>-</v>
          </cell>
          <cell r="D13407" t="str">
            <v>HDFC FMP 1381D September 2018 (1) - Quarterly IDCW Option</v>
          </cell>
          <cell r="E13407">
            <v>10</v>
          </cell>
        </row>
        <row r="13408">
          <cell r="B13408" t="str">
            <v>INF179KB11Q5</v>
          </cell>
          <cell r="C13408" t="str">
            <v>-</v>
          </cell>
          <cell r="D13408" t="str">
            <v>HDFC FMP 1381D September 2018 (1) - Quarterly IDCW Option - Direct Plan</v>
          </cell>
          <cell r="E13408">
            <v>10</v>
          </cell>
        </row>
        <row r="13409">
          <cell r="B13409" t="str">
            <v>INF179KC1DF8</v>
          </cell>
          <cell r="C13409" t="str">
            <v>-</v>
          </cell>
          <cell r="D13409" t="str">
            <v>HDFC FMP 1406D August 2022 - Growth Option</v>
          </cell>
          <cell r="E13409">
            <v>12.860200000000001</v>
          </cell>
        </row>
        <row r="13410">
          <cell r="B13410" t="str">
            <v>INF179KC1DC5</v>
          </cell>
          <cell r="C13410" t="str">
            <v>-</v>
          </cell>
          <cell r="D13410" t="str">
            <v>HDFC FMP 1406D August 2022 - Growth Option - Direct Plan</v>
          </cell>
          <cell r="E13410">
            <v>12.988799999999999</v>
          </cell>
        </row>
        <row r="13411">
          <cell r="B13411" t="str">
            <v>INF179KC1DG6</v>
          </cell>
          <cell r="C13411" t="str">
            <v>-</v>
          </cell>
          <cell r="D13411" t="str">
            <v>HDFC FMP 1406D August 2022 - IDCW Option</v>
          </cell>
          <cell r="E13411">
            <v>10</v>
          </cell>
        </row>
        <row r="13412">
          <cell r="B13412" t="str">
            <v>INF179KC1DD3</v>
          </cell>
          <cell r="C13412" t="str">
            <v>-</v>
          </cell>
          <cell r="D13412" t="str">
            <v>HDFC FMP 1406D August 2022 - IDCW Option - Direct Plan</v>
          </cell>
          <cell r="E13412">
            <v>10</v>
          </cell>
        </row>
        <row r="13413">
          <cell r="B13413" t="str">
            <v>INF179KC1DH4</v>
          </cell>
          <cell r="C13413" t="str">
            <v>-</v>
          </cell>
          <cell r="D13413" t="str">
            <v>HDFC FMP 1406D August 2022 - Quarterly IDCW Option</v>
          </cell>
          <cell r="E13413">
            <v>10</v>
          </cell>
        </row>
        <row r="13414">
          <cell r="B13414" t="str">
            <v>INF179KC1DE1</v>
          </cell>
          <cell r="C13414" t="str">
            <v>-</v>
          </cell>
          <cell r="D13414" t="str">
            <v>HDFC FMP 1406D August 2022 - Quarterly IDCW Option - Direct Plan</v>
          </cell>
          <cell r="E13414">
            <v>10</v>
          </cell>
        </row>
        <row r="13415">
          <cell r="B13415" t="str">
            <v>INF179KB11E1</v>
          </cell>
          <cell r="C13415" t="str">
            <v>-</v>
          </cell>
          <cell r="D13415" t="str">
            <v>HDFC FMP 1434D May 2018 (1) - Growth Option</v>
          </cell>
          <cell r="E13415">
            <v>13.385999999999999</v>
          </cell>
        </row>
        <row r="13416">
          <cell r="B13416" t="str">
            <v>INF179KB18D8</v>
          </cell>
          <cell r="C13416" t="str">
            <v>-</v>
          </cell>
          <cell r="D13416" t="str">
            <v>HDFC FMP 1434D May 2018 (1) - Growth Option - Direct Plan</v>
          </cell>
          <cell r="E13416">
            <v>13.5183</v>
          </cell>
        </row>
        <row r="13417">
          <cell r="B13417" t="str">
            <v>INF179KB12E9</v>
          </cell>
          <cell r="C13417" t="str">
            <v>-</v>
          </cell>
          <cell r="D13417" t="str">
            <v>HDFC FMP 1434D May 2018 (1) - IDCW Option</v>
          </cell>
          <cell r="E13417">
            <v>10</v>
          </cell>
        </row>
        <row r="13418">
          <cell r="B13418" t="str">
            <v>INF179KB19D6</v>
          </cell>
          <cell r="C13418" t="str">
            <v>-</v>
          </cell>
          <cell r="D13418" t="str">
            <v>HDFC FMP 1434D May 2018 (1) - IDCW Option - Direct Plan</v>
          </cell>
          <cell r="E13418">
            <v>10</v>
          </cell>
        </row>
        <row r="13419">
          <cell r="B13419" t="str">
            <v>INF179KB13E7</v>
          </cell>
          <cell r="C13419" t="str">
            <v>-</v>
          </cell>
          <cell r="D13419" t="str">
            <v>HDFC FMP 1434D May 2018 (1) - Quarterly IDCW Option</v>
          </cell>
          <cell r="E13419">
            <v>10</v>
          </cell>
        </row>
        <row r="13420">
          <cell r="B13420" t="str">
            <v>INF179KB10E3</v>
          </cell>
          <cell r="C13420" t="str">
            <v>-</v>
          </cell>
          <cell r="D13420" t="str">
            <v>HDFC FMP 1434D May 2018 (1) - Quarterly IDCW Option - Direct Plan</v>
          </cell>
          <cell r="E13420">
            <v>10</v>
          </cell>
        </row>
        <row r="13421">
          <cell r="B13421" t="str">
            <v>INF179KB12O8</v>
          </cell>
          <cell r="C13421" t="str">
            <v>-</v>
          </cell>
          <cell r="D13421" t="str">
            <v>HDFC FMP 1487D August 2018 (1) - Growth Option</v>
          </cell>
          <cell r="E13421">
            <v>13.9793</v>
          </cell>
        </row>
        <row r="13422">
          <cell r="B13422" t="str">
            <v>INF179KB19N5</v>
          </cell>
          <cell r="C13422" t="str">
            <v>-</v>
          </cell>
          <cell r="D13422" t="str">
            <v>HDFC FMP 1487D August 2018 (1) - Growth Option - Direct Plan</v>
          </cell>
          <cell r="E13422">
            <v>14.1762</v>
          </cell>
        </row>
        <row r="13423">
          <cell r="B13423" t="str">
            <v>INF179KB13O6</v>
          </cell>
          <cell r="C13423" t="str">
            <v>-</v>
          </cell>
          <cell r="D13423" t="str">
            <v>HDFC FMP 1487D August 2018 (1) - IDCW Option</v>
          </cell>
          <cell r="E13423">
            <v>10</v>
          </cell>
        </row>
        <row r="13424">
          <cell r="B13424" t="str">
            <v>INF179KB10O2</v>
          </cell>
          <cell r="C13424" t="str">
            <v>-</v>
          </cell>
          <cell r="D13424" t="str">
            <v>HDFC FMP 1487D August 2018 (1) - IDCW Option - Direct Plan</v>
          </cell>
          <cell r="E13424">
            <v>10</v>
          </cell>
        </row>
        <row r="13425">
          <cell r="B13425" t="str">
            <v>INF179KB11O0</v>
          </cell>
          <cell r="C13425" t="str">
            <v>-</v>
          </cell>
          <cell r="D13425" t="str">
            <v>HDFC FMP 1487D August 2018 (1) - Quarterly IDCW Option - Direct Plan</v>
          </cell>
          <cell r="E13425">
            <v>10</v>
          </cell>
        </row>
        <row r="13426">
          <cell r="B13426" t="str">
            <v>INF179KB15P8</v>
          </cell>
          <cell r="C13426" t="str">
            <v>-</v>
          </cell>
          <cell r="D13426" t="str">
            <v>HDFC FMP 1846D August 2013 (1) - Growth Option</v>
          </cell>
          <cell r="E13426">
            <v>21.3673</v>
          </cell>
        </row>
        <row r="13427">
          <cell r="B13427" t="str">
            <v>INF179KB11P7</v>
          </cell>
          <cell r="C13427" t="str">
            <v>-</v>
          </cell>
          <cell r="D13427" t="str">
            <v>HDFC FMP 1846D August 2013 (1) - Growth Option - Direct Plan</v>
          </cell>
          <cell r="E13427">
            <v>21.9648</v>
          </cell>
        </row>
        <row r="13428">
          <cell r="B13428" t="str">
            <v>INF179KB16P6</v>
          </cell>
          <cell r="C13428" t="str">
            <v>-</v>
          </cell>
          <cell r="D13428" t="str">
            <v>HDFC FMP 1846D August 2013 (1) - IDCW Option</v>
          </cell>
          <cell r="E13428">
            <v>10</v>
          </cell>
        </row>
        <row r="13429">
          <cell r="B13429" t="str">
            <v>INF179KB12P5</v>
          </cell>
          <cell r="C13429" t="str">
            <v>-</v>
          </cell>
          <cell r="D13429" t="str">
            <v>HDFC FMP 1846D August 2013 (1) - IDCW Option - Direct Plan</v>
          </cell>
          <cell r="E13429">
            <v>10</v>
          </cell>
        </row>
        <row r="13430">
          <cell r="B13430" t="str">
            <v>INF179KC1CF0</v>
          </cell>
          <cell r="C13430" t="str">
            <v>-</v>
          </cell>
          <cell r="D13430" t="str">
            <v>HDFC FMP 1861D March 2022 - Growth Option</v>
          </cell>
          <cell r="E13430">
            <v>13.183400000000001</v>
          </cell>
        </row>
        <row r="13431">
          <cell r="B13431" t="str">
            <v>INF179KC1CC7</v>
          </cell>
          <cell r="C13431" t="str">
            <v>-</v>
          </cell>
          <cell r="D13431" t="str">
            <v>HDFC FMP 1861D March 2022 - Growth Option - Direct Plan</v>
          </cell>
          <cell r="E13431">
            <v>13.2783</v>
          </cell>
        </row>
        <row r="13432">
          <cell r="B13432" t="str">
            <v>INF179KC1CG8</v>
          </cell>
          <cell r="C13432" t="str">
            <v>-</v>
          </cell>
          <cell r="D13432" t="str">
            <v>HDFC FMP 1861D March 2022 - IDCW Option</v>
          </cell>
          <cell r="E13432">
            <v>13.183400000000001</v>
          </cell>
        </row>
        <row r="13433">
          <cell r="B13433" t="str">
            <v>INF179KC1CD5</v>
          </cell>
          <cell r="C13433" t="str">
            <v>-</v>
          </cell>
          <cell r="D13433" t="str">
            <v>HDFC FMP 1861D March 2022 - IDCW Option - Direct Plan</v>
          </cell>
          <cell r="E13433">
            <v>13.2783</v>
          </cell>
        </row>
        <row r="13434">
          <cell r="B13434" t="str">
            <v>INF179KC1CH6</v>
          </cell>
          <cell r="C13434" t="str">
            <v>-</v>
          </cell>
          <cell r="D13434" t="str">
            <v>HDFC FMP 1861D March 2022 - Quarterly Dividend Option</v>
          </cell>
          <cell r="E13434">
            <v>10.053100000000001</v>
          </cell>
        </row>
        <row r="13435">
          <cell r="B13435" t="str">
            <v>INF179KC1CE3</v>
          </cell>
          <cell r="C13435" t="str">
            <v>-</v>
          </cell>
          <cell r="D13435" t="str">
            <v>HDFC FMP 1861D March 2022 - Quarterly Dividend Option - Direct Plan</v>
          </cell>
          <cell r="E13435">
            <v>10.0547</v>
          </cell>
        </row>
        <row r="13436">
          <cell r="B13436" t="str">
            <v>INF179KC1CR5</v>
          </cell>
          <cell r="C13436" t="str">
            <v>-</v>
          </cell>
          <cell r="D13436" t="str">
            <v>HDFC FMP 1876D March 2022 - Growth Option</v>
          </cell>
          <cell r="E13436">
            <v>13.146599999999999</v>
          </cell>
        </row>
        <row r="13437">
          <cell r="B13437" t="str">
            <v>INF179KC1CO2</v>
          </cell>
          <cell r="C13437" t="str">
            <v>-</v>
          </cell>
          <cell r="D13437" t="str">
            <v>HDFC FMP 1876D March 2022 - Growth Option - Direct Plan</v>
          </cell>
          <cell r="E13437">
            <v>13.230700000000001</v>
          </cell>
        </row>
        <row r="13438">
          <cell r="B13438" t="str">
            <v>INF179KC1CS3</v>
          </cell>
          <cell r="C13438" t="str">
            <v>-</v>
          </cell>
          <cell r="D13438" t="str">
            <v>HDFC FMP 1876D March 2022 - IDCW Option</v>
          </cell>
          <cell r="E13438">
            <v>13.146599999999999</v>
          </cell>
        </row>
        <row r="13439">
          <cell r="B13439" t="str">
            <v>INF179KC1CP9</v>
          </cell>
          <cell r="C13439" t="str">
            <v>-</v>
          </cell>
          <cell r="D13439" t="str">
            <v>HDFC FMP 1876D March 2022 - IDCW Option - Direct Plan</v>
          </cell>
          <cell r="E13439">
            <v>13.230700000000001</v>
          </cell>
        </row>
        <row r="13440">
          <cell r="B13440" t="str">
            <v>INF179KC1CT1</v>
          </cell>
          <cell r="C13440" t="str">
            <v>-</v>
          </cell>
          <cell r="D13440" t="str">
            <v>HDFC FMP 1876D March 2022 - Quarterly Dividend Option</v>
          </cell>
          <cell r="E13440">
            <v>10.052199999999999</v>
          </cell>
        </row>
        <row r="13441">
          <cell r="B13441" t="str">
            <v>INF179KC1CQ7</v>
          </cell>
          <cell r="C13441" t="str">
            <v>-</v>
          </cell>
          <cell r="D13441" t="str">
            <v>HDFC FMP 1876D March 2022 - Quarterly Dividend Option - Direct Plan</v>
          </cell>
          <cell r="E13441">
            <v>10.0535</v>
          </cell>
        </row>
        <row r="13442">
          <cell r="B13442" t="str">
            <v>-</v>
          </cell>
          <cell r="C13442" t="str">
            <v>-</v>
          </cell>
          <cell r="D13442" t="str">
            <v>HDFC FMP 2638D February 2023 - Growth Option</v>
          </cell>
          <cell r="E13442">
            <v>13.087199999999999</v>
          </cell>
        </row>
        <row r="13443">
          <cell r="B13443" t="str">
            <v>-</v>
          </cell>
          <cell r="C13443" t="str">
            <v>-</v>
          </cell>
          <cell r="D13443" t="str">
            <v>HDFC FMP 2638D February 2023 - Growth Option - Direct Plan</v>
          </cell>
          <cell r="E13443">
            <v>13.200699999999999</v>
          </cell>
        </row>
        <row r="13444">
          <cell r="B13444" t="str">
            <v>-</v>
          </cell>
          <cell r="C13444" t="str">
            <v>-</v>
          </cell>
          <cell r="D13444" t="str">
            <v>HDFC FMP 2638D February 2023 - IDCW Option</v>
          </cell>
          <cell r="E13444">
            <v>13.087199999999999</v>
          </cell>
        </row>
        <row r="13445">
          <cell r="B13445" t="str">
            <v>-</v>
          </cell>
          <cell r="C13445" t="str">
            <v>-</v>
          </cell>
          <cell r="D13445" t="str">
            <v>HDFC FMP 2638D February 2023 - Quarterly IDCW Option</v>
          </cell>
          <cell r="E13445">
            <v>10.1159</v>
          </cell>
        </row>
        <row r="13446">
          <cell r="B13446" t="str">
            <v>-</v>
          </cell>
          <cell r="C13446" t="str">
            <v>-</v>
          </cell>
          <cell r="D13446" t="str">
            <v>HDFC FMP 2638D February 2023 - Quarterly IDCW Option - Direct Plan</v>
          </cell>
          <cell r="E13446">
            <v>10.118499999999999</v>
          </cell>
        </row>
        <row r="13447">
          <cell r="B13447" t="str">
            <v>INF179KA1II3</v>
          </cell>
          <cell r="C13447" t="str">
            <v>-</v>
          </cell>
          <cell r="D13447" t="str">
            <v>HDFC FMP 3360D March 2014 (1) - Flexi Option</v>
          </cell>
          <cell r="E13447">
            <v>18.4345</v>
          </cell>
        </row>
        <row r="13448">
          <cell r="B13448" t="str">
            <v>INF179KA1IE2</v>
          </cell>
          <cell r="C13448" t="str">
            <v>-</v>
          </cell>
          <cell r="D13448" t="str">
            <v>HDFC FMP 3360D March 2014 (1) - Flexi Option - Direct Plan</v>
          </cell>
          <cell r="E13448">
            <v>18.675000000000001</v>
          </cell>
        </row>
        <row r="13449">
          <cell r="B13449" t="str">
            <v>INF179KA1IF9</v>
          </cell>
          <cell r="C13449" t="str">
            <v>-</v>
          </cell>
          <cell r="D13449" t="str">
            <v>HDFC FMP 3360D March 2014 (1) - Growth Option</v>
          </cell>
          <cell r="E13449">
            <v>18.4345</v>
          </cell>
        </row>
        <row r="13450">
          <cell r="B13450" t="str">
            <v>INF179KA1IB8</v>
          </cell>
          <cell r="C13450" t="str">
            <v>-</v>
          </cell>
          <cell r="D13450" t="str">
            <v>HDFC FMP 3360D March 2014 (1) - Growth Option - Direct Plan</v>
          </cell>
          <cell r="E13450">
            <v>18.675000000000001</v>
          </cell>
        </row>
        <row r="13451">
          <cell r="B13451" t="str">
            <v>INF179KA1IG7</v>
          </cell>
          <cell r="C13451" t="str">
            <v>-</v>
          </cell>
          <cell r="D13451" t="str">
            <v>HDFC FMP 3360D March 2014 (1) - IDCW Option</v>
          </cell>
          <cell r="E13451">
            <v>10</v>
          </cell>
        </row>
        <row r="13452">
          <cell r="B13452" t="str">
            <v>INF179KA1IC6</v>
          </cell>
          <cell r="C13452" t="str">
            <v>-</v>
          </cell>
          <cell r="D13452" t="str">
            <v>HDFC FMP 3360D March 2014 (1) - IDCW Option - Direct Plan</v>
          </cell>
          <cell r="E13452">
            <v>10</v>
          </cell>
        </row>
        <row r="13453">
          <cell r="B13453" t="str">
            <v>INF179KA1IH5</v>
          </cell>
          <cell r="C13453" t="str">
            <v>-</v>
          </cell>
          <cell r="D13453" t="str">
            <v>HDFC FMP 3360D March 2014 (1) - Quarterly IDCW Option</v>
          </cell>
          <cell r="E13453">
            <v>10</v>
          </cell>
        </row>
        <row r="13454">
          <cell r="B13454" t="str">
            <v>INF179KA1ID4</v>
          </cell>
          <cell r="C13454" t="str">
            <v>-</v>
          </cell>
          <cell r="D13454" t="str">
            <v>HDFC FMP 3360D March 2014 (1) - Quarterly IDCW Option - Direct Plan</v>
          </cell>
          <cell r="E13454">
            <v>10</v>
          </cell>
        </row>
        <row r="13455">
          <cell r="B13455" t="str">
            <v/>
          </cell>
          <cell r="C13455" t="str">
            <v/>
          </cell>
          <cell r="D13455" t="str">
            <v/>
          </cell>
        </row>
        <row r="13456">
          <cell r="B13456" t="str">
            <v/>
          </cell>
          <cell r="C13456" t="str">
            <v/>
          </cell>
          <cell r="D13456" t="str">
            <v/>
          </cell>
        </row>
        <row r="13457">
          <cell r="B13457" t="str">
            <v/>
          </cell>
          <cell r="C13457" t="str">
            <v/>
          </cell>
          <cell r="D13457" t="str">
            <v/>
          </cell>
        </row>
        <row r="13458">
          <cell r="B13458" t="str">
            <v>INF336L01KX7</v>
          </cell>
          <cell r="C13458" t="str">
            <v>-</v>
          </cell>
          <cell r="D13458" t="str">
            <v>HSBC Fixed Term Series 125 - Direct Plan Growth Option</v>
          </cell>
          <cell r="E13458">
            <v>12.6358</v>
          </cell>
        </row>
        <row r="13459">
          <cell r="B13459" t="str">
            <v>INF336L01LA3</v>
          </cell>
          <cell r="C13459" t="str">
            <v>-</v>
          </cell>
          <cell r="D13459" t="str">
            <v>HSBC Fixed Term Series 125 - Dividend Option</v>
          </cell>
          <cell r="E13459">
            <v>10</v>
          </cell>
        </row>
        <row r="13460">
          <cell r="B13460" t="str">
            <v>INF336L01KZ2</v>
          </cell>
          <cell r="C13460" t="str">
            <v>-</v>
          </cell>
          <cell r="D13460" t="str">
            <v>HSBC Fixed Term Series 125 - Growth Option</v>
          </cell>
          <cell r="E13460">
            <v>12.5053</v>
          </cell>
        </row>
        <row r="13461">
          <cell r="B13461" t="str">
            <v>INF336L01LB1</v>
          </cell>
          <cell r="C13461" t="str">
            <v>-</v>
          </cell>
          <cell r="D13461" t="str">
            <v>HSBC Fixed Term Series 126 - Direct Plan Growth Option</v>
          </cell>
          <cell r="E13461">
            <v>12.589600000000001</v>
          </cell>
        </row>
        <row r="13462">
          <cell r="B13462" t="str">
            <v>INF336L01LE5</v>
          </cell>
          <cell r="C13462" t="str">
            <v>-</v>
          </cell>
          <cell r="D13462" t="str">
            <v>HSBC Fixed Term Series 126 - Dividend Option</v>
          </cell>
          <cell r="E13462">
            <v>10</v>
          </cell>
        </row>
        <row r="13463">
          <cell r="B13463" t="str">
            <v>INF336L01LD7</v>
          </cell>
          <cell r="C13463" t="str">
            <v>-</v>
          </cell>
          <cell r="D13463" t="str">
            <v>HSBC Fixed Term Series 126 - Growth Option</v>
          </cell>
          <cell r="E13463">
            <v>12.4567</v>
          </cell>
        </row>
        <row r="13464">
          <cell r="B13464" t="str">
            <v>INF336L01LX5</v>
          </cell>
          <cell r="C13464" t="str">
            <v>-</v>
          </cell>
          <cell r="D13464" t="str">
            <v>HSBC Fixed Term Series 128 - Direct Plan Growth Option</v>
          </cell>
          <cell r="E13464">
            <v>12.326599999999999</v>
          </cell>
        </row>
        <row r="13465">
          <cell r="B13465" t="str">
            <v>INF336L01LZ0</v>
          </cell>
          <cell r="C13465" t="str">
            <v>-</v>
          </cell>
          <cell r="D13465" t="str">
            <v>HSBC Fixed Term Series 128 - Growth Option</v>
          </cell>
          <cell r="E13465">
            <v>12.197800000000001</v>
          </cell>
        </row>
        <row r="13466">
          <cell r="B13466" t="str">
            <v>INF336L01MA1</v>
          </cell>
          <cell r="C13466" t="str">
            <v>-</v>
          </cell>
          <cell r="D13466" t="str">
            <v>HSBC FTS 128 - IDCW - Tenure 1106 Days - Maturity: 29-Apr-2020</v>
          </cell>
          <cell r="E13466">
            <v>10</v>
          </cell>
        </row>
        <row r="13467">
          <cell r="B13467" t="str">
            <v>INF336L01MB9</v>
          </cell>
          <cell r="C13467" t="str">
            <v>-</v>
          </cell>
          <cell r="D13467" t="str">
            <v>HSBC Fixed Term Series 129 - Direct Plan Growth Option</v>
          </cell>
          <cell r="E13467">
            <v>12.3834</v>
          </cell>
        </row>
        <row r="13468">
          <cell r="B13468" t="str">
            <v>INF336L01MD5</v>
          </cell>
          <cell r="C13468" t="str">
            <v>-</v>
          </cell>
          <cell r="D13468" t="str">
            <v>HSBC Fixed Term Series 129 - Growth Option</v>
          </cell>
          <cell r="E13468">
            <v>12.285299999999999</v>
          </cell>
        </row>
        <row r="13469">
          <cell r="B13469" t="str">
            <v>INF336L01ME3</v>
          </cell>
          <cell r="C13469" t="str">
            <v>-</v>
          </cell>
          <cell r="D13469" t="str">
            <v>HSBC FTS 129 - IDCW - Tenure 1120 Days - Maturity: 30-Jun-2020</v>
          </cell>
          <cell r="E13469">
            <v>10</v>
          </cell>
        </row>
        <row r="13470">
          <cell r="B13470" t="str">
            <v>INF336L01MH6</v>
          </cell>
          <cell r="C13470" t="str">
            <v>-</v>
          </cell>
          <cell r="D13470" t="str">
            <v>HSBC Fixed Term Series 130 - Growth Option</v>
          </cell>
          <cell r="E13470">
            <v>12.443300000000001</v>
          </cell>
        </row>
        <row r="13471">
          <cell r="B13471" t="str">
            <v>INF336L01MI4</v>
          </cell>
          <cell r="C13471" t="str">
            <v>-</v>
          </cell>
          <cell r="D13471" t="str">
            <v>HSBC FTS 130 - IDCW - Tenure 1204 Days - Maturity: 08-Apr-2021</v>
          </cell>
          <cell r="E13471">
            <v>10</v>
          </cell>
        </row>
        <row r="13472">
          <cell r="B13472" t="str">
            <v>INF336L01MF0</v>
          </cell>
          <cell r="C13472" t="str">
            <v>-</v>
          </cell>
          <cell r="D13472" t="str">
            <v>HSBC FTS 130 - IDCW Direct Plan-Tenure 1204 Days-Maturity: 08-Apr-2021</v>
          </cell>
          <cell r="E13472">
            <v>12.528700000000001</v>
          </cell>
        </row>
        <row r="13473">
          <cell r="B13473" t="str">
            <v>INF336L01MN4</v>
          </cell>
          <cell r="C13473" t="str">
            <v>-</v>
          </cell>
          <cell r="D13473" t="str">
            <v>HSBC Fixed Term Series 131 - Direct Plan Growth Option</v>
          </cell>
          <cell r="E13473">
            <v>12.2882</v>
          </cell>
        </row>
        <row r="13474">
          <cell r="B13474" t="str">
            <v>INF336L01MP9</v>
          </cell>
          <cell r="C13474" t="str">
            <v>-</v>
          </cell>
          <cell r="D13474" t="str">
            <v>HSBC Fixed Term Series 131 - Growth Option</v>
          </cell>
          <cell r="E13474">
            <v>12.1877</v>
          </cell>
        </row>
        <row r="13475">
          <cell r="B13475" t="str">
            <v>INF336L01MQ7</v>
          </cell>
          <cell r="C13475" t="str">
            <v>-</v>
          </cell>
          <cell r="D13475" t="str">
            <v>HSBC FTS 131 - IDCW - Tenure 1140 Days -  Maturity: 03-May-2021</v>
          </cell>
          <cell r="E13475">
            <v>10</v>
          </cell>
        </row>
        <row r="13476">
          <cell r="B13476" t="str">
            <v>INF336L01MJ2</v>
          </cell>
          <cell r="C13476" t="str">
            <v>-</v>
          </cell>
          <cell r="D13476" t="str">
            <v>HSBC Fixed Term Series 132 - Direct Plan Growth Option</v>
          </cell>
          <cell r="E13476">
            <v>12.729100000000001</v>
          </cell>
        </row>
        <row r="13477">
          <cell r="B13477" t="str">
            <v>INF336L01ML8</v>
          </cell>
          <cell r="C13477" t="str">
            <v>-</v>
          </cell>
          <cell r="D13477" t="str">
            <v>HSBC Fixed Term Series 132 - Growth Option</v>
          </cell>
          <cell r="E13477">
            <v>12.646000000000001</v>
          </cell>
        </row>
        <row r="13478">
          <cell r="B13478" t="str">
            <v>INF336L01MM6</v>
          </cell>
          <cell r="C13478" t="str">
            <v>-</v>
          </cell>
          <cell r="D13478" t="str">
            <v>HSBC FTS 132 - IDCW - Tenure 1149 Days - Maturity: 03-May-2021</v>
          </cell>
          <cell r="E13478">
            <v>10</v>
          </cell>
        </row>
        <row r="13479">
          <cell r="B13479" t="str">
            <v>INF336L01MK0</v>
          </cell>
          <cell r="C13479" t="str">
            <v>-</v>
          </cell>
          <cell r="D13479" t="str">
            <v>HSBC FTS 132 - IDCW Direct Plan-Tenure 1149 Days-Maturity: 03-May-2021</v>
          </cell>
          <cell r="E13479">
            <v>10</v>
          </cell>
        </row>
        <row r="13480">
          <cell r="B13480" t="str">
            <v>INF336L01MR5</v>
          </cell>
          <cell r="C13480" t="str">
            <v>-</v>
          </cell>
          <cell r="D13480" t="str">
            <v>HSBC Fixed Term Series 133 - Direct Plan Growth Option</v>
          </cell>
          <cell r="E13480">
            <v>12.3742</v>
          </cell>
        </row>
        <row r="13481">
          <cell r="B13481" t="str">
            <v>INF336L01MT1</v>
          </cell>
          <cell r="C13481" t="str">
            <v>-</v>
          </cell>
          <cell r="D13481" t="str">
            <v>HSBC Fixed Term Series 133 - Growth Option</v>
          </cell>
          <cell r="E13481">
            <v>12.2944</v>
          </cell>
        </row>
        <row r="13482">
          <cell r="B13482" t="str">
            <v>INF336L01MU9</v>
          </cell>
          <cell r="C13482" t="str">
            <v>-</v>
          </cell>
          <cell r="D13482" t="str">
            <v>HSBC FTS 133 - IDCW - Tenure 1134 Days - Maturity: 03-May-2021</v>
          </cell>
          <cell r="E13482">
            <v>10</v>
          </cell>
        </row>
        <row r="13483">
          <cell r="B13483" t="str">
            <v>INF336L01MS3</v>
          </cell>
          <cell r="C13483" t="str">
            <v>-</v>
          </cell>
          <cell r="D13483" t="str">
            <v>HSBC FTS 133 - IDCW Direct Plan-Tenure 1134 Days-Maturity: 03-May-2021</v>
          </cell>
          <cell r="E13483">
            <v>10</v>
          </cell>
        </row>
        <row r="13484">
          <cell r="B13484" t="str">
            <v>INF336L01MV7</v>
          </cell>
          <cell r="C13484" t="str">
            <v>-</v>
          </cell>
          <cell r="D13484" t="str">
            <v>HSBC Fixed Term Series 134 - Direct Plan Growth Option</v>
          </cell>
          <cell r="E13484">
            <v>11.202</v>
          </cell>
        </row>
        <row r="13485">
          <cell r="B13485" t="str">
            <v>INF336L01MY1</v>
          </cell>
          <cell r="C13485" t="str">
            <v>-</v>
          </cell>
          <cell r="D13485" t="str">
            <v>HSBC Fixed Term Series 134 - Dividend Option</v>
          </cell>
          <cell r="E13485">
            <v>10</v>
          </cell>
        </row>
        <row r="13486">
          <cell r="B13486" t="str">
            <v>INF336L01MX3</v>
          </cell>
          <cell r="C13486" t="str">
            <v>-</v>
          </cell>
          <cell r="D13486" t="str">
            <v>HSBC FTS 134 - IDCW - Tenure 1118 Days - Maturity: 29-Jun-2021</v>
          </cell>
          <cell r="E13486">
            <v>11.078200000000001</v>
          </cell>
        </row>
        <row r="13487">
          <cell r="B13487" t="str">
            <v>INF336L01MW5</v>
          </cell>
          <cell r="C13487" t="str">
            <v>-</v>
          </cell>
          <cell r="D13487" t="str">
            <v>HSBC FTS 134 - IDCW Direct Plan - Tenure 1118 Days - Maturity: 29-Jun-2021</v>
          </cell>
          <cell r="E13487">
            <v>10</v>
          </cell>
        </row>
        <row r="13488">
          <cell r="B13488" t="str">
            <v>INF336L01MZ8</v>
          </cell>
          <cell r="C13488" t="str">
            <v>-</v>
          </cell>
          <cell r="D13488" t="str">
            <v>HSBC Fixed Term Series 135 - Direct Plan Growth Option</v>
          </cell>
          <cell r="E13488">
            <v>11.1898</v>
          </cell>
        </row>
        <row r="13489">
          <cell r="B13489" t="str">
            <v>INF336L01NB7</v>
          </cell>
          <cell r="C13489" t="str">
            <v>-</v>
          </cell>
          <cell r="D13489" t="str">
            <v>HSBC Fixed Term Series 135 - Growth Option</v>
          </cell>
          <cell r="E13489">
            <v>11.081300000000001</v>
          </cell>
        </row>
        <row r="13490">
          <cell r="B13490" t="str">
            <v>INF336L01NC5</v>
          </cell>
          <cell r="C13490" t="str">
            <v>-</v>
          </cell>
          <cell r="D13490" t="str">
            <v>HSBC FTS 135 - IDCW - Tenure 1117 Days - Maturity: 30-Jul-2021</v>
          </cell>
          <cell r="E13490">
            <v>10</v>
          </cell>
        </row>
        <row r="13491">
          <cell r="B13491" t="str">
            <v>INF336L01NA9</v>
          </cell>
          <cell r="C13491" t="str">
            <v>-</v>
          </cell>
          <cell r="D13491" t="str">
            <v>HSBC FTS 135 - IDCW Direct Plan - Tenure 1117 Days - Maturity: 30-Jul-2021</v>
          </cell>
          <cell r="E13491">
            <v>10</v>
          </cell>
        </row>
        <row r="13492">
          <cell r="B13492" t="str">
            <v>INF336L01ND3</v>
          </cell>
          <cell r="C13492" t="str">
            <v>-</v>
          </cell>
          <cell r="D13492" t="str">
            <v>HSBC Fixed Term Series 136 - Direct Plan Growth Option</v>
          </cell>
          <cell r="E13492">
            <v>11.349299999999999</v>
          </cell>
        </row>
        <row r="13493">
          <cell r="B13493" t="str">
            <v>INF336L01NF8</v>
          </cell>
          <cell r="C13493" t="str">
            <v>-</v>
          </cell>
          <cell r="D13493" t="str">
            <v>HSBC Fixed Term Series 136 - Growth Option</v>
          </cell>
          <cell r="E13493">
            <v>11.236800000000001</v>
          </cell>
        </row>
        <row r="13494">
          <cell r="B13494" t="str">
            <v>INF336L01NG6</v>
          </cell>
          <cell r="C13494" t="str">
            <v>-</v>
          </cell>
          <cell r="D13494" t="str">
            <v>HSBC FTS 136 - IDCW - Tenure 1145 Days - Maturity: 30-Sep-2021</v>
          </cell>
          <cell r="E13494">
            <v>10</v>
          </cell>
        </row>
        <row r="13495">
          <cell r="B13495" t="str">
            <v>INF336L01NE1</v>
          </cell>
          <cell r="C13495" t="str">
            <v>-</v>
          </cell>
          <cell r="D13495" t="str">
            <v>HSBC FTS 136 - IDCW Direct Plan - Tenure 1145 Days - Maturity: 30-Sep-2021</v>
          </cell>
          <cell r="E13495">
            <v>10</v>
          </cell>
        </row>
        <row r="13496">
          <cell r="B13496" t="str">
            <v>INF336L01NP7</v>
          </cell>
          <cell r="C13496" t="str">
            <v>-</v>
          </cell>
          <cell r="D13496" t="str">
            <v>HSBC Fixed Term Series 137 - Growth Option</v>
          </cell>
          <cell r="E13496">
            <v>12.706200000000001</v>
          </cell>
        </row>
        <row r="13497">
          <cell r="B13497" t="str">
            <v>INF336L01NN2</v>
          </cell>
          <cell r="C13497" t="str">
            <v>-</v>
          </cell>
          <cell r="D13497" t="str">
            <v>HSBC Fixed Term Series 137 Direct Plan Growth Option</v>
          </cell>
          <cell r="E13497">
            <v>12.816599999999999</v>
          </cell>
        </row>
        <row r="13498">
          <cell r="B13498" t="str">
            <v>INF336L01NQ5</v>
          </cell>
          <cell r="C13498" t="str">
            <v>-</v>
          </cell>
          <cell r="D13498" t="str">
            <v>HSBC FTS 137 - IDCW - Tenure 1187 Days - Maturity: 18-Apr-2022</v>
          </cell>
          <cell r="E13498">
            <v>10</v>
          </cell>
        </row>
        <row r="13499">
          <cell r="B13499" t="str">
            <v>INF336L01NO0</v>
          </cell>
          <cell r="C13499" t="str">
            <v>-</v>
          </cell>
          <cell r="D13499" t="str">
            <v>HSBC FTS 137 - IDCW Direct Plan - Tenure 1187 Days - Maturity: 18-Apr-2022</v>
          </cell>
          <cell r="E13499">
            <v>10</v>
          </cell>
        </row>
        <row r="13500">
          <cell r="B13500" t="str">
            <v>INF336L01NR3</v>
          </cell>
          <cell r="C13500" t="str">
            <v>-</v>
          </cell>
          <cell r="D13500" t="str">
            <v>HSBC Fixed Term Series 139 - Direct Plan - Direct Plan - Growth Option</v>
          </cell>
          <cell r="E13500">
            <v>12.712999999999999</v>
          </cell>
        </row>
        <row r="13501">
          <cell r="B13501" t="str">
            <v>INF336L01NT9</v>
          </cell>
          <cell r="C13501" t="str">
            <v>-</v>
          </cell>
          <cell r="D13501" t="str">
            <v>HSBC Fixed Term Series 139 - Growth Option</v>
          </cell>
          <cell r="E13501">
            <v>12.605399999999999</v>
          </cell>
        </row>
        <row r="13502">
          <cell r="B13502" t="str">
            <v>INF336L01NU7</v>
          </cell>
          <cell r="C13502" t="str">
            <v>-</v>
          </cell>
          <cell r="D13502" t="str">
            <v>HSBC FTS 139 - IDCW - Tenure 1163 Days - Maturity: 03-May-2022</v>
          </cell>
          <cell r="E13502">
            <v>10</v>
          </cell>
        </row>
        <row r="13503">
          <cell r="B13503" t="str">
            <v>INF336L01NS1</v>
          </cell>
          <cell r="C13503" t="str">
            <v>-</v>
          </cell>
          <cell r="D13503" t="str">
            <v>HSBC FTS 139 - IDCW Direct Plan - Tenure 1163 Days - Maturity: 03-May-2022</v>
          </cell>
          <cell r="E13503">
            <v>10</v>
          </cell>
        </row>
        <row r="13504">
          <cell r="B13504" t="str">
            <v>INF336L01OD1</v>
          </cell>
          <cell r="C13504" t="str">
            <v>-</v>
          </cell>
          <cell r="D13504" t="str">
            <v>HSBC Fixed Term Series 140 - Growth Option</v>
          </cell>
          <cell r="E13504">
            <v>12.513199999999999</v>
          </cell>
        </row>
        <row r="13505">
          <cell r="B13505" t="str">
            <v>INF336L01OB5</v>
          </cell>
          <cell r="C13505" t="str">
            <v>-</v>
          </cell>
          <cell r="D13505" t="str">
            <v>HSBC Fixed Term Series 140 Direct plan - Growth Option</v>
          </cell>
          <cell r="E13505">
            <v>12.618499999999999</v>
          </cell>
        </row>
        <row r="13506">
          <cell r="B13506" t="str">
            <v>INF336L01OE9</v>
          </cell>
          <cell r="C13506" t="str">
            <v>-</v>
          </cell>
          <cell r="D13506" t="str">
            <v>HSBC FTS 140 - IDCW - Tenure 1147 Days - Maturity: 15-Jun-2022</v>
          </cell>
          <cell r="E13506">
            <v>10</v>
          </cell>
        </row>
        <row r="13507">
          <cell r="B13507" t="str">
            <v>INF336L01OC3</v>
          </cell>
          <cell r="C13507" t="str">
            <v>-</v>
          </cell>
          <cell r="D13507" t="str">
            <v>HSBC FTS 140 - IDCW Direct Plan - Tenure 1147 Days - Maturity: 15-Jun-2022</v>
          </cell>
          <cell r="E13507">
            <v>10</v>
          </cell>
        </row>
        <row r="13508">
          <cell r="B13508" t="str">
            <v/>
          </cell>
          <cell r="C13508" t="str">
            <v/>
          </cell>
          <cell r="D13508" t="str">
            <v/>
          </cell>
        </row>
        <row r="13509">
          <cell r="B13509" t="str">
            <v/>
          </cell>
          <cell r="C13509" t="str">
            <v/>
          </cell>
          <cell r="D13509" t="str">
            <v/>
          </cell>
        </row>
        <row r="13510">
          <cell r="B13510" t="str">
            <v/>
          </cell>
          <cell r="C13510" t="str">
            <v/>
          </cell>
          <cell r="D13510" t="str">
            <v/>
          </cell>
        </row>
        <row r="13511">
          <cell r="B13511" t="str">
            <v>INF109K01SX3</v>
          </cell>
          <cell r="C13511" t="str">
            <v>-</v>
          </cell>
          <cell r="D13511" t="str">
            <v>ICICI Prudential Capital Protection Oriented Fund - Series V - 60 Months - Cumulative</v>
          </cell>
          <cell r="E13511">
            <v>17.6463</v>
          </cell>
        </row>
        <row r="13512">
          <cell r="B13512" t="str">
            <v>INF109K01SY1</v>
          </cell>
          <cell r="C13512" t="str">
            <v>-</v>
          </cell>
          <cell r="D13512" t="str">
            <v>ICICI Prudential Capital Protection Oriented Fund - Series V - 60 Months - Dividend</v>
          </cell>
          <cell r="E13512">
            <v>17.6463</v>
          </cell>
        </row>
        <row r="13513">
          <cell r="B13513" t="str">
            <v>INF109KA1XD8</v>
          </cell>
          <cell r="C13513" t="str">
            <v>-</v>
          </cell>
          <cell r="D13513" t="str">
            <v>ICICI Prudential Capital Protection Oriented Fund Series VI -1100 Days Plan B Cumulative Option</v>
          </cell>
          <cell r="E13513">
            <v>12.5091</v>
          </cell>
        </row>
        <row r="13514">
          <cell r="B13514" t="str">
            <v>INF109KA1XF3</v>
          </cell>
          <cell r="C13514" t="str">
            <v>-</v>
          </cell>
          <cell r="D13514" t="str">
            <v>ICICI Prudential Capital Protection Oriented Fund Series VI- 1100 Days Plan B Direct Plan Cumulative option</v>
          </cell>
          <cell r="E13514">
            <v>13.0276</v>
          </cell>
        </row>
        <row r="13515">
          <cell r="B13515" t="str">
            <v>INF109KA1XG1</v>
          </cell>
          <cell r="C13515" t="str">
            <v>-</v>
          </cell>
          <cell r="D13515" t="str">
            <v>ICICI Prudential Capital Protection Oriented Fund Series VI- 1100 Days Plan B Direct Plan Dividend Option</v>
          </cell>
          <cell r="E13515">
            <v>13.0275</v>
          </cell>
        </row>
        <row r="13516">
          <cell r="B13516" t="str">
            <v>INF109KA1XE6</v>
          </cell>
          <cell r="C13516" t="str">
            <v>-</v>
          </cell>
          <cell r="D13516" t="str">
            <v>ICICI Prudential Capital Protection Oriented Fund Series VI- 1100 Days Plan B Dividend Option</v>
          </cell>
          <cell r="E13516">
            <v>12.5091</v>
          </cell>
        </row>
        <row r="13517">
          <cell r="B13517" t="str">
            <v>INF109KA1XX6</v>
          </cell>
          <cell r="C13517" t="str">
            <v>-</v>
          </cell>
          <cell r="D13517" t="str">
            <v>ICICI Prudential Capital Protection Oriented Fund - Series VI - 1100 Days Plan D Direct Plan Cumulative Option</v>
          </cell>
          <cell r="E13517">
            <v>13.0413</v>
          </cell>
        </row>
        <row r="13518">
          <cell r="B13518" t="str">
            <v>INF109KA1XY4</v>
          </cell>
          <cell r="C13518" t="str">
            <v>-</v>
          </cell>
          <cell r="D13518" t="str">
            <v>ICICI Prudential Capital Protection Oriented Fund - Series VI - 1100 Days Plan D Direct Plan Dividend Option</v>
          </cell>
          <cell r="E13518">
            <v>13.0413</v>
          </cell>
        </row>
        <row r="13519">
          <cell r="B13519" t="str">
            <v>INF109KA1XW8</v>
          </cell>
          <cell r="C13519" t="str">
            <v>-</v>
          </cell>
          <cell r="D13519" t="str">
            <v>ICICI Prudential Capital Protection Oriented Fund - Series VI - 1100 Days Plan D Dividend Option</v>
          </cell>
          <cell r="E13519">
            <v>12.526300000000001</v>
          </cell>
        </row>
        <row r="13520">
          <cell r="B13520" t="str">
            <v>INF109KA1XV0</v>
          </cell>
          <cell r="C13520" t="str">
            <v>-</v>
          </cell>
          <cell r="D13520" t="str">
            <v>ICICI Prudential Capital Protection Oriented Fund - Series VI -1100 Days Plan D Cumulative Option</v>
          </cell>
          <cell r="E13520">
            <v>12.526300000000001</v>
          </cell>
        </row>
        <row r="13521">
          <cell r="B13521" t="str">
            <v>INF109KA1YZ9</v>
          </cell>
          <cell r="C13521" t="str">
            <v>-</v>
          </cell>
          <cell r="D13521" t="str">
            <v>ICICI Prudential Capital Protection Oriented Fund - Series VI - 1100 Days Plan E Cumulative Option</v>
          </cell>
          <cell r="E13521">
            <v>12.520200000000001</v>
          </cell>
        </row>
        <row r="13522">
          <cell r="B13522" t="str">
            <v>INF109KA1ZB7</v>
          </cell>
          <cell r="C13522" t="str">
            <v>-</v>
          </cell>
          <cell r="D13522" t="str">
            <v>ICICI Prudential Capital Protection Oriented Fund - Series VI - 1100 Days Plan E Direct Plan Cumulative Option</v>
          </cell>
          <cell r="E13522">
            <v>13.0428</v>
          </cell>
        </row>
        <row r="13523">
          <cell r="B13523" t="str">
            <v>INF109KA1ZA9</v>
          </cell>
          <cell r="C13523" t="str">
            <v>-</v>
          </cell>
          <cell r="D13523" t="str">
            <v>ICICI Prudential Capital Protection Oriented Fund - Series VI - 1100 Days Plan E Dividend Option</v>
          </cell>
          <cell r="E13523">
            <v>12.520200000000001</v>
          </cell>
        </row>
        <row r="13524">
          <cell r="B13524" t="str">
            <v>INF109KA1A66</v>
          </cell>
          <cell r="C13524" t="str">
            <v>-</v>
          </cell>
          <cell r="D13524" t="str">
            <v>ICICI Prudential Capital Protection Oriented Fund - Series VI - 1100 Days Plan F Cumulative Option</v>
          </cell>
          <cell r="E13524">
            <v>12.4678</v>
          </cell>
        </row>
        <row r="13525">
          <cell r="B13525" t="str">
            <v>INF109KA1A82</v>
          </cell>
          <cell r="C13525" t="str">
            <v>-</v>
          </cell>
          <cell r="D13525" t="str">
            <v>ICICI Prudential Capital Protection Oriented Fund - Series VI - 1100 Days Plan F Direct Plan Cumulative Option</v>
          </cell>
          <cell r="E13525">
            <v>12.9984</v>
          </cell>
        </row>
        <row r="13526">
          <cell r="B13526" t="str">
            <v>INF109KA1A90</v>
          </cell>
          <cell r="C13526" t="str">
            <v>-</v>
          </cell>
          <cell r="D13526" t="str">
            <v>ICICI Prudential Capital Protection Oriented Fund - Series VI - 1100 Days Plan F Direct Plan Dividend Option</v>
          </cell>
          <cell r="E13526">
            <v>12.9984</v>
          </cell>
        </row>
        <row r="13527">
          <cell r="B13527" t="str">
            <v>INF109KA1A74</v>
          </cell>
          <cell r="C13527" t="str">
            <v>-</v>
          </cell>
          <cell r="D13527" t="str">
            <v>ICICI Prudential Capital Protection Oriented Fund - Series VI - 1100 Days Plan F Dividend Option</v>
          </cell>
          <cell r="E13527">
            <v>12.4678</v>
          </cell>
        </row>
        <row r="13528">
          <cell r="B13528" t="str">
            <v>INF109KA1B08</v>
          </cell>
          <cell r="C13528" t="str">
            <v>-</v>
          </cell>
          <cell r="D13528" t="str">
            <v>ICICI Prudential Capital Protection Oriented Fund - Series VI - 1100 Days Plan G Cumulative Option</v>
          </cell>
          <cell r="E13528">
            <v>12.3047</v>
          </cell>
        </row>
        <row r="13529">
          <cell r="B13529" t="str">
            <v>INF109KA1B24</v>
          </cell>
          <cell r="C13529" t="str">
            <v>-</v>
          </cell>
          <cell r="D13529" t="str">
            <v>ICICI Prudential Capital Protection Oriented Fund - Series VI - 1100 Days Plan G Direct Plan Cumulative Option</v>
          </cell>
          <cell r="E13529">
            <v>12.823</v>
          </cell>
        </row>
        <row r="13530">
          <cell r="B13530" t="str">
            <v>INF109KA1B32</v>
          </cell>
          <cell r="C13530" t="str">
            <v>-</v>
          </cell>
          <cell r="D13530" t="str">
            <v>ICICI Prudential Capital Protection Oriented Fund - Series VI - 1100 Days Plan G Direct Plan Dividend Option</v>
          </cell>
          <cell r="E13530">
            <v>12.823</v>
          </cell>
        </row>
        <row r="13531">
          <cell r="B13531" t="str">
            <v>INF109KA1B16</v>
          </cell>
          <cell r="C13531" t="str">
            <v>-</v>
          </cell>
          <cell r="D13531" t="str">
            <v>ICICI Prudential Capital Protection Oriented Fund - Series VI - 1100 Days Plan G Dividend Option</v>
          </cell>
          <cell r="E13531">
            <v>12.3047</v>
          </cell>
        </row>
        <row r="13532">
          <cell r="B13532" t="str">
            <v>INF109KA1Q01</v>
          </cell>
          <cell r="C13532" t="str">
            <v>-</v>
          </cell>
          <cell r="D13532" t="str">
            <v>ICICI Prudential Capital Protection Oriented Fund - Series VI - 1100 Days Plan H Cumulative Option</v>
          </cell>
          <cell r="E13532">
            <v>12.371499999999999</v>
          </cell>
        </row>
        <row r="13533">
          <cell r="B13533" t="str">
            <v>INF109KA1Q27</v>
          </cell>
          <cell r="C13533" t="str">
            <v>-</v>
          </cell>
          <cell r="D13533" t="str">
            <v>ICICI Prudential Capital Protection Oriented Fund - Series VI - 1100 Days Plan H Direct Plan Cumulative Option</v>
          </cell>
          <cell r="E13533">
            <v>12.883699999999999</v>
          </cell>
        </row>
        <row r="13534">
          <cell r="B13534" t="str">
            <v>INF109KA1Q35</v>
          </cell>
          <cell r="C13534" t="str">
            <v>-</v>
          </cell>
          <cell r="D13534" t="str">
            <v>ICICI Prudential Capital Protection Oriented Fund - Series VI - 1100 Days Plan H Direct Plan Dividend Option</v>
          </cell>
          <cell r="E13534">
            <v>12.883699999999999</v>
          </cell>
        </row>
        <row r="13535">
          <cell r="B13535" t="str">
            <v>INF109KA1Q19</v>
          </cell>
          <cell r="C13535" t="str">
            <v>-</v>
          </cell>
          <cell r="D13535" t="str">
            <v>ICICI Prudential Capital Protection Oriented Fund - Series VI - 1100 Days Plan H Dividend Option</v>
          </cell>
          <cell r="E13535">
            <v>12.371499999999999</v>
          </cell>
        </row>
        <row r="13536">
          <cell r="B13536" t="str">
            <v>INF109KA18M8</v>
          </cell>
          <cell r="C13536" t="str">
            <v>-</v>
          </cell>
          <cell r="D13536" t="str">
            <v>ICICI Prudential Capital Protection Oriented Fund - Series VII - 1284 Days Plan C Cumulative Option</v>
          </cell>
          <cell r="E13536">
            <v>12.372999999999999</v>
          </cell>
        </row>
        <row r="13537">
          <cell r="B13537" t="str">
            <v>INF109KA10N3</v>
          </cell>
          <cell r="C13537" t="str">
            <v>-</v>
          </cell>
          <cell r="D13537" t="str">
            <v>ICICI Prudential Capital Protection Oriented Fund - Series VII - 1284 Days Plan C Direct Plan Cumulative Option</v>
          </cell>
          <cell r="E13537">
            <v>12.9201</v>
          </cell>
        </row>
        <row r="13538">
          <cell r="B13538" t="str">
            <v>INF109KA11N1</v>
          </cell>
          <cell r="C13538" t="str">
            <v>-</v>
          </cell>
          <cell r="D13538" t="str">
            <v>ICICI Prudential Capital Protection Oriented Fund - Series VII - 1284 Days Plan C Direct Plan Dividend Option</v>
          </cell>
          <cell r="E13538">
            <v>12.9201</v>
          </cell>
        </row>
        <row r="13539">
          <cell r="B13539" t="str">
            <v>INF109KA19M6</v>
          </cell>
          <cell r="C13539" t="str">
            <v>-</v>
          </cell>
          <cell r="D13539" t="str">
            <v>ICICI Prudential Capital Protection Oriented Fund - Series VII - 1284 Days Plan C Dividend Option</v>
          </cell>
          <cell r="E13539">
            <v>12.372999999999999</v>
          </cell>
        </row>
        <row r="13540">
          <cell r="B13540" t="str">
            <v>INF109KA14P0</v>
          </cell>
          <cell r="C13540" t="str">
            <v>-</v>
          </cell>
          <cell r="D13540" t="str">
            <v>ICICI Prudential Capital Protection Oriented Fund - Series VII - 1284 Days Plan E Cumulative Option</v>
          </cell>
          <cell r="E13540">
            <v>12.0871</v>
          </cell>
        </row>
        <row r="13541">
          <cell r="B13541" t="str">
            <v>INF109KA16P5</v>
          </cell>
          <cell r="C13541" t="str">
            <v>-</v>
          </cell>
          <cell r="D13541" t="str">
            <v>ICICI Prudential Capital Protection Oriented Fund - Series VII - 1284 Days Plan E Direct Plan Cumulative Option</v>
          </cell>
          <cell r="E13541">
            <v>12.540900000000001</v>
          </cell>
        </row>
        <row r="13542">
          <cell r="B13542" t="str">
            <v>INF109KA17P3</v>
          </cell>
          <cell r="C13542" t="str">
            <v>-</v>
          </cell>
          <cell r="D13542" t="str">
            <v>ICICI Prudential Capital Protection Oriented Fund - Series VII - 1284 Days Plan E Direct Plan Dividend Option</v>
          </cell>
          <cell r="E13542">
            <v>12.540900000000001</v>
          </cell>
        </row>
        <row r="13543">
          <cell r="B13543" t="str">
            <v>INF109KA15P7</v>
          </cell>
          <cell r="C13543" t="str">
            <v>-</v>
          </cell>
          <cell r="D13543" t="str">
            <v>ICICI Prudential Capital Protection Oriented Fund - Series VII - 1284 Days Plan E Dividend Option</v>
          </cell>
          <cell r="E13543">
            <v>12.0871</v>
          </cell>
        </row>
        <row r="13544">
          <cell r="B13544" t="str">
            <v>INF109KA1W29</v>
          </cell>
          <cell r="C13544" t="str">
            <v>-</v>
          </cell>
          <cell r="D13544" t="str">
            <v>ICICI Prudential Capital Protection Oriented Fund - Series VII - 1285 Days Plan A Cumulative Option</v>
          </cell>
          <cell r="E13544">
            <v>12.973699999999999</v>
          </cell>
        </row>
        <row r="13545">
          <cell r="B13545" t="str">
            <v>INF109KA1W45</v>
          </cell>
          <cell r="C13545" t="str">
            <v>-</v>
          </cell>
          <cell r="D13545" t="str">
            <v>ICICI Prudential Capital Protection Oriented Fund - Series VII - 1285 Days Plan A Direct Plan Cumulative Option</v>
          </cell>
          <cell r="E13545">
            <v>13.504799999999999</v>
          </cell>
        </row>
        <row r="13546">
          <cell r="B13546" t="str">
            <v>INF109KA1W52</v>
          </cell>
          <cell r="C13546" t="str">
            <v>-</v>
          </cell>
          <cell r="D13546" t="str">
            <v>ICICI Prudential Capital Protection Oriented Fund - Series VII - 1285 Days Plan A Direct Plan Dividend Option</v>
          </cell>
          <cell r="E13546">
            <v>13.504799999999999</v>
          </cell>
        </row>
        <row r="13547">
          <cell r="B13547" t="str">
            <v>INF109KA1W37</v>
          </cell>
          <cell r="C13547" t="str">
            <v>-</v>
          </cell>
          <cell r="D13547" t="str">
            <v>ICICI Prudential Capital Protection Oriented Fund - Series VII - 1285 Days Plan A Dividend Option</v>
          </cell>
          <cell r="E13547">
            <v>12.973699999999999</v>
          </cell>
        </row>
        <row r="13548">
          <cell r="B13548" t="str">
            <v>INF109KA14E4</v>
          </cell>
          <cell r="C13548" t="str">
            <v>-</v>
          </cell>
          <cell r="D13548" t="str">
            <v>ICICI Prudential Capital Protection Oriented Fund - Series VII - 1285 Days Plan B Cumulative Option</v>
          </cell>
          <cell r="E13548">
            <v>12.8347</v>
          </cell>
        </row>
        <row r="13549">
          <cell r="B13549" t="str">
            <v>INF109KA16E9</v>
          </cell>
          <cell r="C13549" t="str">
            <v>-</v>
          </cell>
          <cell r="D13549" t="str">
            <v>ICICI Prudential Capital Protection Oriented Fund - Series VII - 1285 Days Plan B Direct Plan Cumulative Option</v>
          </cell>
          <cell r="E13549">
            <v>13.3986</v>
          </cell>
        </row>
        <row r="13550">
          <cell r="B13550" t="str">
            <v>INF109KA17E7</v>
          </cell>
          <cell r="C13550" t="str">
            <v>-</v>
          </cell>
          <cell r="D13550" t="str">
            <v>ICICI Prudential Capital Protection Oriented Fund - Series VII - 1285 Days Plan B Direct Plan Dividend Option</v>
          </cell>
          <cell r="E13550">
            <v>13.3986</v>
          </cell>
        </row>
        <row r="13551">
          <cell r="B13551" t="str">
            <v>INF109KA15E1</v>
          </cell>
          <cell r="C13551" t="str">
            <v>-</v>
          </cell>
          <cell r="D13551" t="str">
            <v>ICICI Prudential Capital Protection Oriented Fund - Series VII - 1285 Days Plan B Dividend Option</v>
          </cell>
          <cell r="E13551">
            <v>12.8347</v>
          </cell>
        </row>
        <row r="13552">
          <cell r="B13552" t="str">
            <v>INF109KB1GZ5</v>
          </cell>
          <cell r="C13552" t="str">
            <v>-</v>
          </cell>
          <cell r="D13552" t="str">
            <v>ICICI Prudential Capital Protection Oriented Fund - Series VIII -1101 Days Plan D Cumulative Option</v>
          </cell>
          <cell r="E13552">
            <v>11.8819</v>
          </cell>
        </row>
        <row r="13553">
          <cell r="B13553" t="str">
            <v>INF109KB1GX0</v>
          </cell>
          <cell r="C13553" t="str">
            <v>-</v>
          </cell>
          <cell r="D13553" t="str">
            <v>ICICI Prudential Capital Protection Oriented Fund - Series VIII -1101 Days Plan D Direct Plan Cumulative Option</v>
          </cell>
          <cell r="E13553">
            <v>12.3263</v>
          </cell>
        </row>
        <row r="13554">
          <cell r="B13554" t="str">
            <v>INF109KB1GY8</v>
          </cell>
          <cell r="C13554" t="str">
            <v>-</v>
          </cell>
          <cell r="D13554" t="str">
            <v>ICICI Prudential Capital Protection Oriented Fund - Series VIII -1101 Days Plan D Direct Plan Dividend Option</v>
          </cell>
          <cell r="E13554">
            <v>12.3263</v>
          </cell>
        </row>
        <row r="13555">
          <cell r="B13555" t="str">
            <v>INF109KB1HA6</v>
          </cell>
          <cell r="C13555" t="str">
            <v>-</v>
          </cell>
          <cell r="D13555" t="str">
            <v>ICICI Prudential Capital Protection Oriented Fund - Series VIII -1101 Days Plan D Dividend Option</v>
          </cell>
          <cell r="E13555">
            <v>11.8819</v>
          </cell>
        </row>
        <row r="13556">
          <cell r="B13556" t="str">
            <v>INF109KB1KN3</v>
          </cell>
          <cell r="C13556" t="str">
            <v>-</v>
          </cell>
          <cell r="D13556" t="str">
            <v>ICICI Prudential Capital Protection Oriented Fund - Series VIII - 1101 Days Plan G Cumulative Option</v>
          </cell>
          <cell r="E13556">
            <v>11.8187</v>
          </cell>
        </row>
        <row r="13557">
          <cell r="B13557" t="str">
            <v>INF109KB1KP8</v>
          </cell>
          <cell r="C13557" t="str">
            <v>-</v>
          </cell>
          <cell r="D13557" t="str">
            <v>ICICI Prudential Capital Protection Oriented Fund - Series VIII - 1101 Days Plan G Direct Plan Cumulative Option</v>
          </cell>
          <cell r="E13557">
            <v>12.397500000000001</v>
          </cell>
        </row>
        <row r="13558">
          <cell r="B13558" t="str">
            <v>INF109KB1KO1</v>
          </cell>
          <cell r="C13558" t="str">
            <v>-</v>
          </cell>
          <cell r="D13558" t="str">
            <v>ICICI Prudential Capital Protection Oriented Fund - Series VIII - 1101 Days Plan G Dividend Option</v>
          </cell>
          <cell r="E13558">
            <v>11.8187</v>
          </cell>
        </row>
        <row r="13559">
          <cell r="B13559" t="str">
            <v>INF109KB1AT1</v>
          </cell>
          <cell r="C13559" t="str">
            <v>-</v>
          </cell>
          <cell r="D13559" t="str">
            <v>ICICI Prudential Capital Protection Oriented Fund - Series VIII - 1103 Days Plan B Cumulative Option</v>
          </cell>
          <cell r="E13559">
            <v>11.98</v>
          </cell>
        </row>
        <row r="13560">
          <cell r="B13560" t="str">
            <v>INF109KB1AV7</v>
          </cell>
          <cell r="C13560" t="str">
            <v>-</v>
          </cell>
          <cell r="D13560" t="str">
            <v>ICICI Prudential Capital Protection Oriented Fund - Series VIII - 1103 Days Plan B Direct Plan Cumulative Option</v>
          </cell>
          <cell r="E13560">
            <v>12.487399999999999</v>
          </cell>
        </row>
        <row r="13561">
          <cell r="B13561" t="str">
            <v>INF109KB1AW5</v>
          </cell>
          <cell r="C13561" t="str">
            <v>-</v>
          </cell>
          <cell r="D13561" t="str">
            <v>ICICI Prudential Capital Protection Oriented Fund - Series VIII - 1103 Days Plan B Direct Plan Dividend Option</v>
          </cell>
          <cell r="E13561">
            <v>12.487399999999999</v>
          </cell>
        </row>
        <row r="13562">
          <cell r="B13562" t="str">
            <v>INF109KB1AU9</v>
          </cell>
          <cell r="C13562" t="str">
            <v>-</v>
          </cell>
          <cell r="D13562" t="str">
            <v>ICICI Prudential Capital Protection Oriented Fund - Series VIII - 1103 Days Plan B Dividend Option</v>
          </cell>
          <cell r="E13562">
            <v>11.98</v>
          </cell>
        </row>
        <row r="13563">
          <cell r="B13563" t="str">
            <v>INF109KB1DB3</v>
          </cell>
          <cell r="C13563" t="str">
            <v>-</v>
          </cell>
          <cell r="D13563" t="str">
            <v>ICICI Prudential Capital Protection Oriented Fund - Series VIII - 1103 Days Plan C Cumulative Option</v>
          </cell>
          <cell r="E13563">
            <v>11.9788</v>
          </cell>
        </row>
        <row r="13564">
          <cell r="B13564" t="str">
            <v>INF109KB1DD9</v>
          </cell>
          <cell r="C13564" t="str">
            <v>-</v>
          </cell>
          <cell r="D13564" t="str">
            <v>ICICI Prudential Capital Protection Oriented Fund - Series VIII - 1103 Days Plan C Direct Plan Cumulative Option</v>
          </cell>
          <cell r="E13564">
            <v>12.4991</v>
          </cell>
        </row>
        <row r="13565">
          <cell r="B13565" t="str">
            <v>INF109KB1DE7</v>
          </cell>
          <cell r="C13565" t="str">
            <v>-</v>
          </cell>
          <cell r="D13565" t="str">
            <v>ICICI Prudential Capital Protection Oriented Fund - Series VIII - 1103 Days Plan C Direct Plan Dividend Option</v>
          </cell>
          <cell r="E13565">
            <v>12.4991</v>
          </cell>
        </row>
        <row r="13566">
          <cell r="B13566" t="str">
            <v>INF109KB1DC1</v>
          </cell>
          <cell r="C13566" t="str">
            <v>-</v>
          </cell>
          <cell r="D13566" t="str">
            <v>ICICI Prudential Capital Protection Oriented Fund - Series VIII - 1103 Days Plan C Dividend Option</v>
          </cell>
          <cell r="E13566">
            <v>11.9788</v>
          </cell>
        </row>
        <row r="13567">
          <cell r="B13567" t="str">
            <v>INF109KB1HZ3</v>
          </cell>
          <cell r="C13567" t="str">
            <v>-</v>
          </cell>
          <cell r="D13567" t="str">
            <v>ICICI Prudential Capital Protection Oriented Fund - Series VIII -1107 Days Plan E Cumulative Option</v>
          </cell>
          <cell r="E13567">
            <v>12.0358</v>
          </cell>
        </row>
        <row r="13568">
          <cell r="B13568" t="str">
            <v>INF109KB1IB2</v>
          </cell>
          <cell r="C13568" t="str">
            <v>-</v>
          </cell>
          <cell r="D13568" t="str">
            <v>ICICI Prudential Capital Protection Oriented Fund - Series VIII -1107 Days Plan E Direct Plan Cumulative Option</v>
          </cell>
          <cell r="E13568">
            <v>12.639099999999999</v>
          </cell>
        </row>
        <row r="13569">
          <cell r="B13569" t="str">
            <v>INF109KB1IC0</v>
          </cell>
          <cell r="C13569" t="str">
            <v>-</v>
          </cell>
          <cell r="D13569" t="str">
            <v>ICICI Prudential Capital Protection Oriented Fund - Series VIII -1107 Days Plan E Direct Plan Dividend Option</v>
          </cell>
          <cell r="E13569">
            <v>12.639099999999999</v>
          </cell>
        </row>
        <row r="13570">
          <cell r="B13570" t="str">
            <v>INF109KB1IA4</v>
          </cell>
          <cell r="C13570" t="str">
            <v>-</v>
          </cell>
          <cell r="D13570" t="str">
            <v>ICICI Prudential Capital Protection Oriented Fund - Series VIII -1107 Days Plan E Dividend Option</v>
          </cell>
          <cell r="E13570">
            <v>12.0358</v>
          </cell>
        </row>
        <row r="13571">
          <cell r="B13571" t="str">
            <v>INF109KB1IX6</v>
          </cell>
          <cell r="C13571" t="str">
            <v>-</v>
          </cell>
          <cell r="D13571" t="str">
            <v>ICICI Prudential Capital Protection Oriented Fund - Series VIII - 1115 Days Plan F Cumulative Option</v>
          </cell>
          <cell r="E13571">
            <v>12.0153</v>
          </cell>
        </row>
        <row r="13572">
          <cell r="B13572" t="str">
            <v>INF109KB1IZ1</v>
          </cell>
          <cell r="C13572" t="str">
            <v>-</v>
          </cell>
          <cell r="D13572" t="str">
            <v>ICICI Prudential Capital Protection Oriented Fund - Series VIII - 1115 Days Plan F Direct Plan Cumulative Option</v>
          </cell>
          <cell r="E13572">
            <v>12.4129</v>
          </cell>
        </row>
        <row r="13573">
          <cell r="B13573" t="str">
            <v>INF109KB1JA2</v>
          </cell>
          <cell r="C13573" t="str">
            <v>-</v>
          </cell>
          <cell r="D13573" t="str">
            <v>ICICI Prudential Capital Protection Oriented Fund - Series VIII - 1115 Days Plan F Direct Plan Dividend Option</v>
          </cell>
          <cell r="E13573">
            <v>12.4129</v>
          </cell>
        </row>
        <row r="13574">
          <cell r="B13574" t="str">
            <v>INF109KB1IY4</v>
          </cell>
          <cell r="C13574" t="str">
            <v>-</v>
          </cell>
          <cell r="D13574" t="str">
            <v>ICICI Prudential Capital Protection Oriented Fund - Series VIII - 1115 Days Plan F Dividend Option</v>
          </cell>
          <cell r="E13574">
            <v>12.0153</v>
          </cell>
        </row>
        <row r="13575">
          <cell r="B13575" t="str">
            <v>INF109KB1VP5</v>
          </cell>
          <cell r="C13575" t="str">
            <v>-</v>
          </cell>
          <cell r="D13575" t="str">
            <v>ICICI Prudential Capital Protection Oriented Fund - Series X - 1235 Days Plan A Cumulative Option</v>
          </cell>
          <cell r="E13575">
            <v>12.395</v>
          </cell>
        </row>
        <row r="13576">
          <cell r="B13576" t="str">
            <v>INF109KB1VR1</v>
          </cell>
          <cell r="C13576" t="str">
            <v>-</v>
          </cell>
          <cell r="D13576" t="str">
            <v>ICICI Prudential Capital Protection Oriented Fund - Series X - 1235 Days Plan A Direct Plan Cumulative Option</v>
          </cell>
          <cell r="E13576">
            <v>12.9146</v>
          </cell>
        </row>
        <row r="13577">
          <cell r="B13577" t="str">
            <v>INF109KB1VS9</v>
          </cell>
          <cell r="C13577" t="str">
            <v>-</v>
          </cell>
          <cell r="D13577" t="str">
            <v>ICICI Prudential Capital Protection Oriented Fund - Series X - 1235 Days Plan A Direct Plan Dividend Option</v>
          </cell>
          <cell r="E13577">
            <v>12.9146</v>
          </cell>
        </row>
        <row r="13578">
          <cell r="B13578" t="str">
            <v>INF109KB1VQ3</v>
          </cell>
          <cell r="C13578" t="str">
            <v>-</v>
          </cell>
          <cell r="D13578" t="str">
            <v>ICICI Prudential Capital Protection Oriented Fund - Series X - 1235 Days Plan A Dividend Option</v>
          </cell>
          <cell r="E13578">
            <v>12.395</v>
          </cell>
        </row>
        <row r="13579">
          <cell r="B13579" t="str">
            <v>INF109KB1WZ2</v>
          </cell>
          <cell r="C13579" t="str">
            <v>-</v>
          </cell>
          <cell r="D13579" t="str">
            <v>ICICI Prudential Capital Protection Oriented Fund - Series X - 1375 Days Plan B Cumulative Plan</v>
          </cell>
          <cell r="E13579">
            <v>12.011200000000001</v>
          </cell>
        </row>
        <row r="13580">
          <cell r="B13580" t="str">
            <v>INF109KB1XB1</v>
          </cell>
          <cell r="C13580" t="str">
            <v>-</v>
          </cell>
          <cell r="D13580" t="str">
            <v>ICICI Prudential Capital Protection Oriented Fund - Series X - 1375 Days Plan B Direct Plan Cumulative Plan</v>
          </cell>
          <cell r="E13580">
            <v>12.5474</v>
          </cell>
        </row>
        <row r="13581">
          <cell r="B13581" t="str">
            <v>INF109KB1XC9</v>
          </cell>
          <cell r="C13581" t="str">
            <v>-</v>
          </cell>
          <cell r="D13581" t="str">
            <v>ICICI Prudential Capital Protection Oriented Fund - Series X - 1375 Days Plan B Direct Plan Dividend Option</v>
          </cell>
          <cell r="E13581">
            <v>12.4908</v>
          </cell>
        </row>
        <row r="13582">
          <cell r="B13582" t="str">
            <v>INF109KB1XA3</v>
          </cell>
          <cell r="C13582" t="str">
            <v>-</v>
          </cell>
          <cell r="D13582" t="str">
            <v>ICICI Prudential Capital Protection Oriented Fund - Series X - 1375 Days Plan B Dividend Plan</v>
          </cell>
          <cell r="E13582">
            <v>11.956099999999999</v>
          </cell>
        </row>
        <row r="13583">
          <cell r="B13583" t="str">
            <v>INF109KB1K88</v>
          </cell>
          <cell r="C13583" t="str">
            <v>-</v>
          </cell>
          <cell r="D13583" t="str">
            <v>ICICI Prudential Capital Protection Oriented Fund - Series XI - Plan A 2056 Days - Cumulative Option</v>
          </cell>
          <cell r="E13583">
            <v>15.0207</v>
          </cell>
        </row>
        <row r="13584">
          <cell r="B13584" t="str">
            <v>INF109KB1L04</v>
          </cell>
          <cell r="C13584" t="str">
            <v>-</v>
          </cell>
          <cell r="D13584" t="str">
            <v>ICICI Prudential Capital Protection Oriented Fund - Series XI - Plan A 2056 Days - Direct Plan - Cumulative Option</v>
          </cell>
          <cell r="E13584">
            <v>15.770300000000001</v>
          </cell>
        </row>
        <row r="13585">
          <cell r="B13585" t="str">
            <v>INF109KB1L12</v>
          </cell>
          <cell r="C13585" t="str">
            <v>-</v>
          </cell>
          <cell r="D13585" t="str">
            <v>ICICI Prudential Capital Protection Oriented Fund - Series XI - Plan A 2056 Days - Direct Plan - IDCW Option</v>
          </cell>
          <cell r="E13585">
            <v>15.770300000000001</v>
          </cell>
        </row>
        <row r="13586">
          <cell r="B13586" t="str">
            <v>INF109KB1K96</v>
          </cell>
          <cell r="C13586" t="str">
            <v>-</v>
          </cell>
          <cell r="D13586" t="str">
            <v>ICICI Prudential Capital Protection Oriented Fund - Series XI - Plan A 2056 Days - IDCW Option</v>
          </cell>
          <cell r="E13586">
            <v>15.0207</v>
          </cell>
        </row>
        <row r="13587">
          <cell r="B13587" t="str">
            <v>INF109KB1L46</v>
          </cell>
          <cell r="C13587" t="str">
            <v>-</v>
          </cell>
          <cell r="D13587" t="str">
            <v>ICICI Prudential Capital Protection Oriented Fund - Series XI - Plan B 1222 Days - Cumulative Option</v>
          </cell>
          <cell r="E13587">
            <v>11.8841</v>
          </cell>
        </row>
        <row r="13588">
          <cell r="B13588" t="str">
            <v>INF109KB1L61</v>
          </cell>
          <cell r="C13588" t="str">
            <v>-</v>
          </cell>
          <cell r="D13588" t="str">
            <v>ICICI Prudential Capital Protection Oriented Fund - Series XI - Plan B 1222 Days - Direct Plan - Cumulative Option</v>
          </cell>
          <cell r="E13588">
            <v>12.292299999999999</v>
          </cell>
        </row>
        <row r="13589">
          <cell r="B13589" t="str">
            <v>INF109KB1L79</v>
          </cell>
          <cell r="C13589" t="str">
            <v>-</v>
          </cell>
          <cell r="D13589" t="str">
            <v>ICICI Prudential Capital Protection Oriented Fund - Series XI - Plan B 1222 Days - Direct Plan - Dividend Option</v>
          </cell>
          <cell r="E13589">
            <v>12.292299999999999</v>
          </cell>
        </row>
        <row r="13590">
          <cell r="B13590" t="str">
            <v>INF109KB1L53</v>
          </cell>
          <cell r="C13590" t="str">
            <v>-</v>
          </cell>
          <cell r="D13590" t="str">
            <v>ICICI Prudential Capital Protection Oriented Fund - Series XI - Plan B 1222 Days - Dividend Option</v>
          </cell>
          <cell r="E13590">
            <v>11.8841</v>
          </cell>
        </row>
        <row r="13591">
          <cell r="B13591" t="str">
            <v>INF109KB1Q25</v>
          </cell>
          <cell r="C13591" t="str">
            <v>-</v>
          </cell>
          <cell r="D13591" t="str">
            <v>ICICI Prudential Capital Protection Oriented Fund - Series XI - Plan C 1255 Days - Cumulative Option</v>
          </cell>
          <cell r="E13591">
            <v>11.8087</v>
          </cell>
        </row>
        <row r="13592">
          <cell r="B13592" t="str">
            <v>INF109KB1Q41</v>
          </cell>
          <cell r="C13592" t="str">
            <v>-</v>
          </cell>
          <cell r="D13592" t="str">
            <v>ICICI Prudential Capital Protection Oriented Fund - Series XI - Plan C 1255 Days - Direct Plan - Cumulative Option</v>
          </cell>
          <cell r="E13592">
            <v>12.1929</v>
          </cell>
        </row>
        <row r="13593">
          <cell r="B13593" t="str">
            <v>INF109KB1Q58</v>
          </cell>
          <cell r="C13593" t="str">
            <v>-</v>
          </cell>
          <cell r="D13593" t="str">
            <v>ICICI Prudential Capital Protection Oriented Fund - Series XI - Plan C 1255 Days - Direct Plan - Dividend Option</v>
          </cell>
          <cell r="E13593">
            <v>12.1929</v>
          </cell>
        </row>
        <row r="13594">
          <cell r="B13594" t="str">
            <v>INF109KB1Q33</v>
          </cell>
          <cell r="C13594" t="str">
            <v>-</v>
          </cell>
          <cell r="D13594" t="str">
            <v>ICICI Prudential Capital Protection Oriented Fund - Series XI - Plan C 1255 Days - Dividend Option</v>
          </cell>
          <cell r="E13594">
            <v>11.8087</v>
          </cell>
        </row>
        <row r="13595">
          <cell r="B13595" t="str">
            <v>INF109KB1R08</v>
          </cell>
          <cell r="C13595" t="str">
            <v>-</v>
          </cell>
          <cell r="D13595" t="str">
            <v>ICICI Prudential Capital Protection Oriented Fund - Series XI - Plan D 1247 Days - Cumulative Option</v>
          </cell>
          <cell r="E13595">
            <v>11.702199999999999</v>
          </cell>
        </row>
        <row r="13596">
          <cell r="B13596" t="str">
            <v>INF109KB1R24</v>
          </cell>
          <cell r="C13596" t="str">
            <v>-</v>
          </cell>
          <cell r="D13596" t="str">
            <v>ICICI Prudential Capital Protection Oriented Fund - Series XI - Plan D 1247 Days - Direct Plan -  Cumulative Option</v>
          </cell>
          <cell r="E13596">
            <v>12.054500000000001</v>
          </cell>
        </row>
        <row r="13597">
          <cell r="B13597" t="str">
            <v>INF109KB1R32</v>
          </cell>
          <cell r="C13597" t="str">
            <v>-</v>
          </cell>
          <cell r="D13597" t="str">
            <v>ICICI Prudential Capital Protection Oriented Fund - Series XI - Plan D 1247 Days - Direct Plan -  Dividend Option</v>
          </cell>
          <cell r="E13597">
            <v>12.054500000000001</v>
          </cell>
        </row>
        <row r="13598">
          <cell r="B13598" t="str">
            <v>INF109KB1R16</v>
          </cell>
          <cell r="C13598" t="str">
            <v>-</v>
          </cell>
          <cell r="D13598" t="str">
            <v>ICICI Prudential Capital Protection Oriented Fund - Series XI - Plan D 1247 Days - Dividend Option</v>
          </cell>
          <cell r="E13598">
            <v>11.702199999999999</v>
          </cell>
        </row>
        <row r="13599">
          <cell r="B13599" t="str">
            <v>INF109KB1W27</v>
          </cell>
          <cell r="C13599" t="str">
            <v>-</v>
          </cell>
          <cell r="D13599" t="str">
            <v>ICICI Prudential Capital Protection Oriented Fund - Series XI - Plan E 1222 Days - Cumulative Option</v>
          </cell>
          <cell r="E13599">
            <v>11.741300000000001</v>
          </cell>
        </row>
        <row r="13600">
          <cell r="B13600" t="str">
            <v>INF109KB1W43</v>
          </cell>
          <cell r="C13600" t="str">
            <v>-</v>
          </cell>
          <cell r="D13600" t="str">
            <v>ICICI Prudential Capital Protection Oriented Fund - Series XI - Plan E 1222 Days - Direct Plan -  Cumulative Option</v>
          </cell>
          <cell r="E13600">
            <v>12.1225</v>
          </cell>
        </row>
        <row r="13601">
          <cell r="B13601" t="str">
            <v>INF109KB1W50</v>
          </cell>
          <cell r="C13601" t="str">
            <v>-</v>
          </cell>
          <cell r="D13601" t="str">
            <v>ICICI Prudential Capital Protection Oriented Fund - Series XI - Plan E 1222 Days - Direct Plan -  Dividend Option</v>
          </cell>
          <cell r="E13601">
            <v>12.1225</v>
          </cell>
        </row>
        <row r="13602">
          <cell r="B13602" t="str">
            <v>INF109KB1W35</v>
          </cell>
          <cell r="C13602" t="str">
            <v>-</v>
          </cell>
          <cell r="D13602" t="str">
            <v>ICICI Prudential Capital Protection Oriented Fund - Series XI - Plan E 1222 Days - Dividend Option</v>
          </cell>
          <cell r="E13602">
            <v>11.741300000000001</v>
          </cell>
        </row>
        <row r="13603">
          <cell r="B13603" t="str">
            <v>INF109KB12H9</v>
          </cell>
          <cell r="C13603" t="str">
            <v>-</v>
          </cell>
          <cell r="D13603" t="str">
            <v>ICICI Prudential Capital Protection Oriented Fund - Series XII - Plan A 1168 Days - Cumulative Option</v>
          </cell>
          <cell r="E13603">
            <v>11.8606</v>
          </cell>
        </row>
        <row r="13604">
          <cell r="B13604" t="str">
            <v>INF109KB14H5</v>
          </cell>
          <cell r="C13604" t="str">
            <v>-</v>
          </cell>
          <cell r="D13604" t="str">
            <v>ICICI Prudential Capital Protection Oriented Fund - Series XII - Plan A 1168 Days - Direct Plan - Cumulative Option</v>
          </cell>
          <cell r="E13604">
            <v>12.239599999999999</v>
          </cell>
        </row>
        <row r="13605">
          <cell r="B13605" t="str">
            <v>INF109KB15H2</v>
          </cell>
          <cell r="C13605" t="str">
            <v>-</v>
          </cell>
          <cell r="D13605" t="str">
            <v>ICICI Prudential Capital Protection Oriented Fund - Series XII - Plan A 1168 Days - Direct Plan - Dividend Option</v>
          </cell>
          <cell r="E13605">
            <v>12.239599999999999</v>
          </cell>
        </row>
        <row r="13606">
          <cell r="B13606" t="str">
            <v>INF109KB13H7</v>
          </cell>
          <cell r="C13606" t="str">
            <v>-</v>
          </cell>
          <cell r="D13606" t="str">
            <v>ICICI Prudential Capital Protection Oriented Fund - Series XII - Plan A 1168 Days - Dividend Option</v>
          </cell>
          <cell r="E13606">
            <v>11.8606</v>
          </cell>
        </row>
        <row r="13607">
          <cell r="B13607" t="str">
            <v>INF109KB15X9</v>
          </cell>
          <cell r="C13607" t="str">
            <v>-</v>
          </cell>
          <cell r="D13607" t="str">
            <v>ICICI Prudential Capital Protection Oriented Fund - Series XII - Plan C 1270 Days - Cumulative Option</v>
          </cell>
          <cell r="E13607">
            <v>12.2951</v>
          </cell>
        </row>
        <row r="13608">
          <cell r="B13608" t="str">
            <v>INF109KB13X4</v>
          </cell>
          <cell r="C13608" t="str">
            <v>-</v>
          </cell>
          <cell r="D13608" t="str">
            <v>ICICI Prudential Capital Protection Oriented Fund - Series XII - Plan C 1270 Days - Direct Plan - Cumulative Option</v>
          </cell>
          <cell r="E13608">
            <v>12.6364</v>
          </cell>
        </row>
        <row r="13609">
          <cell r="B13609" t="str">
            <v>INF109KB14X2</v>
          </cell>
          <cell r="C13609" t="str">
            <v>-</v>
          </cell>
          <cell r="D13609" t="str">
            <v>ICICI Prudential Capital Protection Oriented Fund - Series XII - Plan C 1270 Days - Direct Plan - IDCW Option</v>
          </cell>
          <cell r="E13609">
            <v>12.6364</v>
          </cell>
        </row>
        <row r="13610">
          <cell r="B13610" t="str">
            <v>INF109KB16X7</v>
          </cell>
          <cell r="C13610" t="str">
            <v>-</v>
          </cell>
          <cell r="D13610" t="str">
            <v>ICICI Prudential Capital Protection Oriented Fund - Series XII - Plan C 1270 Days - IDCW OPtion</v>
          </cell>
          <cell r="E13610">
            <v>12.2951</v>
          </cell>
        </row>
        <row r="13611">
          <cell r="B13611" t="str">
            <v>INF109KC1PC4</v>
          </cell>
          <cell r="C13611" t="str">
            <v>-</v>
          </cell>
          <cell r="D13611" t="str">
            <v>ICICI Prudential Capital Protection Oriented Fund - Series XIV - Plan A 1275 Days - Cumulative Option</v>
          </cell>
          <cell r="E13611">
            <v>13.4277</v>
          </cell>
        </row>
        <row r="13612">
          <cell r="B13612" t="str">
            <v>INF109KC1PE0</v>
          </cell>
          <cell r="C13612" t="str">
            <v>-</v>
          </cell>
          <cell r="D13612" t="str">
            <v>ICICI Prudential Capital Protection Oriented Fund - Series XIV - Plan A 1275 Days - Direct Plan - Cumulative Option</v>
          </cell>
          <cell r="E13612">
            <v>13.595599999999999</v>
          </cell>
        </row>
        <row r="13613">
          <cell r="B13613" t="str">
            <v>INF109KC1PF7</v>
          </cell>
          <cell r="C13613" t="str">
            <v>-</v>
          </cell>
          <cell r="D13613" t="str">
            <v>ICICI Prudential Capital Protection Oriented Fund - Series XIV - Plan A 1275 Days - Direct Plan - IDCW Option</v>
          </cell>
          <cell r="E13613">
            <v>13.595599999999999</v>
          </cell>
        </row>
        <row r="13614">
          <cell r="B13614" t="str">
            <v>INF109KC1PD2</v>
          </cell>
          <cell r="C13614" t="str">
            <v>-</v>
          </cell>
          <cell r="D13614" t="str">
            <v>ICICI Prudential Capital Protection Oriented Fund - Series XIV - Plan A 1275 Days - IDCW Option</v>
          </cell>
          <cell r="E13614">
            <v>13.4277</v>
          </cell>
        </row>
        <row r="13615">
          <cell r="B13615" t="str">
            <v>INF109K01C78</v>
          </cell>
          <cell r="C13615" t="str">
            <v>-</v>
          </cell>
          <cell r="D13615" t="str">
            <v>ICICI Prudential Capital Protection Oriented Fund II - Series IX - 36 Months - Cumulative</v>
          </cell>
          <cell r="E13615">
            <v>14.472099999999999</v>
          </cell>
        </row>
        <row r="13616">
          <cell r="B13616" t="str">
            <v>INF109K01C86</v>
          </cell>
          <cell r="C13616" t="str">
            <v>-</v>
          </cell>
          <cell r="D13616" t="str">
            <v>ICICI Prudential Capital Protection Oriented Fund II - Series IX - 36 Months - Dividend</v>
          </cell>
          <cell r="E13616">
            <v>14.472099999999999</v>
          </cell>
        </row>
        <row r="13617">
          <cell r="B13617" t="str">
            <v>INF109K01D77</v>
          </cell>
          <cell r="C13617" t="str">
            <v>-</v>
          </cell>
          <cell r="D13617" t="str">
            <v>ICICI Prudential Capital Protection Oriented Fund II - Series X - 36 Months - Cumulative</v>
          </cell>
          <cell r="E13617">
            <v>13.8439</v>
          </cell>
        </row>
        <row r="13618">
          <cell r="B13618" t="str">
            <v>INF109K01D85</v>
          </cell>
          <cell r="C13618" t="str">
            <v>-</v>
          </cell>
          <cell r="D13618" t="str">
            <v>ICICI Prudential Capital Protection Oriented Fund II - Series X - 36 Months - Dividend</v>
          </cell>
          <cell r="E13618">
            <v>13.8439</v>
          </cell>
        </row>
        <row r="13619">
          <cell r="B13619" t="str">
            <v>INF109K01G66</v>
          </cell>
          <cell r="C13619" t="str">
            <v>-</v>
          </cell>
          <cell r="D13619" t="str">
            <v>ICICI Prudential Capital Protection Oriented Fund III - PLAN A - 36 Months - Cumulative</v>
          </cell>
          <cell r="E13619">
            <v>13.279</v>
          </cell>
        </row>
        <row r="13620">
          <cell r="B13620" t="str">
            <v>INF109K01G74</v>
          </cell>
          <cell r="C13620" t="str">
            <v>-</v>
          </cell>
          <cell r="D13620" t="str">
            <v>ICICI Prudential Capital Protection Oriented Fund III - PLAN A - 36 Months - Dividend</v>
          </cell>
          <cell r="E13620">
            <v>13.279</v>
          </cell>
        </row>
        <row r="13621">
          <cell r="B13621" t="str">
            <v>INF109K01G41</v>
          </cell>
          <cell r="C13621" t="str">
            <v>-</v>
          </cell>
          <cell r="D13621" t="str">
            <v>ICICI Prudential Capital Protection Oriented Fund III - PLAN B - 60 Months - Cumulative</v>
          </cell>
          <cell r="E13621">
            <v>16.568000000000001</v>
          </cell>
        </row>
        <row r="13622">
          <cell r="B13622" t="str">
            <v>INF109K01G58</v>
          </cell>
          <cell r="C13622" t="str">
            <v>-</v>
          </cell>
          <cell r="D13622" t="str">
            <v>ICICI Prudential Capital Protection Oriented Fund III - PLAN B - 60 Months - Dividend</v>
          </cell>
          <cell r="E13622">
            <v>16.568000000000001</v>
          </cell>
        </row>
        <row r="13623">
          <cell r="B13623" t="str">
            <v>INF109K01H24</v>
          </cell>
          <cell r="C13623" t="str">
            <v>-</v>
          </cell>
          <cell r="D13623" t="str">
            <v>ICICI Prudential Capital Protection Oriented Fund III - PLAN C - 36 Months - Cumulative</v>
          </cell>
          <cell r="E13623">
            <v>13.0113</v>
          </cell>
        </row>
        <row r="13624">
          <cell r="B13624" t="str">
            <v>INF109K01H32</v>
          </cell>
          <cell r="C13624" t="str">
            <v>-</v>
          </cell>
          <cell r="D13624" t="str">
            <v>ICICI Prudential Capital Protection Oriented Fund III - PLAN C - 36 Months - Dividend</v>
          </cell>
          <cell r="E13624">
            <v>13.0113</v>
          </cell>
        </row>
        <row r="13625">
          <cell r="B13625" t="str">
            <v>INF109K01I80</v>
          </cell>
          <cell r="C13625" t="str">
            <v>-</v>
          </cell>
          <cell r="D13625" t="str">
            <v>ICICI Prudential Capital Protection Oriented Fund III - PLAN D - 36 Months - Cumulative</v>
          </cell>
          <cell r="E13625">
            <v>12.911099999999999</v>
          </cell>
        </row>
        <row r="13626">
          <cell r="B13626" t="str">
            <v>INF109K01I98</v>
          </cell>
          <cell r="C13626" t="str">
            <v>-</v>
          </cell>
          <cell r="D13626" t="str">
            <v>ICICI Prudential Capital Protection Oriented Fund III - PLAN D - 36 Months - Direct Plan - Cumulative</v>
          </cell>
          <cell r="E13626">
            <v>13.393800000000001</v>
          </cell>
        </row>
        <row r="13627">
          <cell r="B13627" t="str">
            <v>INF109K01J14</v>
          </cell>
          <cell r="C13627" t="str">
            <v>-</v>
          </cell>
          <cell r="D13627" t="str">
            <v>ICICI Prudential Capital Protection Oriented Fund III - PLAN D - 36 Months - Direct Plan - Dividend</v>
          </cell>
          <cell r="E13627">
            <v>13.393800000000001</v>
          </cell>
        </row>
        <row r="13628">
          <cell r="B13628" t="str">
            <v>INF109K01J06</v>
          </cell>
          <cell r="C13628" t="str">
            <v>-</v>
          </cell>
          <cell r="D13628" t="str">
            <v>ICICI Prudential Capital Protection Oriented Fund III - PLAN D - 36 Months - Dividend</v>
          </cell>
          <cell r="E13628">
            <v>12.911099999999999</v>
          </cell>
        </row>
        <row r="13629">
          <cell r="B13629" t="str">
            <v>INF109K01K03</v>
          </cell>
          <cell r="C13629" t="str">
            <v>-</v>
          </cell>
          <cell r="D13629" t="str">
            <v>ICICI Prudential Capital Protection Oriented Fund III - PLAN E - 60 Months - Cumulative</v>
          </cell>
          <cell r="E13629">
            <v>16.661799999999999</v>
          </cell>
        </row>
        <row r="13630">
          <cell r="B13630" t="str">
            <v>INF109K01K29</v>
          </cell>
          <cell r="C13630" t="str">
            <v>-</v>
          </cell>
          <cell r="D13630" t="str">
            <v>ICICI Prudential Capital Protection Oriented Fund III - PLAN E - 60 Months - Direct Plan - Cumulative</v>
          </cell>
          <cell r="E13630">
            <v>17.6037</v>
          </cell>
        </row>
        <row r="13631">
          <cell r="B13631" t="str">
            <v>INF109K01K37</v>
          </cell>
          <cell r="C13631" t="str">
            <v>-</v>
          </cell>
          <cell r="D13631" t="str">
            <v>ICICI Prudential Capital Protection Oriented Fund III - PLAN E - 60 Months - Direct Plan - Dividend</v>
          </cell>
          <cell r="E13631">
            <v>17.6037</v>
          </cell>
        </row>
        <row r="13632">
          <cell r="B13632" t="str">
            <v>INF109K01K11</v>
          </cell>
          <cell r="C13632" t="str">
            <v>-</v>
          </cell>
          <cell r="D13632" t="str">
            <v>ICICI Prudential Capital Protection Oriented Fund III - PLAN E - 60 Months - Dividend</v>
          </cell>
          <cell r="E13632">
            <v>16.661799999999999</v>
          </cell>
        </row>
        <row r="13633">
          <cell r="B13633" t="str">
            <v>INF109K011F3</v>
          </cell>
          <cell r="C13633" t="str">
            <v>-</v>
          </cell>
          <cell r="D13633" t="str">
            <v>ICICI Prudential Capital Protection Oriented Fund III - PLAN F - 36 Months - Cumulative</v>
          </cell>
          <cell r="E13633">
            <v>12.971399999999999</v>
          </cell>
        </row>
        <row r="13634">
          <cell r="B13634" t="str">
            <v>INF109K013F9</v>
          </cell>
          <cell r="C13634" t="str">
            <v>-</v>
          </cell>
          <cell r="D13634" t="str">
            <v>ICICI Prudential Capital Protection Oriented Fund III - PLAN F - 36 Months - Direct Plan - Cumulative</v>
          </cell>
          <cell r="E13634">
            <v>13.454700000000001</v>
          </cell>
        </row>
        <row r="13635">
          <cell r="B13635" t="str">
            <v>INF109K014F7</v>
          </cell>
          <cell r="C13635" t="str">
            <v>-</v>
          </cell>
          <cell r="D13635" t="str">
            <v>ICICI Prudential Capital Protection Oriented Fund III - PLAN F - 36 Months - Direct Plan - Dividend</v>
          </cell>
          <cell r="E13635">
            <v>13.454700000000001</v>
          </cell>
        </row>
        <row r="13636">
          <cell r="B13636" t="str">
            <v>INF109K012F1</v>
          </cell>
          <cell r="C13636" t="str">
            <v>-</v>
          </cell>
          <cell r="D13636" t="str">
            <v>ICICI Prudential Capital Protection Oriented Fund III - PLAN F - 36 Months - Dividend</v>
          </cell>
          <cell r="E13636">
            <v>12.971399999999999</v>
          </cell>
        </row>
        <row r="13637">
          <cell r="B13637" t="str">
            <v>INF109K017I4</v>
          </cell>
          <cell r="C13637" t="str">
            <v>-</v>
          </cell>
          <cell r="D13637" t="str">
            <v>ICICI Prudential Capital Protection Oriented Fund III - PLAN G - 60 Months - Cumulative</v>
          </cell>
          <cell r="E13637">
            <v>16.230699999999999</v>
          </cell>
        </row>
        <row r="13638">
          <cell r="B13638" t="str">
            <v>INF109K019I0</v>
          </cell>
          <cell r="C13638" t="str">
            <v>-</v>
          </cell>
          <cell r="D13638" t="str">
            <v>ICICI Prudential Capital Protection Oriented Fund III - PLAN G - 60 Months - Direct Plan - Cumulative</v>
          </cell>
          <cell r="E13638">
            <v>17.075700000000001</v>
          </cell>
        </row>
        <row r="13639">
          <cell r="B13639" t="str">
            <v>INF109K018I2</v>
          </cell>
          <cell r="C13639" t="str">
            <v>-</v>
          </cell>
          <cell r="D13639" t="str">
            <v>ICICI Prudential Capital Protection Oriented Fund III - PLAN G - 60 Months - Dividend</v>
          </cell>
          <cell r="E13639">
            <v>16.230699999999999</v>
          </cell>
        </row>
        <row r="13640">
          <cell r="B13640" t="str">
            <v>INF109K013V6</v>
          </cell>
          <cell r="C13640" t="str">
            <v>-</v>
          </cell>
          <cell r="D13640" t="str">
            <v>ICICI Prudential Capital Protection Oriented Fund III - PLAN H - 60 Months - Cumulative</v>
          </cell>
          <cell r="E13640">
            <v>16.154599999999999</v>
          </cell>
        </row>
        <row r="13641">
          <cell r="B13641" t="str">
            <v>INF109K015V1</v>
          </cell>
          <cell r="C13641" t="str">
            <v>-</v>
          </cell>
          <cell r="D13641" t="str">
            <v>ICICI Prudential Capital Protection Oriented Fund III - PLAN H - 60 Months - Direct Plan - Cumulative</v>
          </cell>
          <cell r="E13641">
            <v>16.964400000000001</v>
          </cell>
        </row>
        <row r="13642">
          <cell r="B13642" t="str">
            <v>INF109K016V9</v>
          </cell>
          <cell r="C13642" t="str">
            <v>-</v>
          </cell>
          <cell r="D13642" t="str">
            <v>ICICI Prudential Capital Protection Oriented Fund III - PLAN H - 60 Months - Direct Plan - Dividend</v>
          </cell>
          <cell r="E13642">
            <v>16.964400000000001</v>
          </cell>
        </row>
        <row r="13643">
          <cell r="B13643" t="str">
            <v>INF109K014V4</v>
          </cell>
          <cell r="C13643" t="str">
            <v>-</v>
          </cell>
          <cell r="D13643" t="str">
            <v>ICICI Prudential Capital Protection Oriented Fund III - PLAN H - 60 Months - Dividend</v>
          </cell>
          <cell r="E13643">
            <v>16.154599999999999</v>
          </cell>
        </row>
        <row r="13644">
          <cell r="B13644" t="str">
            <v>INF109KA1863</v>
          </cell>
          <cell r="C13644" t="str">
            <v>-</v>
          </cell>
          <cell r="D13644" t="str">
            <v>ICICI Prudential Capital Protection Oriented Fund IV - PLAN A - 60 Months - Cumulative</v>
          </cell>
          <cell r="E13644">
            <v>16.7957</v>
          </cell>
        </row>
        <row r="13645">
          <cell r="B13645" t="str">
            <v>INF109KA1848</v>
          </cell>
          <cell r="C13645" t="str">
            <v>-</v>
          </cell>
          <cell r="D13645" t="str">
            <v>ICICI Prudential Capital Protection Oriented Fund IV - PLAN A - 60 Months - Direct Plan - Cumulative</v>
          </cell>
          <cell r="E13645">
            <v>17.631499999999999</v>
          </cell>
        </row>
        <row r="13646">
          <cell r="B13646" t="str">
            <v>INF109KA1871</v>
          </cell>
          <cell r="C13646" t="str">
            <v>-</v>
          </cell>
          <cell r="D13646" t="str">
            <v>ICICI Prudential Capital Protection Oriented Fund IV - PLAN A - 60 Months - Dividend</v>
          </cell>
          <cell r="E13646">
            <v>16.7957</v>
          </cell>
        </row>
        <row r="13647">
          <cell r="B13647" t="str">
            <v>INF109KA1BR4</v>
          </cell>
          <cell r="C13647" t="str">
            <v>-</v>
          </cell>
          <cell r="D13647" t="str">
            <v>ICICI Prudential Capital Protection Oriented Fund IV - PLAN C - 60 Months - Cumulative</v>
          </cell>
          <cell r="E13647">
            <v>16.7255</v>
          </cell>
        </row>
        <row r="13648">
          <cell r="B13648" t="str">
            <v>INF109KA1BP8</v>
          </cell>
          <cell r="C13648" t="str">
            <v>-</v>
          </cell>
          <cell r="D13648" t="str">
            <v>ICICI Prudential Capital Protection Oriented Fund IV - PLAN C - 60 Months - Direct Plan - Cumulative</v>
          </cell>
          <cell r="E13648">
            <v>17.586200000000002</v>
          </cell>
        </row>
        <row r="13649">
          <cell r="B13649" t="str">
            <v>INF109KA1BQ6</v>
          </cell>
          <cell r="C13649" t="str">
            <v>-</v>
          </cell>
          <cell r="D13649" t="str">
            <v>ICICI Prudential Capital Protection Oriented Fund IV - PLAN C - 60 Months - Direct Plan - Dividend</v>
          </cell>
          <cell r="E13649">
            <v>17.586200000000002</v>
          </cell>
        </row>
        <row r="13650">
          <cell r="B13650" t="str">
            <v>INF109KA1BS2</v>
          </cell>
          <cell r="C13650" t="str">
            <v>-</v>
          </cell>
          <cell r="D13650" t="str">
            <v>ICICI Prudential Capital Protection Oriented Fund IV - PLAN C - 60 Months - Dividend</v>
          </cell>
          <cell r="E13650">
            <v>16.7255</v>
          </cell>
        </row>
        <row r="13651">
          <cell r="B13651" t="str">
            <v>INF109KA1EF3</v>
          </cell>
          <cell r="C13651" t="str">
            <v>-</v>
          </cell>
          <cell r="D13651" t="str">
            <v>ICICI Prudential Capital Protection Oriented Fund IV - PLAN D - 60 Months - Cumulative</v>
          </cell>
          <cell r="E13651">
            <v>15.983499999999999</v>
          </cell>
        </row>
        <row r="13652">
          <cell r="B13652" t="str">
            <v>INF109KA1ED8</v>
          </cell>
          <cell r="C13652" t="str">
            <v>-</v>
          </cell>
          <cell r="D13652" t="str">
            <v>ICICI Prudential Capital Protection Oriented Fund IV - PLAN D - 60 Months - Direct Plan - Cumulative</v>
          </cell>
          <cell r="E13652">
            <v>17.0016</v>
          </cell>
        </row>
        <row r="13653">
          <cell r="B13653" t="str">
            <v>INF109KA1EE6</v>
          </cell>
          <cell r="C13653" t="str">
            <v>-</v>
          </cell>
          <cell r="D13653" t="str">
            <v>ICICI Prudential Capital Protection Oriented Fund IV - PLAN D - 60 Months - Direct Plan - Dividend</v>
          </cell>
          <cell r="E13653">
            <v>17.0016</v>
          </cell>
        </row>
        <row r="13654">
          <cell r="B13654" t="str">
            <v>INF109KA1EG1</v>
          </cell>
          <cell r="C13654" t="str">
            <v>-</v>
          </cell>
          <cell r="D13654" t="str">
            <v>ICICI Prudential Capital Protection Oriented Fund IV - PLAN D - 60 Months - Dividend</v>
          </cell>
          <cell r="E13654">
            <v>15.983499999999999</v>
          </cell>
        </row>
        <row r="13655">
          <cell r="B13655" t="str">
            <v>INF109KA1FN4</v>
          </cell>
          <cell r="C13655" t="str">
            <v>-</v>
          </cell>
          <cell r="D13655" t="str">
            <v>ICICI Prudential Capital Protection Oriented Fund IV - PLAN E - 36 Months - Cumulative</v>
          </cell>
          <cell r="E13655">
            <v>13.5222</v>
          </cell>
        </row>
        <row r="13656">
          <cell r="B13656" t="str">
            <v>INF109KA1FP9</v>
          </cell>
          <cell r="C13656" t="str">
            <v>-</v>
          </cell>
          <cell r="D13656" t="str">
            <v>ICICI Prudential Capital Protection Oriented Fund IV - PLAN E - 36 Months - Direct Plan - Cumulative</v>
          </cell>
          <cell r="E13656">
            <v>14.029299999999999</v>
          </cell>
        </row>
        <row r="13657">
          <cell r="B13657" t="str">
            <v>INF109KA1FQ7</v>
          </cell>
          <cell r="C13657" t="str">
            <v>-</v>
          </cell>
          <cell r="D13657" t="str">
            <v>ICICI Prudential Capital Protection Oriented Fund IV - PLAN E - 36 Months - Direct Plan - Dividend</v>
          </cell>
          <cell r="E13657">
            <v>14.029299999999999</v>
          </cell>
        </row>
        <row r="13658">
          <cell r="B13658" t="str">
            <v>INF109KA1FO2</v>
          </cell>
          <cell r="C13658" t="str">
            <v>-</v>
          </cell>
          <cell r="D13658" t="str">
            <v>ICICI Prudential Capital Protection Oriented Fund IV - PLAN E - 36 Months - Dividend</v>
          </cell>
          <cell r="E13658">
            <v>13.5222</v>
          </cell>
        </row>
        <row r="13659">
          <cell r="B13659" t="str">
            <v>INF109KA1GN2</v>
          </cell>
          <cell r="C13659" t="str">
            <v>-</v>
          </cell>
          <cell r="D13659" t="str">
            <v>ICICI Prudential Capital Protection Oriented Fund IV - PLAN F - 60 Months - Cumulative</v>
          </cell>
          <cell r="E13659">
            <v>16.07</v>
          </cell>
        </row>
        <row r="13660">
          <cell r="B13660" t="str">
            <v>INF109KA1GP7</v>
          </cell>
          <cell r="C13660" t="str">
            <v>-</v>
          </cell>
          <cell r="D13660" t="str">
            <v>ICICI Prudential Capital Protection Oriented Fund IV - PLAN F - 60 Months - Direct Plan - Cumulative</v>
          </cell>
          <cell r="E13660">
            <v>16.9694</v>
          </cell>
        </row>
        <row r="13661">
          <cell r="B13661" t="str">
            <v>INF109KA1GQ5</v>
          </cell>
          <cell r="C13661" t="str">
            <v>-</v>
          </cell>
          <cell r="D13661" t="str">
            <v>ICICI Prudential Capital Protection Oriented Fund IV - PLAN F - 60 Months - Direct Plan - Dividend</v>
          </cell>
          <cell r="E13661">
            <v>16.9694</v>
          </cell>
        </row>
        <row r="13662">
          <cell r="B13662" t="str">
            <v>INF109KA1GO0</v>
          </cell>
          <cell r="C13662" t="str">
            <v>-</v>
          </cell>
          <cell r="D13662" t="str">
            <v>ICICI Prudential Capital Protection Oriented Fund IV - PLAN F - 60 Months - Dividend</v>
          </cell>
          <cell r="E13662">
            <v>16.07</v>
          </cell>
        </row>
        <row r="13663">
          <cell r="B13663" t="str">
            <v>INF109KA1HR1</v>
          </cell>
          <cell r="C13663" t="str">
            <v>-</v>
          </cell>
          <cell r="D13663" t="str">
            <v>ICICI Prudential Capital Protection Oriented Fund IV - PLAN G - 60 Months plan - Cumulative</v>
          </cell>
          <cell r="E13663">
            <v>15.9428</v>
          </cell>
        </row>
        <row r="13664">
          <cell r="B13664" t="str">
            <v>INF109KA1HT7</v>
          </cell>
          <cell r="C13664" t="str">
            <v>-</v>
          </cell>
          <cell r="D13664" t="str">
            <v>ICICI Prudential Capital Protection Oriented Fund IV - PLAN G - 60 Months Plan - Direct Plan - Cumulative</v>
          </cell>
          <cell r="E13664">
            <v>16.802700000000002</v>
          </cell>
        </row>
        <row r="13665">
          <cell r="B13665" t="str">
            <v>INF109KA1HU5</v>
          </cell>
          <cell r="C13665" t="str">
            <v>-</v>
          </cell>
          <cell r="D13665" t="str">
            <v>ICICI Prudential Capital Protection Oriented Fund IV - PLAN G - 60 Months Plan - Direct Plan - Dividend</v>
          </cell>
          <cell r="E13665">
            <v>16.802700000000002</v>
          </cell>
        </row>
        <row r="13666">
          <cell r="B13666" t="str">
            <v>INF109KA1HS9</v>
          </cell>
          <cell r="C13666" t="str">
            <v>-</v>
          </cell>
          <cell r="D13666" t="str">
            <v>ICICI Prudential Capital Protection Oriented Fund IV - PLAN G - 60 Months Plan - Dividend</v>
          </cell>
          <cell r="E13666">
            <v>15.9428</v>
          </cell>
        </row>
        <row r="13667">
          <cell r="B13667" t="str">
            <v>INF109KA1IP3</v>
          </cell>
          <cell r="C13667" t="str">
            <v>-</v>
          </cell>
          <cell r="D13667" t="str">
            <v>ICICI Prudential Capital Protection Oriented Fund IV - PLAN H - 36 Months plan - Cumulative</v>
          </cell>
          <cell r="E13667">
            <v>13.339700000000001</v>
          </cell>
        </row>
        <row r="13668">
          <cell r="B13668" t="str">
            <v>INF109KA1IR9</v>
          </cell>
          <cell r="C13668" t="str">
            <v>-</v>
          </cell>
          <cell r="D13668" t="str">
            <v>ICICI Prudential Capital Protection Oriented Fund IV - PLAN H - 36 Months Plan - Direct Plan - Cumulative</v>
          </cell>
          <cell r="E13668">
            <v>13.8101</v>
          </cell>
        </row>
        <row r="13669">
          <cell r="B13669" t="str">
            <v>INF109KA1IS7</v>
          </cell>
          <cell r="C13669" t="str">
            <v>-</v>
          </cell>
          <cell r="D13669" t="str">
            <v>ICICI Prudential Capital Protection Oriented Fund IV - PLAN H - 36 Months Plan - Direct Plan - Dividend</v>
          </cell>
          <cell r="E13669">
            <v>13.8101</v>
          </cell>
        </row>
        <row r="13670">
          <cell r="B13670" t="str">
            <v>INF109KA1IQ1</v>
          </cell>
          <cell r="C13670" t="str">
            <v>-</v>
          </cell>
          <cell r="D13670" t="str">
            <v>ICICI Prudential Capital Protection Oriented Fund IV - PLAN H - 36 Months Plan - Dividend</v>
          </cell>
          <cell r="E13670">
            <v>13.339700000000001</v>
          </cell>
        </row>
        <row r="13671">
          <cell r="B13671" t="str">
            <v>INF109KB1NT4</v>
          </cell>
          <cell r="C13671" t="str">
            <v>-</v>
          </cell>
          <cell r="D13671" t="str">
            <v>ICICI Prudential Capital Protection Oriented Fund - Series IX - 1101 Days Plan A Cumulative Option</v>
          </cell>
          <cell r="E13671">
            <v>12.018599999999999</v>
          </cell>
        </row>
        <row r="13672">
          <cell r="B13672" t="str">
            <v>INF109KB1NV0</v>
          </cell>
          <cell r="C13672" t="str">
            <v>-</v>
          </cell>
          <cell r="D13672" t="str">
            <v>ICICI Prudential Capital Protection Oriented Fund - Series IX - 1101 Days Plan A Direct Plan Cumulative Option</v>
          </cell>
          <cell r="E13672">
            <v>12.406499999999999</v>
          </cell>
        </row>
        <row r="13673">
          <cell r="B13673" t="str">
            <v>INF109KB1NW8</v>
          </cell>
          <cell r="C13673" t="str">
            <v>-</v>
          </cell>
          <cell r="D13673" t="str">
            <v>ICICI Prudential Capital Protection Oriented Fund - Series IX - 1101 Days Plan A Direct Plan Dividend Option</v>
          </cell>
          <cell r="E13673">
            <v>12.406499999999999</v>
          </cell>
        </row>
        <row r="13674">
          <cell r="B13674" t="str">
            <v>INF109KB1NU2</v>
          </cell>
          <cell r="C13674" t="str">
            <v>-</v>
          </cell>
          <cell r="D13674" t="str">
            <v>ICICI Prudential Capital Protection Oriented Fund - Series IX - 1101 Days Plan A Dividend Option</v>
          </cell>
          <cell r="E13674">
            <v>12.018599999999999</v>
          </cell>
        </row>
        <row r="13675">
          <cell r="B13675" t="str">
            <v>INF109KB1OB0</v>
          </cell>
          <cell r="C13675" t="str">
            <v>-</v>
          </cell>
          <cell r="D13675" t="str">
            <v>ICICI Prudential Capital Protection Oriented Fund - Series IX -1103 Days Plan B Cumulative Option</v>
          </cell>
          <cell r="E13675">
            <v>11.9389</v>
          </cell>
        </row>
        <row r="13676">
          <cell r="B13676" t="str">
            <v>INF109KB1OD6</v>
          </cell>
          <cell r="C13676" t="str">
            <v>-</v>
          </cell>
          <cell r="D13676" t="str">
            <v>ICICI Prudential Capital Protection Oriented Fund - Series IX -1103 Days Plan B Direct Plan Cumulative Option</v>
          </cell>
          <cell r="E13676">
            <v>12.3086</v>
          </cell>
        </row>
        <row r="13677">
          <cell r="B13677" t="str">
            <v>INF109KB1OE4</v>
          </cell>
          <cell r="C13677" t="str">
            <v>-</v>
          </cell>
          <cell r="D13677" t="str">
            <v>ICICI Prudential Capital Protection Oriented Fund - Series IX -1103 Days Plan B Direct Plan Dividend Option</v>
          </cell>
          <cell r="E13677">
            <v>12.3085</v>
          </cell>
        </row>
        <row r="13678">
          <cell r="B13678" t="str">
            <v>INF109KB1OC8</v>
          </cell>
          <cell r="C13678" t="str">
            <v>-</v>
          </cell>
          <cell r="D13678" t="str">
            <v>ICICI Prudential Capital Protection Oriented Fund - Series IX -1103 Days Plan B Dividend Option</v>
          </cell>
          <cell r="E13678">
            <v>11.9389</v>
          </cell>
        </row>
        <row r="13679">
          <cell r="B13679" t="str">
            <v>INF109KB1OV8</v>
          </cell>
          <cell r="C13679" t="str">
            <v>-</v>
          </cell>
          <cell r="D13679" t="str">
            <v>ICICI Prudential Capital Protection Oriented Fund - Series IX - 1195 Days Plan C Cumulative Option</v>
          </cell>
          <cell r="E13679">
            <v>12.4619</v>
          </cell>
        </row>
        <row r="13680">
          <cell r="B13680" t="str">
            <v>INF109KB1OX4</v>
          </cell>
          <cell r="C13680" t="str">
            <v>-</v>
          </cell>
          <cell r="D13680" t="str">
            <v>ICICI Prudential Capital Protection Oriented Fund - Series IX - 1195 Days Plan C Direct Plan Cumulative Option</v>
          </cell>
          <cell r="E13680">
            <v>12.828799999999999</v>
          </cell>
        </row>
        <row r="13681">
          <cell r="B13681" t="str">
            <v>INF109KB1OY2</v>
          </cell>
          <cell r="C13681" t="str">
            <v>-</v>
          </cell>
          <cell r="D13681" t="str">
            <v>ICICI Prudential Capital Protection Oriented Fund - Series IX - 1195 Days Plan C Direct Plan Dividend Option</v>
          </cell>
          <cell r="E13681">
            <v>12.828799999999999</v>
          </cell>
        </row>
        <row r="13682">
          <cell r="B13682" t="str">
            <v>INF109KB1OW6</v>
          </cell>
          <cell r="C13682" t="str">
            <v>-</v>
          </cell>
          <cell r="D13682" t="str">
            <v>ICICI Prudential Capital Protection Oriented Fund - Series IX - 1195 Days Plan C Dividend Option</v>
          </cell>
          <cell r="E13682">
            <v>12.4619</v>
          </cell>
        </row>
        <row r="13683">
          <cell r="B13683" t="str">
            <v>INF109KB1PP7</v>
          </cell>
          <cell r="C13683" t="str">
            <v>-</v>
          </cell>
          <cell r="D13683" t="str">
            <v>ICICI Prudential Capital Protection Oriented Fund - Series IX - 1378 Days Plan D Cumulative Option</v>
          </cell>
          <cell r="E13683">
            <v>12.7669</v>
          </cell>
        </row>
        <row r="13684">
          <cell r="B13684" t="str">
            <v>INF109KB1PR3</v>
          </cell>
          <cell r="C13684" t="str">
            <v>-</v>
          </cell>
          <cell r="D13684" t="str">
            <v>ICICI Prudential Capital Protection Oriented Fund - Series IX - 1378 Days Plan D Direct Plan Cumulative Option</v>
          </cell>
          <cell r="E13684">
            <v>13.3904</v>
          </cell>
        </row>
        <row r="13685">
          <cell r="B13685" t="str">
            <v>INF109KB1PS1</v>
          </cell>
          <cell r="C13685" t="str">
            <v>-</v>
          </cell>
          <cell r="D13685" t="str">
            <v>ICICI Prudential Capital Protection Oriented Fund - Series IX - 1378 Days Plan D Direct Plan Dividend Option</v>
          </cell>
          <cell r="E13685">
            <v>13.331200000000001</v>
          </cell>
        </row>
        <row r="13686">
          <cell r="B13686" t="str">
            <v>INF109KB1PQ5</v>
          </cell>
          <cell r="C13686" t="str">
            <v>-</v>
          </cell>
          <cell r="D13686" t="str">
            <v>ICICI Prudential Capital Protection Oriented Fund - Series IX - 1378 Days Plan D Dividend Option</v>
          </cell>
          <cell r="E13686">
            <v>12.7103</v>
          </cell>
        </row>
        <row r="13687">
          <cell r="B13687" t="str">
            <v>INF109KB1SN6</v>
          </cell>
          <cell r="C13687" t="str">
            <v>-</v>
          </cell>
          <cell r="D13687" t="str">
            <v>ICICI Prudential Capital Protection Oriented Fund - Series IX - 1325 Days Plan E Cumulative Option</v>
          </cell>
          <cell r="E13687">
            <v>12.9587</v>
          </cell>
        </row>
        <row r="13688">
          <cell r="B13688" t="str">
            <v>INF109KB1SP1</v>
          </cell>
          <cell r="C13688" t="str">
            <v>-</v>
          </cell>
          <cell r="D13688" t="str">
            <v>ICICI Prudential Capital Protection Oriented Fund - Series IX - 1325 Days Plan E Direct Plan Cumulative Option</v>
          </cell>
          <cell r="E13688">
            <v>13.5549</v>
          </cell>
        </row>
        <row r="13689">
          <cell r="B13689" t="str">
            <v>INF109KB1SQ9</v>
          </cell>
          <cell r="C13689" t="str">
            <v>-</v>
          </cell>
          <cell r="D13689" t="str">
            <v>ICICI Prudential Capital Protection Oriented Fund - Series IX - 1325 Days Plan E Direct Plan Dividend Option</v>
          </cell>
          <cell r="E13689">
            <v>13.5549</v>
          </cell>
        </row>
        <row r="13690">
          <cell r="B13690" t="str">
            <v>INF109KB1SO4</v>
          </cell>
          <cell r="C13690" t="str">
            <v>-</v>
          </cell>
          <cell r="D13690" t="str">
            <v>ICICI Prudential Capital Protection Oriented Fund - Series IX - 1325 Days Plan E Dividend Option</v>
          </cell>
          <cell r="E13690">
            <v>12.9587</v>
          </cell>
        </row>
        <row r="13691">
          <cell r="B13691" t="str">
            <v>INF109KB1TH6</v>
          </cell>
          <cell r="C13691" t="str">
            <v>-</v>
          </cell>
          <cell r="D13691" t="str">
            <v>ICICI Prudential Capital Protection Oriented Fund - Series IX - 1120 Days Plan F Cumulative Option</v>
          </cell>
          <cell r="E13691">
            <v>12.5122</v>
          </cell>
        </row>
        <row r="13692">
          <cell r="B13692" t="str">
            <v>INF109KB1TJ2</v>
          </cell>
          <cell r="C13692" t="str">
            <v>-</v>
          </cell>
          <cell r="D13692" t="str">
            <v>ICICI Prudential Capital Protection Oriented Fund - Series IX - 1120 Days Plan F Direct Plan Cumulative Option</v>
          </cell>
          <cell r="E13692">
            <v>13.0611</v>
          </cell>
        </row>
        <row r="13693">
          <cell r="B13693" t="str">
            <v>INF109KB1TI4</v>
          </cell>
          <cell r="C13693" t="str">
            <v>-</v>
          </cell>
          <cell r="D13693" t="str">
            <v>ICICI Prudential Capital Protection Oriented Fund - Series IX - 1120 Days Plan F Dividend Option</v>
          </cell>
          <cell r="E13693">
            <v>12.5122</v>
          </cell>
        </row>
        <row r="13694">
          <cell r="B13694" t="str">
            <v>INF109KA1KD5</v>
          </cell>
          <cell r="C13694" t="str">
            <v>-</v>
          </cell>
          <cell r="D13694" t="str">
            <v>ICICI Prudential Capital Protection Oriented Fund V - PLAN A - 5 Years Plan - Cumulative</v>
          </cell>
          <cell r="E13694">
            <v>15.5892</v>
          </cell>
        </row>
        <row r="13695">
          <cell r="B13695" t="str">
            <v>INF109KA1KF0</v>
          </cell>
          <cell r="C13695" t="str">
            <v>-</v>
          </cell>
          <cell r="D13695" t="str">
            <v>ICICI Prudential Capital Protection Oriented Fund V - PLAN A - 5 Years Plan - Direct Plan - Cumulative</v>
          </cell>
          <cell r="E13695">
            <v>16.454999999999998</v>
          </cell>
        </row>
        <row r="13696">
          <cell r="B13696" t="str">
            <v>INF109KA1KG8</v>
          </cell>
          <cell r="C13696" t="str">
            <v>-</v>
          </cell>
          <cell r="D13696" t="str">
            <v>ICICI Prudential Capital Protection Oriented Fund V - PLAN A - 5 Years Plan - Direct Plan - Dividend</v>
          </cell>
          <cell r="E13696">
            <v>16.454999999999998</v>
          </cell>
        </row>
        <row r="13697">
          <cell r="B13697" t="str">
            <v>INF109KA1KE3</v>
          </cell>
          <cell r="C13697" t="str">
            <v>-</v>
          </cell>
          <cell r="D13697" t="str">
            <v>ICICI Prudential Capital Protection Oriented Fund V - PLAN A - 5 Years Plan - Dividend</v>
          </cell>
          <cell r="E13697">
            <v>15.5892</v>
          </cell>
        </row>
        <row r="13698">
          <cell r="B13698" t="str">
            <v>INF109KA1LF8</v>
          </cell>
          <cell r="C13698" t="str">
            <v>-</v>
          </cell>
          <cell r="D13698" t="str">
            <v>ICICI Prudential Capital Protection Oriented Fund V - PLAN B - 1100 Days - Cumulative</v>
          </cell>
          <cell r="E13698">
            <v>13.340400000000001</v>
          </cell>
        </row>
        <row r="13699">
          <cell r="B13699" t="str">
            <v>INF109KA1LH4</v>
          </cell>
          <cell r="C13699" t="str">
            <v>-</v>
          </cell>
          <cell r="D13699" t="str">
            <v>ICICI Prudential Capital Protection Oriented Fund V - PLAN B - 1100 Days - Direct Plan - Cumulative</v>
          </cell>
          <cell r="E13699">
            <v>13.831200000000001</v>
          </cell>
        </row>
        <row r="13700">
          <cell r="B13700" t="str">
            <v>INF109KA1LI2</v>
          </cell>
          <cell r="C13700" t="str">
            <v>-</v>
          </cell>
          <cell r="D13700" t="str">
            <v>ICICI Prudential Capital Protection Oriented Fund V - PLAN B - 1100 Days - Direct Plan - Dividend</v>
          </cell>
          <cell r="E13700">
            <v>13.831200000000001</v>
          </cell>
        </row>
        <row r="13701">
          <cell r="B13701" t="str">
            <v>INF109KA1LG6</v>
          </cell>
          <cell r="C13701" t="str">
            <v>-</v>
          </cell>
          <cell r="D13701" t="str">
            <v>ICICI Prudential Capital Protection Oriented Fund V - PLAN B - 1100 Days - Dividend</v>
          </cell>
          <cell r="E13701">
            <v>13.340400000000001</v>
          </cell>
        </row>
        <row r="13702">
          <cell r="B13702" t="str">
            <v>INF109KA1MN0</v>
          </cell>
          <cell r="C13702" t="str">
            <v>-</v>
          </cell>
          <cell r="D13702" t="str">
            <v>ICICI Prudential Capital Protection Oriented Fund V - PLAN C - 1825 Days - Cumulative</v>
          </cell>
          <cell r="E13702">
            <v>15.426</v>
          </cell>
        </row>
        <row r="13703">
          <cell r="B13703" t="str">
            <v>INF109KA1ML4</v>
          </cell>
          <cell r="C13703" t="str">
            <v>-</v>
          </cell>
          <cell r="D13703" t="str">
            <v>ICICI Prudential Capital Protection Oriented Fund V - PLAN C - 1825 Days - Direct Plan - Cumulative</v>
          </cell>
          <cell r="E13703">
            <v>16.335100000000001</v>
          </cell>
        </row>
        <row r="13704">
          <cell r="B13704" t="str">
            <v>INF109KA1MM2</v>
          </cell>
          <cell r="C13704" t="str">
            <v>-</v>
          </cell>
          <cell r="D13704" t="str">
            <v>ICICI Prudential Capital Protection Oriented Fund V - PLAN C - 1825 Days - Direct Plan - Dividend</v>
          </cell>
          <cell r="E13704">
            <v>16.335100000000001</v>
          </cell>
        </row>
        <row r="13705">
          <cell r="B13705" t="str">
            <v>INF109KA1MO8</v>
          </cell>
          <cell r="C13705" t="str">
            <v>-</v>
          </cell>
          <cell r="D13705" t="str">
            <v>ICICI Prudential Capital Protection Oriented Fund V - PLAN C - 1825 Days - Dividend</v>
          </cell>
          <cell r="E13705">
            <v>15.426</v>
          </cell>
        </row>
        <row r="13706">
          <cell r="B13706" t="str">
            <v>INF109KA1QF7</v>
          </cell>
          <cell r="C13706" t="str">
            <v>-</v>
          </cell>
          <cell r="D13706" t="str">
            <v>ICICI Prudential Capital Protection Oriented Fund V - PLAN D - 1100 Days - Cumulative</v>
          </cell>
          <cell r="E13706">
            <v>13.1477</v>
          </cell>
        </row>
        <row r="13707">
          <cell r="B13707" t="str">
            <v>INF109KA1QH3</v>
          </cell>
          <cell r="C13707" t="str">
            <v>-</v>
          </cell>
          <cell r="D13707" t="str">
            <v>ICICI Prudential Capital Protection Oriented Fund V - PLAN D - 1100 Days - Direct Plan - Cumulative</v>
          </cell>
          <cell r="E13707">
            <v>13.6485</v>
          </cell>
        </row>
        <row r="13708">
          <cell r="B13708" t="str">
            <v>INF109KA1QI1</v>
          </cell>
          <cell r="C13708" t="str">
            <v>-</v>
          </cell>
          <cell r="D13708" t="str">
            <v>ICICI Prudential Capital Protection Oriented Fund V - PLAN D - 1100 Days - Direct Plan - Dividend</v>
          </cell>
          <cell r="E13708">
            <v>13.6485</v>
          </cell>
        </row>
        <row r="13709">
          <cell r="B13709" t="str">
            <v>INF109KA1QG5</v>
          </cell>
          <cell r="C13709" t="str">
            <v>-</v>
          </cell>
          <cell r="D13709" t="str">
            <v>ICICI Prudential Capital Protection Oriented Fund V - PLAN D - 1100 Days - Dividend</v>
          </cell>
          <cell r="E13709">
            <v>13.1477</v>
          </cell>
        </row>
        <row r="13710">
          <cell r="B13710" t="str">
            <v>INF109KA1SJ5</v>
          </cell>
          <cell r="C13710" t="str">
            <v>-</v>
          </cell>
          <cell r="D13710" t="str">
            <v>ICICI Prudential Capital Protection Oriented Fund V - PLAN E- 1100 Days - Cumulative</v>
          </cell>
          <cell r="E13710">
            <v>13.144600000000001</v>
          </cell>
        </row>
        <row r="13711">
          <cell r="B13711" t="str">
            <v>INF109KA1SL1</v>
          </cell>
          <cell r="C13711" t="str">
            <v>-</v>
          </cell>
          <cell r="D13711" t="str">
            <v>ICICI Prudential Capital Protection Oriented Fund V - PLAN E- 1100 Days - Direct Plan - Cumulative</v>
          </cell>
          <cell r="E13711">
            <v>13.714600000000001</v>
          </cell>
        </row>
        <row r="13712">
          <cell r="B13712" t="str">
            <v>INF109KA1SK3</v>
          </cell>
          <cell r="C13712" t="str">
            <v>-</v>
          </cell>
          <cell r="D13712" t="str">
            <v>ICICI Prudential Capital Protection Oriented Fund V - PLAN E- 1100 Days - Dividend</v>
          </cell>
          <cell r="E13712">
            <v>13.144600000000001</v>
          </cell>
        </row>
        <row r="13713">
          <cell r="B13713" t="str">
            <v>INF109KA1VL5</v>
          </cell>
          <cell r="C13713" t="str">
            <v>-</v>
          </cell>
          <cell r="D13713" t="str">
            <v>ICICI Prudential Capital Protection Oriented Fund V -Plan F -1100 Days Direct Plan Cumulative Option</v>
          </cell>
          <cell r="E13713">
            <v>13.281700000000001</v>
          </cell>
        </row>
        <row r="13714">
          <cell r="B13714" t="str">
            <v>INF109KA1VK7</v>
          </cell>
          <cell r="C13714" t="str">
            <v>-</v>
          </cell>
          <cell r="D13714" t="str">
            <v>ICICI Prudential Capital Protection Oriented Fund V- Plan F - 1100 Days -Dividend Option</v>
          </cell>
          <cell r="E13714">
            <v>12.7422</v>
          </cell>
        </row>
        <row r="13715">
          <cell r="B13715" t="str">
            <v>INF109KA1VM3</v>
          </cell>
          <cell r="C13715" t="str">
            <v>-</v>
          </cell>
          <cell r="D13715" t="str">
            <v>ICICI Prudential Capital Protection Oriented Fund V- Plan F -1100 Days Direct Plan Dividend Option</v>
          </cell>
          <cell r="E13715">
            <v>13.281700000000001</v>
          </cell>
        </row>
        <row r="13716">
          <cell r="B13716" t="str">
            <v>INF109KA1VJ9</v>
          </cell>
          <cell r="C13716" t="str">
            <v>-</v>
          </cell>
          <cell r="D13716" t="str">
            <v>ICICI Prudential Capital Protection Oriented Fund V- Plan F- 1100 Days -Cumulative Option</v>
          </cell>
          <cell r="E13716">
            <v>12.7422</v>
          </cell>
        </row>
        <row r="13717">
          <cell r="B13717" t="str">
            <v>INF109KA1VV4</v>
          </cell>
          <cell r="C13717" t="str">
            <v>-</v>
          </cell>
          <cell r="D13717" t="str">
            <v>ICICI Prudential Capital Protection Oriented Fund Series VI -1825 Days Plan A Cumulative Option</v>
          </cell>
          <cell r="E13717">
            <v>14.967499999999999</v>
          </cell>
        </row>
        <row r="13718">
          <cell r="B13718" t="str">
            <v>INF109KA1VX0</v>
          </cell>
          <cell r="C13718" t="str">
            <v>-</v>
          </cell>
          <cell r="D13718" t="str">
            <v>ICICI Prudential Capital Protection Oriented Fund Series VI- 1825 Days Plan A Direct Plan Cumulative option</v>
          </cell>
          <cell r="E13718">
            <v>15.9313</v>
          </cell>
        </row>
        <row r="13719">
          <cell r="B13719" t="str">
            <v>INF109KA1VY8</v>
          </cell>
          <cell r="C13719" t="str">
            <v>-</v>
          </cell>
          <cell r="D13719" t="str">
            <v>ICICI Prudential Capital Protection Oriented Fund Series VI- 1825 Days Plan A Direct Plan Dividend Option</v>
          </cell>
          <cell r="E13719">
            <v>15.9313</v>
          </cell>
        </row>
        <row r="13720">
          <cell r="B13720" t="str">
            <v>INF109KA1VW2</v>
          </cell>
          <cell r="C13720" t="str">
            <v>-</v>
          </cell>
          <cell r="D13720" t="str">
            <v>ICICI Prudential Capital Protection Oriented Fund Series VI- 1825 Days Plan A Dividend Option</v>
          </cell>
          <cell r="E13720">
            <v>14.967499999999999</v>
          </cell>
        </row>
        <row r="13721">
          <cell r="B13721" t="str">
            <v>INF109KA1XJ5</v>
          </cell>
          <cell r="C13721" t="str">
            <v>-</v>
          </cell>
          <cell r="D13721" t="str">
            <v>ICICI Prudential Capital Protection Oriented Fund Series VI -1825 Days Plan C Direct Plan Cumulative Option</v>
          </cell>
          <cell r="E13721">
            <v>15.3491</v>
          </cell>
        </row>
        <row r="13722">
          <cell r="B13722" t="str">
            <v>INF109KA1XH9</v>
          </cell>
          <cell r="C13722" t="str">
            <v>-</v>
          </cell>
          <cell r="D13722" t="str">
            <v>ICICI Prudential Capital Protection Oriented Fund Series VI- 1825 Days Plan C Cumulative Option</v>
          </cell>
          <cell r="E13722">
            <v>14.5695</v>
          </cell>
        </row>
        <row r="13723">
          <cell r="B13723" t="str">
            <v>INF109KA1XK3</v>
          </cell>
          <cell r="C13723" t="str">
            <v>-</v>
          </cell>
          <cell r="D13723" t="str">
            <v>ICICI Prudential Capital Protection Oriented Fund Series VI- 1825 Days Plan C Direct Plan Dividend option</v>
          </cell>
          <cell r="E13723">
            <v>15.3491</v>
          </cell>
        </row>
        <row r="13724">
          <cell r="B13724" t="str">
            <v>INF109KA1XI7</v>
          </cell>
          <cell r="C13724" t="str">
            <v>-</v>
          </cell>
          <cell r="D13724" t="str">
            <v>ICICI Prudential Capital Protection Oriented Fund Series VI- 1825 Days Plan C Dividend Option</v>
          </cell>
          <cell r="E13724">
            <v>14.5695</v>
          </cell>
        </row>
        <row r="13725">
          <cell r="B13725" t="str">
            <v>INF109KA10P8</v>
          </cell>
          <cell r="C13725" t="str">
            <v>-</v>
          </cell>
          <cell r="D13725" t="str">
            <v>ICICI Prudential Capital Protection Oriented Fund - Series VII - 1822 Days Plan D Cumulative Option</v>
          </cell>
          <cell r="E13725">
            <v>13.6861</v>
          </cell>
        </row>
        <row r="13726">
          <cell r="B13726" t="str">
            <v>INF109KA12P4</v>
          </cell>
          <cell r="C13726" t="str">
            <v>-</v>
          </cell>
          <cell r="D13726" t="str">
            <v>ICICI Prudential Capital Protection Oriented Fund - Series VII - 1822 Days Plan D Direct Plan Cumulative Option</v>
          </cell>
          <cell r="E13726">
            <v>14.5015</v>
          </cell>
        </row>
        <row r="13727">
          <cell r="B13727" t="str">
            <v>INF109KA13P2</v>
          </cell>
          <cell r="C13727" t="str">
            <v>-</v>
          </cell>
          <cell r="D13727" t="str">
            <v>ICICI Prudential Capital Protection Oriented Fund - Series VII - 1822 Days Plan D Direct Plan Dividend Option</v>
          </cell>
          <cell r="E13727">
            <v>14.5015</v>
          </cell>
        </row>
        <row r="13728">
          <cell r="B13728" t="str">
            <v>INF109KA11P6</v>
          </cell>
          <cell r="C13728" t="str">
            <v>-</v>
          </cell>
          <cell r="D13728" t="str">
            <v>ICICI Prudential Capital Protection Oriented Fund - Series VII - 1822 Days Plan D Dividend Option</v>
          </cell>
          <cell r="E13728">
            <v>13.6861</v>
          </cell>
        </row>
        <row r="13729">
          <cell r="B13729" t="str">
            <v>INF109KA18T3</v>
          </cell>
          <cell r="C13729" t="str">
            <v>-</v>
          </cell>
          <cell r="D13729" t="str">
            <v>ICICI Prudential Capital Protection Oriented Fund - Series VII - 1285 Days Plan G Cumulative Option</v>
          </cell>
          <cell r="E13729">
            <v>12.1729</v>
          </cell>
        </row>
        <row r="13730">
          <cell r="B13730" t="str">
            <v>INF109KA10U8</v>
          </cell>
          <cell r="C13730" t="str">
            <v>-</v>
          </cell>
          <cell r="D13730" t="str">
            <v>ICICI Prudential Capital Protection Oriented Fund - Series VII - 1285 Days Plan G Direct Plan Cumulative Option</v>
          </cell>
          <cell r="E13730">
            <v>12.726100000000001</v>
          </cell>
        </row>
        <row r="13731">
          <cell r="B13731" t="str">
            <v>INF109KA19T1</v>
          </cell>
          <cell r="C13731" t="str">
            <v>-</v>
          </cell>
          <cell r="D13731" t="str">
            <v>ICICI Prudential Capital Protection Oriented Fund - Series VII - 1285 Days Plan G Dividend Option</v>
          </cell>
          <cell r="E13731">
            <v>12.1729</v>
          </cell>
        </row>
        <row r="13732">
          <cell r="B13732" t="str">
            <v>INF109KA14X4</v>
          </cell>
          <cell r="C13732" t="str">
            <v>-</v>
          </cell>
          <cell r="D13732" t="str">
            <v>ICICI Prudential Capital Protection Oriented Fund - Series VII - 1284 Days Plan H Cumulative Option</v>
          </cell>
          <cell r="E13732">
            <v>12.5336</v>
          </cell>
        </row>
        <row r="13733">
          <cell r="B13733" t="str">
            <v>INF109KA16X9</v>
          </cell>
          <cell r="C13733" t="str">
            <v>-</v>
          </cell>
          <cell r="D13733" t="str">
            <v>ICICI Prudential Capital Protection Oriented Fund - Series VII - 1284 Days Plan H Direct Plan Cumulative Option</v>
          </cell>
          <cell r="E13733">
            <v>13.0869</v>
          </cell>
        </row>
        <row r="13734">
          <cell r="B13734" t="str">
            <v>INF109KA17X7</v>
          </cell>
          <cell r="C13734" t="str">
            <v>-</v>
          </cell>
          <cell r="D13734" t="str">
            <v>ICICI Prudential Capital Protection Oriented Fund - Series VII - 1284 Days Plan H Direct Plan Dividend Option</v>
          </cell>
          <cell r="E13734">
            <v>13.0869</v>
          </cell>
        </row>
        <row r="13735">
          <cell r="B13735" t="str">
            <v>INF109KA15X1</v>
          </cell>
          <cell r="C13735" t="str">
            <v>-</v>
          </cell>
          <cell r="D13735" t="str">
            <v>ICICI Prudential Capital Protection Oriented Fund - Series VII - 1284 Days Plan H Dividend Option</v>
          </cell>
          <cell r="E13735">
            <v>12.5336</v>
          </cell>
        </row>
        <row r="13736">
          <cell r="B13736" t="str">
            <v>INF109KB1250</v>
          </cell>
          <cell r="C13736" t="str">
            <v>-</v>
          </cell>
          <cell r="D13736" t="str">
            <v>ICICI Prudential Capital Protection Oriented Fund - Series VIII - 1300 Days Plan A Cumulative Option</v>
          </cell>
          <cell r="E13736">
            <v>12.3401</v>
          </cell>
        </row>
        <row r="13737">
          <cell r="B13737" t="str">
            <v>INF109KB1276</v>
          </cell>
          <cell r="C13737" t="str">
            <v>-</v>
          </cell>
          <cell r="D13737" t="str">
            <v>ICICI Prudential Capital Protection Oriented Fund - Series VIII - 1300 Days Plan A Direct Plan Cumulative Option</v>
          </cell>
          <cell r="E13737">
            <v>12.888400000000001</v>
          </cell>
        </row>
        <row r="13738">
          <cell r="B13738" t="str">
            <v>INF109KB1268</v>
          </cell>
          <cell r="C13738" t="str">
            <v>-</v>
          </cell>
          <cell r="D13738" t="str">
            <v>ICICI Prudential Capital Protection Oriented Fund - Series VIII - 1300 Days Plan A Dividend Option</v>
          </cell>
          <cell r="E13738">
            <v>12.3401</v>
          </cell>
        </row>
        <row r="13739">
          <cell r="B13739" t="str">
            <v>INF109KB1KZ7</v>
          </cell>
          <cell r="C13739" t="str">
            <v>-</v>
          </cell>
          <cell r="D13739" t="str">
            <v>ICICI Prudential Capital Protection Oriented Fund - Series VIII -1105 Days Plan H Cumulative Option</v>
          </cell>
          <cell r="E13739">
            <v>12.018800000000001</v>
          </cell>
        </row>
        <row r="13740">
          <cell r="B13740" t="str">
            <v>INF109KB1LB6</v>
          </cell>
          <cell r="C13740" t="str">
            <v>-</v>
          </cell>
          <cell r="D13740" t="str">
            <v>ICICI Prudential Capital Protection Oriented Fund - Series VIII -1105 Days Plan H Direct Plan Cumulative Option</v>
          </cell>
          <cell r="E13740">
            <v>12.495799999999999</v>
          </cell>
        </row>
        <row r="13741">
          <cell r="B13741" t="str">
            <v>INF109KB1LC4</v>
          </cell>
          <cell r="C13741" t="str">
            <v>-</v>
          </cell>
          <cell r="D13741" t="str">
            <v>ICICI Prudential Capital Protection Oriented Fund - Series VIII -1105 Days Plan H Direct Plan Dividend Option</v>
          </cell>
          <cell r="E13741">
            <v>12.495799999999999</v>
          </cell>
        </row>
        <row r="13742">
          <cell r="B13742" t="str">
            <v>INF109KB1LA8</v>
          </cell>
          <cell r="C13742" t="str">
            <v>-</v>
          </cell>
          <cell r="D13742" t="str">
            <v>ICICI Prudential Capital Protection Oriented Fund - Series VIII -1105 Days Plan H Dividend Option</v>
          </cell>
          <cell r="E13742">
            <v>12.018800000000001</v>
          </cell>
        </row>
        <row r="13743">
          <cell r="B13743" t="str">
            <v>INF109KB1LL5</v>
          </cell>
          <cell r="C13743" t="str">
            <v>-</v>
          </cell>
          <cell r="D13743" t="str">
            <v>ICICI Prudential Capital Protection Oriented Fund - Series VIII - 1290 Days Plan I Cumulative Option</v>
          </cell>
          <cell r="E13743">
            <v>12.2126</v>
          </cell>
        </row>
        <row r="13744">
          <cell r="B13744" t="str">
            <v>INF109KB1LN1</v>
          </cell>
          <cell r="C13744" t="str">
            <v>-</v>
          </cell>
          <cell r="D13744" t="str">
            <v>ICICI Prudential Capital Protection Oriented Fund - Series VIII - 1290 Days Plan I Direct Plan Cumulative Option</v>
          </cell>
          <cell r="E13744">
            <v>12.9001</v>
          </cell>
        </row>
        <row r="13745">
          <cell r="B13745" t="str">
            <v>INF109KB1LO9</v>
          </cell>
          <cell r="C13745" t="str">
            <v>-</v>
          </cell>
          <cell r="D13745" t="str">
            <v>ICICI Prudential Capital Protection Oriented Fund - Series VIII - 1290 Days Plan I Direct Plan Dividend Option</v>
          </cell>
          <cell r="E13745">
            <v>12.9001</v>
          </cell>
        </row>
        <row r="13746">
          <cell r="B13746" t="str">
            <v>INF109KB1LM3</v>
          </cell>
          <cell r="C13746" t="str">
            <v>-</v>
          </cell>
          <cell r="D13746" t="str">
            <v>ICICI Prudential Capital Protection Oriented Fund - Series VIII - 1290 Days Plan I Dividend Option</v>
          </cell>
          <cell r="E13746">
            <v>12.2126</v>
          </cell>
        </row>
        <row r="13747">
          <cell r="B13747" t="str">
            <v>INF109KB1LR2</v>
          </cell>
          <cell r="C13747" t="str">
            <v>-</v>
          </cell>
          <cell r="D13747" t="str">
            <v>ICICI Prudential Capital Protection Oriented Fund - Series VIII -1284 Days Plan J Cumulative Option</v>
          </cell>
          <cell r="E13747">
            <v>12.3742</v>
          </cell>
        </row>
        <row r="13748">
          <cell r="B13748" t="str">
            <v>INF109KB1LT8</v>
          </cell>
          <cell r="C13748" t="str">
            <v>-</v>
          </cell>
          <cell r="D13748" t="str">
            <v>ICICI Prudential Capital Protection Oriented Fund - Series VIII -1284 Days Plan J Direct Plan Cumulative Option</v>
          </cell>
          <cell r="E13748">
            <v>12.9428</v>
          </cell>
        </row>
        <row r="13749">
          <cell r="B13749" t="str">
            <v>INF109KB1LU6</v>
          </cell>
          <cell r="C13749" t="str">
            <v>-</v>
          </cell>
          <cell r="D13749" t="str">
            <v>ICICI Prudential Capital Protection Oriented Fund - Series VIII -1284 Days Plan J Direct Plan Dividend Option</v>
          </cell>
          <cell r="E13749">
            <v>12.9428</v>
          </cell>
        </row>
        <row r="13750">
          <cell r="B13750" t="str">
            <v>INF109KB1LS0</v>
          </cell>
          <cell r="C13750" t="str">
            <v>-</v>
          </cell>
          <cell r="D13750" t="str">
            <v>ICICI Prudential Capital Protection Oriented Fund - Series VIII -1284 Days Plan J Dividend Option</v>
          </cell>
          <cell r="E13750">
            <v>12.3742</v>
          </cell>
        </row>
        <row r="13751">
          <cell r="B13751" t="str">
            <v>INF109KA1SF3</v>
          </cell>
          <cell r="C13751" t="str">
            <v>-</v>
          </cell>
          <cell r="D13751" t="str">
            <v>ICICI Prudential Fixed Maturity Plan-Corporate Bond Series A-750 Days - Cumulative Option</v>
          </cell>
          <cell r="E13751">
            <v>12.908300000000001</v>
          </cell>
        </row>
        <row r="13752">
          <cell r="B13752" t="str">
            <v>INF109KA1SH9</v>
          </cell>
          <cell r="C13752" t="str">
            <v>-</v>
          </cell>
          <cell r="D13752" t="str">
            <v>ICICI Prudential Fixed Maturity Plan-Corporate Bond Series A-750 Days - Direct Plan-Cumulative Option</v>
          </cell>
          <cell r="E13752">
            <v>13.053900000000001</v>
          </cell>
        </row>
        <row r="13753">
          <cell r="B13753" t="str">
            <v>INF109KA1ZU7</v>
          </cell>
          <cell r="C13753" t="str">
            <v>-</v>
          </cell>
          <cell r="D13753" t="str">
            <v>ICICI Prudential Fixed Maturity Plan - Corporate Bond Series B - 1100 Days - Cumulative Option</v>
          </cell>
          <cell r="E13753">
            <v>13.1792</v>
          </cell>
        </row>
        <row r="13754">
          <cell r="B13754" t="str">
            <v>INF109KA1ZW3</v>
          </cell>
          <cell r="C13754" t="str">
            <v>-</v>
          </cell>
          <cell r="D13754" t="str">
            <v>ICICI Prudential Fixed Maturity Plan - Corporate Bond Series B - 1100 Days - Direct Plan - Cumulative Option</v>
          </cell>
          <cell r="E13754">
            <v>13.319100000000001</v>
          </cell>
        </row>
        <row r="13755">
          <cell r="B13755" t="str">
            <v>INF109KA1ZX1</v>
          </cell>
          <cell r="C13755" t="str">
            <v>-</v>
          </cell>
          <cell r="D13755" t="str">
            <v>ICICI Prudential Fixed Maturity Plan - Corporate Bond Series B - 1100 Days - Direct Plan - Dividend Option</v>
          </cell>
          <cell r="E13755">
            <v>13.319100000000001</v>
          </cell>
        </row>
        <row r="13756">
          <cell r="B13756" t="str">
            <v>INF109KA1ZV5</v>
          </cell>
          <cell r="C13756" t="str">
            <v>-</v>
          </cell>
          <cell r="D13756" t="str">
            <v>ICICI Prudential Fixed Maturity Plan - Corporate Bond Series B - 1100 Days - Dividend Option</v>
          </cell>
          <cell r="E13756">
            <v>13.1792</v>
          </cell>
        </row>
        <row r="13757">
          <cell r="B13757" t="str">
            <v>INF109KB1JF1</v>
          </cell>
          <cell r="C13757" t="str">
            <v>-</v>
          </cell>
          <cell r="D13757" t="str">
            <v>ICICI Prudential Fixed Maturity Plan - Series - 74 -367 days Plan Z Cumulative Option</v>
          </cell>
          <cell r="E13757">
            <v>12.801399999999999</v>
          </cell>
        </row>
        <row r="13758">
          <cell r="B13758" t="str">
            <v>INF109KB1JI5</v>
          </cell>
          <cell r="C13758" t="str">
            <v>-</v>
          </cell>
          <cell r="D13758" t="str">
            <v>ICICI Prudential Fixed Maturity Plan - Series -74 - 367 Days Plan Z Direct Plan Dividend Option</v>
          </cell>
          <cell r="E13758">
            <v>12.7623</v>
          </cell>
        </row>
        <row r="13759">
          <cell r="B13759" t="str">
            <v>INF109KB1JG9</v>
          </cell>
          <cell r="C13759" t="str">
            <v>-</v>
          </cell>
          <cell r="D13759" t="str">
            <v>ICICI Prudential Fixed Maturity Plan - Series -74 - 367 Days Plan Z Dividend Option</v>
          </cell>
          <cell r="E13759">
            <v>12.742599999999999</v>
          </cell>
        </row>
        <row r="13760">
          <cell r="B13760" t="str">
            <v>INF109KB1JH7</v>
          </cell>
          <cell r="C13760" t="str">
            <v>-</v>
          </cell>
          <cell r="D13760" t="str">
            <v>ICICI Prudential Fixed Maturity Plan - Series 74 - 367 Days Plan Z Direct Plan Cumulative Option</v>
          </cell>
          <cell r="E13760">
            <v>12.821300000000001</v>
          </cell>
        </row>
        <row r="13761">
          <cell r="B13761" t="str">
            <v>INF109KA1BV6</v>
          </cell>
          <cell r="C13761" t="str">
            <v>-</v>
          </cell>
          <cell r="D13761" t="str">
            <v>ICICI Prudential Fixed Maturity Plan-Series 69-1821 Days Plan I - Cumulative</v>
          </cell>
          <cell r="E13761">
            <v>15.155900000000001</v>
          </cell>
        </row>
        <row r="13762">
          <cell r="B13762" t="str">
            <v>INF109KA1BT0</v>
          </cell>
          <cell r="C13762" t="str">
            <v>-</v>
          </cell>
          <cell r="D13762" t="str">
            <v>ICICI Prudential Fixed Maturity Plan-Series 69-1821 Days Plan I - Direct Plan - Cumulative</v>
          </cell>
          <cell r="E13762">
            <v>15.3683</v>
          </cell>
        </row>
        <row r="13763">
          <cell r="B13763" t="str">
            <v>INF109KA1BU8</v>
          </cell>
          <cell r="C13763" t="str">
            <v>-</v>
          </cell>
          <cell r="D13763" t="str">
            <v>ICICI Prudential Fixed Maturity Plan-Series 69-1821 Days Plan I - Direct Plan - Dividend</v>
          </cell>
          <cell r="E13763">
            <v>13.7239</v>
          </cell>
        </row>
        <row r="13764">
          <cell r="B13764" t="str">
            <v>INF109KA1BW4</v>
          </cell>
          <cell r="C13764" t="str">
            <v>-</v>
          </cell>
          <cell r="D13764" t="str">
            <v>ICICI Prudential Fixed Maturity Plan-Series 69-1821 Days Plan I - Dividend</v>
          </cell>
          <cell r="E13764">
            <v>13.6111</v>
          </cell>
        </row>
        <row r="13765">
          <cell r="B13765" t="str">
            <v>INF109KA10H5</v>
          </cell>
          <cell r="C13765" t="str">
            <v>-</v>
          </cell>
          <cell r="D13765" t="str">
            <v>ICICI Prudential Fixed Maturity Plan-Series 71-366 Days Plan C - Cumulative</v>
          </cell>
          <cell r="E13765">
            <v>12.8508</v>
          </cell>
        </row>
        <row r="13766">
          <cell r="B13766" t="str">
            <v>INF109KA18G0</v>
          </cell>
          <cell r="C13766" t="str">
            <v>-</v>
          </cell>
          <cell r="D13766" t="str">
            <v>ICICI Prudential Fixed Maturity Plan-Series 71-366 Days Plan C - Direct Plan - Cumulative</v>
          </cell>
          <cell r="E13766">
            <v>12.8817</v>
          </cell>
        </row>
        <row r="13767">
          <cell r="B13767" t="str">
            <v>INF109KA11H3</v>
          </cell>
          <cell r="C13767" t="str">
            <v>-</v>
          </cell>
          <cell r="D13767" t="str">
            <v>ICICI Prudential Fixed Maturity Plan-Series 71-366 Days Plan C - Dividend</v>
          </cell>
          <cell r="E13767">
            <v>11.876200000000001</v>
          </cell>
        </row>
        <row r="13768">
          <cell r="B13768" t="str">
            <v>INF109KB1FF9</v>
          </cell>
          <cell r="C13768" t="str">
            <v>-</v>
          </cell>
          <cell r="D13768" t="str">
            <v>ICICI Prudential Fixed Maturity Plan-Series 71-547 Days Plan B - Cumulative</v>
          </cell>
          <cell r="E13768">
            <v>13.5397</v>
          </cell>
        </row>
        <row r="13769">
          <cell r="B13769" t="str">
            <v>INF109KB1FH5</v>
          </cell>
          <cell r="C13769" t="str">
            <v>-</v>
          </cell>
          <cell r="D13769" t="str">
            <v>ICICI Prudential Fixed Maturity Plan-Series 71-547 Days Plan B - Direct Plan - Cumulative</v>
          </cell>
          <cell r="E13769">
            <v>13.6004</v>
          </cell>
        </row>
        <row r="13770">
          <cell r="B13770" t="str">
            <v>INF109KB1FI3</v>
          </cell>
          <cell r="C13770" t="str">
            <v>-</v>
          </cell>
          <cell r="D13770" t="str">
            <v>ICICI Prudential Fixed Maturity Plan-Series 71-547 Days Plan B - Direct Plan - Dividend</v>
          </cell>
          <cell r="E13770">
            <v>13.540800000000001</v>
          </cell>
        </row>
        <row r="13771">
          <cell r="B13771" t="str">
            <v>INF109KB1FG7</v>
          </cell>
          <cell r="C13771" t="str">
            <v>-</v>
          </cell>
          <cell r="D13771" t="str">
            <v>ICICI Prudential Fixed Maturity Plan-Series 71-547 Days Plan B - Dividend</v>
          </cell>
          <cell r="E13771">
            <v>11.401899999999999</v>
          </cell>
        </row>
        <row r="13772">
          <cell r="B13772" t="str">
            <v>INF109KA18V9</v>
          </cell>
          <cell r="C13772" t="str">
            <v>-</v>
          </cell>
          <cell r="D13772" t="str">
            <v>ICICI Prudential Fixed Maturity Plan-Series 72-366 Days Plan K - Cumulative</v>
          </cell>
          <cell r="E13772">
            <v>14.1348</v>
          </cell>
        </row>
        <row r="13773">
          <cell r="B13773" t="str">
            <v>INF109KA10W4</v>
          </cell>
          <cell r="C13773" t="str">
            <v>-</v>
          </cell>
          <cell r="D13773" t="str">
            <v>ICICI Prudential Fixed Maturity Plan-Series 72-366 Days Plan K - Direct Plan - Cumulative</v>
          </cell>
          <cell r="E13773">
            <v>13.1563</v>
          </cell>
        </row>
        <row r="13774">
          <cell r="B13774" t="str">
            <v>INF109KA11W2</v>
          </cell>
          <cell r="C13774" t="str">
            <v>-</v>
          </cell>
          <cell r="D13774" t="str">
            <v>ICICI Prudential Fixed Maturity Plan-Series 72-366 Days Plan K - Direct Plan - Dividend</v>
          </cell>
          <cell r="E13774">
            <v>12.8406</v>
          </cell>
        </row>
        <row r="13775">
          <cell r="B13775" t="str">
            <v>INF109KA1OV9</v>
          </cell>
          <cell r="C13775" t="str">
            <v>-</v>
          </cell>
          <cell r="D13775" t="str">
            <v>ICICI Prudential Fixed Maturity Plan-Series 73-1140 Days Plan E - Cumulative</v>
          </cell>
          <cell r="E13775">
            <v>16.6082</v>
          </cell>
        </row>
        <row r="13776">
          <cell r="B13776" t="str">
            <v>INF109KA1OX5</v>
          </cell>
          <cell r="C13776" t="str">
            <v>-</v>
          </cell>
          <cell r="D13776" t="str">
            <v>ICICI Prudential Fixed Maturity Plan-Series 73-1140 Days Plan E - Direct Plan - Cumulative</v>
          </cell>
          <cell r="E13776">
            <v>16.836600000000001</v>
          </cell>
        </row>
        <row r="13777">
          <cell r="B13777" t="str">
            <v>INF109KA1OY3</v>
          </cell>
          <cell r="C13777" t="str">
            <v>-</v>
          </cell>
          <cell r="D13777" t="str">
            <v>ICICI Prudential Fixed Maturity Plan-Series 73-1140 Days Plan E - Direct Plan - Dividend</v>
          </cell>
          <cell r="E13777">
            <v>12.5318</v>
          </cell>
        </row>
        <row r="13778">
          <cell r="B13778" t="str">
            <v>INF109KA1OW7</v>
          </cell>
          <cell r="C13778" t="str">
            <v>-</v>
          </cell>
          <cell r="D13778" t="str">
            <v>ICICI Prudential Fixed Maturity Plan-Series 73-1140 Days Plan E - Dividend</v>
          </cell>
          <cell r="E13778">
            <v>15.176600000000001</v>
          </cell>
        </row>
        <row r="13779">
          <cell r="B13779" t="str">
            <v>INF109KB1JB0</v>
          </cell>
          <cell r="C13779" t="str">
            <v>-</v>
          </cell>
          <cell r="D13779" t="str">
            <v>ICICI Prudential Fixed Maturity Plan - Series 74 - 368 Days Plan Y Cumulative Option</v>
          </cell>
          <cell r="E13779">
            <v>12.8363</v>
          </cell>
        </row>
        <row r="13780">
          <cell r="B13780" t="str">
            <v>INF109KB1JD6</v>
          </cell>
          <cell r="C13780" t="str">
            <v>-</v>
          </cell>
          <cell r="D13780" t="str">
            <v>ICICI Prudential Fixed Maturity Plan - Series 74 - 368 Days Plan Y Direct Plan Cumulative Option</v>
          </cell>
          <cell r="E13780">
            <v>12.8576</v>
          </cell>
        </row>
        <row r="13781">
          <cell r="B13781" t="str">
            <v>INF109KB1JC8</v>
          </cell>
          <cell r="C13781" t="str">
            <v>-</v>
          </cell>
          <cell r="D13781" t="str">
            <v>ICICI Prudential Fixed Maturity Plan - Series 74 - 368 Days Plan Y Dividend Option</v>
          </cell>
          <cell r="E13781">
            <v>12.5419</v>
          </cell>
        </row>
        <row r="13782">
          <cell r="B13782" t="str">
            <v>INF109KB1JJ3</v>
          </cell>
          <cell r="C13782" t="str">
            <v>-</v>
          </cell>
          <cell r="D13782" t="str">
            <v>ICICI Prudential Fixed Maturity Plan - Series 74 - 370 Days Plan X Cumulative Option</v>
          </cell>
          <cell r="E13782">
            <v>12.8787</v>
          </cell>
        </row>
        <row r="13783">
          <cell r="B13783" t="str">
            <v>INF109KB1JL9</v>
          </cell>
          <cell r="C13783" t="str">
            <v>-</v>
          </cell>
          <cell r="D13783" t="str">
            <v>ICICI Prudential Fixed Maturity Plan - Series 74 - 370 Days Plan X Direct Plan Cumulative Option</v>
          </cell>
          <cell r="E13783">
            <v>12.8994</v>
          </cell>
        </row>
        <row r="13784">
          <cell r="B13784" t="str">
            <v>INF109KB1JM7</v>
          </cell>
          <cell r="C13784" t="str">
            <v>-</v>
          </cell>
          <cell r="D13784" t="str">
            <v>ICICI Prudential Fixed Maturity Plan - Series 74 - 370 Days Plan X Direct Plan Dividend Option</v>
          </cell>
          <cell r="E13784">
            <v>10.6944</v>
          </cell>
        </row>
        <row r="13785">
          <cell r="B13785" t="str">
            <v>INF109KB1JK1</v>
          </cell>
          <cell r="C13785" t="str">
            <v>-</v>
          </cell>
          <cell r="D13785" t="str">
            <v>ICICI Prudential Fixed Maturity Plan - Series 74 - 370 Days Plan X Dividend Option</v>
          </cell>
          <cell r="E13785">
            <v>12.5777</v>
          </cell>
        </row>
        <row r="13786">
          <cell r="B13786" t="str">
            <v>INF109KA1WP4</v>
          </cell>
          <cell r="C13786" t="str">
            <v>-</v>
          </cell>
          <cell r="D13786" t="str">
            <v>ICICI Prudential Fixed Maturity Plan - Series 74 - 9 Years Plan U Direct Plan IDCW Option</v>
          </cell>
          <cell r="E13786">
            <v>19.251799999999999</v>
          </cell>
        </row>
        <row r="13787">
          <cell r="B13787" t="str">
            <v>INF109KA1WO7</v>
          </cell>
          <cell r="C13787" t="str">
            <v>-</v>
          </cell>
          <cell r="D13787" t="str">
            <v>ICICI Prudential Fixed Maturity Plan - Series 74 -9 Years Plan U Direct Plan Cumulative Option</v>
          </cell>
          <cell r="E13787">
            <v>19.3019</v>
          </cell>
        </row>
        <row r="13788">
          <cell r="B13788" t="str">
            <v>INF109KA1WM1</v>
          </cell>
          <cell r="C13788" t="str">
            <v>-</v>
          </cell>
          <cell r="D13788" t="str">
            <v>ICICI Prudential Fixed Maturity Plan -Series 74 -9 Years Plan U Cumulative Option</v>
          </cell>
          <cell r="E13788">
            <v>18.871200000000002</v>
          </cell>
        </row>
        <row r="13789">
          <cell r="B13789" t="str">
            <v>INF109KA1WN9</v>
          </cell>
          <cell r="C13789" t="str">
            <v>-</v>
          </cell>
          <cell r="D13789" t="str">
            <v>ICICI Prudential Fixed Maturity Plan -Series 74 -9 Years Plan U IDCW Option</v>
          </cell>
          <cell r="E13789">
            <v>18.821100000000001</v>
          </cell>
        </row>
        <row r="13790">
          <cell r="B13790" t="str">
            <v>INF109KA1K23</v>
          </cell>
          <cell r="C13790" t="str">
            <v>-</v>
          </cell>
          <cell r="D13790" t="str">
            <v>ICICI Prudential Fixed Maturity Plan - Series 75 - 1100 Days Plan F Cumulative Option</v>
          </cell>
          <cell r="E13790">
            <v>12.795400000000001</v>
          </cell>
        </row>
        <row r="13791">
          <cell r="B13791" t="str">
            <v>INF109KA1K49</v>
          </cell>
          <cell r="C13791" t="str">
            <v>-</v>
          </cell>
          <cell r="D13791" t="str">
            <v>ICICI Prudential Fixed Maturity Plan - Series 75 - 1100 Days Plan F Direct Plan Cumulative Option</v>
          </cell>
          <cell r="E13791">
            <v>12.9473</v>
          </cell>
        </row>
        <row r="13792">
          <cell r="B13792" t="str">
            <v>INF109KA1K31</v>
          </cell>
          <cell r="C13792" t="str">
            <v>-</v>
          </cell>
          <cell r="D13792" t="str">
            <v>ICICI Prudential Fixed Maturity Plan - Series 75 - 1100 Days Plan F Dividend Option</v>
          </cell>
          <cell r="E13792">
            <v>12.795400000000001</v>
          </cell>
        </row>
        <row r="13793">
          <cell r="B13793" t="str">
            <v>INF109KA1K64</v>
          </cell>
          <cell r="C13793" t="str">
            <v>-</v>
          </cell>
          <cell r="D13793" t="str">
            <v>ICICI Prudential Fixed Maturity Plan - Series 75 - 1100 Days Plan G Cumulative Option</v>
          </cell>
          <cell r="E13793">
            <v>13.19</v>
          </cell>
        </row>
        <row r="13794">
          <cell r="B13794" t="str">
            <v>INF109KA1K80</v>
          </cell>
          <cell r="C13794" t="str">
            <v>-</v>
          </cell>
          <cell r="D13794" t="str">
            <v>ICICI Prudential Fixed Maturity Plan - Series 75 - 1100 Days Plan G Direct Plan Cumulative Option</v>
          </cell>
          <cell r="E13794">
            <v>13.343500000000001</v>
          </cell>
        </row>
        <row r="13795">
          <cell r="B13795" t="str">
            <v>INF109KA1K98</v>
          </cell>
          <cell r="C13795" t="str">
            <v>-</v>
          </cell>
          <cell r="D13795" t="str">
            <v>ICICI Prudential Fixed Maturity Plan - Series 75 - 1100 Days Plan G Direct Plan Dividend Option</v>
          </cell>
          <cell r="E13795">
            <v>13.343500000000001</v>
          </cell>
        </row>
        <row r="13796">
          <cell r="B13796" t="str">
            <v>INF109KA1K72</v>
          </cell>
          <cell r="C13796" t="str">
            <v>-</v>
          </cell>
          <cell r="D13796" t="str">
            <v>ICICI Prudential Fixed Maturity Plan - Series 75 - 1100 Days Plan G Dividend Option</v>
          </cell>
          <cell r="E13796">
            <v>13.19</v>
          </cell>
        </row>
        <row r="13797">
          <cell r="B13797" t="str">
            <v>INF109KA1P69</v>
          </cell>
          <cell r="C13797" t="str">
            <v>-</v>
          </cell>
          <cell r="D13797" t="str">
            <v>ICICI Prudential Fixed Maturity Plan - Series 75 - 1100 Days Plan H Cumulative Option</v>
          </cell>
          <cell r="E13797">
            <v>12.791</v>
          </cell>
        </row>
        <row r="13798">
          <cell r="B13798" t="str">
            <v>INF109KA1P85</v>
          </cell>
          <cell r="C13798" t="str">
            <v>-</v>
          </cell>
          <cell r="D13798" t="str">
            <v>ICICI Prudential Fixed Maturity Plan - Series 75 - 1100 Days Plan H Direct Plan Cumulative Option</v>
          </cell>
          <cell r="E13798">
            <v>12.934799999999999</v>
          </cell>
        </row>
        <row r="13799">
          <cell r="B13799" t="str">
            <v>INF109KA1P93</v>
          </cell>
          <cell r="C13799" t="str">
            <v>-</v>
          </cell>
          <cell r="D13799" t="str">
            <v>ICICI Prudential Fixed Maturity Plan - Series 75 - 1100 Days Plan H Direct Plan Dividend Option</v>
          </cell>
          <cell r="E13799">
            <v>12.934799999999999</v>
          </cell>
        </row>
        <row r="13800">
          <cell r="B13800" t="str">
            <v>INF109KA1P77</v>
          </cell>
          <cell r="C13800" t="str">
            <v>-</v>
          </cell>
          <cell r="D13800" t="str">
            <v>ICICI Prudential Fixed Maturity Plan - Series 75 - 1100 Days Plan H Dividend Option</v>
          </cell>
          <cell r="E13800">
            <v>12.791</v>
          </cell>
        </row>
        <row r="13801">
          <cell r="B13801" t="str">
            <v>INF109KA1R26</v>
          </cell>
          <cell r="C13801" t="str">
            <v>-</v>
          </cell>
          <cell r="D13801" t="str">
            <v>ICICI Prudential Fixed Maturity Plan - Series 75 - 1100 Days Plan I Cumulative Option</v>
          </cell>
          <cell r="E13801">
            <v>13.179500000000001</v>
          </cell>
        </row>
        <row r="13802">
          <cell r="B13802" t="str">
            <v>INF109KA1R42</v>
          </cell>
          <cell r="C13802" t="str">
            <v>-</v>
          </cell>
          <cell r="D13802" t="str">
            <v>ICICI Prudential Fixed Maturity Plan - Series 75 - 1100 Days Plan I Direct Plan Cumulative Option</v>
          </cell>
          <cell r="E13802">
            <v>13.3409</v>
          </cell>
        </row>
        <row r="13803">
          <cell r="B13803" t="str">
            <v>INF109KA1R59</v>
          </cell>
          <cell r="C13803" t="str">
            <v>-</v>
          </cell>
          <cell r="D13803" t="str">
            <v>ICICI Prudential Fixed Maturity Plan - Series 75 - 1100 Days Plan I Direct Plan Dividend Option</v>
          </cell>
          <cell r="E13803">
            <v>13.3409</v>
          </cell>
        </row>
        <row r="13804">
          <cell r="B13804" t="str">
            <v>INF109KA1R34</v>
          </cell>
          <cell r="C13804" t="str">
            <v>-</v>
          </cell>
          <cell r="D13804" t="str">
            <v>ICICI Prudential Fixed Maturity Plan - Series 75 - 1100 Days Plan I Dividend Option</v>
          </cell>
          <cell r="E13804">
            <v>13.179500000000001</v>
          </cell>
        </row>
        <row r="13805">
          <cell r="B13805" t="str">
            <v>INF109KA1T40</v>
          </cell>
          <cell r="C13805" t="str">
            <v>-</v>
          </cell>
          <cell r="D13805" t="str">
            <v>ICICI Prudential Fixed Maturity Plan - Series 75 - 1100 Days Plan J Cumulative Option</v>
          </cell>
          <cell r="E13805">
            <v>12.7677</v>
          </cell>
        </row>
        <row r="13806">
          <cell r="B13806" t="str">
            <v>INF109KA1T65</v>
          </cell>
          <cell r="C13806" t="str">
            <v>-</v>
          </cell>
          <cell r="D13806" t="str">
            <v>ICICI Prudential Fixed Maturity Plan - Series 75 - 1100 Days Plan J Direct Plan Cumulative Option</v>
          </cell>
          <cell r="E13806">
            <v>12.897399999999999</v>
          </cell>
        </row>
        <row r="13807">
          <cell r="B13807" t="str">
            <v>INF109KA1T73</v>
          </cell>
          <cell r="C13807" t="str">
            <v>-</v>
          </cell>
          <cell r="D13807" t="str">
            <v>ICICI Prudential Fixed Maturity Plan - Series 75 - 1100 Days Plan J Direct Plan Dividend Option</v>
          </cell>
          <cell r="E13807">
            <v>12.897399999999999</v>
          </cell>
        </row>
        <row r="13808">
          <cell r="B13808" t="str">
            <v>INF109KA1T57</v>
          </cell>
          <cell r="C13808" t="str">
            <v>-</v>
          </cell>
          <cell r="D13808" t="str">
            <v>ICICI Prudential Fixed Maturity Plan - Series 75 - 1100 Days Plan J Dividend Option</v>
          </cell>
          <cell r="E13808">
            <v>12.7677</v>
          </cell>
        </row>
        <row r="13809">
          <cell r="B13809" t="str">
            <v>INF109KA18A3</v>
          </cell>
          <cell r="C13809" t="str">
            <v>-</v>
          </cell>
          <cell r="D13809" t="str">
            <v>ICICI Prudential Fixed Maturity Plan - Series 75 - 1100 Days Plan N Cumulative Option</v>
          </cell>
          <cell r="E13809">
            <v>12.8283</v>
          </cell>
        </row>
        <row r="13810">
          <cell r="B13810" t="str">
            <v>INF109KA10B8</v>
          </cell>
          <cell r="C13810" t="str">
            <v>-</v>
          </cell>
          <cell r="D13810" t="str">
            <v>ICICI Prudential Fixed Maturity Plan - Series 75 - 1100 Days Plan N Direct Plan Cumulative Option</v>
          </cell>
          <cell r="E13810">
            <v>12.849</v>
          </cell>
        </row>
        <row r="13811">
          <cell r="B13811" t="str">
            <v>INF109KA19A1</v>
          </cell>
          <cell r="C13811" t="str">
            <v>-</v>
          </cell>
          <cell r="D13811" t="str">
            <v>ICICI Prudential Fixed Maturity Plan - Series 75 - 1100 Days Plan N Dividend Option</v>
          </cell>
          <cell r="E13811">
            <v>12.8283</v>
          </cell>
        </row>
        <row r="13812">
          <cell r="B13812" t="str">
            <v>INF109KA12B4</v>
          </cell>
          <cell r="C13812" t="str">
            <v>-</v>
          </cell>
          <cell r="D13812" t="str">
            <v>ICICI Prudential Fixed Maturity Plan - Series 75 - 1100 Days Plan O Cumulative Option</v>
          </cell>
          <cell r="E13812">
            <v>12.8438</v>
          </cell>
        </row>
        <row r="13813">
          <cell r="B13813" t="str">
            <v>INF109KA14B0</v>
          </cell>
          <cell r="C13813" t="str">
            <v>-</v>
          </cell>
          <cell r="D13813" t="str">
            <v>ICICI Prudential Fixed Maturity Plan - Series 75 - 1100 Days Plan O Direct Plan Cumulative Option</v>
          </cell>
          <cell r="E13813">
            <v>12.867599999999999</v>
          </cell>
        </row>
        <row r="13814">
          <cell r="B13814" t="str">
            <v>INF109KA13B2</v>
          </cell>
          <cell r="C13814" t="str">
            <v>-</v>
          </cell>
          <cell r="D13814" t="str">
            <v>ICICI Prudential Fixed Maturity Plan - Series 75 - 1100 Days Plan O Dividend Option</v>
          </cell>
          <cell r="E13814">
            <v>12.8438</v>
          </cell>
        </row>
        <row r="13815">
          <cell r="B13815" t="str">
            <v>INF109KA10E2</v>
          </cell>
          <cell r="C13815" t="str">
            <v>-</v>
          </cell>
          <cell r="D13815" t="str">
            <v>ICICI Prudential Fixed Maturity Plan - Series 75 - 1100 Days Plan Q Cumulative Option</v>
          </cell>
          <cell r="E13815">
            <v>13.001200000000001</v>
          </cell>
        </row>
        <row r="13816">
          <cell r="B13816" t="str">
            <v>INF109KA12E8</v>
          </cell>
          <cell r="C13816" t="str">
            <v>-</v>
          </cell>
          <cell r="D13816" t="str">
            <v>ICICI Prudential Fixed Maturity Plan - Series 75 - 1100 Days Plan Q Direct Plan Cumulative Option</v>
          </cell>
          <cell r="E13816">
            <v>13.151300000000001</v>
          </cell>
        </row>
        <row r="13817">
          <cell r="B13817" t="str">
            <v>INF109KA13E6</v>
          </cell>
          <cell r="C13817" t="str">
            <v>-</v>
          </cell>
          <cell r="D13817" t="str">
            <v>ICICI Prudential Fixed Maturity Plan - Series 75 - 1100 Days Plan Q Direct Plan Dividend Option</v>
          </cell>
          <cell r="E13817">
            <v>13.151300000000001</v>
          </cell>
        </row>
        <row r="13818">
          <cell r="B13818" t="str">
            <v>INF109KA11E0</v>
          </cell>
          <cell r="C13818" t="str">
            <v>-</v>
          </cell>
          <cell r="D13818" t="str">
            <v>ICICI Prudential Fixed Maturity Plan - Series 75 - 1100 Days Plan Q Dividend Option</v>
          </cell>
          <cell r="E13818">
            <v>13.001200000000001</v>
          </cell>
        </row>
        <row r="13819">
          <cell r="B13819" t="str">
            <v>INF109KA18E5</v>
          </cell>
          <cell r="C13819" t="str">
            <v>-</v>
          </cell>
          <cell r="D13819" t="str">
            <v>ICICI Prudential Fixed Maturity Plan - Series 75 - 1100 Days Plan R Cumulative Option</v>
          </cell>
          <cell r="E13819">
            <v>12.7936</v>
          </cell>
        </row>
        <row r="13820">
          <cell r="B13820" t="str">
            <v>INF109KA10F9</v>
          </cell>
          <cell r="C13820" t="str">
            <v>-</v>
          </cell>
          <cell r="D13820" t="str">
            <v>ICICI Prudential Fixed Maturity Plan - Series 75 - 1100 Days Plan R Direct Plan Cumulative Option</v>
          </cell>
          <cell r="E13820">
            <v>12.8085</v>
          </cell>
        </row>
        <row r="13821">
          <cell r="B13821" t="str">
            <v>INF109KA19E3</v>
          </cell>
          <cell r="C13821" t="str">
            <v>-</v>
          </cell>
          <cell r="D13821" t="str">
            <v>ICICI Prudential Fixed Maturity Plan - Series 75 - 1100 Days Plan R Dividend Option</v>
          </cell>
          <cell r="E13821">
            <v>12.7936</v>
          </cell>
        </row>
        <row r="13822">
          <cell r="B13822" t="str">
            <v>INF109KA14F1</v>
          </cell>
          <cell r="C13822" t="str">
            <v>-</v>
          </cell>
          <cell r="D13822" t="str">
            <v>ICICI Prudential Fixed Maturity Plan - Series 75 - 1100 Days Plan T Cumulative Option</v>
          </cell>
          <cell r="E13822">
            <v>12.744</v>
          </cell>
        </row>
        <row r="13823">
          <cell r="B13823" t="str">
            <v>INF109KA12F5</v>
          </cell>
          <cell r="C13823" t="str">
            <v>-</v>
          </cell>
          <cell r="D13823" t="str">
            <v>ICICI Prudential Fixed Maturity Plan - Series 75 - 1100 Days Plan T Direct Plan Cumulative Option</v>
          </cell>
          <cell r="E13823">
            <v>12.7614</v>
          </cell>
        </row>
        <row r="13824">
          <cell r="B13824" t="str">
            <v>INF109KA15F8</v>
          </cell>
          <cell r="C13824" t="str">
            <v>-</v>
          </cell>
          <cell r="D13824" t="str">
            <v>ICICI Prudential Fixed Maturity Plan - Series 75 - 1100 Days Plan T Dividend Option</v>
          </cell>
          <cell r="E13824">
            <v>12.744</v>
          </cell>
        </row>
        <row r="13825">
          <cell r="B13825" t="str">
            <v>INF109KA1V87</v>
          </cell>
          <cell r="C13825" t="str">
            <v>-</v>
          </cell>
          <cell r="D13825" t="str">
            <v>ICICI Prudential Fixed Maturity Plan - Series 75 - 1103 Days Plan L Cumulative Option</v>
          </cell>
          <cell r="E13825">
            <v>13.077</v>
          </cell>
        </row>
        <row r="13826">
          <cell r="B13826" t="str">
            <v>INF109KA1W03</v>
          </cell>
          <cell r="C13826" t="str">
            <v>-</v>
          </cell>
          <cell r="D13826" t="str">
            <v>ICICI Prudential Fixed Maturity Plan - Series 75 - 1103 Days Plan L Direct Plan Cumulative Option</v>
          </cell>
          <cell r="E13826">
            <v>13.210599999999999</v>
          </cell>
        </row>
        <row r="13827">
          <cell r="B13827" t="str">
            <v>INF109KA1W11</v>
          </cell>
          <cell r="C13827" t="str">
            <v>-</v>
          </cell>
          <cell r="D13827" t="str">
            <v>ICICI Prudential Fixed Maturity Plan - Series 75 - 1103 Days Plan L Direct Plan Dividend Option</v>
          </cell>
          <cell r="E13827">
            <v>13.210599999999999</v>
          </cell>
        </row>
        <row r="13828">
          <cell r="B13828" t="str">
            <v>INF109KA1V95</v>
          </cell>
          <cell r="C13828" t="str">
            <v>-</v>
          </cell>
          <cell r="D13828" t="str">
            <v>ICICI Prudential Fixed Maturity Plan - Series 75 - 1103 Days Plan L Dividend Option</v>
          </cell>
          <cell r="E13828">
            <v>13.077</v>
          </cell>
        </row>
        <row r="13829">
          <cell r="B13829" t="str">
            <v>INF109KA16D1</v>
          </cell>
          <cell r="C13829" t="str">
            <v>-</v>
          </cell>
          <cell r="D13829" t="str">
            <v>ICICI Prudential Fixed Maturity Plan - Series 75 - 1103 Days Plan P Cumulative Option</v>
          </cell>
          <cell r="E13829">
            <v>12.7197</v>
          </cell>
        </row>
        <row r="13830">
          <cell r="B13830" t="str">
            <v>INF109KA18D7</v>
          </cell>
          <cell r="C13830" t="str">
            <v>-</v>
          </cell>
          <cell r="D13830" t="str">
            <v>ICICI Prudential Fixed Maturity Plan - Series 75 - 1103 Days Plan P Direct Plan Cumulative Option</v>
          </cell>
          <cell r="E13830">
            <v>12.7837</v>
          </cell>
        </row>
        <row r="13831">
          <cell r="B13831" t="str">
            <v>INF109KA19D5</v>
          </cell>
          <cell r="C13831" t="str">
            <v>-</v>
          </cell>
          <cell r="D13831" t="str">
            <v>ICICI Prudential Fixed Maturity Plan - Series 75 - 1103 Days Plan P Direct Plan Dividend Option</v>
          </cell>
          <cell r="E13831">
            <v>12.7837</v>
          </cell>
        </row>
        <row r="13832">
          <cell r="B13832" t="str">
            <v>INF109KA17D9</v>
          </cell>
          <cell r="C13832" t="str">
            <v>-</v>
          </cell>
          <cell r="D13832" t="str">
            <v>ICICI Prudential Fixed Maturity Plan - Series 75 - 1103 Days Plan P Dividend Option</v>
          </cell>
          <cell r="E13832">
            <v>12.7197</v>
          </cell>
        </row>
        <row r="13833">
          <cell r="B13833" t="str">
            <v>INF109KA12H1</v>
          </cell>
          <cell r="C13833" t="str">
            <v>-</v>
          </cell>
          <cell r="D13833" t="str">
            <v>ICICI Prudential Fixed Maturity Plan - Series 75 - 1246 Days Plan U Cumulative Option</v>
          </cell>
          <cell r="E13833">
            <v>13.721399999999999</v>
          </cell>
        </row>
        <row r="13834">
          <cell r="B13834" t="str">
            <v>INF109KA14H7</v>
          </cell>
          <cell r="C13834" t="str">
            <v>-</v>
          </cell>
          <cell r="D13834" t="str">
            <v>ICICI Prudential Fixed Maturity Plan - Series 75 - 1246 Days Plan U Direct Plan Cumulative Option</v>
          </cell>
          <cell r="E13834">
            <v>13.9445</v>
          </cell>
        </row>
        <row r="13835">
          <cell r="B13835" t="str">
            <v>INF109KA15H4</v>
          </cell>
          <cell r="C13835" t="str">
            <v>-</v>
          </cell>
          <cell r="D13835" t="str">
            <v>ICICI Prudential Fixed Maturity Plan - Series 75 - 1246 Days Plan U Direct Plan Dividend Option</v>
          </cell>
          <cell r="E13835">
            <v>13.9445</v>
          </cell>
        </row>
        <row r="13836">
          <cell r="B13836" t="str">
            <v>INF109KA13H9</v>
          </cell>
          <cell r="C13836" t="str">
            <v>-</v>
          </cell>
          <cell r="D13836" t="str">
            <v>ICICI Prudential Fixed Maturity Plan - Series 75 - 1246 Days Plan U Dividend Option</v>
          </cell>
          <cell r="E13836">
            <v>13.721399999999999</v>
          </cell>
        </row>
        <row r="13837">
          <cell r="B13837" t="str">
            <v>INF109KA1ZQ5</v>
          </cell>
          <cell r="C13837" t="str">
            <v>-</v>
          </cell>
          <cell r="D13837" t="str">
            <v>ICICI Prudential Fixed Maturity Plan - Series 75 - 1352 Days Plan E Cumulative Option</v>
          </cell>
          <cell r="E13837">
            <v>13.6731</v>
          </cell>
        </row>
        <row r="13838">
          <cell r="B13838" t="str">
            <v>INF109KA1ZS1</v>
          </cell>
          <cell r="C13838" t="str">
            <v>-</v>
          </cell>
          <cell r="D13838" t="str">
            <v>ICICI Prudential Fixed Maturity Plan - Series 75 - 1352 Days Plan E Direct Plan Cumulative Option</v>
          </cell>
          <cell r="E13838">
            <v>13.7597</v>
          </cell>
        </row>
        <row r="13839">
          <cell r="B13839" t="str">
            <v>INF109KA1ZT9</v>
          </cell>
          <cell r="C13839" t="str">
            <v>-</v>
          </cell>
          <cell r="D13839" t="str">
            <v>ICICI Prudential Fixed Maturity Plan - Series 75 - 1352 Days Plan E Direct Plan Dividend Option</v>
          </cell>
          <cell r="E13839">
            <v>13.7597</v>
          </cell>
        </row>
        <row r="13840">
          <cell r="B13840" t="str">
            <v>INF109KA1ZR3</v>
          </cell>
          <cell r="C13840" t="str">
            <v>-</v>
          </cell>
          <cell r="D13840" t="str">
            <v>ICICI Prudential Fixed Maturity Plan - Series 75 - 1352 Days Plan E Dividend Option</v>
          </cell>
          <cell r="E13840">
            <v>13.6731</v>
          </cell>
        </row>
        <row r="13841">
          <cell r="B13841" t="str">
            <v>INF109KA12N9</v>
          </cell>
          <cell r="C13841" t="str">
            <v>-</v>
          </cell>
          <cell r="D13841" t="str">
            <v>ICICI Prudential Fixed Maturity Plan - Series 76 - 1100 Days Plan D Cumulative Option</v>
          </cell>
          <cell r="E13841">
            <v>12.662100000000001</v>
          </cell>
        </row>
        <row r="13842">
          <cell r="B13842" t="str">
            <v>INF109KA14N5</v>
          </cell>
          <cell r="C13842" t="str">
            <v>-</v>
          </cell>
          <cell r="D13842" t="str">
            <v>ICICI Prudential Fixed Maturity Plan - Series 76 - 1100 Days Plan D Direct Plan Cumulative Option</v>
          </cell>
          <cell r="E13842">
            <v>12.7577</v>
          </cell>
        </row>
        <row r="13843">
          <cell r="B13843" t="str">
            <v>INF109KA15N2</v>
          </cell>
          <cell r="C13843" t="str">
            <v>-</v>
          </cell>
          <cell r="D13843" t="str">
            <v>ICICI Prudential Fixed Maturity Plan - Series 76 - 1100 Days Plan D Direct Plan Dividend Option</v>
          </cell>
          <cell r="E13843">
            <v>12.7577</v>
          </cell>
        </row>
        <row r="13844">
          <cell r="B13844" t="str">
            <v>INF109KA13N7</v>
          </cell>
          <cell r="C13844" t="str">
            <v>-</v>
          </cell>
          <cell r="D13844" t="str">
            <v>ICICI Prudential Fixed Maturity Plan - Series 76 - 1100 Days Plan D Dividend Option</v>
          </cell>
          <cell r="E13844">
            <v>12.662100000000001</v>
          </cell>
        </row>
        <row r="13845">
          <cell r="B13845" t="str">
            <v>INF109KA16R1</v>
          </cell>
          <cell r="C13845" t="str">
            <v>-</v>
          </cell>
          <cell r="D13845" t="str">
            <v>ICICI Prudential Fixed Maturity Plan - Series 76 - 1100 Days Plan G Cumulative Option</v>
          </cell>
          <cell r="E13845">
            <v>12.613099999999999</v>
          </cell>
        </row>
        <row r="13846">
          <cell r="B13846" t="str">
            <v>INF109KA15S1</v>
          </cell>
          <cell r="C13846" t="str">
            <v>-</v>
          </cell>
          <cell r="D13846" t="str">
            <v>ICICI Prudential Fixed Maturity Plan - Series 76 - 1100 Days Plan G Direct Plan Cumulative Option</v>
          </cell>
          <cell r="E13846">
            <v>12.6807</v>
          </cell>
        </row>
        <row r="13847">
          <cell r="B13847" t="str">
            <v>INF109KA17R9</v>
          </cell>
          <cell r="C13847" t="str">
            <v>-</v>
          </cell>
          <cell r="D13847" t="str">
            <v>ICICI Prudential Fixed Maturity Plan - Series 76 - 1100 Days Plan G Dividend Option</v>
          </cell>
          <cell r="E13847">
            <v>12.613099999999999</v>
          </cell>
        </row>
        <row r="13848">
          <cell r="B13848" t="str">
            <v>INF109KB1359</v>
          </cell>
          <cell r="C13848" t="str">
            <v>-</v>
          </cell>
          <cell r="D13848" t="str">
            <v>ICICI Prudential Fixed Maturity Plan - Series 76 - 1100 Days Plan T Cumulative Option</v>
          </cell>
          <cell r="E13848">
            <v>12.6608</v>
          </cell>
        </row>
        <row r="13849">
          <cell r="B13849" t="str">
            <v>INF109KB1375</v>
          </cell>
          <cell r="C13849" t="str">
            <v>-</v>
          </cell>
          <cell r="D13849" t="str">
            <v>ICICI Prudential Fixed Maturity Plan - Series 76 - 1100 Days Plan T Direct Plan Cumulative Option</v>
          </cell>
          <cell r="E13849">
            <v>12.744999999999999</v>
          </cell>
        </row>
        <row r="13850">
          <cell r="B13850" t="str">
            <v>INF109KB1367</v>
          </cell>
          <cell r="C13850" t="str">
            <v>-</v>
          </cell>
          <cell r="D13850" t="str">
            <v>ICICI Prudential Fixed Maturity Plan - Series 76 - 1100 Days Plan T Dividend Option</v>
          </cell>
          <cell r="E13850">
            <v>12.6608</v>
          </cell>
        </row>
        <row r="13851">
          <cell r="B13851" t="str">
            <v>INF109KA14Q8</v>
          </cell>
          <cell r="C13851" t="str">
            <v>-</v>
          </cell>
          <cell r="D13851" t="str">
            <v>ICICI Prudential Fixed Maturity Plan - Series 76 - 1103 Days Plan F Cumulative option</v>
          </cell>
          <cell r="E13851">
            <v>12.6341</v>
          </cell>
        </row>
        <row r="13852">
          <cell r="B13852" t="str">
            <v>INF109KA16Q3</v>
          </cell>
          <cell r="C13852" t="str">
            <v>-</v>
          </cell>
          <cell r="D13852" t="str">
            <v>ICICI Prudential Fixed Maturity Plan - Series 76 - 1103 Days Plan F Direct Plan Cumulative Option</v>
          </cell>
          <cell r="E13852">
            <v>12.7026</v>
          </cell>
        </row>
        <row r="13853">
          <cell r="B13853" t="str">
            <v>INF109KA17Q1</v>
          </cell>
          <cell r="C13853" t="str">
            <v>-</v>
          </cell>
          <cell r="D13853" t="str">
            <v>ICICI Prudential Fixed Maturity Plan - Series 76 - 1103 Days Plan F Direct Plan Dividend Option</v>
          </cell>
          <cell r="E13853">
            <v>12.7026</v>
          </cell>
        </row>
        <row r="13854">
          <cell r="B13854" t="str">
            <v>INF109KA15Q5</v>
          </cell>
          <cell r="C13854" t="str">
            <v>-</v>
          </cell>
          <cell r="D13854" t="str">
            <v>ICICI Prudential Fixed Maturity Plan - Series 76 - 1103 Days Plan F Dividend Option</v>
          </cell>
          <cell r="E13854">
            <v>12.6341</v>
          </cell>
        </row>
        <row r="13855">
          <cell r="B13855" t="str">
            <v>INF109KB1672</v>
          </cell>
          <cell r="C13855" t="str">
            <v>-</v>
          </cell>
          <cell r="D13855" t="str">
            <v>ICICI Prudential Fixed Maturity Plan - Series 76 - 1108 Days Plan V Cumulative Option</v>
          </cell>
          <cell r="E13855">
            <v>12.5768</v>
          </cell>
        </row>
        <row r="13856">
          <cell r="B13856" t="str">
            <v>INF109KB1698</v>
          </cell>
          <cell r="C13856" t="str">
            <v>-</v>
          </cell>
          <cell r="D13856" t="str">
            <v>ICICI Prudential Fixed Maturity Plan - Series 76 - 1108 Days Plan V Direct Plan Cumulative Option</v>
          </cell>
          <cell r="E13856">
            <v>12.712899999999999</v>
          </cell>
        </row>
        <row r="13857">
          <cell r="B13857" t="str">
            <v>INF109KB1680</v>
          </cell>
          <cell r="C13857" t="str">
            <v>-</v>
          </cell>
          <cell r="D13857" t="str">
            <v>ICICI Prudential Fixed Maturity Plan - Series 76 - 1108 Days Plan V Dividend Option</v>
          </cell>
          <cell r="E13857">
            <v>12.5768</v>
          </cell>
        </row>
        <row r="13858">
          <cell r="B13858" t="str">
            <v>INF109KB1391</v>
          </cell>
          <cell r="C13858" t="str">
            <v>-</v>
          </cell>
          <cell r="D13858" t="str">
            <v>ICICI Prudential Fixed Maturity Plan - Series 76 - 1120 Days Plan U Cumulative Option</v>
          </cell>
          <cell r="E13858">
            <v>12.674200000000001</v>
          </cell>
        </row>
        <row r="13859">
          <cell r="B13859" t="str">
            <v>INF109KB1417</v>
          </cell>
          <cell r="C13859" t="str">
            <v>-</v>
          </cell>
          <cell r="D13859" t="str">
            <v>ICICI Prudential Fixed Maturity Plan - Series 76 - 1120 Days Plan U Direct Plan Cumulative Option</v>
          </cell>
          <cell r="E13859">
            <v>12.7593</v>
          </cell>
        </row>
        <row r="13860">
          <cell r="B13860" t="str">
            <v>INF109KB1409</v>
          </cell>
          <cell r="C13860" t="str">
            <v>-</v>
          </cell>
          <cell r="D13860" t="str">
            <v>ICICI Prudential Fixed Maturity Plan - Series 76 - 1120 Days Plan U Dividend Option</v>
          </cell>
          <cell r="E13860">
            <v>12.674200000000001</v>
          </cell>
        </row>
        <row r="13861">
          <cell r="B13861" t="str">
            <v>INF109KB1953</v>
          </cell>
          <cell r="C13861" t="str">
            <v>-</v>
          </cell>
          <cell r="D13861" t="str">
            <v>ICICI Prudential Fixed Maturity Plan - Series 76 - 1127 Days Plan W Cumulative Option</v>
          </cell>
          <cell r="E13861">
            <v>12.7136</v>
          </cell>
        </row>
        <row r="13862">
          <cell r="B13862" t="str">
            <v>INF109KB1979</v>
          </cell>
          <cell r="C13862" t="str">
            <v>-</v>
          </cell>
          <cell r="D13862" t="str">
            <v>ICICI Prudential Fixed Maturity Plan - Series 76 - 1127 Days Plan W Direct Plan Cumulative Option</v>
          </cell>
          <cell r="E13862">
            <v>12.747299999999999</v>
          </cell>
        </row>
        <row r="13863">
          <cell r="B13863" t="str">
            <v>INF109KB1987</v>
          </cell>
          <cell r="C13863" t="str">
            <v>-</v>
          </cell>
          <cell r="D13863" t="str">
            <v>ICICI Prudential Fixed Maturity Plan - Series 76 - 1127 Days Plan W Direct Plan Dividend Option</v>
          </cell>
          <cell r="E13863">
            <v>12.747299999999999</v>
          </cell>
        </row>
        <row r="13864">
          <cell r="B13864" t="str">
            <v>INF109KB1961</v>
          </cell>
          <cell r="C13864" t="str">
            <v>-</v>
          </cell>
          <cell r="D13864" t="str">
            <v>ICICI Prudential Fixed Maturity Plan - Series 76 - 1127 Days Plan W Dividend Option</v>
          </cell>
          <cell r="E13864">
            <v>12.7136</v>
          </cell>
        </row>
        <row r="13865">
          <cell r="B13865" t="str">
            <v>INF109KB1219</v>
          </cell>
          <cell r="C13865" t="str">
            <v>-</v>
          </cell>
          <cell r="D13865" t="str">
            <v>ICICI Prudential Fixed Maturity Plan - Series 76 - 1132 Days Plan P Cumulative Option</v>
          </cell>
          <cell r="E13865">
            <v>12.7278</v>
          </cell>
        </row>
        <row r="13866">
          <cell r="B13866" t="str">
            <v>INF109KB1235</v>
          </cell>
          <cell r="C13866" t="str">
            <v>-</v>
          </cell>
          <cell r="D13866" t="str">
            <v>ICICI Prudential Fixed Maturity Plan - Series 76 - 1132 Days Plan P Direct Plan Cumulative Option</v>
          </cell>
          <cell r="E13866">
            <v>12.8146</v>
          </cell>
        </row>
        <row r="13867">
          <cell r="B13867" t="str">
            <v>INF109KB1BF8</v>
          </cell>
          <cell r="C13867" t="str">
            <v>-</v>
          </cell>
          <cell r="D13867" t="str">
            <v>ICICI Prudential Fixed Maturity Plan - Series 76 - 1134 Days Plan Y Cumulative Option</v>
          </cell>
          <cell r="E13867">
            <v>12.699</v>
          </cell>
        </row>
        <row r="13868">
          <cell r="B13868" t="str">
            <v>INF109KB1BH4</v>
          </cell>
          <cell r="C13868" t="str">
            <v>-</v>
          </cell>
          <cell r="D13868" t="str">
            <v>ICICI Prudential Fixed Maturity Plan - Series 76 - 1134 Days Plan Y Direct Plan Cumulative Option</v>
          </cell>
          <cell r="E13868">
            <v>12.7384</v>
          </cell>
        </row>
        <row r="13869">
          <cell r="B13869" t="str">
            <v>INF109KB1BG6</v>
          </cell>
          <cell r="C13869" t="str">
            <v>-</v>
          </cell>
          <cell r="D13869" t="str">
            <v>ICICI Prudential Fixed Maturity Plan - Series 76 - 1134 Days Plan Y Dividend Option</v>
          </cell>
          <cell r="E13869">
            <v>12.699</v>
          </cell>
        </row>
        <row r="13870">
          <cell r="B13870" t="str">
            <v>INF109KB1BB7</v>
          </cell>
          <cell r="C13870" t="str">
            <v>-</v>
          </cell>
          <cell r="D13870" t="str">
            <v>ICICI Prudential Fixed Maturity Plan - Series 76 - 1135 Days Plan Z Cumulative Option</v>
          </cell>
          <cell r="E13870">
            <v>12.669</v>
          </cell>
        </row>
        <row r="13871">
          <cell r="B13871" t="str">
            <v>INF109KB1BD3</v>
          </cell>
          <cell r="C13871" t="str">
            <v>-</v>
          </cell>
          <cell r="D13871" t="str">
            <v>ICICI Prudential Fixed Maturity Plan - Series 76 - 1135 Days Plan Z Direct Plan Cumulative Option</v>
          </cell>
          <cell r="E13871">
            <v>12.7067</v>
          </cell>
        </row>
        <row r="13872">
          <cell r="B13872" t="str">
            <v>INF109KB1BE1</v>
          </cell>
          <cell r="C13872" t="str">
            <v>-</v>
          </cell>
          <cell r="D13872" t="str">
            <v>ICICI Prudential Fixed Maturity Plan - Series 76 - 1135 Days Plan Z Direct Plan Dividend Option</v>
          </cell>
          <cell r="E13872">
            <v>12.7067</v>
          </cell>
        </row>
        <row r="13873">
          <cell r="B13873" t="str">
            <v>INF109KB1BC5</v>
          </cell>
          <cell r="C13873" t="str">
            <v>-</v>
          </cell>
          <cell r="D13873" t="str">
            <v>ICICI Prudential Fixed Maturity Plan - Series 76 - 1135 Days Plan Z Dividend Option</v>
          </cell>
          <cell r="E13873">
            <v>12.669</v>
          </cell>
        </row>
        <row r="13874">
          <cell r="B13874" t="str">
            <v>INF109KA16Y7</v>
          </cell>
          <cell r="C13874" t="str">
            <v>-</v>
          </cell>
          <cell r="D13874" t="str">
            <v>ICICI Prudential Fixed Maturity Plan - Series 76 - 1142 Days Plan M Cumulative Option</v>
          </cell>
          <cell r="E13874">
            <v>12.7896</v>
          </cell>
        </row>
        <row r="13875">
          <cell r="B13875" t="str">
            <v>INF109KA18Y3</v>
          </cell>
          <cell r="C13875" t="str">
            <v>-</v>
          </cell>
          <cell r="D13875" t="str">
            <v>ICICI Prudential Fixed Maturity Plan - Series 76 - 1142 Days Plan M Direct Plan Cumulative Option</v>
          </cell>
          <cell r="E13875">
            <v>12.8606</v>
          </cell>
        </row>
        <row r="13876">
          <cell r="B13876" t="str">
            <v>INF109KA19Y1</v>
          </cell>
          <cell r="C13876" t="str">
            <v>-</v>
          </cell>
          <cell r="D13876" t="str">
            <v>ICICI Prudential Fixed Maturity Plan - Series 76 - 1142 Days Plan M Direct Plan Dividend Option</v>
          </cell>
          <cell r="E13876">
            <v>12.8606</v>
          </cell>
        </row>
        <row r="13877">
          <cell r="B13877" t="str">
            <v>INF109KA17Y5</v>
          </cell>
          <cell r="C13877" t="str">
            <v>-</v>
          </cell>
          <cell r="D13877" t="str">
            <v>ICICI Prudential Fixed Maturity Plan - Series 76 - 1142 Days Plan M Dividend Option</v>
          </cell>
          <cell r="E13877">
            <v>12.7896</v>
          </cell>
        </row>
        <row r="13878">
          <cell r="B13878" t="str">
            <v>INF109KA14V8</v>
          </cell>
          <cell r="C13878" t="str">
            <v>-</v>
          </cell>
          <cell r="D13878" t="str">
            <v>ICICI Prudential Fixed Maturity Plan - Series 76 - 1155 Days Plan K Cumulative Option</v>
          </cell>
          <cell r="E13878">
            <v>12.8302</v>
          </cell>
        </row>
        <row r="13879">
          <cell r="B13879" t="str">
            <v>INF109KA16V3</v>
          </cell>
          <cell r="C13879" t="str">
            <v>-</v>
          </cell>
          <cell r="D13879" t="str">
            <v>ICICI Prudential Fixed Maturity Plan - Series 76 - 1155 Days Plan K Direct Plan Cumulative Option</v>
          </cell>
          <cell r="E13879">
            <v>12.902699999999999</v>
          </cell>
        </row>
        <row r="13880">
          <cell r="B13880" t="str">
            <v>INF109KA15V5</v>
          </cell>
          <cell r="C13880" t="str">
            <v>-</v>
          </cell>
          <cell r="D13880" t="str">
            <v>ICICI Prudential Fixed Maturity Plan - Series 76 - 1155 Days Plan K Dividend Option</v>
          </cell>
          <cell r="E13880">
            <v>12.8302</v>
          </cell>
        </row>
        <row r="13881">
          <cell r="B13881" t="str">
            <v>INF109KB1IT4</v>
          </cell>
          <cell r="C13881" t="str">
            <v>-</v>
          </cell>
          <cell r="D13881" t="str">
            <v>ICICI Prudential Fixed Maturity Plan - Series 77 - 1100 Days Plan L Cumulative Option</v>
          </cell>
          <cell r="E13881">
            <v>12.4381</v>
          </cell>
        </row>
        <row r="13882">
          <cell r="B13882" t="str">
            <v>INF109KB1IV0</v>
          </cell>
          <cell r="C13882" t="str">
            <v>-</v>
          </cell>
          <cell r="D13882" t="str">
            <v>ICICI Prudential Fixed Maturity Plan - Series 77 - 1100 Days Plan L Direct Plan Cumulative Option</v>
          </cell>
          <cell r="E13882">
            <v>12.5471</v>
          </cell>
        </row>
        <row r="13883">
          <cell r="B13883" t="str">
            <v>INF109KB1IW8</v>
          </cell>
          <cell r="C13883" t="str">
            <v>-</v>
          </cell>
          <cell r="D13883" t="str">
            <v>ICICI Prudential Fixed Maturity Plan - Series 77 - 1100 Days Plan L Direct Plan Dividend Option</v>
          </cell>
          <cell r="E13883">
            <v>12.5471</v>
          </cell>
        </row>
        <row r="13884">
          <cell r="B13884" t="str">
            <v>INF109KB1IU2</v>
          </cell>
          <cell r="C13884" t="str">
            <v>-</v>
          </cell>
          <cell r="D13884" t="str">
            <v>ICICI Prudential Fixed Maturity Plan - Series 77 - 1100 Days Plan L Dividend Option</v>
          </cell>
          <cell r="E13884">
            <v>12.4381</v>
          </cell>
        </row>
        <row r="13885">
          <cell r="B13885" t="str">
            <v>INF109KB1IP2</v>
          </cell>
          <cell r="C13885" t="str">
            <v>-</v>
          </cell>
          <cell r="D13885" t="str">
            <v>ICICI Prudential Fixed Maturity Plan - Series 77 - 1100 Days Plan M Cumulative Option</v>
          </cell>
          <cell r="E13885">
            <v>12.973000000000001</v>
          </cell>
        </row>
        <row r="13886">
          <cell r="B13886" t="str">
            <v>INF109KB1IR8</v>
          </cell>
          <cell r="C13886" t="str">
            <v>-</v>
          </cell>
          <cell r="D13886" t="str">
            <v>ICICI Prudential Fixed Maturity Plan - Series 77 - 1100 Days Plan M Direct Plan Cumulative Option</v>
          </cell>
          <cell r="E13886">
            <v>13.1844</v>
          </cell>
        </row>
        <row r="13887">
          <cell r="B13887" t="str">
            <v>INF109KB1IS6</v>
          </cell>
          <cell r="C13887" t="str">
            <v>-</v>
          </cell>
          <cell r="D13887" t="str">
            <v>ICICI Prudential Fixed Maturity Plan - Series 77 - 1100 Days Plan M Direct Plan Dividend Option</v>
          </cell>
          <cell r="E13887">
            <v>13.1844</v>
          </cell>
        </row>
        <row r="13888">
          <cell r="B13888" t="str">
            <v>INF109KB1IQ0</v>
          </cell>
          <cell r="C13888" t="str">
            <v>-</v>
          </cell>
          <cell r="D13888" t="str">
            <v>ICICI Prudential Fixed Maturity Plan - Series 77 - 1100 Days Plan M Dividend Option</v>
          </cell>
          <cell r="E13888">
            <v>12.973000000000001</v>
          </cell>
        </row>
        <row r="13889">
          <cell r="B13889" t="str">
            <v>INF109KB1MR0</v>
          </cell>
          <cell r="C13889" t="str">
            <v>-</v>
          </cell>
          <cell r="D13889" t="str">
            <v>ICICI Prudential Fixed Maturity Plan - Series 77 - 1129 Days Plan W Cumulative Option</v>
          </cell>
          <cell r="E13889">
            <v>12.6374</v>
          </cell>
        </row>
        <row r="13890">
          <cell r="B13890" t="str">
            <v>INF109KB1MT6</v>
          </cell>
          <cell r="C13890" t="str">
            <v>-</v>
          </cell>
          <cell r="D13890" t="str">
            <v>ICICI Prudential Fixed Maturity Plan - Series 77 - 1129 Days Plan W Direct Plan Cumulative Option</v>
          </cell>
          <cell r="E13890">
            <v>12.714399999999999</v>
          </cell>
        </row>
        <row r="13891">
          <cell r="B13891" t="str">
            <v>INF109KB1MS8</v>
          </cell>
          <cell r="C13891" t="str">
            <v>-</v>
          </cell>
          <cell r="D13891" t="str">
            <v>ICICI Prudential Fixed Maturity Plan - Series 77 - 1129 Days Plan W Dividend Option</v>
          </cell>
          <cell r="E13891">
            <v>12.6374</v>
          </cell>
        </row>
        <row r="13892">
          <cell r="B13892" t="str">
            <v>INF109KB1EL0</v>
          </cell>
          <cell r="C13892" t="str">
            <v>-</v>
          </cell>
          <cell r="D13892" t="str">
            <v>ICICI Prudential Fixed Maturity Plan - Series 77 - 1130 Days Plan D Cumulative Option</v>
          </cell>
          <cell r="E13892">
            <v>12.761900000000001</v>
          </cell>
        </row>
        <row r="13893">
          <cell r="B13893" t="str">
            <v>INF109KB1EN6</v>
          </cell>
          <cell r="C13893" t="str">
            <v>-</v>
          </cell>
          <cell r="D13893" t="str">
            <v>ICICI Prudential Fixed Maturity Plan - Series 77 - 1130 Days Plan D Direct Plan Cumulative Option</v>
          </cell>
          <cell r="E13893">
            <v>12.793699999999999</v>
          </cell>
        </row>
        <row r="13894">
          <cell r="B13894" t="str">
            <v>INF109KB1EM8</v>
          </cell>
          <cell r="C13894" t="str">
            <v>-</v>
          </cell>
          <cell r="D13894" t="str">
            <v>ICICI Prudential Fixed Maturity Plan - Series 77 - 1130 Days Plan D Dividend Option</v>
          </cell>
          <cell r="E13894">
            <v>12.761900000000001</v>
          </cell>
        </row>
        <row r="13895">
          <cell r="B13895" t="str">
            <v>INF109KB1DF4</v>
          </cell>
          <cell r="C13895" t="str">
            <v>-</v>
          </cell>
          <cell r="D13895" t="str">
            <v>ICICI Prudential Fixed Maturity Plan - Series 77 - 1132 Days Plan A Cumulative Option</v>
          </cell>
          <cell r="E13895">
            <v>12.57</v>
          </cell>
        </row>
        <row r="13896">
          <cell r="B13896" t="str">
            <v>INF109KB1DH0</v>
          </cell>
          <cell r="C13896" t="str">
            <v>-</v>
          </cell>
          <cell r="D13896" t="str">
            <v>ICICI Prudential Fixed Maturity Plan - Series 77 - 1132 Days Plan A Direct Plan Cumulative Option</v>
          </cell>
          <cell r="E13896">
            <v>12.6197</v>
          </cell>
        </row>
        <row r="13897">
          <cell r="B13897" t="str">
            <v>INF109KB1DI8</v>
          </cell>
          <cell r="C13897" t="str">
            <v>-</v>
          </cell>
          <cell r="D13897" t="str">
            <v>ICICI Prudential Fixed Maturity Plan - Series 77 - 1132 Days Plan A Direct Plan Dividend Option</v>
          </cell>
          <cell r="E13897">
            <v>12.6197</v>
          </cell>
        </row>
        <row r="13898">
          <cell r="B13898" t="str">
            <v>INF109KB1DG2</v>
          </cell>
          <cell r="C13898" t="str">
            <v>-</v>
          </cell>
          <cell r="D13898" t="str">
            <v>ICICI Prudential Fixed Maturity Plan - Series 77 - 1132 Days Plan A Dividend Option</v>
          </cell>
          <cell r="E13898">
            <v>12.57</v>
          </cell>
        </row>
        <row r="13899">
          <cell r="B13899" t="str">
            <v>INF109KB1HB4</v>
          </cell>
          <cell r="C13899" t="str">
            <v>-</v>
          </cell>
          <cell r="D13899" t="str">
            <v>ICICI Prudential Fixed Maturity Plan - Series 77 - 1134 Plan H Cumulative Option</v>
          </cell>
          <cell r="E13899">
            <v>12.668699999999999</v>
          </cell>
        </row>
        <row r="13900">
          <cell r="B13900" t="str">
            <v>INF109KB1HD0</v>
          </cell>
          <cell r="C13900" t="str">
            <v>-</v>
          </cell>
          <cell r="D13900" t="str">
            <v>ICICI Prudential Fixed Maturity Plan - Series 77 - 1134 Plan H Direct Plan Cumulative Option</v>
          </cell>
          <cell r="E13900">
            <v>12.7461</v>
          </cell>
        </row>
        <row r="13901">
          <cell r="B13901" t="str">
            <v>INF109KB1HE8</v>
          </cell>
          <cell r="C13901" t="str">
            <v>-</v>
          </cell>
          <cell r="D13901" t="str">
            <v>ICICI Prudential Fixed Maturity Plan - Series 77 - 1134 Plan H Direct Plan Dividend Option</v>
          </cell>
          <cell r="E13901">
            <v>12.7461</v>
          </cell>
        </row>
        <row r="13902">
          <cell r="B13902" t="str">
            <v>INF109KB1MF5</v>
          </cell>
          <cell r="C13902" t="str">
            <v>-</v>
          </cell>
          <cell r="D13902" t="str">
            <v>ICICI Prudential Fixed Maturity Plan - Series 77 - 1144 Days Plan T Cumulative Option</v>
          </cell>
          <cell r="E13902">
            <v>12.646599999999999</v>
          </cell>
        </row>
        <row r="13903">
          <cell r="B13903" t="str">
            <v>INF109KB1MH1</v>
          </cell>
          <cell r="C13903" t="str">
            <v>-</v>
          </cell>
          <cell r="D13903" t="str">
            <v>ICICI Prudential Fixed Maturity Plan - Series 77 - 1144 Days Plan T Direct Plan Cumulative Option</v>
          </cell>
          <cell r="E13903">
            <v>12.7281</v>
          </cell>
        </row>
        <row r="13904">
          <cell r="B13904" t="str">
            <v>INF109KB1MG3</v>
          </cell>
          <cell r="C13904" t="str">
            <v>-</v>
          </cell>
          <cell r="D13904" t="str">
            <v>ICICI Prudential Fixed Maturity Plan - Series 77 - 1144 Days Plan T Dividend Option</v>
          </cell>
          <cell r="E13904">
            <v>12.646599999999999</v>
          </cell>
        </row>
        <row r="13905">
          <cell r="B13905" t="str">
            <v>INF109KB1LZ5</v>
          </cell>
          <cell r="C13905" t="str">
            <v>-</v>
          </cell>
          <cell r="D13905" t="str">
            <v>ICICI Prudential Fixed Maturity Plan - Series 77 - 1151 Days Plan S Cumulative Option</v>
          </cell>
          <cell r="E13905">
            <v>12.6404</v>
          </cell>
        </row>
        <row r="13906">
          <cell r="B13906" t="str">
            <v>INF109KB1MB4</v>
          </cell>
          <cell r="C13906" t="str">
            <v>-</v>
          </cell>
          <cell r="D13906" t="str">
            <v>ICICI Prudential Fixed Maturity Plan - Series 77 - 1151 Days Plan S Direct Plan Cumulative Option</v>
          </cell>
          <cell r="E13906">
            <v>12.7249</v>
          </cell>
        </row>
        <row r="13907">
          <cell r="B13907" t="str">
            <v>INF109KB1MC2</v>
          </cell>
          <cell r="C13907" t="str">
            <v>-</v>
          </cell>
          <cell r="D13907" t="str">
            <v>ICICI Prudential Fixed Maturity Plan - Series 77 - 1151 Days Plan S Direct Plan Dividend Option</v>
          </cell>
          <cell r="E13907">
            <v>12.7249</v>
          </cell>
        </row>
        <row r="13908">
          <cell r="B13908" t="str">
            <v>INF109KB1MA6</v>
          </cell>
          <cell r="C13908" t="str">
            <v>-</v>
          </cell>
          <cell r="D13908" t="str">
            <v>ICICI Prudential Fixed Maturity Plan - Series 77 - 1151 Days Plan S Dividend Option</v>
          </cell>
          <cell r="E13908">
            <v>12.6404</v>
          </cell>
        </row>
        <row r="13909">
          <cell r="B13909" t="str">
            <v>INF109KB1DN8</v>
          </cell>
          <cell r="C13909" t="str">
            <v>-</v>
          </cell>
          <cell r="D13909" t="str">
            <v>ICICI Prudential Fixed Maturity Plan - Series 77 - 1473 Days Plan C Cumulative Option</v>
          </cell>
          <cell r="E13909">
            <v>13.717599999999999</v>
          </cell>
        </row>
        <row r="13910">
          <cell r="B13910" t="str">
            <v>INF109KB1DP3</v>
          </cell>
          <cell r="C13910" t="str">
            <v>-</v>
          </cell>
          <cell r="D13910" t="str">
            <v>ICICI Prudential Fixed Maturity Plan - Series 77 - 1473 Days Plan C Direct Plan Cumulative Option</v>
          </cell>
          <cell r="E13910">
            <v>13.888199999999999</v>
          </cell>
        </row>
        <row r="13911">
          <cell r="B13911" t="str">
            <v>INF109KB1DQ1</v>
          </cell>
          <cell r="C13911" t="str">
            <v>-</v>
          </cell>
          <cell r="D13911" t="str">
            <v>ICICI Prudential Fixed Maturity Plan - Series 77 - 1473 Days Plan C Direct Plan Dividend Option</v>
          </cell>
          <cell r="E13911">
            <v>13.888199999999999</v>
          </cell>
        </row>
        <row r="13912">
          <cell r="B13912" t="str">
            <v>INF109KB1DO6</v>
          </cell>
          <cell r="C13912" t="str">
            <v>-</v>
          </cell>
          <cell r="D13912" t="str">
            <v>ICICI Prudential Fixed Maturity Plan - Series 77 - 1473 Days Plan C Dividend Option</v>
          </cell>
          <cell r="E13912">
            <v>13.717599999999999</v>
          </cell>
        </row>
        <row r="13913">
          <cell r="B13913" t="str">
            <v>INF109KB1UN2</v>
          </cell>
          <cell r="C13913" t="str">
            <v>-</v>
          </cell>
          <cell r="D13913" t="str">
            <v>ICICI Prudential Fixed Maturity Plan - Series 78 - 1102 Days Plan Z Cumulative Option</v>
          </cell>
          <cell r="E13913">
            <v>12.441800000000001</v>
          </cell>
        </row>
        <row r="13914">
          <cell r="B13914" t="str">
            <v>INF109KB1UP7</v>
          </cell>
          <cell r="C13914" t="str">
            <v>-</v>
          </cell>
          <cell r="D13914" t="str">
            <v>ICICI Prudential Fixed Maturity Plan - Series 78 - 1102 Days Plan Z Direct Plan Cumulative Option</v>
          </cell>
          <cell r="E13914">
            <v>12.5487</v>
          </cell>
        </row>
        <row r="13915">
          <cell r="B13915" t="str">
            <v>INF109KB1UQ5</v>
          </cell>
          <cell r="C13915" t="str">
            <v>-</v>
          </cell>
          <cell r="D13915" t="str">
            <v>ICICI Prudential Fixed Maturity Plan - Series 78 - 1102 Days Plan Z Direct Plan Dividend Option</v>
          </cell>
          <cell r="E13915">
            <v>12.5487</v>
          </cell>
        </row>
        <row r="13916">
          <cell r="B13916" t="str">
            <v>INF109KB1UO0</v>
          </cell>
          <cell r="C13916" t="str">
            <v>-</v>
          </cell>
          <cell r="D13916" t="str">
            <v>ICICI Prudential Fixed Maturity Plan - Series 78 - 1102 Days Plan Z Dividend Option</v>
          </cell>
          <cell r="E13916">
            <v>12.441800000000001</v>
          </cell>
        </row>
        <row r="13917">
          <cell r="B13917" t="str">
            <v>INF109KB1TX3</v>
          </cell>
          <cell r="C13917" t="str">
            <v>-</v>
          </cell>
          <cell r="D13917" t="str">
            <v>ICICI Prudential Fixed Maturity Plan - Series 78 - 1115 Days Plan X Cumulative Option</v>
          </cell>
          <cell r="E13917">
            <v>12.6569</v>
          </cell>
        </row>
        <row r="13918">
          <cell r="B13918" t="str">
            <v>INF109KB1TZ8</v>
          </cell>
          <cell r="C13918" t="str">
            <v>-</v>
          </cell>
          <cell r="D13918" t="str">
            <v>ICICI Prudential Fixed Maturity Plan - Series 78 - 1115 Days Plan X Direct Plan Cumulative Option</v>
          </cell>
          <cell r="E13918">
            <v>12.682600000000001</v>
          </cell>
        </row>
        <row r="13919">
          <cell r="B13919" t="str">
            <v>INF109KB1UA9</v>
          </cell>
          <cell r="C13919" t="str">
            <v>-</v>
          </cell>
          <cell r="D13919" t="str">
            <v>ICICI Prudential Fixed Maturity Plan - Series 78 - 1115 Days Plan X Direct Plan Dividend Option</v>
          </cell>
          <cell r="E13919">
            <v>12.682600000000001</v>
          </cell>
        </row>
        <row r="13920">
          <cell r="B13920" t="str">
            <v>INF109KB1SZ0</v>
          </cell>
          <cell r="C13920" t="str">
            <v>-</v>
          </cell>
          <cell r="D13920" t="str">
            <v>ICICI Prudential Fixed Maturity Plan - Series 78 - 1127 Days Plan R Cumulative Option</v>
          </cell>
          <cell r="E13920">
            <v>12.9428</v>
          </cell>
        </row>
        <row r="13921">
          <cell r="B13921" t="str">
            <v>INF109KB1TB9</v>
          </cell>
          <cell r="C13921" t="str">
            <v>-</v>
          </cell>
          <cell r="D13921" t="str">
            <v>ICICI Prudential Fixed Maturity Plan - Series 78 - 1127 Days Plan R Direct Plan Cumulative Option</v>
          </cell>
          <cell r="E13921">
            <v>13.0244</v>
          </cell>
        </row>
        <row r="13922">
          <cell r="B13922" t="str">
            <v>INF109KB1TC7</v>
          </cell>
          <cell r="C13922" t="str">
            <v>-</v>
          </cell>
          <cell r="D13922" t="str">
            <v>ICICI Prudential Fixed Maturity Plan - Series 78 - 1127 Days Plan R Direct Plan Dividend Option</v>
          </cell>
          <cell r="E13922">
            <v>13.0244</v>
          </cell>
        </row>
        <row r="13923">
          <cell r="B13923" t="str">
            <v>INF109KB1TA1</v>
          </cell>
          <cell r="C13923" t="str">
            <v>-</v>
          </cell>
          <cell r="D13923" t="str">
            <v>ICICI Prudential Fixed Maturity Plan - Series 78 - 1127 Days Plan R Dividend Option</v>
          </cell>
          <cell r="E13923">
            <v>12.9428</v>
          </cell>
        </row>
        <row r="13924">
          <cell r="B13924" t="str">
            <v>INF109KB1TD5</v>
          </cell>
          <cell r="C13924" t="str">
            <v>-</v>
          </cell>
          <cell r="D13924" t="str">
            <v>ICICI Prudential Fixed Maturity Plan - Series 78 - 1130 Days Plan T Cumulative Option</v>
          </cell>
          <cell r="E13924">
            <v>12.6746</v>
          </cell>
        </row>
        <row r="13925">
          <cell r="B13925" t="str">
            <v>INF109KB1TF0</v>
          </cell>
          <cell r="C13925" t="str">
            <v>-</v>
          </cell>
          <cell r="D13925" t="str">
            <v>ICICI Prudential Fixed Maturity Plan - Series 78 - 1130 Days Plan T Direct Plan Cumulative Option</v>
          </cell>
          <cell r="E13925">
            <v>12.702299999999999</v>
          </cell>
        </row>
        <row r="13926">
          <cell r="B13926" t="str">
            <v>INF109KB1TG8</v>
          </cell>
          <cell r="C13926" t="str">
            <v>-</v>
          </cell>
          <cell r="D13926" t="str">
            <v>ICICI Prudential Fixed Maturity Plan - Series 78 - 1130 Days Plan T Direct Plan Dividend Option</v>
          </cell>
          <cell r="E13926">
            <v>12.702299999999999</v>
          </cell>
        </row>
        <row r="13927">
          <cell r="B13927" t="str">
            <v>INF109KB1TP9</v>
          </cell>
          <cell r="C13927" t="str">
            <v>-</v>
          </cell>
          <cell r="D13927" t="str">
            <v>ICICI Prudential Fixed Maturity Plan - Series 78 - 1135 Days Plan W Cumulative Option</v>
          </cell>
          <cell r="E13927">
            <v>12.6175</v>
          </cell>
        </row>
        <row r="13928">
          <cell r="B13928" t="str">
            <v>INF109KB1TR5</v>
          </cell>
          <cell r="C13928" t="str">
            <v>-</v>
          </cell>
          <cell r="D13928" t="str">
            <v>ICICI Prudential Fixed Maturity Plan - Series 78 - 1135 Days Plan W Direct Plan Cumulative Option</v>
          </cell>
          <cell r="E13928">
            <v>12.686400000000001</v>
          </cell>
        </row>
        <row r="13929">
          <cell r="B13929" t="str">
            <v>INF109KB1SB1</v>
          </cell>
          <cell r="C13929" t="str">
            <v>-</v>
          </cell>
          <cell r="D13929" t="str">
            <v>ICICI Prudential Fixed Maturity Plan - Series 78 -1150 Days Plan N Cumulative Option</v>
          </cell>
          <cell r="E13929">
            <v>12.7979</v>
          </cell>
        </row>
        <row r="13930">
          <cell r="B13930" t="str">
            <v>INF109KB1SD7</v>
          </cell>
          <cell r="C13930" t="str">
            <v>-</v>
          </cell>
          <cell r="D13930" t="str">
            <v>ICICI Prudential Fixed Maturity Plan - Series 78 -1150 Days Plan N Direct Plan Cumulative Option</v>
          </cell>
          <cell r="E13930">
            <v>12.8232</v>
          </cell>
        </row>
        <row r="13931">
          <cell r="B13931" t="str">
            <v>INF109KB1SE5</v>
          </cell>
          <cell r="C13931" t="str">
            <v>-</v>
          </cell>
          <cell r="D13931" t="str">
            <v>ICICI Prudential Fixed Maturity Plan - Series 78 -1150 Days Plan N Direct Plan Dividend Option</v>
          </cell>
          <cell r="E13931">
            <v>12.7806</v>
          </cell>
        </row>
        <row r="13932">
          <cell r="B13932" t="str">
            <v>INF109KB1SC9</v>
          </cell>
          <cell r="C13932" t="str">
            <v>-</v>
          </cell>
          <cell r="D13932" t="str">
            <v>ICICI Prudential Fixed Maturity Plan - Series 78 -1150 Days Plan N Dividend Option</v>
          </cell>
          <cell r="E13932">
            <v>12.7559</v>
          </cell>
        </row>
        <row r="13933">
          <cell r="B13933" t="str">
            <v>INF109KB1TL8</v>
          </cell>
          <cell r="C13933" t="str">
            <v>-</v>
          </cell>
          <cell r="D13933" t="str">
            <v>ICICI Prudential Fixed Maturity Plan - Series 78 - 1156 Days Plan U Cumulative Option</v>
          </cell>
          <cell r="E13933">
            <v>12.629899999999999</v>
          </cell>
        </row>
        <row r="13934">
          <cell r="B13934" t="str">
            <v>INF109KB1TN4</v>
          </cell>
          <cell r="C13934" t="str">
            <v>-</v>
          </cell>
          <cell r="D13934" t="str">
            <v>ICICI Prudential Fixed Maturity Plan - Series 78 - 1156 Days Plan U Direct Plan Cumulative Option</v>
          </cell>
          <cell r="E13934">
            <v>12.707000000000001</v>
          </cell>
        </row>
        <row r="13935">
          <cell r="B13935" t="str">
            <v>INF109KB1TM6</v>
          </cell>
          <cell r="C13935" t="str">
            <v>-</v>
          </cell>
          <cell r="D13935" t="str">
            <v>ICICI Prudential Fixed Maturity Plan - Series 78 - 1156 Days Plan U Dividend Option</v>
          </cell>
          <cell r="E13935">
            <v>12.629899999999999</v>
          </cell>
        </row>
        <row r="13936">
          <cell r="B13936" t="str">
            <v>INF109KB1RP3</v>
          </cell>
          <cell r="C13936" t="str">
            <v>-</v>
          </cell>
          <cell r="D13936" t="str">
            <v>ICICI Prudential Fixed Maturity Plan - Series 78 - 1168 Days Plan J Cumulative Option</v>
          </cell>
          <cell r="E13936">
            <v>12.8758</v>
          </cell>
        </row>
        <row r="13937">
          <cell r="B13937" t="str">
            <v>INF109KB1RR9</v>
          </cell>
          <cell r="C13937" t="str">
            <v>-</v>
          </cell>
          <cell r="D13937" t="str">
            <v>ICICI Prudential Fixed Maturity Plan - Series 78 - 1168 Days Plan J Direct Plan Cumulative Option</v>
          </cell>
          <cell r="E13937">
            <v>12.9032</v>
          </cell>
        </row>
        <row r="13938">
          <cell r="B13938" t="str">
            <v>INF109KB1RS7</v>
          </cell>
          <cell r="C13938" t="str">
            <v>-</v>
          </cell>
          <cell r="D13938" t="str">
            <v>ICICI Prudential Fixed Maturity Plan - Series 78 - 1168 Days Plan J Direct Plan Dividend Option</v>
          </cell>
          <cell r="E13938">
            <v>12.8507</v>
          </cell>
        </row>
        <row r="13939">
          <cell r="B13939" t="str">
            <v>INF109KB1RQ1</v>
          </cell>
          <cell r="C13939" t="str">
            <v>-</v>
          </cell>
          <cell r="D13939" t="str">
            <v>ICICI Prudential Fixed Maturity Plan - Series 78 - 1168 Days Plan J Dividend Option</v>
          </cell>
          <cell r="E13939">
            <v>12.824</v>
          </cell>
        </row>
        <row r="13940">
          <cell r="B13940" t="str">
            <v>INF109KB1RD9</v>
          </cell>
          <cell r="C13940" t="str">
            <v>-</v>
          </cell>
          <cell r="D13940" t="str">
            <v>ICICI Prudential Fixed Maturity Plan - Series 78 - 1170 Days Plan I Cumulative Option</v>
          </cell>
          <cell r="E13940">
            <v>12.922800000000001</v>
          </cell>
        </row>
        <row r="13941">
          <cell r="B13941" t="str">
            <v>INF109KB1RF4</v>
          </cell>
          <cell r="C13941" t="str">
            <v>-</v>
          </cell>
          <cell r="D13941" t="str">
            <v>ICICI Prudential Fixed Maturity Plan - Series 78 - 1170 Days Plan I Direct Plan Cumulative Option</v>
          </cell>
          <cell r="E13941">
            <v>12.9504</v>
          </cell>
        </row>
        <row r="13942">
          <cell r="B13942" t="str">
            <v>INF109KB1RG2</v>
          </cell>
          <cell r="C13942" t="str">
            <v>-</v>
          </cell>
          <cell r="D13942" t="str">
            <v>ICICI Prudential Fixed Maturity Plan - Series 78 - 1170 Days Plan I Direct Plan Dividend Option</v>
          </cell>
          <cell r="E13942">
            <v>12.889699999999999</v>
          </cell>
        </row>
        <row r="13943">
          <cell r="B13943" t="str">
            <v>INF109KB1RE7</v>
          </cell>
          <cell r="C13943" t="str">
            <v>-</v>
          </cell>
          <cell r="D13943" t="str">
            <v>ICICI Prudential Fixed Maturity Plan - Series 78 - 1170 Days Plan I Dividend Option</v>
          </cell>
          <cell r="E13943">
            <v>12.8628</v>
          </cell>
        </row>
        <row r="13944">
          <cell r="B13944" t="str">
            <v>INF109KB1QB5</v>
          </cell>
          <cell r="C13944" t="str">
            <v>-</v>
          </cell>
          <cell r="D13944" t="str">
            <v>ICICI Prudential Fixed Maturity Plan - Series 78 - 1185 Days Plan F Cumulative Option</v>
          </cell>
          <cell r="E13944">
            <v>12.8514</v>
          </cell>
        </row>
        <row r="13945">
          <cell r="B13945" t="str">
            <v>INF109KB1QD1</v>
          </cell>
          <cell r="C13945" t="str">
            <v>-</v>
          </cell>
          <cell r="D13945" t="str">
            <v>ICICI Prudential Fixed Maturity Plan - Series 78 - 1185 Days Plan F Direct Plan Cumulative Option</v>
          </cell>
          <cell r="E13945">
            <v>12.8818</v>
          </cell>
        </row>
        <row r="13946">
          <cell r="B13946" t="str">
            <v>INF109KB1QE9</v>
          </cell>
          <cell r="C13946" t="str">
            <v>-</v>
          </cell>
          <cell r="D13946" t="str">
            <v>ICICI Prudential Fixed Maturity Plan - Series 78 - 1185 Days Plan F Direct Plan Dividend Option</v>
          </cell>
          <cell r="E13946">
            <v>12.8818</v>
          </cell>
        </row>
        <row r="13947">
          <cell r="B13947" t="str">
            <v>INF109KB1QC3</v>
          </cell>
          <cell r="C13947" t="str">
            <v>-</v>
          </cell>
          <cell r="D13947" t="str">
            <v>ICICI Prudential Fixed Maturity Plan - Series 78 - 1185 Days Plan F Dividend Option</v>
          </cell>
          <cell r="E13947">
            <v>12.8514</v>
          </cell>
        </row>
        <row r="13948">
          <cell r="B13948" t="str">
            <v>INF109KB1PH4</v>
          </cell>
          <cell r="C13948" t="str">
            <v>-</v>
          </cell>
          <cell r="D13948" t="str">
            <v>ICICI Prudential Fixed Maturity Plan - Series 78 - 1190 Days Plan C Cumulative Option</v>
          </cell>
          <cell r="E13948">
            <v>12.7637</v>
          </cell>
        </row>
        <row r="13949">
          <cell r="B13949" t="str">
            <v>INF109KB1PJ0</v>
          </cell>
          <cell r="C13949" t="str">
            <v>-</v>
          </cell>
          <cell r="D13949" t="str">
            <v>ICICI Prudential Fixed Maturity Plan - Series 78 - 1190 Days Plan C Direct Plan Cumulative Option</v>
          </cell>
          <cell r="E13949">
            <v>12.835900000000001</v>
          </cell>
        </row>
        <row r="13950">
          <cell r="B13950" t="str">
            <v>INF109KB1PK8</v>
          </cell>
          <cell r="C13950" t="str">
            <v>-</v>
          </cell>
          <cell r="D13950" t="str">
            <v>ICICI Prudential Fixed Maturity Plan - Series 78 - 1190 Days Plan C Direct Plan Dividend Option</v>
          </cell>
          <cell r="E13950">
            <v>12.835900000000001</v>
          </cell>
        </row>
        <row r="13951">
          <cell r="B13951" t="str">
            <v>INF109KB1PI2</v>
          </cell>
          <cell r="C13951" t="str">
            <v>-</v>
          </cell>
          <cell r="D13951" t="str">
            <v>ICICI Prudential Fixed Maturity Plan - Series 78 - 1190 Days Plan C Dividend Option</v>
          </cell>
          <cell r="E13951">
            <v>12.7637</v>
          </cell>
        </row>
        <row r="13952">
          <cell r="B13952" t="str">
            <v>INF109KB1PT9</v>
          </cell>
          <cell r="C13952" t="str">
            <v>-</v>
          </cell>
          <cell r="D13952" t="str">
            <v>ICICI Prudential Fixed Maturity Plan - Series 78 - 1190 Days Plan E Cumulative Option</v>
          </cell>
          <cell r="E13952">
            <v>12.873900000000001</v>
          </cell>
        </row>
        <row r="13953">
          <cell r="B13953" t="str">
            <v>INF109KB1PV5</v>
          </cell>
          <cell r="C13953" t="str">
            <v>-</v>
          </cell>
          <cell r="D13953" t="str">
            <v>ICICI Prudential Fixed Maturity Plan - Series 78 - 1190 Days Plan E Direct Plan Cumulative Option</v>
          </cell>
          <cell r="E13953">
            <v>12.9064</v>
          </cell>
        </row>
        <row r="13954">
          <cell r="B13954" t="str">
            <v>INF109KB1PW3</v>
          </cell>
          <cell r="C13954" t="str">
            <v>-</v>
          </cell>
          <cell r="D13954" t="str">
            <v>ICICI Prudential Fixed Maturity Plan - Series 78 - 1190 Days Plan E Direct Plan Dividend Option</v>
          </cell>
          <cell r="E13954">
            <v>12.9064</v>
          </cell>
        </row>
        <row r="13955">
          <cell r="B13955" t="str">
            <v>INF109KB1PU7</v>
          </cell>
          <cell r="C13955" t="str">
            <v>-</v>
          </cell>
          <cell r="D13955" t="str">
            <v>ICICI Prudential Fixed Maturity Plan - Series 78 - 1190 Days Plan E Dividend Option</v>
          </cell>
          <cell r="E13955">
            <v>12.873900000000001</v>
          </cell>
        </row>
        <row r="13956">
          <cell r="B13956" t="str">
            <v>INF109KB1OR6</v>
          </cell>
          <cell r="C13956" t="str">
            <v>-</v>
          </cell>
          <cell r="D13956" t="str">
            <v>ICICI Prudential Fixed Maturity Plan - Series 78 - 1212 Days Plan A Cumulative Option</v>
          </cell>
          <cell r="E13956">
            <v>12.8028</v>
          </cell>
        </row>
        <row r="13957">
          <cell r="B13957" t="str">
            <v>INF109KB1OT2</v>
          </cell>
          <cell r="C13957" t="str">
            <v>-</v>
          </cell>
          <cell r="D13957" t="str">
            <v>ICICI Prudential Fixed Maturity Plan - Series 78 - 1212 Days Plan A Direct Plan Cumulative Option</v>
          </cell>
          <cell r="E13957">
            <v>12.891299999999999</v>
          </cell>
        </row>
        <row r="13958">
          <cell r="B13958" t="str">
            <v>INF109KB1OU0</v>
          </cell>
          <cell r="C13958" t="str">
            <v>-</v>
          </cell>
          <cell r="D13958" t="str">
            <v>ICICI Prudential Fixed Maturity Plan - Series 78 - 1212 Days Plan A Direct Plan Dividend Option</v>
          </cell>
          <cell r="E13958">
            <v>12.8912</v>
          </cell>
        </row>
        <row r="13959">
          <cell r="B13959" t="str">
            <v>INF109KB1OS4</v>
          </cell>
          <cell r="C13959" t="str">
            <v>-</v>
          </cell>
          <cell r="D13959" t="str">
            <v>ICICI Prudential Fixed Maturity Plan - Series 78 - 1212 Days Plan A Dividend Option</v>
          </cell>
          <cell r="E13959">
            <v>12.8028</v>
          </cell>
        </row>
        <row r="13960">
          <cell r="B13960" t="str">
            <v>INF109KB1TT1</v>
          </cell>
          <cell r="C13960" t="str">
            <v>-</v>
          </cell>
          <cell r="D13960" t="str">
            <v>ICICI Prudential Fixed Maturity Plan - Series 78 - 1281 Days Plan V Cumulative Option</v>
          </cell>
          <cell r="E13960">
            <v>13.4251</v>
          </cell>
        </row>
        <row r="13961">
          <cell r="B13961" t="str">
            <v>INF109KB1TV7</v>
          </cell>
          <cell r="C13961" t="str">
            <v>-</v>
          </cell>
          <cell r="D13961" t="str">
            <v>ICICI Prudential Fixed Maturity Plan - Series 78 - 1281 Days Plan V Direct Plan Cumulative Option</v>
          </cell>
          <cell r="E13961">
            <v>13.5167</v>
          </cell>
        </row>
        <row r="13962">
          <cell r="B13962" t="str">
            <v>INF109KB1TW5</v>
          </cell>
          <cell r="C13962" t="str">
            <v>-</v>
          </cell>
          <cell r="D13962" t="str">
            <v>ICICI Prudential Fixed Maturity Plan - Series 78 - 1281 Days Plan V Direct Plan Dividend Option</v>
          </cell>
          <cell r="E13962">
            <v>13.5167</v>
          </cell>
        </row>
        <row r="13963">
          <cell r="B13963" t="str">
            <v>INF109KB1TU9</v>
          </cell>
          <cell r="C13963" t="str">
            <v>-</v>
          </cell>
          <cell r="D13963" t="str">
            <v>ICICI Prudential Fixed Maturity Plan - Series 78 - 1281 Days Plan V Dividend Option</v>
          </cell>
          <cell r="E13963">
            <v>13.4251</v>
          </cell>
        </row>
        <row r="13964">
          <cell r="B13964" t="str">
            <v>INF109KB1RT5</v>
          </cell>
          <cell r="C13964" t="str">
            <v>-</v>
          </cell>
          <cell r="D13964" t="str">
            <v>ICICI Prudential Fixed Maturity Plan - Series 78 - 188 Days Plan L Cumulative Option</v>
          </cell>
          <cell r="E13964">
            <v>10.416</v>
          </cell>
        </row>
        <row r="13965">
          <cell r="B13965" t="str">
            <v>INF109KB1RV1</v>
          </cell>
          <cell r="C13965" t="str">
            <v>-</v>
          </cell>
          <cell r="D13965" t="str">
            <v>ICICI Prudential Fixed Maturity Plan - Series 78 - 188 Days Plan L Direct Plan Cumulative Option</v>
          </cell>
          <cell r="E13965">
            <v>10.4214</v>
          </cell>
        </row>
        <row r="13966">
          <cell r="B13966" t="str">
            <v>INF109KB1RW9</v>
          </cell>
          <cell r="C13966" t="str">
            <v>-</v>
          </cell>
          <cell r="D13966" t="str">
            <v>ICICI Prudential Fixed Maturity Plan - Series 78 - 188 Days Plan L Direct Plan Dividend Option</v>
          </cell>
          <cell r="E13966">
            <v>10.4214</v>
          </cell>
        </row>
        <row r="13967">
          <cell r="B13967" t="str">
            <v>INF109KB1RU3</v>
          </cell>
          <cell r="C13967" t="str">
            <v>-</v>
          </cell>
          <cell r="D13967" t="str">
            <v>ICICI Prudential Fixed Maturity Plan - Series 78 - 188 Days Plan L Dividend Option</v>
          </cell>
          <cell r="E13967">
            <v>10.416</v>
          </cell>
        </row>
        <row r="13968">
          <cell r="B13968" t="str">
            <v>INF109KB1VT7</v>
          </cell>
          <cell r="C13968" t="str">
            <v>-</v>
          </cell>
          <cell r="D13968" t="str">
            <v>ICICI Prudential Fixed Maturity Plan - Series 78 - 95 Days Plan K Cumulative Option</v>
          </cell>
          <cell r="E13968">
            <v>10.4114</v>
          </cell>
        </row>
        <row r="13969">
          <cell r="B13969" t="str">
            <v>INF109KB1VV3</v>
          </cell>
          <cell r="C13969" t="str">
            <v>-</v>
          </cell>
          <cell r="D13969" t="str">
            <v>ICICI Prudential Fixed Maturity Plan - Series 78 - 95 Days Plan K Direct Plan Cumulative Option</v>
          </cell>
          <cell r="E13969">
            <v>10.418100000000001</v>
          </cell>
        </row>
        <row r="13970">
          <cell r="B13970" t="str">
            <v>INF109KB1VW1</v>
          </cell>
          <cell r="C13970" t="str">
            <v>-</v>
          </cell>
          <cell r="D13970" t="str">
            <v>ICICI Prudential Fixed Maturity Plan - Series 78 - 95 Days Plan K Direct Plan Dividend Option</v>
          </cell>
          <cell r="E13970">
            <v>10.221299999999999</v>
          </cell>
        </row>
        <row r="13971">
          <cell r="B13971" t="str">
            <v>INF109KB1VU5</v>
          </cell>
          <cell r="C13971" t="str">
            <v>-</v>
          </cell>
          <cell r="D13971" t="str">
            <v>ICICI Prudential Fixed Maturity Plan - Series 78 - 95 Days Plan K Dividend Option</v>
          </cell>
          <cell r="E13971">
            <v>10.215999999999999</v>
          </cell>
        </row>
        <row r="13972">
          <cell r="B13972" t="str">
            <v>INF109KB1SA3</v>
          </cell>
          <cell r="C13972" t="str">
            <v>-</v>
          </cell>
          <cell r="D13972" t="str">
            <v>ICICI Prudential Fixed Maturity Plan - Series 78 - 95 Days Plan M Direct Plan Dividend Option</v>
          </cell>
          <cell r="E13972">
            <v>10.225300000000001</v>
          </cell>
        </row>
        <row r="13973">
          <cell r="B13973" t="str">
            <v>INF109KB1RY5</v>
          </cell>
          <cell r="C13973" t="str">
            <v>-</v>
          </cell>
          <cell r="D13973" t="str">
            <v>ICICI Prudential Fixed Maturity Plan - Series 78 - 95 Days Plan M Dividend Option</v>
          </cell>
          <cell r="E13973">
            <v>10.2239</v>
          </cell>
        </row>
        <row r="13974">
          <cell r="B13974" t="str">
            <v>INF109KB1RX7</v>
          </cell>
          <cell r="C13974" t="str">
            <v>-</v>
          </cell>
          <cell r="D13974" t="str">
            <v>ICICI Prudential Fixed Maturity Plan - Series 78 -95 Days Plan M Cumulative Option</v>
          </cell>
          <cell r="E13974">
            <v>10.224</v>
          </cell>
        </row>
        <row r="13975">
          <cell r="B13975" t="str">
            <v>INF109KB1RZ2</v>
          </cell>
          <cell r="C13975" t="str">
            <v>-</v>
          </cell>
          <cell r="D13975" t="str">
            <v>ICICI Prudential Fixed Maturity Plan - Series 78 -95 Days Plan M Direct Plan Cumulative Option</v>
          </cell>
          <cell r="E13975">
            <v>10.225300000000001</v>
          </cell>
        </row>
        <row r="13976">
          <cell r="B13976" t="str">
            <v>INF109KB1ZQ4</v>
          </cell>
          <cell r="C13976" t="str">
            <v>-</v>
          </cell>
          <cell r="D13976" t="str">
            <v>ICICI Prudential Fixed Maturity Plan - Series 79 - 1104 Days Plan O Cumulative Option</v>
          </cell>
          <cell r="E13976">
            <v>12.7387</v>
          </cell>
        </row>
        <row r="13977">
          <cell r="B13977" t="str">
            <v>INF109KB1ZS0</v>
          </cell>
          <cell r="C13977" t="str">
            <v>-</v>
          </cell>
          <cell r="D13977" t="str">
            <v>ICICI Prudential Fixed Maturity Plan - Series 79 - 1104 Days Plan O Direct Plan Cumulative Option</v>
          </cell>
          <cell r="E13977">
            <v>12.8474</v>
          </cell>
        </row>
        <row r="13978">
          <cell r="B13978" t="str">
            <v>INF109KB1ZT8</v>
          </cell>
          <cell r="C13978" t="str">
            <v>-</v>
          </cell>
          <cell r="D13978" t="str">
            <v>ICICI Prudential Fixed Maturity Plan - Series 79 - 1104 Days Plan O Direct Plan Dividend Option</v>
          </cell>
          <cell r="E13978">
            <v>12.8474</v>
          </cell>
        </row>
        <row r="13979">
          <cell r="B13979" t="str">
            <v>INF109KB1ZR2</v>
          </cell>
          <cell r="C13979" t="str">
            <v>-</v>
          </cell>
          <cell r="D13979" t="str">
            <v>ICICI Prudential Fixed Maturity Plan - Series 79 - 1104 Days Plan O Dividend Option</v>
          </cell>
          <cell r="E13979">
            <v>12.7387</v>
          </cell>
        </row>
        <row r="13980">
          <cell r="B13980" t="str">
            <v>INF109KB1B48</v>
          </cell>
          <cell r="C13980" t="str">
            <v>-</v>
          </cell>
          <cell r="D13980" t="str">
            <v>ICICI Prudential Fixed Maturity Plan - Series 79 - 1104 Days Plan P Cumulative Option</v>
          </cell>
          <cell r="E13980">
            <v>12.3018</v>
          </cell>
        </row>
        <row r="13981">
          <cell r="B13981" t="str">
            <v>INF109KB1B63</v>
          </cell>
          <cell r="C13981" t="str">
            <v>-</v>
          </cell>
          <cell r="D13981" t="str">
            <v>ICICI Prudential Fixed Maturity Plan - Series 79 - 1104 Days Plan P Direct Plan Cumulative Option</v>
          </cell>
          <cell r="E13981">
            <v>12.370699999999999</v>
          </cell>
        </row>
        <row r="13982">
          <cell r="B13982" t="str">
            <v>INF109KB1B71</v>
          </cell>
          <cell r="C13982" t="str">
            <v>-</v>
          </cell>
          <cell r="D13982" t="str">
            <v>ICICI Prudential Fixed Maturity Plan - Series 79 - 1104 Days Plan P Direct Plan Dividend Option</v>
          </cell>
          <cell r="E13982">
            <v>12.370699999999999</v>
          </cell>
        </row>
        <row r="13983">
          <cell r="B13983" t="str">
            <v>INF109KB1B55</v>
          </cell>
          <cell r="C13983" t="str">
            <v>-</v>
          </cell>
          <cell r="D13983" t="str">
            <v>ICICI Prudential Fixed Maturity Plan - Series 79 - 1104 Days Plan P Dividend Option</v>
          </cell>
          <cell r="E13983">
            <v>12.3018</v>
          </cell>
        </row>
        <row r="13984">
          <cell r="B13984" t="str">
            <v>INF109KB1VL4</v>
          </cell>
          <cell r="C13984" t="str">
            <v>-</v>
          </cell>
          <cell r="D13984" t="str">
            <v>ICICI Prudential Fixed Maturity Plan - Series 79 - 1105 Days Plan B Cumulative Option</v>
          </cell>
          <cell r="E13984">
            <v>12.527900000000001</v>
          </cell>
        </row>
        <row r="13985">
          <cell r="B13985" t="str">
            <v>INF109KB1VN0</v>
          </cell>
          <cell r="C13985" t="str">
            <v>-</v>
          </cell>
          <cell r="D13985" t="str">
            <v>ICICI Prudential Fixed Maturity Plan - Series 79 - 1105 Days Plan B Direct Plan Cumulative Option</v>
          </cell>
          <cell r="E13985">
            <v>12.6271</v>
          </cell>
        </row>
        <row r="13986">
          <cell r="B13986" t="str">
            <v>INF109KB1VO8</v>
          </cell>
          <cell r="C13986" t="str">
            <v>-</v>
          </cell>
          <cell r="D13986" t="str">
            <v>ICICI Prudential Fixed Maturity Plan - Series 79 - 1105 Days Plan B Direct Plan Dividend Option</v>
          </cell>
          <cell r="E13986">
            <v>12.6271</v>
          </cell>
        </row>
        <row r="13987">
          <cell r="B13987" t="str">
            <v>INF109KB1VM2</v>
          </cell>
          <cell r="C13987" t="str">
            <v>-</v>
          </cell>
          <cell r="D13987" t="str">
            <v>ICICI Prudential Fixed Maturity Plan - Series 79 - 1105 Days Plan B Dividend Option</v>
          </cell>
          <cell r="E13987">
            <v>12.527900000000001</v>
          </cell>
        </row>
        <row r="13988">
          <cell r="B13988" t="str">
            <v>INF109KB1ZI1</v>
          </cell>
          <cell r="C13988" t="str">
            <v>-</v>
          </cell>
          <cell r="D13988" t="str">
            <v>ICICI Prudential Fixed Maturity Plan - Seires 79 - 1106 Days Plan M Cumulative Option</v>
          </cell>
          <cell r="E13988">
            <v>12.295</v>
          </cell>
        </row>
        <row r="13989">
          <cell r="B13989" t="str">
            <v>INF109KB1ZJ9</v>
          </cell>
          <cell r="C13989" t="str">
            <v>-</v>
          </cell>
          <cell r="D13989" t="str">
            <v>ICICI Prudential Fixed Maturity Plan - Series 79 - 1106 Days Plan M  Dividend Option</v>
          </cell>
          <cell r="E13989">
            <v>12.295</v>
          </cell>
        </row>
        <row r="13990">
          <cell r="B13990" t="str">
            <v>INF109KB1ZK7</v>
          </cell>
          <cell r="C13990" t="str">
            <v>-</v>
          </cell>
          <cell r="D13990" t="str">
            <v>ICICI Prudential Fixed Maturity Plan - Series 79 - 1106 Days Plan M Direct Plan Cumulative Option</v>
          </cell>
          <cell r="E13990">
            <v>12.372199999999999</v>
          </cell>
        </row>
        <row r="13991">
          <cell r="B13991" t="str">
            <v>INF109KB1ZL5</v>
          </cell>
          <cell r="C13991" t="str">
            <v>-</v>
          </cell>
          <cell r="D13991" t="str">
            <v>ICICI Prudential Fixed Maturity Plan - Series 79 - 1106 Days Plan M Direct Plan Dividend Option</v>
          </cell>
          <cell r="E13991">
            <v>12.372199999999999</v>
          </cell>
        </row>
        <row r="13992">
          <cell r="B13992" t="str">
            <v>INF109KB1YS3</v>
          </cell>
          <cell r="C13992" t="str">
            <v>-</v>
          </cell>
          <cell r="D13992" t="str">
            <v>ICICI Prudential Fixed Maturity Plan - Series 79 - 1118 Days Plan K Cumulative Option</v>
          </cell>
          <cell r="E13992">
            <v>12.3682</v>
          </cell>
        </row>
        <row r="13993">
          <cell r="B13993" t="str">
            <v>INF109KB1YU9</v>
          </cell>
          <cell r="C13993" t="str">
            <v>-</v>
          </cell>
          <cell r="D13993" t="str">
            <v>ICICI Prudential Fixed Maturity Plan - Series 79 - 1118 Days Plan K Direct Plan Cumulative Option</v>
          </cell>
          <cell r="E13993">
            <v>12.4278</v>
          </cell>
        </row>
        <row r="13994">
          <cell r="B13994" t="str">
            <v>INF109KB1YV7</v>
          </cell>
          <cell r="C13994" t="str">
            <v>-</v>
          </cell>
          <cell r="D13994" t="str">
            <v>ICICI Prudential Fixed Maturity Plan - Series 79 - 1118 Days Plan K Direct Plan Dividend Option</v>
          </cell>
          <cell r="E13994">
            <v>12.4278</v>
          </cell>
        </row>
        <row r="13995">
          <cell r="B13995" t="str">
            <v>INF109KB1YT1</v>
          </cell>
          <cell r="C13995" t="str">
            <v>-</v>
          </cell>
          <cell r="D13995" t="str">
            <v>ICICI Prudential Fixed Maturity Plan - Series 79 - 1118 Days Plan K Dividend Option</v>
          </cell>
          <cell r="E13995">
            <v>12.3682</v>
          </cell>
        </row>
        <row r="13996">
          <cell r="B13996" t="str">
            <v>INF109KB1YO2</v>
          </cell>
          <cell r="C13996" t="str">
            <v>-</v>
          </cell>
          <cell r="D13996" t="str">
            <v>ICICI Prudential Fixed Maturity Plan - Series 79 - 1120 Days Plan J Cumulative Option</v>
          </cell>
          <cell r="E13996">
            <v>12.4277</v>
          </cell>
        </row>
        <row r="13997">
          <cell r="B13997" t="str">
            <v>INF109KB1YQ7</v>
          </cell>
          <cell r="C13997" t="str">
            <v>-</v>
          </cell>
          <cell r="D13997" t="str">
            <v>ICICI Prudential Fixed Maturity Plan - Series 79 - 1120 Days Plan J Direct Plan Cumulative Option</v>
          </cell>
          <cell r="E13997">
            <v>12.485099999999999</v>
          </cell>
        </row>
        <row r="13998">
          <cell r="B13998" t="str">
            <v>INF109KB1YP9</v>
          </cell>
          <cell r="C13998" t="str">
            <v>-</v>
          </cell>
          <cell r="D13998" t="str">
            <v>ICICI Prudential Fixed Maturity Plan - Series 79 - 1120 Days Plan J Dividend Option</v>
          </cell>
          <cell r="E13998">
            <v>12.4277</v>
          </cell>
        </row>
        <row r="13999">
          <cell r="B13999" t="str">
            <v>INF109KB1XH8</v>
          </cell>
          <cell r="C13999" t="str">
            <v>-</v>
          </cell>
          <cell r="D13999" t="str">
            <v>ICICI Prudential Fixed Maturity Plan - Series 79 - 1130 Days Plan E  Cumulative Option</v>
          </cell>
          <cell r="E13999">
            <v>12.4366</v>
          </cell>
        </row>
        <row r="14000">
          <cell r="B14000" t="str">
            <v>INF109KB1XJ4</v>
          </cell>
          <cell r="C14000" t="str">
            <v>-</v>
          </cell>
          <cell r="D14000" t="str">
            <v>ICICI Prudential Fixed Maturity Plan - Series 79 - 1130 Days Plan E  Direct Plan Cumulative Option</v>
          </cell>
          <cell r="E14000">
            <v>12.519399999999999</v>
          </cell>
        </row>
        <row r="14001">
          <cell r="B14001" t="str">
            <v>INF109KB1XK2</v>
          </cell>
          <cell r="C14001" t="str">
            <v>-</v>
          </cell>
          <cell r="D14001" t="str">
            <v>ICICI Prudential Fixed Maturity Plan - Series 79 - 1130 Days Plan E  Direct Plan Dividend Option</v>
          </cell>
          <cell r="E14001">
            <v>12.519399999999999</v>
          </cell>
        </row>
        <row r="14002">
          <cell r="B14002" t="str">
            <v>INF109KB1XI6</v>
          </cell>
          <cell r="C14002" t="str">
            <v>-</v>
          </cell>
          <cell r="D14002" t="str">
            <v>ICICI Prudential Fixed Maturity Plan - Series 79 - 1130 Days Plan E  Dividend Option</v>
          </cell>
          <cell r="E14002">
            <v>12.4366</v>
          </cell>
        </row>
        <row r="14003">
          <cell r="B14003" t="str">
            <v>INF109KB1XD7</v>
          </cell>
          <cell r="C14003" t="str">
            <v>-</v>
          </cell>
          <cell r="D14003" t="str">
            <v>ICICI Prudential Fixed Maturity Plan - Series 79 - 1140 Days Plan D  Cumulative Option</v>
          </cell>
          <cell r="E14003">
            <v>12.661799999999999</v>
          </cell>
        </row>
        <row r="14004">
          <cell r="B14004" t="str">
            <v>INF109KB1XF2</v>
          </cell>
          <cell r="C14004" t="str">
            <v>-</v>
          </cell>
          <cell r="D14004" t="str">
            <v>ICICI Prudential Fixed Maturity Plan - Series 79 - 1140 Days Plan D  Direct Plan Cumulative Option</v>
          </cell>
          <cell r="E14004">
            <v>12.818</v>
          </cell>
        </row>
        <row r="14005">
          <cell r="B14005" t="str">
            <v>INF109KB1XG0</v>
          </cell>
          <cell r="C14005" t="str">
            <v>-</v>
          </cell>
          <cell r="D14005" t="str">
            <v>ICICI Prudential Fixed Maturity Plan - Series 79 - 1140 Days Plan D  Direct Plan Dividend Option</v>
          </cell>
          <cell r="E14005">
            <v>12.818</v>
          </cell>
        </row>
        <row r="14006">
          <cell r="B14006" t="str">
            <v>INF109KB1XE5</v>
          </cell>
          <cell r="C14006" t="str">
            <v>-</v>
          </cell>
          <cell r="D14006" t="str">
            <v>ICICI Prudential Fixed Maturity Plan - Series 79 - 1140 Days Plan D  Dividend Option</v>
          </cell>
          <cell r="E14006">
            <v>12.661799999999999</v>
          </cell>
        </row>
        <row r="14007">
          <cell r="B14007" t="str">
            <v>INF109KB1UZ6</v>
          </cell>
          <cell r="C14007" t="str">
            <v>-</v>
          </cell>
          <cell r="D14007" t="str">
            <v>ICICI Prudential Fixed Maturity Plan - Series 79 - 1218 Days Plan A Cumulative Option</v>
          </cell>
          <cell r="E14007">
            <v>13.113899999999999</v>
          </cell>
        </row>
        <row r="14008">
          <cell r="B14008" t="str">
            <v>INF109KB1VB5</v>
          </cell>
          <cell r="C14008" t="str">
            <v>-</v>
          </cell>
          <cell r="D14008" t="str">
            <v>ICICI Prudential Fixed Maturity Plan - Series 79 - 1218 Days Plan A Direct Plan Cumulative Option</v>
          </cell>
          <cell r="E14008">
            <v>13.3003</v>
          </cell>
        </row>
        <row r="14009">
          <cell r="B14009" t="str">
            <v>INF109KB1VC3</v>
          </cell>
          <cell r="C14009" t="str">
            <v>-</v>
          </cell>
          <cell r="D14009" t="str">
            <v>ICICI Prudential Fixed Maturity Plan - Series 79 - 1218 Days Plan A Direct Plan Dividend Option</v>
          </cell>
          <cell r="E14009">
            <v>13.3003</v>
          </cell>
        </row>
        <row r="14010">
          <cell r="B14010" t="str">
            <v>INF109KB1VA7</v>
          </cell>
          <cell r="C14010" t="str">
            <v>-</v>
          </cell>
          <cell r="D14010" t="str">
            <v>ICICI Prudential Fixed Maturity Plan - Series 79 - 1218 Days Plan A Dividend Option</v>
          </cell>
          <cell r="E14010">
            <v>13.113899999999999</v>
          </cell>
        </row>
        <row r="14011">
          <cell r="B14011" t="str">
            <v>INF109KB1C62</v>
          </cell>
          <cell r="C14011" t="str">
            <v>-</v>
          </cell>
          <cell r="D14011" t="str">
            <v>ICICI Prudential Fixed Maturity Plan - Series 79 - 1404 Days Plan T Cumulative Option</v>
          </cell>
          <cell r="E14011">
            <v>13.0267</v>
          </cell>
        </row>
        <row r="14012">
          <cell r="B14012" t="str">
            <v>INF109KB1C88</v>
          </cell>
          <cell r="C14012" t="str">
            <v>-</v>
          </cell>
          <cell r="D14012" t="str">
            <v>ICICI Prudential Fixed Maturity Plan - Series 79 - 1404 Days Plan T Direct Plan Cumulative Option</v>
          </cell>
          <cell r="E14012">
            <v>13.1043</v>
          </cell>
        </row>
        <row r="14013">
          <cell r="B14013" t="str">
            <v>INF109KB1C70</v>
          </cell>
          <cell r="C14013" t="str">
            <v>-</v>
          </cell>
          <cell r="D14013" t="str">
            <v>ICICI Prudential Fixed Maturity Plan - Series 79 - 1404 Days Plan T Dividend Option</v>
          </cell>
          <cell r="E14013">
            <v>13.0267</v>
          </cell>
        </row>
        <row r="14014">
          <cell r="B14014" t="str">
            <v>INF109KB1H42</v>
          </cell>
          <cell r="C14014" t="str">
            <v>-</v>
          </cell>
          <cell r="D14014" t="str">
            <v>ICICI Prudential Fixed Maturity Plan - Series 80 - 1100 Days Plan A Cumulative Option</v>
          </cell>
          <cell r="E14014">
            <v>12.5893</v>
          </cell>
        </row>
        <row r="14015">
          <cell r="B14015" t="str">
            <v>INF109KB1H67</v>
          </cell>
          <cell r="C14015" t="str">
            <v>-</v>
          </cell>
          <cell r="D14015" t="str">
            <v>ICICI Prudential Fixed Maturity Plan - Series 80 - 1100 Days Plan A Direct Plan Cumulative Option</v>
          </cell>
          <cell r="E14015">
            <v>12.7173</v>
          </cell>
        </row>
        <row r="14016">
          <cell r="B14016" t="str">
            <v>INF109KB1H75</v>
          </cell>
          <cell r="C14016" t="str">
            <v>-</v>
          </cell>
          <cell r="D14016" t="str">
            <v>ICICI Prudential Fixed Maturity Plan - Series 80 - 1100 Days Plan A Direct Plan Dividend Option</v>
          </cell>
          <cell r="E14016">
            <v>12.7173</v>
          </cell>
        </row>
        <row r="14017">
          <cell r="B14017" t="str">
            <v>INF109KB1H59</v>
          </cell>
          <cell r="C14017" t="str">
            <v>-</v>
          </cell>
          <cell r="D14017" t="str">
            <v>ICICI Prudential Fixed Maturity Plan - Series 80 - 1100 Days Plan A Dividend Option</v>
          </cell>
          <cell r="E14017">
            <v>12.5893</v>
          </cell>
        </row>
        <row r="14018">
          <cell r="B14018" t="str">
            <v>INF109KB1Y09</v>
          </cell>
          <cell r="C14018" t="str">
            <v>-</v>
          </cell>
          <cell r="D14018" t="str">
            <v>ICICI Prudential Fixed Maturity Plan - Series 80 - 1125 Days Plan S - Cumulative Option</v>
          </cell>
          <cell r="E14018">
            <v>12.673500000000001</v>
          </cell>
        </row>
        <row r="14019">
          <cell r="B14019" t="str">
            <v>INF109KB1Y25</v>
          </cell>
          <cell r="C14019" t="str">
            <v>-</v>
          </cell>
          <cell r="D14019" t="str">
            <v>ICICI Prudential Fixed Maturity Plan - Series 80 - 1125 Days Plan S - Direct Plan - Cumulative Option</v>
          </cell>
          <cell r="E14019">
            <v>12.779</v>
          </cell>
        </row>
        <row r="14020">
          <cell r="B14020" t="str">
            <v>INF109KB1Y33</v>
          </cell>
          <cell r="C14020" t="str">
            <v>-</v>
          </cell>
          <cell r="D14020" t="str">
            <v>ICICI Prudential Fixed Maturity Plan - Series 80 - 1125 Days Plan S - Direct Plan - Dividend Option</v>
          </cell>
          <cell r="E14020">
            <v>12.779</v>
          </cell>
        </row>
        <row r="14021">
          <cell r="B14021" t="str">
            <v>INF109KB1Y17</v>
          </cell>
          <cell r="C14021" t="str">
            <v>-</v>
          </cell>
          <cell r="D14021" t="str">
            <v>ICICI Prudential Fixed Maturity Plan - Series 80 - 1125 Days Plan S - Dividend Option</v>
          </cell>
          <cell r="E14021">
            <v>12.673500000000001</v>
          </cell>
        </row>
        <row r="14022">
          <cell r="B14022" t="str">
            <v>INF109KB1V85</v>
          </cell>
          <cell r="C14022" t="str">
            <v>-</v>
          </cell>
          <cell r="D14022" t="str">
            <v>ICICI Prudential Fixed Maturity Plan - Series 80 - 1138 Days Plan R - Cumulative Option</v>
          </cell>
          <cell r="E14022">
            <v>12.680300000000001</v>
          </cell>
        </row>
        <row r="14023">
          <cell r="B14023" t="str">
            <v>INF109KB1W01</v>
          </cell>
          <cell r="C14023" t="str">
            <v>-</v>
          </cell>
          <cell r="D14023" t="str">
            <v>ICICI Prudential Fixed Maturity Plan - Series 80 - 1138 Days Plan R - Direct Plan - Cumulative Option</v>
          </cell>
          <cell r="E14023">
            <v>12.831300000000001</v>
          </cell>
        </row>
        <row r="14024">
          <cell r="B14024" t="str">
            <v>INF109KB1W19</v>
          </cell>
          <cell r="C14024" t="str">
            <v>-</v>
          </cell>
          <cell r="D14024" t="str">
            <v>ICICI Prudential Fixed Maturity Plan - Series 80 - 1138 Days Plan R - Direct Plan - Dividend Option</v>
          </cell>
          <cell r="E14024">
            <v>12.831300000000001</v>
          </cell>
        </row>
        <row r="14025">
          <cell r="B14025" t="str">
            <v>INF109KB1V93</v>
          </cell>
          <cell r="C14025" t="str">
            <v>-</v>
          </cell>
          <cell r="D14025" t="str">
            <v>ICICI Prudential Fixed Maturity Plan - Series 80 - 1138 Days Plan R - Dividend Option</v>
          </cell>
          <cell r="E14025">
            <v>12.680300000000001</v>
          </cell>
        </row>
        <row r="14026">
          <cell r="B14026" t="str">
            <v>INF109KB1T89</v>
          </cell>
          <cell r="C14026" t="str">
            <v>-</v>
          </cell>
          <cell r="D14026" t="str">
            <v>ICICI Prudential Fixed Maturity Plan - Series 80 - 1150 Days Plan N - Cumulative Option</v>
          </cell>
          <cell r="E14026">
            <v>12.7361</v>
          </cell>
        </row>
        <row r="14027">
          <cell r="B14027" t="str">
            <v>INF109KB1U11</v>
          </cell>
          <cell r="C14027" t="str">
            <v>-</v>
          </cell>
          <cell r="D14027" t="str">
            <v>ICICI Prudential Fixed Maturity Plan - Series 80 - 1150 Days Plan N - Direct Plan - Dividend Option</v>
          </cell>
          <cell r="E14027">
            <v>12.874599999999999</v>
          </cell>
        </row>
        <row r="14028">
          <cell r="B14028" t="str">
            <v>INF109KB1T97</v>
          </cell>
          <cell r="C14028" t="str">
            <v>-</v>
          </cell>
          <cell r="D14028" t="str">
            <v>ICICI Prudential Fixed Maturity Plan - Series 80 - 1150 Days Plan N - Dividend Option</v>
          </cell>
          <cell r="E14028">
            <v>12.7361</v>
          </cell>
        </row>
        <row r="14029">
          <cell r="B14029" t="str">
            <v>INF109KB1U03</v>
          </cell>
          <cell r="C14029" t="str">
            <v>-</v>
          </cell>
          <cell r="D14029" t="str">
            <v>ICICI Prudential Fixed Maturity Plan - Series 80 - 1150 Days Plan N -Direct Plan - Cumulative Option</v>
          </cell>
          <cell r="E14029">
            <v>12.874599999999999</v>
          </cell>
        </row>
        <row r="14030">
          <cell r="B14030" t="str">
            <v>INF109KB1P83</v>
          </cell>
          <cell r="C14030" t="str">
            <v>-</v>
          </cell>
          <cell r="D14030" t="str">
            <v>ICICI Prudential Fixed Maturity Plan - Series 80 - 1170 Days Plan I - Cumulative Option</v>
          </cell>
          <cell r="E14030">
            <v>12.7888</v>
          </cell>
        </row>
        <row r="14031">
          <cell r="B14031" t="str">
            <v>INF109KB1Q09</v>
          </cell>
          <cell r="C14031" t="str">
            <v>-</v>
          </cell>
          <cell r="D14031" t="str">
            <v>ICICI Prudential Fixed Maturity Plan - Series 80 - 1170 Days Plan I - Direct Plan - Cumulative Option</v>
          </cell>
          <cell r="E14031">
            <v>12.9292</v>
          </cell>
        </row>
        <row r="14032">
          <cell r="B14032" t="str">
            <v>INF109KB1Q17</v>
          </cell>
          <cell r="C14032" t="str">
            <v>-</v>
          </cell>
          <cell r="D14032" t="str">
            <v>ICICI Prudential Fixed Maturity Plan - Series 80 - 1170 Days Plan I - Direct Plan - Dividend Option</v>
          </cell>
          <cell r="E14032">
            <v>12.9292</v>
          </cell>
        </row>
        <row r="14033">
          <cell r="B14033" t="str">
            <v>INF109KB1P91</v>
          </cell>
          <cell r="C14033" t="str">
            <v>-</v>
          </cell>
          <cell r="D14033" t="str">
            <v>ICICI Prudential Fixed Maturity Plan - Series 80 - 1170 Days Plan I - Dividend Option</v>
          </cell>
          <cell r="E14033">
            <v>12.7888</v>
          </cell>
        </row>
        <row r="14034">
          <cell r="B14034" t="str">
            <v>INF109KB10A8</v>
          </cell>
          <cell r="C14034" t="str">
            <v>-</v>
          </cell>
          <cell r="D14034" t="str">
            <v>ICICI Prudential Fixed Maturity Plan - Series 80 - 1216 Days Plan U - Cumulative Option</v>
          </cell>
          <cell r="E14034">
            <v>12.569599999999999</v>
          </cell>
        </row>
        <row r="14035">
          <cell r="B14035" t="str">
            <v>INF109KB12A4</v>
          </cell>
          <cell r="C14035" t="str">
            <v>-</v>
          </cell>
          <cell r="D14035" t="str">
            <v>ICICI Prudential Fixed Maturity Plan - Series 80 - 1216 Days Plan U - Direct Plan - Cumulative Option</v>
          </cell>
          <cell r="E14035">
            <v>12.6082</v>
          </cell>
        </row>
        <row r="14036">
          <cell r="B14036" t="str">
            <v>INF109KB13A2</v>
          </cell>
          <cell r="C14036" t="str">
            <v>-</v>
          </cell>
          <cell r="D14036" t="str">
            <v>ICICI Prudential Fixed Maturity Plan - Series 80 - 1216 Days Plan U - Direct Plan - Dividend Option</v>
          </cell>
          <cell r="E14036">
            <v>12.6082</v>
          </cell>
        </row>
        <row r="14037">
          <cell r="B14037" t="str">
            <v>INF109KB11A6</v>
          </cell>
          <cell r="C14037" t="str">
            <v>-</v>
          </cell>
          <cell r="D14037" t="str">
            <v>ICICI Prudential Fixed Maturity Plan - Series 80 - 1216 Days Plan U - Dividend Option</v>
          </cell>
          <cell r="E14037">
            <v>12.569599999999999</v>
          </cell>
        </row>
        <row r="14038">
          <cell r="B14038" t="str">
            <v>INF109KB1Z65</v>
          </cell>
          <cell r="C14038" t="str">
            <v>-</v>
          </cell>
          <cell r="D14038" t="str">
            <v>ICICI Prudential Fixed Maturity Plan - Series 80 - 1225 Days Plan T - Cumulative Option</v>
          </cell>
          <cell r="E14038">
            <v>12.624499999999999</v>
          </cell>
        </row>
        <row r="14039">
          <cell r="B14039" t="str">
            <v>INF109KB1Z81</v>
          </cell>
          <cell r="C14039" t="str">
            <v>-</v>
          </cell>
          <cell r="D14039" t="str">
            <v>ICICI Prudential Fixed Maturity Plan - Series 80 - 1225 Days Plan T - Direct Plan - Cumulative Option</v>
          </cell>
          <cell r="E14039">
            <v>12.6647</v>
          </cell>
        </row>
        <row r="14040">
          <cell r="B14040" t="str">
            <v>INF109KB1Z99</v>
          </cell>
          <cell r="C14040" t="str">
            <v>-</v>
          </cell>
          <cell r="D14040" t="str">
            <v>ICICI Prudential Fixed Maturity Plan - Series 80 - 1225 Days Plan T - Direct Plan - Dividend Option</v>
          </cell>
          <cell r="E14040">
            <v>12.6647</v>
          </cell>
        </row>
        <row r="14041">
          <cell r="B14041" t="str">
            <v>INF109KB1Z73</v>
          </cell>
          <cell r="C14041" t="str">
            <v>-</v>
          </cell>
          <cell r="D14041" t="str">
            <v>ICICI Prudential Fixed Maturity Plan - Series 80 - 1225 Days Plan T - Dividend Option</v>
          </cell>
          <cell r="E14041">
            <v>12.624499999999999</v>
          </cell>
        </row>
        <row r="14042">
          <cell r="B14042" t="str">
            <v>INF109KB1W68</v>
          </cell>
          <cell r="C14042" t="str">
            <v>-</v>
          </cell>
          <cell r="D14042" t="str">
            <v>ICICI Prudential Fixed Maturity Plan - Series 80 - 1227 Days Plan Q - Cumulative Option</v>
          </cell>
          <cell r="E14042">
            <v>12.6478</v>
          </cell>
        </row>
        <row r="14043">
          <cell r="B14043" t="str">
            <v>INF109KB1W84</v>
          </cell>
          <cell r="C14043" t="str">
            <v>-</v>
          </cell>
          <cell r="D14043" t="str">
            <v>ICICI Prudential Fixed Maturity Plan - Series 80 - 1227 Days Plan Q - Direct Plan Cumulative Option</v>
          </cell>
          <cell r="E14043">
            <v>12.689399999999999</v>
          </cell>
        </row>
        <row r="14044">
          <cell r="B14044" t="str">
            <v>INF109KB1W92</v>
          </cell>
          <cell r="C14044" t="str">
            <v>-</v>
          </cell>
          <cell r="D14044" t="str">
            <v>ICICI Prudential Fixed Maturity Plan - Series 80 - 1227 Days Plan Q - Direct Plan Dividend Option</v>
          </cell>
          <cell r="E14044">
            <v>12.689399999999999</v>
          </cell>
        </row>
        <row r="14045">
          <cell r="B14045" t="str">
            <v>INF109KB1V44</v>
          </cell>
          <cell r="C14045" t="str">
            <v>-</v>
          </cell>
          <cell r="D14045" t="str">
            <v>ICICI Prudential Fixed Maturity Plan - Series 80 - 1231 Days Plan P - Cumulative Option</v>
          </cell>
          <cell r="E14045">
            <v>12.664400000000001</v>
          </cell>
        </row>
        <row r="14046">
          <cell r="B14046" t="str">
            <v>INF109KB1V69</v>
          </cell>
          <cell r="C14046" t="str">
            <v>-</v>
          </cell>
          <cell r="D14046" t="str">
            <v>ICICI Prudential Fixed Maturity Plan - Series 80 - 1231 Days Plan P - Direct Plan - Cumulative Option</v>
          </cell>
          <cell r="E14046">
            <v>12.7072</v>
          </cell>
        </row>
        <row r="14047">
          <cell r="B14047" t="str">
            <v>INF109KB1V77</v>
          </cell>
          <cell r="C14047" t="str">
            <v>-</v>
          </cell>
          <cell r="D14047" t="str">
            <v>ICICI Prudential Fixed Maturity Plan - Series 80 - 1231 Days Plan P - Direct Plan - Dividend Option</v>
          </cell>
          <cell r="E14047">
            <v>12.7072</v>
          </cell>
        </row>
        <row r="14048">
          <cell r="B14048" t="str">
            <v>INF109KB1V02</v>
          </cell>
          <cell r="C14048" t="str">
            <v>-</v>
          </cell>
          <cell r="D14048" t="str">
            <v>ICICI Prudential Fixed Maturity Plan - Series 80 - 1233 Days Plan O - Cumulative Option</v>
          </cell>
          <cell r="E14048">
            <v>12.645899999999999</v>
          </cell>
        </row>
        <row r="14049">
          <cell r="B14049" t="str">
            <v>INF109KB1V28</v>
          </cell>
          <cell r="C14049" t="str">
            <v>-</v>
          </cell>
          <cell r="D14049" t="str">
            <v>ICICI Prudential Fixed Maturity Plan - Series 80 - 1233 Days Plan O - Direct Plan - Cumulative Option</v>
          </cell>
          <cell r="E14049">
            <v>12.6668</v>
          </cell>
        </row>
        <row r="14050">
          <cell r="B14050" t="str">
            <v>INF109KB1V36</v>
          </cell>
          <cell r="C14050" t="str">
            <v>-</v>
          </cell>
          <cell r="D14050" t="str">
            <v>ICICI Prudential Fixed Maturity Plan - Series 80 - 1233 Days Plan O - Direct Plan - Dividend Option</v>
          </cell>
          <cell r="E14050">
            <v>12.6668</v>
          </cell>
        </row>
        <row r="14051">
          <cell r="B14051" t="str">
            <v>INF109KB1T06</v>
          </cell>
          <cell r="C14051" t="str">
            <v>-</v>
          </cell>
          <cell r="D14051" t="str">
            <v>ICICI Prudential Fixed Maturity Plan - Series 80 - 1245 Days Plan L - Cumulative Option</v>
          </cell>
          <cell r="E14051">
            <v>12.6462</v>
          </cell>
        </row>
        <row r="14052">
          <cell r="B14052" t="str">
            <v>INF109KB1T22</v>
          </cell>
          <cell r="C14052" t="str">
            <v>-</v>
          </cell>
          <cell r="D14052" t="str">
            <v>ICICI Prudential Fixed Maturity Plan - Series 80 - 1245 Days Plan L - Direct Plan - Cumulative Option</v>
          </cell>
          <cell r="E14052">
            <v>12.669600000000001</v>
          </cell>
        </row>
        <row r="14053">
          <cell r="B14053" t="str">
            <v>INF109KB1T30</v>
          </cell>
          <cell r="C14053" t="str">
            <v>-</v>
          </cell>
          <cell r="D14053" t="str">
            <v>ICICI Prudential Fixed Maturity Plan - Series 80 - 1245 Days Plan L - Direct Plan - Dividend Option</v>
          </cell>
          <cell r="E14053">
            <v>12.669600000000001</v>
          </cell>
        </row>
        <row r="14054">
          <cell r="B14054" t="str">
            <v>INF109KB1T14</v>
          </cell>
          <cell r="C14054" t="str">
            <v>-</v>
          </cell>
          <cell r="D14054" t="str">
            <v>ICICI Prudential Fixed Maturity Plan - Series 80 - 1245 Days Plan L - Dividend Option</v>
          </cell>
          <cell r="E14054">
            <v>12.6462</v>
          </cell>
        </row>
        <row r="14055">
          <cell r="B14055" t="str">
            <v>INF109KB1K05</v>
          </cell>
          <cell r="C14055" t="str">
            <v>-</v>
          </cell>
          <cell r="D14055" t="str">
            <v>ICICI Prudential Fixed Maturity Plan - Series 80 - 1248 Days Plan D - Cumulative Option</v>
          </cell>
          <cell r="E14055">
            <v>12.873200000000001</v>
          </cell>
        </row>
        <row r="14056">
          <cell r="B14056" t="str">
            <v>INF109KB1K21</v>
          </cell>
          <cell r="C14056" t="str">
            <v>-</v>
          </cell>
          <cell r="D14056" t="str">
            <v>ICICI Prudential Fixed Maturity Plan - Series 80 - 1248 Days Plan D - Direct Plan - Cumulative Option</v>
          </cell>
          <cell r="E14056">
            <v>12.969900000000001</v>
          </cell>
        </row>
        <row r="14057">
          <cell r="B14057" t="str">
            <v>INF109KB1K13</v>
          </cell>
          <cell r="C14057" t="str">
            <v>-</v>
          </cell>
          <cell r="D14057" t="str">
            <v>ICICI Prudential Fixed Maturity Plan - Series 80 - 1248 Days Plan D - Dividend Option</v>
          </cell>
          <cell r="E14057">
            <v>12.873200000000001</v>
          </cell>
        </row>
        <row r="14058">
          <cell r="B14058" t="str">
            <v>INF109KB1R40</v>
          </cell>
          <cell r="C14058" t="str">
            <v>-</v>
          </cell>
          <cell r="D14058" t="str">
            <v>ICICI Prudential Fixed Maturity Plan - Series 80 - 1253 Days Plan J - Cumulative Option</v>
          </cell>
          <cell r="E14058">
            <v>12.6365</v>
          </cell>
        </row>
        <row r="14059">
          <cell r="B14059" t="str">
            <v>INF109KB1R65</v>
          </cell>
          <cell r="C14059" t="str">
            <v>-</v>
          </cell>
          <cell r="D14059" t="str">
            <v>ICICI Prudential Fixed Maturity Plan - Series 80 - 1253 Days Plan J - Direct Plan - Cumulative Option</v>
          </cell>
          <cell r="E14059">
            <v>12.642799999999999</v>
          </cell>
        </row>
        <row r="14060">
          <cell r="B14060" t="str">
            <v>INF109KB1R57</v>
          </cell>
          <cell r="C14060" t="str">
            <v>-</v>
          </cell>
          <cell r="D14060" t="str">
            <v>ICICI Prudential Fixed Maturity Plan - Series 80 - 1253 Days Plan J - Dividend Option</v>
          </cell>
          <cell r="E14060">
            <v>12.6365</v>
          </cell>
        </row>
        <row r="14061">
          <cell r="B14061" t="str">
            <v>INF109KB14S2</v>
          </cell>
          <cell r="C14061" t="str">
            <v>-</v>
          </cell>
          <cell r="D14061" t="str">
            <v>ICICI Prudential Fixed Maturity Plan - Series 81 - 1100 Days Plan O - Cumulative Option</v>
          </cell>
          <cell r="E14061">
            <v>12.3863</v>
          </cell>
        </row>
        <row r="14062">
          <cell r="B14062" t="str">
            <v>INF109KB12S6</v>
          </cell>
          <cell r="C14062" t="str">
            <v>-</v>
          </cell>
          <cell r="D14062" t="str">
            <v>ICICI Prudential Fixed Maturity Plan - Series 81 - 1100 Days Plan O - Direct Plan - Cumulative Option</v>
          </cell>
          <cell r="E14062">
            <v>12.511699999999999</v>
          </cell>
        </row>
        <row r="14063">
          <cell r="B14063" t="str">
            <v>INF109KB13S4</v>
          </cell>
          <cell r="C14063" t="str">
            <v>-</v>
          </cell>
          <cell r="D14063" t="str">
            <v>ICICI Prudential Fixed Maturity Plan - Series 81 - 1100 Days Plan O - Direct Plan - Dividend Option</v>
          </cell>
          <cell r="E14063">
            <v>12.511699999999999</v>
          </cell>
        </row>
        <row r="14064">
          <cell r="B14064" t="str">
            <v>INF109KB15S9</v>
          </cell>
          <cell r="C14064" t="str">
            <v>-</v>
          </cell>
          <cell r="D14064" t="str">
            <v>ICICI Prudential Fixed Maturity Plan - Series 81 - 1100 Days Plan O - Dividend Option</v>
          </cell>
          <cell r="E14064">
            <v>12.3863</v>
          </cell>
        </row>
        <row r="14065">
          <cell r="B14065" t="str">
            <v>INF109KB11U4</v>
          </cell>
          <cell r="C14065" t="str">
            <v>-</v>
          </cell>
          <cell r="D14065" t="str">
            <v>ICICI Prudential Fixed Maturity Plan - Series 81 - 1100 Days Plan R - Cumulative option</v>
          </cell>
          <cell r="E14065">
            <v>12.420400000000001</v>
          </cell>
        </row>
        <row r="14066">
          <cell r="B14066" t="str">
            <v>INF109KB19T9</v>
          </cell>
          <cell r="C14066" t="str">
            <v>-</v>
          </cell>
          <cell r="D14066" t="str">
            <v>ICICI Prudential Fixed Maturity Plan - Series 81 - 1100 Days Plan R - Direct Plan - Cumulative option</v>
          </cell>
          <cell r="E14066">
            <v>12.519399999999999</v>
          </cell>
        </row>
        <row r="14067">
          <cell r="B14067" t="str">
            <v>INF109KB10U6</v>
          </cell>
          <cell r="C14067" t="str">
            <v>-</v>
          </cell>
          <cell r="D14067" t="str">
            <v>ICICI Prudential Fixed Maturity Plan - Series 81 - 1100 Days Plan R - Direct Plan - Dividend option</v>
          </cell>
          <cell r="E14067">
            <v>12.519399999999999</v>
          </cell>
        </row>
        <row r="14068">
          <cell r="B14068" t="str">
            <v>INF109KB12U2</v>
          </cell>
          <cell r="C14068" t="str">
            <v>-</v>
          </cell>
          <cell r="D14068" t="str">
            <v>ICICI Prudential Fixed Maturity Plan - Series 81 - 1100 Days Plan R - Dividend option</v>
          </cell>
          <cell r="E14068">
            <v>12.420400000000001</v>
          </cell>
        </row>
        <row r="14069">
          <cell r="B14069" t="str">
            <v>INF109KB17X5</v>
          </cell>
          <cell r="C14069" t="str">
            <v>-</v>
          </cell>
          <cell r="D14069" t="str">
            <v>ICICI Prudential Fixed Maturity Plan - Series 81 - 1100 Days Plan W - Cumulative Option</v>
          </cell>
          <cell r="E14069">
            <v>12.4779</v>
          </cell>
        </row>
        <row r="14070">
          <cell r="B14070" t="str">
            <v>INF109KB19X1</v>
          </cell>
          <cell r="C14070" t="str">
            <v>-</v>
          </cell>
          <cell r="D14070" t="str">
            <v>ICICI Prudential Fixed Maturity Plan - Series 81 - 1100 Days Plan W - Direct Plan Cumulative Option</v>
          </cell>
          <cell r="E14070">
            <v>12.5101</v>
          </cell>
        </row>
        <row r="14071">
          <cell r="B14071" t="str">
            <v>INF109KB10Y8</v>
          </cell>
          <cell r="C14071" t="str">
            <v>-</v>
          </cell>
          <cell r="D14071" t="str">
            <v>ICICI Prudential Fixed Maturity Plan - Series 81 - 1100 Days Plan W - Direct Plan Dividend Option</v>
          </cell>
          <cell r="E14071">
            <v>12.5101</v>
          </cell>
        </row>
        <row r="14072">
          <cell r="B14072" t="str">
            <v>INF109KB18X3</v>
          </cell>
          <cell r="C14072" t="str">
            <v>-</v>
          </cell>
          <cell r="D14072" t="str">
            <v>ICICI Prudential Fixed Maturity Plan - Series 81 - 1100 Days Plan W - Dividend Option</v>
          </cell>
          <cell r="E14072">
            <v>12.4779</v>
          </cell>
        </row>
        <row r="14073">
          <cell r="B14073" t="str">
            <v>INF109KB16B3</v>
          </cell>
          <cell r="C14073" t="str">
            <v>-</v>
          </cell>
          <cell r="D14073" t="str">
            <v>ICICI Prudential Fixed Maturity Plan - Series 81 - 1101 Days Plan C - Cumulative Option</v>
          </cell>
          <cell r="E14073">
            <v>12.450699999999999</v>
          </cell>
        </row>
        <row r="14074">
          <cell r="B14074" t="str">
            <v>INF109KB18B9</v>
          </cell>
          <cell r="C14074" t="str">
            <v>-</v>
          </cell>
          <cell r="D14074" t="str">
            <v>ICICI Prudential Fixed Maturity Plan - Series 81 - 1101 Days Plan C - Direct Plan - Cumulative Option</v>
          </cell>
          <cell r="E14074">
            <v>12.7188</v>
          </cell>
        </row>
        <row r="14075">
          <cell r="B14075" t="str">
            <v>INF109KB19B7</v>
          </cell>
          <cell r="C14075" t="str">
            <v>-</v>
          </cell>
          <cell r="D14075" t="str">
            <v>ICICI Prudential Fixed Maturity Plan - Series 81 - 1101 Days Plan C - Direct Plan - Dividend Option</v>
          </cell>
          <cell r="E14075">
            <v>12.7188</v>
          </cell>
        </row>
        <row r="14076">
          <cell r="B14076" t="str">
            <v>INF109KB17B1</v>
          </cell>
          <cell r="C14076" t="str">
            <v>-</v>
          </cell>
          <cell r="D14076" t="str">
            <v>ICICI Prudential Fixed Maturity Plan - Series 81 - 1101 Days Plan C - Dividend Option</v>
          </cell>
          <cell r="E14076">
            <v>12.450699999999999</v>
          </cell>
        </row>
        <row r="14077">
          <cell r="B14077" t="str">
            <v>INF109KB12D8</v>
          </cell>
          <cell r="C14077" t="str">
            <v>-</v>
          </cell>
          <cell r="D14077" t="str">
            <v>ICICI Prudential Fixed Maturity Plan - Series 81 - 1101 Days Plan E - Cumulative Option</v>
          </cell>
          <cell r="E14077">
            <v>12.448</v>
          </cell>
        </row>
        <row r="14078">
          <cell r="B14078" t="str">
            <v>INF109KB14D4</v>
          </cell>
          <cell r="C14078" t="str">
            <v>-</v>
          </cell>
          <cell r="D14078" t="str">
            <v>ICICI Prudential Fixed Maturity Plan - Series 81 - 1101 Days Plan E - Direct Plan - Cumulative Option</v>
          </cell>
          <cell r="E14078">
            <v>12.6656</v>
          </cell>
        </row>
        <row r="14079">
          <cell r="B14079" t="str">
            <v>INF109KB15D1</v>
          </cell>
          <cell r="C14079" t="str">
            <v>-</v>
          </cell>
          <cell r="D14079" t="str">
            <v>ICICI Prudential Fixed Maturity Plan - Series 81 - 1101 Days Plan E - Direct Plan - Dividend Option</v>
          </cell>
          <cell r="E14079">
            <v>12.6656</v>
          </cell>
        </row>
        <row r="14080">
          <cell r="B14080" t="str">
            <v>INF109KB13D6</v>
          </cell>
          <cell r="C14080" t="str">
            <v>-</v>
          </cell>
          <cell r="D14080" t="str">
            <v>ICICI Prudential Fixed Maturity Plan - Series 81 - 1101 Days Plan E - Dividend Option</v>
          </cell>
          <cell r="E14080">
            <v>12.448</v>
          </cell>
        </row>
        <row r="14081">
          <cell r="B14081" t="str">
            <v>INF109KB12G1</v>
          </cell>
          <cell r="C14081" t="str">
            <v>-</v>
          </cell>
          <cell r="D14081" t="str">
            <v>ICICI Prudential Fixed Maturity Plan - Series 81 - 1116 Days Plan I - Cumulative Option</v>
          </cell>
          <cell r="E14081">
            <v>12.458</v>
          </cell>
        </row>
        <row r="14082">
          <cell r="B14082" t="str">
            <v>INF109KB10G5</v>
          </cell>
          <cell r="C14082" t="str">
            <v>-</v>
          </cell>
          <cell r="D14082" t="str">
            <v>ICICI Prudential Fixed Maturity Plan - Series 81 - 1116 Days Plan I - Direct Plan - Cumulative Option</v>
          </cell>
          <cell r="E14082">
            <v>12.5296</v>
          </cell>
        </row>
        <row r="14083">
          <cell r="B14083" t="str">
            <v>INF109KB11G3</v>
          </cell>
          <cell r="C14083" t="str">
            <v>-</v>
          </cell>
          <cell r="D14083" t="str">
            <v>ICICI Prudential Fixed Maturity Plan - Series 81 - 1116 Days Plan I - Direct Plan - Dividend Option</v>
          </cell>
          <cell r="E14083">
            <v>12.5296</v>
          </cell>
        </row>
        <row r="14084">
          <cell r="B14084" t="str">
            <v>INF109KB18P9</v>
          </cell>
          <cell r="C14084" t="str">
            <v>-</v>
          </cell>
          <cell r="D14084" t="str">
            <v>ICICI Prudential Fixed Maturity Plan - Series 81 - 1150 Days Plan K - Cumulative Option</v>
          </cell>
          <cell r="E14084">
            <v>12.3154</v>
          </cell>
        </row>
        <row r="14085">
          <cell r="B14085" t="str">
            <v>INF109KB16P3</v>
          </cell>
          <cell r="C14085" t="str">
            <v>-</v>
          </cell>
          <cell r="D14085" t="str">
            <v>ICICI Prudential Fixed Maturity Plan - Series 81 - 1150 Days Plan K - Direct Plan - Cumulative Option</v>
          </cell>
          <cell r="E14085">
            <v>12.3774</v>
          </cell>
        </row>
        <row r="14086">
          <cell r="B14086" t="str">
            <v>INF109KB17P1</v>
          </cell>
          <cell r="C14086" t="str">
            <v>-</v>
          </cell>
          <cell r="D14086" t="str">
            <v>ICICI Prudential Fixed Maturity Plan - Series 81 - 1150 Days Plan K - Direct Plan - Dividend Option</v>
          </cell>
          <cell r="E14086">
            <v>12.3774</v>
          </cell>
        </row>
        <row r="14087">
          <cell r="B14087" t="str">
            <v>INF109KB19P7</v>
          </cell>
          <cell r="C14087" t="str">
            <v>-</v>
          </cell>
          <cell r="D14087" t="str">
            <v>ICICI Prudential Fixed Maturity Plan - Series 81 - 1150 Days Plan K - Dividend Option</v>
          </cell>
          <cell r="E14087">
            <v>12.3154</v>
          </cell>
        </row>
        <row r="14088">
          <cell r="B14088" t="str">
            <v>INF109KB10K7</v>
          </cell>
          <cell r="C14088" t="str">
            <v>-</v>
          </cell>
          <cell r="D14088" t="str">
            <v>ICICI Prudential Fixed Maturity Plan - Series 81 - 1154 Days Plan J - Direct Plan - Cumulative Option</v>
          </cell>
          <cell r="E14088">
            <v>12.4016</v>
          </cell>
        </row>
        <row r="14089">
          <cell r="B14089" t="str">
            <v>INF109KB11K5</v>
          </cell>
          <cell r="C14089" t="str">
            <v>-</v>
          </cell>
          <cell r="D14089" t="str">
            <v>ICICI Prudential Fixed Maturity Plan - Series 81 - 1154 Days Plan J - Direct Plan - Dividend Option</v>
          </cell>
          <cell r="E14089">
            <v>12.4016</v>
          </cell>
        </row>
        <row r="14090">
          <cell r="B14090" t="str">
            <v>INF109KB12K3</v>
          </cell>
          <cell r="C14090" t="str">
            <v>-</v>
          </cell>
          <cell r="D14090" t="str">
            <v>ICICI Prudential Fixed Maturity Plan - Series 81 - 1154 Days Plan J Cumulative Option</v>
          </cell>
          <cell r="E14090">
            <v>12.3169</v>
          </cell>
        </row>
        <row r="14091">
          <cell r="B14091" t="str">
            <v>INF109KB13K1</v>
          </cell>
          <cell r="C14091" t="str">
            <v>-</v>
          </cell>
          <cell r="D14091" t="str">
            <v>ICICI Prudential Fixed Maturity Plan - Series 81 - 1154 Days Plan J Dividend Option</v>
          </cell>
          <cell r="E14091">
            <v>12.3169</v>
          </cell>
        </row>
        <row r="14092">
          <cell r="B14092" t="str">
            <v>INF109KB13T2</v>
          </cell>
          <cell r="C14092" t="str">
            <v>-</v>
          </cell>
          <cell r="D14092" t="str">
            <v>ICICI Prudential Fixed Maturity Plan - Series 81 - 1162 Days Plan P - Cumulative Option</v>
          </cell>
          <cell r="E14092">
            <v>12.3687</v>
          </cell>
        </row>
        <row r="14093">
          <cell r="B14093" t="str">
            <v>INF109KB11T6</v>
          </cell>
          <cell r="C14093" t="str">
            <v>-</v>
          </cell>
          <cell r="D14093" t="str">
            <v>ICICI Prudential Fixed Maturity Plan - Series 81 - 1162 Days Plan P - Direct Plan - Cumulative Option</v>
          </cell>
          <cell r="E14093">
            <v>12.398199999999999</v>
          </cell>
        </row>
        <row r="14094">
          <cell r="B14094" t="str">
            <v>INF109KB12T4</v>
          </cell>
          <cell r="C14094" t="str">
            <v>-</v>
          </cell>
          <cell r="D14094" t="str">
            <v>ICICI Prudential Fixed Maturity Plan - Series 81 - 1162 Days Plan P - Direct Plan - Dividend Option</v>
          </cell>
          <cell r="E14094">
            <v>12.398199999999999</v>
          </cell>
        </row>
        <row r="14095">
          <cell r="B14095" t="str">
            <v>INF109KB14T0</v>
          </cell>
          <cell r="C14095" t="str">
            <v>-</v>
          </cell>
          <cell r="D14095" t="str">
            <v>ICICI Prudential Fixed Maturity Plan - Series 81 - 1162 Days Plan P - Dividend Option</v>
          </cell>
          <cell r="E14095">
            <v>12.3687</v>
          </cell>
        </row>
        <row r="14096">
          <cell r="B14096" t="str">
            <v>INF109KB15U5</v>
          </cell>
          <cell r="C14096" t="str">
            <v>-</v>
          </cell>
          <cell r="D14096" t="str">
            <v>ICICI Prudential Fixed Maturity Plan - Series 81 - 1163 Days Plan Q - Cumulative Option</v>
          </cell>
          <cell r="E14096">
            <v>12.3512</v>
          </cell>
        </row>
        <row r="14097">
          <cell r="B14097" t="str">
            <v>INF109KB13U0</v>
          </cell>
          <cell r="C14097" t="str">
            <v>-</v>
          </cell>
          <cell r="D14097" t="str">
            <v>ICICI Prudential Fixed Maturity Plan - Series 81 - 1163 Days Plan Q - Direct Plan - Cumulative Option</v>
          </cell>
          <cell r="E14097">
            <v>12.3864</v>
          </cell>
        </row>
        <row r="14098">
          <cell r="B14098" t="str">
            <v>INF109KB14U8</v>
          </cell>
          <cell r="C14098" t="str">
            <v>-</v>
          </cell>
          <cell r="D14098" t="str">
            <v>ICICI Prudential Fixed Maturity Plan - Series 81 - 1163 Days Plan Q - Direct Plan - Dividend Option</v>
          </cell>
          <cell r="E14098">
            <v>12.3864</v>
          </cell>
        </row>
        <row r="14099">
          <cell r="B14099" t="str">
            <v>INF109KB16U3</v>
          </cell>
          <cell r="C14099" t="str">
            <v>-</v>
          </cell>
          <cell r="D14099" t="str">
            <v>ICICI Prudential Fixed Maturity Plan - Series 81 - 1163 Days Plan Q - Dividend Option</v>
          </cell>
          <cell r="E14099">
            <v>12.3512</v>
          </cell>
        </row>
        <row r="14100">
          <cell r="B14100" t="str">
            <v>INF109KB16G2</v>
          </cell>
          <cell r="C14100" t="str">
            <v>-</v>
          </cell>
          <cell r="D14100" t="str">
            <v>ICICI Prudential Fixed Maturity Plan - Series 81 - 1178 Days Plan H - Cumulative Option</v>
          </cell>
          <cell r="E14100">
            <v>12.447800000000001</v>
          </cell>
        </row>
        <row r="14101">
          <cell r="B14101" t="str">
            <v>INF109KB14G7</v>
          </cell>
          <cell r="C14101" t="str">
            <v>-</v>
          </cell>
          <cell r="D14101" t="str">
            <v>ICICI Prudential Fixed Maturity Plan - Series 81 - 1178 Days Plan H - Direct Plan - Cumulative Option</v>
          </cell>
          <cell r="E14101">
            <v>12.545199999999999</v>
          </cell>
        </row>
        <row r="14102">
          <cell r="B14102" t="str">
            <v>INF109KB15G4</v>
          </cell>
          <cell r="C14102" t="str">
            <v>-</v>
          </cell>
          <cell r="D14102" t="str">
            <v>ICICI Prudential Fixed Maturity Plan - Series 81 - 1178 Days Plan H - Direct Plan - Dividend Option</v>
          </cell>
          <cell r="E14102">
            <v>12.545199999999999</v>
          </cell>
        </row>
        <row r="14103">
          <cell r="B14103" t="str">
            <v>INF109KB17G0</v>
          </cell>
          <cell r="C14103" t="str">
            <v>-</v>
          </cell>
          <cell r="D14103" t="str">
            <v>ICICI Prudential Fixed Maturity Plan - Series 81 - 1178 Days Plan H - Dividend Option</v>
          </cell>
          <cell r="E14103">
            <v>12.447800000000001</v>
          </cell>
        </row>
        <row r="14104">
          <cell r="B14104" t="str">
            <v>INF109KB10H3</v>
          </cell>
          <cell r="C14104" t="str">
            <v>-</v>
          </cell>
          <cell r="D14104" t="str">
            <v>ICICI Prudential Fixed Maturity Plan - Series 81 - 1185 Days Plan G - Cumulative Option</v>
          </cell>
          <cell r="E14104">
            <v>12.473000000000001</v>
          </cell>
        </row>
        <row r="14105">
          <cell r="B14105" t="str">
            <v>INF109KB18G8</v>
          </cell>
          <cell r="C14105" t="str">
            <v>-</v>
          </cell>
          <cell r="D14105" t="str">
            <v>ICICI Prudential Fixed Maturity Plan - Series 81 - 1185 Days Plan G - Direct Plan - Cumulative Option</v>
          </cell>
          <cell r="E14105">
            <v>12.568</v>
          </cell>
        </row>
        <row r="14106">
          <cell r="B14106" t="str">
            <v>INF109KB11H1</v>
          </cell>
          <cell r="C14106" t="str">
            <v>-</v>
          </cell>
          <cell r="D14106" t="str">
            <v>ICICI Prudential Fixed Maturity Plan - Series 81 - 1185 Days Plan G - Dividend Option</v>
          </cell>
          <cell r="E14106">
            <v>12.473000000000001</v>
          </cell>
        </row>
        <row r="14107">
          <cell r="B14107" t="str">
            <v>INF109KB18F0</v>
          </cell>
          <cell r="C14107" t="str">
            <v>-</v>
          </cell>
          <cell r="D14107" t="str">
            <v>ICICI Prudential Fixed Maturity Plan - Series 81 - 1190 Days Plan F - Cumulative Option</v>
          </cell>
          <cell r="E14107">
            <v>12.476699999999999</v>
          </cell>
        </row>
        <row r="14108">
          <cell r="B14108" t="str">
            <v>INF109KB16F4</v>
          </cell>
          <cell r="C14108" t="str">
            <v>-</v>
          </cell>
          <cell r="D14108" t="str">
            <v>ICICI Prudential Fixed Maturity Plan - Series 81 - 1190 Days Plan F - Direct Plan - Cumulative Option</v>
          </cell>
          <cell r="E14108">
            <v>12.5785</v>
          </cell>
        </row>
        <row r="14109">
          <cell r="B14109" t="str">
            <v>INF109KB19F8</v>
          </cell>
          <cell r="C14109" t="str">
            <v>-</v>
          </cell>
          <cell r="D14109" t="str">
            <v>ICICI Prudential Fixed Maturity Plan - Series 81 - 1190 Days Plan F - Dividend Option</v>
          </cell>
          <cell r="E14109">
            <v>12.476699999999999</v>
          </cell>
        </row>
        <row r="14110">
          <cell r="B14110" t="str">
            <v>INF109KB14C6</v>
          </cell>
          <cell r="C14110" t="str">
            <v>-</v>
          </cell>
          <cell r="D14110" t="str">
            <v>ICICI Prudential Fixed Maturity Plan - Series 81 - 1195 Days Plan D - Cumulative Option</v>
          </cell>
          <cell r="E14110">
            <v>12.478899999999999</v>
          </cell>
        </row>
        <row r="14111">
          <cell r="B14111" t="str">
            <v>INF109KB16C1</v>
          </cell>
          <cell r="C14111" t="str">
            <v>-</v>
          </cell>
          <cell r="D14111" t="str">
            <v>ICICI Prudential Fixed Maturity Plan - Series 81 - 1195 Days Plan D - Direct Plan - Cumulative Option</v>
          </cell>
          <cell r="E14111">
            <v>12.59</v>
          </cell>
        </row>
        <row r="14112">
          <cell r="B14112" t="str">
            <v>INF109KB15C3</v>
          </cell>
          <cell r="C14112" t="str">
            <v>-</v>
          </cell>
          <cell r="D14112" t="str">
            <v>ICICI Prudential Fixed Maturity Plan - Series 81 - 1195 Days Plan D - Dividend Option</v>
          </cell>
          <cell r="E14112">
            <v>12.478899999999999</v>
          </cell>
        </row>
        <row r="14113">
          <cell r="B14113" t="str">
            <v>INF109KB12B2</v>
          </cell>
          <cell r="C14113" t="str">
            <v>-</v>
          </cell>
          <cell r="D14113" t="str">
            <v>ICICI Prudential Fixed Maturity Plan - Series 81 - 1205 Days Plan B - Cumulative Option</v>
          </cell>
          <cell r="E14113">
            <v>12.4985</v>
          </cell>
        </row>
        <row r="14114">
          <cell r="B14114" t="str">
            <v>INF109KB14B8</v>
          </cell>
          <cell r="C14114" t="str">
            <v>-</v>
          </cell>
          <cell r="D14114" t="str">
            <v>ICICI Prudential Fixed Maturity Plan - Series 81 - 1205 Days Plan B - Direct Plan - Cumulative Option</v>
          </cell>
          <cell r="E14114">
            <v>12.588200000000001</v>
          </cell>
        </row>
        <row r="14115">
          <cell r="B14115" t="str">
            <v>INF109KB15B5</v>
          </cell>
          <cell r="C14115" t="str">
            <v>-</v>
          </cell>
          <cell r="D14115" t="str">
            <v>ICICI Prudential Fixed Maturity Plan - Series 81 - 1205 Days Plan B - Direct Plan - Dividend Option</v>
          </cell>
          <cell r="E14115">
            <v>12.588200000000001</v>
          </cell>
        </row>
        <row r="14116">
          <cell r="B14116" t="str">
            <v>INF109KB13B0</v>
          </cell>
          <cell r="C14116" t="str">
            <v>-</v>
          </cell>
          <cell r="D14116" t="str">
            <v>ICICI Prudential Fixed Maturity Plan - Series 81 - 1205 Days Plan B - Dividend Option</v>
          </cell>
          <cell r="E14116">
            <v>12.4985</v>
          </cell>
        </row>
        <row r="14117">
          <cell r="B14117" t="str">
            <v>INF109KB18A1</v>
          </cell>
          <cell r="C14117" t="str">
            <v>-</v>
          </cell>
          <cell r="D14117" t="str">
            <v>ICICI Prudential Fixed Maturity Plan - Series 81 - 1211 Days Plan A - Cumulative Option</v>
          </cell>
          <cell r="E14117">
            <v>12.526300000000001</v>
          </cell>
        </row>
        <row r="14118">
          <cell r="B14118" t="str">
            <v>INF109KB10B6</v>
          </cell>
          <cell r="C14118" t="str">
            <v>-</v>
          </cell>
          <cell r="D14118" t="str">
            <v>ICICI Prudential Fixed Maturity Plan - Series 81 - 1211 Days Plan A - Direct Plan - Cumulative Option</v>
          </cell>
          <cell r="E14118">
            <v>12.5982</v>
          </cell>
        </row>
        <row r="14119">
          <cell r="B14119" t="str">
            <v>INF109KB11B4</v>
          </cell>
          <cell r="C14119" t="str">
            <v>-</v>
          </cell>
          <cell r="D14119" t="str">
            <v>ICICI Prudential Fixed Maturity Plan - Series 81 - 1211 Days Plan A - Direct Plan - Dividend Option</v>
          </cell>
          <cell r="E14119">
            <v>12.5982</v>
          </cell>
        </row>
        <row r="14120">
          <cell r="B14120" t="str">
            <v>INF109KB19A9</v>
          </cell>
          <cell r="C14120" t="str">
            <v>-</v>
          </cell>
          <cell r="D14120" t="str">
            <v>ICICI Prudential Fixed Maturity Plan - Series 81 - 1211 Days Plan A - Dividend Option</v>
          </cell>
          <cell r="E14120">
            <v>12.526300000000001</v>
          </cell>
        </row>
        <row r="14121">
          <cell r="B14121" t="str">
            <v>INF109KC1AF9</v>
          </cell>
          <cell r="C14121" t="str">
            <v>-</v>
          </cell>
          <cell r="D14121" t="str">
            <v>ICICI Prudential Fixed Maturity Plan - Series 82 - 103 Days Plan O - Cumulative Option</v>
          </cell>
          <cell r="E14121">
            <v>10.206200000000001</v>
          </cell>
        </row>
        <row r="14122">
          <cell r="B14122" t="str">
            <v>INF109KC1AH5</v>
          </cell>
          <cell r="C14122" t="str">
            <v>-</v>
          </cell>
          <cell r="D14122" t="str">
            <v>ICICI Prudential Fixed Maturity Plan - Series 82 - 103 Days Plan O - Direct Plan Cumulative Option</v>
          </cell>
          <cell r="E14122">
            <v>10.212</v>
          </cell>
        </row>
        <row r="14123">
          <cell r="B14123" t="str">
            <v>INF109KC1AI3</v>
          </cell>
          <cell r="C14123" t="str">
            <v>-</v>
          </cell>
          <cell r="D14123" t="str">
            <v>ICICI Prudential Fixed Maturity Plan - series 82 - 103 Days Plan O - Direct Plan Dividend Option</v>
          </cell>
          <cell r="E14123">
            <v>10.212</v>
          </cell>
        </row>
        <row r="14124">
          <cell r="B14124" t="str">
            <v>INF109KC1AG7</v>
          </cell>
          <cell r="C14124" t="str">
            <v>-</v>
          </cell>
          <cell r="D14124" t="str">
            <v>ICICI Prudential Fixed Maturity Plan - series 82 - 103 Days Plan O - Dividend Option</v>
          </cell>
          <cell r="E14124">
            <v>10.206200000000001</v>
          </cell>
        </row>
        <row r="14125">
          <cell r="B14125" t="str">
            <v>INF109KC1CH1</v>
          </cell>
          <cell r="C14125" t="str">
            <v>-</v>
          </cell>
          <cell r="D14125" t="str">
            <v>ICICI Prudential Fixed Maturity Plan - Series 82 - 1119 Days Plan X - Cumulative Option</v>
          </cell>
          <cell r="E14125">
            <v>12.431800000000001</v>
          </cell>
        </row>
        <row r="14126">
          <cell r="B14126" t="str">
            <v>INF109KC1CK5</v>
          </cell>
          <cell r="C14126" t="str">
            <v>-</v>
          </cell>
          <cell r="D14126" t="str">
            <v>ICICI Prudential Fixed Maturity Plan - Series 82 - 1119 Days Plan X - Direct Plan Cumulative Option</v>
          </cell>
          <cell r="E14126">
            <v>12.461</v>
          </cell>
        </row>
        <row r="14127">
          <cell r="B14127" t="str">
            <v>INF109KC1CM1</v>
          </cell>
          <cell r="C14127" t="str">
            <v>-</v>
          </cell>
          <cell r="D14127" t="str">
            <v>ICICI Prudential Fixed Maturity Plan - Series 82 - 1119 Days Plan X - Direct Plan Quarterly IDCW Option</v>
          </cell>
          <cell r="E14127">
            <v>12.461</v>
          </cell>
        </row>
        <row r="14128">
          <cell r="B14128" t="str">
            <v>INF109KC1CI9</v>
          </cell>
          <cell r="C14128" t="str">
            <v>-</v>
          </cell>
          <cell r="D14128" t="str">
            <v>ICICI Prudential Fixed Maturity Plan - Series 82 - 1119 Days Plan X - Half Yearly IDCW Option</v>
          </cell>
          <cell r="E14128">
            <v>12.4316</v>
          </cell>
        </row>
        <row r="14129">
          <cell r="B14129" t="str">
            <v>INF109KC1CJ7</v>
          </cell>
          <cell r="C14129" t="str">
            <v>-</v>
          </cell>
          <cell r="D14129" t="str">
            <v>ICICI Prudential Fixed Maturity Plan - Series 82 - 1119 Days Plan X - Quarterly IDCW Option</v>
          </cell>
          <cell r="E14129">
            <v>12.431800000000001</v>
          </cell>
        </row>
        <row r="14130">
          <cell r="B14130" t="str">
            <v>INF109KC1BB6</v>
          </cell>
          <cell r="C14130" t="str">
            <v>-</v>
          </cell>
          <cell r="D14130" t="str">
            <v>ICICI Prudential Fixed Maturity Plan - Series 82 - 1135 Days Plan S - Cumulative Option</v>
          </cell>
          <cell r="E14130">
            <v>12.511699999999999</v>
          </cell>
        </row>
        <row r="14131">
          <cell r="B14131" t="str">
            <v>INF109KC1BE0</v>
          </cell>
          <cell r="C14131" t="str">
            <v>-</v>
          </cell>
          <cell r="D14131" t="str">
            <v>ICICI Prudential Fixed Maturity Plan - Series 82 - 1135 Days Plan S - Direct Plan Cumulative Option</v>
          </cell>
          <cell r="E14131">
            <v>12.6419</v>
          </cell>
        </row>
        <row r="14132">
          <cell r="B14132" t="str">
            <v>INF109KC1BF7</v>
          </cell>
          <cell r="C14132" t="str">
            <v>-</v>
          </cell>
          <cell r="D14132" t="str">
            <v>ICICI Prudential Fixed Maturity Plan - Series 82 - 1135 Days Plan S - Direct Plan Half Yearly IDCW Option</v>
          </cell>
          <cell r="E14132">
            <v>12.6419</v>
          </cell>
        </row>
        <row r="14133">
          <cell r="B14133" t="str">
            <v>INF109KC1BG5</v>
          </cell>
          <cell r="C14133" t="str">
            <v>-</v>
          </cell>
          <cell r="D14133" t="str">
            <v>ICICI Prudential Fixed Maturity Plan - Series 82 - 1135 Days Plan S - Direct Plan Quarterly IDCW Option</v>
          </cell>
          <cell r="E14133">
            <v>12.6417</v>
          </cell>
        </row>
        <row r="14134">
          <cell r="B14134" t="str">
            <v>INF109KC1BC4</v>
          </cell>
          <cell r="C14134" t="str">
            <v>-</v>
          </cell>
          <cell r="D14134" t="str">
            <v>ICICI Prudential Fixed Maturity Plan - Series 82 - 1135 Days Plan S - Half Yearly IDCW Option</v>
          </cell>
          <cell r="E14134">
            <v>12.511699999999999</v>
          </cell>
        </row>
        <row r="14135">
          <cell r="B14135" t="str">
            <v>INF109KC1BD2</v>
          </cell>
          <cell r="C14135" t="str">
            <v>-</v>
          </cell>
          <cell r="D14135" t="str">
            <v>ICICI Prudential Fixed Maturity Plan - Series 82 - 1135 Days Plan S - Quarterly IDCW Option</v>
          </cell>
          <cell r="E14135">
            <v>12.511699999999999</v>
          </cell>
        </row>
        <row r="14136">
          <cell r="B14136" t="str">
            <v>INF109KC1BP6</v>
          </cell>
          <cell r="C14136" t="str">
            <v>-</v>
          </cell>
          <cell r="D14136" t="str">
            <v>ICICI Prudential Fixed Maturity Plan - Series 82 - 1135 Days Plan U - Cumulative Option</v>
          </cell>
          <cell r="E14136">
            <v>12.514200000000001</v>
          </cell>
        </row>
        <row r="14137">
          <cell r="B14137" t="str">
            <v>INF109KC1BS0</v>
          </cell>
          <cell r="C14137" t="str">
            <v>-</v>
          </cell>
          <cell r="D14137" t="str">
            <v>ICICI Prudential Fixed Maturity Plan - Series 82 - 1135 Days Plan U - Direct Plan Cumulative Option</v>
          </cell>
          <cell r="E14137">
            <v>12.5657</v>
          </cell>
        </row>
        <row r="14138">
          <cell r="B14138" t="str">
            <v>INF109KC1BT8</v>
          </cell>
          <cell r="C14138" t="str">
            <v>-</v>
          </cell>
          <cell r="D14138" t="str">
            <v>ICICI Prudential Fixed Maturity Plan - Series 82 - 1135 Days Plan U - Direct Plan Half Yearly IDCW Option</v>
          </cell>
          <cell r="E14138">
            <v>12.5657</v>
          </cell>
        </row>
        <row r="14139">
          <cell r="B14139" t="str">
            <v>INF109KC1BR2</v>
          </cell>
          <cell r="C14139" t="str">
            <v>-</v>
          </cell>
          <cell r="D14139" t="str">
            <v>ICICI Prudential Fixed Maturity Plan - Series 82 - 1135 Days Plan U - Quarterly IDCW Option</v>
          </cell>
          <cell r="E14139">
            <v>12.514200000000001</v>
          </cell>
        </row>
        <row r="14140">
          <cell r="B14140" t="str">
            <v>INF109KC1BV4</v>
          </cell>
          <cell r="C14140" t="str">
            <v>-</v>
          </cell>
          <cell r="D14140" t="str">
            <v>ICICI Prudential Fixed Maturity Plan - Series 82 - 1135 Days Plan V - Cumulative Option</v>
          </cell>
          <cell r="E14140">
            <v>12.4442</v>
          </cell>
        </row>
        <row r="14141">
          <cell r="B14141" t="str">
            <v>INF109KC1BY8</v>
          </cell>
          <cell r="C14141" t="str">
            <v>-</v>
          </cell>
          <cell r="D14141" t="str">
            <v>ICICI Prudential Fixed Maturity Plan - Series 82 - 1135 Days Plan V - Direct Plan Cumulative Option</v>
          </cell>
          <cell r="E14141">
            <v>12.523999999999999</v>
          </cell>
        </row>
        <row r="14142">
          <cell r="B14142" t="str">
            <v>INF109KC1CA6</v>
          </cell>
          <cell r="C14142" t="str">
            <v>-</v>
          </cell>
          <cell r="D14142" t="str">
            <v>ICICI Prudential Fixed Maturity Plan - Series 82 - 1135 Days Plan V - Direct Plan Quarterly IDCW Option</v>
          </cell>
          <cell r="E14142">
            <v>12.523999999999999</v>
          </cell>
        </row>
        <row r="14143">
          <cell r="B14143" t="str">
            <v>INF109KC1BW2</v>
          </cell>
          <cell r="C14143" t="str">
            <v>-</v>
          </cell>
          <cell r="D14143" t="str">
            <v>ICICI Prudential Fixed Maturity Plan - Series 82 - 1135 Days Plan V - Half Yearly IDCW Option</v>
          </cell>
          <cell r="E14143">
            <v>12.444000000000001</v>
          </cell>
        </row>
        <row r="14144">
          <cell r="B14144" t="str">
            <v>INF109KC1BX0</v>
          </cell>
          <cell r="C14144" t="str">
            <v>-</v>
          </cell>
          <cell r="D14144" t="str">
            <v>ICICI Prudential Fixed Maturity Plan - Series 82 - 1135 Days Plan V - Quarterly IDCW Option</v>
          </cell>
          <cell r="E14144">
            <v>12.4442</v>
          </cell>
        </row>
        <row r="14145">
          <cell r="B14145" t="str">
            <v>INF109KC1AJ1</v>
          </cell>
          <cell r="C14145" t="str">
            <v>-</v>
          </cell>
          <cell r="D14145" t="str">
            <v>ICICI Prudential Fixed Maturity Plan - Series 82 - 1136 Days Plan P - Cumulative Option</v>
          </cell>
          <cell r="E14145">
            <v>12.691599999999999</v>
          </cell>
        </row>
        <row r="14146">
          <cell r="B14146" t="str">
            <v>INF109KC1AM5</v>
          </cell>
          <cell r="C14146" t="str">
            <v>-</v>
          </cell>
          <cell r="D14146" t="str">
            <v>ICICI Prudential Fixed Maturity Plan - Series 82 - 1136 Days Plan P - Direct Plan Cumulative Option</v>
          </cell>
          <cell r="E14146">
            <v>12.7905</v>
          </cell>
        </row>
        <row r="14147">
          <cell r="B14147" t="str">
            <v>INF109KC1AN3</v>
          </cell>
          <cell r="C14147" t="str">
            <v>-</v>
          </cell>
          <cell r="D14147" t="str">
            <v>ICICI Prudential Fixed Maturity Plan - Series 82 - 1136 Days Plan P - Direct Plan Half Yearly IDCW Option</v>
          </cell>
          <cell r="E14147">
            <v>12.7904</v>
          </cell>
        </row>
        <row r="14148">
          <cell r="B14148" t="str">
            <v>INF109KC1AO1</v>
          </cell>
          <cell r="C14148" t="str">
            <v>-</v>
          </cell>
          <cell r="D14148" t="str">
            <v>ICICI Prudential Fixed Maturity Plan - Series 82 - 1136 Days Plan P - Direct Plan Quarterly IDCW Option</v>
          </cell>
          <cell r="E14148">
            <v>12.7903</v>
          </cell>
        </row>
        <row r="14149">
          <cell r="B14149" t="str">
            <v>INF109KC1AK9</v>
          </cell>
          <cell r="C14149" t="str">
            <v>-</v>
          </cell>
          <cell r="D14149" t="str">
            <v>ICICI Prudential Fixed Maturity Plan - Series 82 - 1136 Days Plan P - Half Yearly IDCW Option</v>
          </cell>
          <cell r="E14149">
            <v>12.6915</v>
          </cell>
        </row>
        <row r="14150">
          <cell r="B14150" t="str">
            <v>INF109KC1AL7</v>
          </cell>
          <cell r="C14150" t="str">
            <v>-</v>
          </cell>
          <cell r="D14150" t="str">
            <v>ICICI Prudential Fixed Maturity Plan - Series 82 - 1136 Days Plan P - Quarterly IDCW Option</v>
          </cell>
          <cell r="E14150">
            <v>12.691599999999999</v>
          </cell>
        </row>
        <row r="14151">
          <cell r="B14151" t="str">
            <v>INF109KC1CP4</v>
          </cell>
          <cell r="C14151" t="str">
            <v>-</v>
          </cell>
          <cell r="D14151" t="str">
            <v>ICICI Prudential Fixed Maturity Plan - Series 82 - 1141 Days Plan Y - Cumulative Option</v>
          </cell>
          <cell r="E14151">
            <v>12.588800000000001</v>
          </cell>
        </row>
        <row r="14152">
          <cell r="B14152" t="str">
            <v>INF109KC1CS8</v>
          </cell>
          <cell r="C14152" t="str">
            <v>-</v>
          </cell>
          <cell r="D14152" t="str">
            <v>ICICI Prudential Fixed Maturity Plan - Series 82 - 1141 Days Plan Y - Direct Plan Cumulative Option</v>
          </cell>
          <cell r="E14152">
            <v>12.623799999999999</v>
          </cell>
        </row>
        <row r="14153">
          <cell r="B14153" t="str">
            <v>INF109KC1CT6</v>
          </cell>
          <cell r="C14153" t="str">
            <v>-</v>
          </cell>
          <cell r="D14153" t="str">
            <v>ICICI Prudential Fixed Maturity Plan - Series 82 - 1141 Days Plan Y - Direct Plan Half Yearly IDCW Option</v>
          </cell>
          <cell r="E14153">
            <v>12.623799999999999</v>
          </cell>
        </row>
        <row r="14154">
          <cell r="B14154" t="str">
            <v>INF109KC1CQ2</v>
          </cell>
          <cell r="C14154" t="str">
            <v>-</v>
          </cell>
          <cell r="D14154" t="str">
            <v>ICICI Prudential Fixed Maturity Plan - Series 82 - 1141 Days Plan Y - Half Yearly IDCW Option</v>
          </cell>
          <cell r="E14154">
            <v>12.588699999999999</v>
          </cell>
        </row>
        <row r="14155">
          <cell r="B14155" t="str">
            <v>INF109KC1CR0</v>
          </cell>
          <cell r="C14155" t="str">
            <v>-</v>
          </cell>
          <cell r="D14155" t="str">
            <v>ICICI Prudential Fixed Maturity Plan - Series 82 - 1141 Days Plan Y - Quarterly IDCW Option</v>
          </cell>
          <cell r="E14155">
            <v>12.588800000000001</v>
          </cell>
        </row>
        <row r="14156">
          <cell r="B14156" t="str">
            <v>INF109KC1739</v>
          </cell>
          <cell r="C14156" t="str">
            <v>-</v>
          </cell>
          <cell r="D14156" t="str">
            <v>ICICI Prudential Fixed Maturity Plan - Series 82 - 1157 Days Plan J - Cumulative Option</v>
          </cell>
          <cell r="E14156">
            <v>12.6951</v>
          </cell>
        </row>
        <row r="14157">
          <cell r="B14157" t="str">
            <v>INF109KC1762</v>
          </cell>
          <cell r="C14157" t="str">
            <v>-</v>
          </cell>
          <cell r="D14157" t="str">
            <v>ICICI Prudential Fixed Maturity Plan - Series 82 - 1157 Days Plan J - Direct Plan Cumulative Option</v>
          </cell>
          <cell r="E14157">
            <v>12.825100000000001</v>
          </cell>
        </row>
        <row r="14158">
          <cell r="B14158" t="str">
            <v>INF109KC1770</v>
          </cell>
          <cell r="C14158" t="str">
            <v>-</v>
          </cell>
          <cell r="D14158" t="str">
            <v>ICICI Prudential Fixed Maturity Plan - Series 82 - 1157 Days Plan J - Direct Plan Half Yearly IDCW Option</v>
          </cell>
          <cell r="E14158">
            <v>12.825100000000001</v>
          </cell>
        </row>
        <row r="14159">
          <cell r="B14159" t="str">
            <v>INF109KC1788</v>
          </cell>
          <cell r="C14159" t="str">
            <v>-</v>
          </cell>
          <cell r="D14159" t="str">
            <v>ICICI Prudential Fixed Maturity Plan - Series 82 - 1157 Days Plan J - Direct Plan Quarterly IDCW Option</v>
          </cell>
          <cell r="E14159">
            <v>12.8248</v>
          </cell>
        </row>
        <row r="14160">
          <cell r="B14160" t="str">
            <v>INF109KC1747</v>
          </cell>
          <cell r="C14160" t="str">
            <v>-</v>
          </cell>
          <cell r="D14160" t="str">
            <v>ICICI Prudential Fixed Maturity Plan - Series 82 - 1157 Days Plan J - Half Yearly IDCW Option</v>
          </cell>
          <cell r="E14160">
            <v>12.6951</v>
          </cell>
        </row>
        <row r="14161">
          <cell r="B14161" t="str">
            <v>INF109KC1754</v>
          </cell>
          <cell r="C14161" t="str">
            <v>-</v>
          </cell>
          <cell r="D14161" t="str">
            <v>ICICI Prudential Fixed Maturity Plan - Series 82 - 1157 Days Plan J - Quarterly IDCW Option</v>
          </cell>
          <cell r="E14161">
            <v>12.6951</v>
          </cell>
        </row>
        <row r="14162">
          <cell r="B14162" t="str">
            <v>INF109KC1AV6</v>
          </cell>
          <cell r="C14162" t="str">
            <v>-</v>
          </cell>
          <cell r="D14162" t="str">
            <v>ICICI Prudential Fixed Maturity Plan - Series 82 - 1170 Days Plan R - Cumulative Option</v>
          </cell>
          <cell r="E14162">
            <v>12.5099</v>
          </cell>
        </row>
        <row r="14163">
          <cell r="B14163" t="str">
            <v>INF109KC1AY0</v>
          </cell>
          <cell r="C14163" t="str">
            <v>-</v>
          </cell>
          <cell r="D14163" t="str">
            <v>ICICI Prudential Fixed Maturity Plan - Series 82 - 1170 Days Plan R - Direct Plan Cumulative Option</v>
          </cell>
          <cell r="E14163">
            <v>12.5604</v>
          </cell>
        </row>
        <row r="14164">
          <cell r="B14164" t="str">
            <v>INF109KC1BA8</v>
          </cell>
          <cell r="C14164" t="str">
            <v>-</v>
          </cell>
          <cell r="D14164" t="str">
            <v>ICICI Prudential Fixed Maturity Plan - Series 82 - 1170 Days Plan R - Direct Plan Quarterly IDCW Option</v>
          </cell>
          <cell r="E14164">
            <v>12.5604</v>
          </cell>
        </row>
        <row r="14165">
          <cell r="B14165" t="str">
            <v>INF109KC1AW4</v>
          </cell>
          <cell r="C14165" t="str">
            <v>-</v>
          </cell>
          <cell r="D14165" t="str">
            <v>ICICI Prudential Fixed Maturity Plan - Series 82 - 1170 Days Plan R - Half Yearly IDCW Option</v>
          </cell>
          <cell r="E14165">
            <v>12.5099</v>
          </cell>
        </row>
        <row r="14166">
          <cell r="B14166" t="str">
            <v>INF109KC1AX2</v>
          </cell>
          <cell r="C14166" t="str">
            <v>-</v>
          </cell>
          <cell r="D14166" t="str">
            <v>ICICI Prudential Fixed Maturity Plan - Series 82 - 1170 Days Plan R - Quarterly IDCW Option</v>
          </cell>
          <cell r="E14166">
            <v>12.5099</v>
          </cell>
        </row>
        <row r="14167">
          <cell r="B14167" t="str">
            <v>INF109KC1AP8</v>
          </cell>
          <cell r="C14167" t="str">
            <v>-</v>
          </cell>
          <cell r="D14167" t="str">
            <v>ICICI Prudential Fixed Maturity Plan - Series 82 - 1175 Days Plan Q - Cumulative Option</v>
          </cell>
          <cell r="E14167">
            <v>12.566800000000001</v>
          </cell>
        </row>
        <row r="14168">
          <cell r="B14168" t="str">
            <v>INF109KC1AS2</v>
          </cell>
          <cell r="C14168" t="str">
            <v>-</v>
          </cell>
          <cell r="D14168" t="str">
            <v>ICICI Prudential Fixed Maturity Plan - Series 82 - 1175 Days Plan Q - Direct Plan Cumulative Option</v>
          </cell>
          <cell r="E14168">
            <v>12.6531</v>
          </cell>
        </row>
        <row r="14169">
          <cell r="B14169" t="str">
            <v>INF109KC1AT0</v>
          </cell>
          <cell r="C14169" t="str">
            <v>-</v>
          </cell>
          <cell r="D14169" t="str">
            <v>ICICI Prudential Fixed Maturity Plan - Series 82 - 1175 Days Plan Q - Direct Plan Half yearly IDCW Option</v>
          </cell>
          <cell r="E14169">
            <v>12.653</v>
          </cell>
        </row>
        <row r="14170">
          <cell r="B14170" t="str">
            <v>INF109KC1AU8</v>
          </cell>
          <cell r="C14170" t="str">
            <v>-</v>
          </cell>
          <cell r="D14170" t="str">
            <v>ICICI Prudential Fixed Maturity Plan - Series 82 - 1175 Days Plan Q - Direct Plan Quarterly IDCW Option</v>
          </cell>
          <cell r="E14170">
            <v>12.6531</v>
          </cell>
        </row>
        <row r="14171">
          <cell r="B14171" t="str">
            <v>INF109KC1AQ6</v>
          </cell>
          <cell r="C14171" t="str">
            <v>-</v>
          </cell>
          <cell r="D14171" t="str">
            <v>ICICI Prudential Fixed Maturity Plan - Series 82 - 1175 Days Plan Q - Half Yearly IDCW Option</v>
          </cell>
          <cell r="E14171">
            <v>12.566800000000001</v>
          </cell>
        </row>
        <row r="14172">
          <cell r="B14172" t="str">
            <v>INF109KC1AR4</v>
          </cell>
          <cell r="C14172" t="str">
            <v>-</v>
          </cell>
          <cell r="D14172" t="str">
            <v>ICICI Prudential Fixed Maturity Plan - Series 82 - 1175 Days Plan Q - Quarterly IDCW Option</v>
          </cell>
          <cell r="E14172">
            <v>12.566800000000001</v>
          </cell>
        </row>
        <row r="14173">
          <cell r="B14173" t="str">
            <v>INF109KC1671</v>
          </cell>
          <cell r="C14173" t="str">
            <v>-</v>
          </cell>
          <cell r="D14173" t="str">
            <v>ICICI Prudential Fixed Maturity Plan - Series 82 - 1185 Days Plan I - Cumulative Option</v>
          </cell>
          <cell r="E14173">
            <v>12.634399999999999</v>
          </cell>
        </row>
        <row r="14174">
          <cell r="B14174" t="str">
            <v>INF109KC1705</v>
          </cell>
          <cell r="C14174" t="str">
            <v>-</v>
          </cell>
          <cell r="D14174" t="str">
            <v>ICICI Prudential Fixed Maturity Plan - Series 82 - 1185 Days Plan I - Direct Plan Cumulative Option</v>
          </cell>
          <cell r="E14174">
            <v>12.686500000000001</v>
          </cell>
        </row>
        <row r="14175">
          <cell r="B14175" t="str">
            <v>INF109KC1994</v>
          </cell>
          <cell r="C14175" t="str">
            <v>-</v>
          </cell>
          <cell r="D14175" t="str">
            <v>ICICI Prudential Fixed Maturity Plan - Series 82 - 1185 Days Plan N - Cumulative Option</v>
          </cell>
          <cell r="E14175">
            <v>12.5961</v>
          </cell>
        </row>
        <row r="14176">
          <cell r="B14176" t="str">
            <v>INF109KC1AC6</v>
          </cell>
          <cell r="C14176" t="str">
            <v>-</v>
          </cell>
          <cell r="D14176" t="str">
            <v>ICICI Prudential Fixed Maturity Plan - Series 82 - 1185 Days Plan N - Direct Plan Cumulative Option</v>
          </cell>
          <cell r="E14176">
            <v>12.6671</v>
          </cell>
        </row>
        <row r="14177">
          <cell r="B14177" t="str">
            <v>INF109KC1AD4</v>
          </cell>
          <cell r="C14177" t="str">
            <v>-</v>
          </cell>
          <cell r="D14177" t="str">
            <v>ICICI Prudential Fixed Maturity Plan - Series 82 - 1185 Days Plan N - Direct Plan Half Yearly IDCW Option</v>
          </cell>
          <cell r="E14177">
            <v>12.6671</v>
          </cell>
        </row>
        <row r="14178">
          <cell r="B14178" t="str">
            <v>INF109KC1AE2</v>
          </cell>
          <cell r="C14178" t="str">
            <v>-</v>
          </cell>
          <cell r="D14178" t="str">
            <v>ICICI Prudential Fixed Maturity Plan - Series 82 - 1185 Days Plan N - Direct Plan Quarterly IDCW Option</v>
          </cell>
          <cell r="E14178">
            <v>12.6638</v>
          </cell>
        </row>
        <row r="14179">
          <cell r="B14179" t="str">
            <v>INF109KC1AA0</v>
          </cell>
          <cell r="C14179" t="str">
            <v>-</v>
          </cell>
          <cell r="D14179" t="str">
            <v>ICICI Prudential Fixed Maturity Plan - Series 82 - 1185 Days Plan N - Half Yearly IDCW Option</v>
          </cell>
          <cell r="E14179">
            <v>12.5961</v>
          </cell>
        </row>
        <row r="14180">
          <cell r="B14180" t="str">
            <v>INF109KC1AB8</v>
          </cell>
          <cell r="C14180" t="str">
            <v>-</v>
          </cell>
          <cell r="D14180" t="str">
            <v>ICICI Prudential Fixed Maturity Plan - Series 82 - 1185 Days Plan N - Quarterly IDCW Option</v>
          </cell>
          <cell r="E14180">
            <v>12.5961</v>
          </cell>
        </row>
        <row r="14181">
          <cell r="B14181" t="str">
            <v>INF109KC1374</v>
          </cell>
          <cell r="C14181" t="str">
            <v>-</v>
          </cell>
          <cell r="D14181" t="str">
            <v>ICICI Prudential Fixed Maturity Plan - Series 82 - 1187 Days Plan F - Cumulative Option</v>
          </cell>
          <cell r="E14181">
            <v>12.788399999999999</v>
          </cell>
        </row>
        <row r="14182">
          <cell r="B14182" t="str">
            <v>INF109KC1408</v>
          </cell>
          <cell r="C14182" t="str">
            <v>-</v>
          </cell>
          <cell r="D14182" t="str">
            <v>ICICI Prudential Fixed Maturity Plan - Series 82 - 1187 Days Plan F - Direct Plan Cumulative Option</v>
          </cell>
          <cell r="E14182">
            <v>12.9109</v>
          </cell>
        </row>
        <row r="14183">
          <cell r="B14183" t="str">
            <v>INF109KC1424</v>
          </cell>
          <cell r="C14183" t="str">
            <v>-</v>
          </cell>
          <cell r="D14183" t="str">
            <v>ICICI Prudential Fixed Maturity Plan - Series 82 - 1187 Days Plan F - Direct Plan Quarterly IDCW Option</v>
          </cell>
          <cell r="E14183">
            <v>12.9109</v>
          </cell>
        </row>
        <row r="14184">
          <cell r="B14184" t="str">
            <v>INF109KC1382</v>
          </cell>
          <cell r="C14184" t="str">
            <v>-</v>
          </cell>
          <cell r="D14184" t="str">
            <v>ICICI Prudential Fixed Maturity Plan - Series 82 - 1187 Days Plan F - Half Yearly IDCW Option</v>
          </cell>
          <cell r="E14184">
            <v>12.7883</v>
          </cell>
        </row>
        <row r="14185">
          <cell r="B14185" t="str">
            <v>INF109KC1390</v>
          </cell>
          <cell r="C14185" t="str">
            <v>-</v>
          </cell>
          <cell r="D14185" t="str">
            <v>ICICI Prudential Fixed Maturity Plan - Series 82 - 1187 Days Plan F - Quarterly IDCW Option</v>
          </cell>
          <cell r="E14185">
            <v>12.788399999999999</v>
          </cell>
        </row>
        <row r="14186">
          <cell r="B14186" t="str">
            <v>INF109KC1879</v>
          </cell>
          <cell r="C14186" t="str">
            <v>-</v>
          </cell>
          <cell r="D14186" t="str">
            <v>ICICI Prudential Fixed Maturity Plan - Series 82 - 1199 Days Plan L - Cumulative Option</v>
          </cell>
          <cell r="E14186">
            <v>12.662599999999999</v>
          </cell>
        </row>
        <row r="14187">
          <cell r="B14187" t="str">
            <v>INF109KC1903</v>
          </cell>
          <cell r="C14187" t="str">
            <v>-</v>
          </cell>
          <cell r="D14187" t="str">
            <v>ICICI Prudential Fixed Maturity Plan - Series 82 - 1199 Days Plan L - Direct Plan Cumulative Option</v>
          </cell>
          <cell r="E14187">
            <v>12.7141</v>
          </cell>
        </row>
        <row r="14188">
          <cell r="B14188" t="str">
            <v>INF109KC1911</v>
          </cell>
          <cell r="C14188" t="str">
            <v>-</v>
          </cell>
          <cell r="D14188" t="str">
            <v>ICICI Prudential Fixed Maturity Plan - Series 82 - 1199 Days Plan L - Direct Plan Half Yearly IDCW Option</v>
          </cell>
          <cell r="E14188">
            <v>12.7134</v>
          </cell>
        </row>
        <row r="14189">
          <cell r="B14189" t="str">
            <v>INF109KC1887</v>
          </cell>
          <cell r="C14189" t="str">
            <v>-</v>
          </cell>
          <cell r="D14189" t="str">
            <v>ICICI Prudential Fixed Maturity Plan - Series 82 - 1199 Days Plan L - Half Yearly IDCW Option</v>
          </cell>
          <cell r="E14189">
            <v>12.662699999999999</v>
          </cell>
        </row>
        <row r="14190">
          <cell r="B14190" t="str">
            <v>INF109KC1812</v>
          </cell>
          <cell r="C14190" t="str">
            <v>-</v>
          </cell>
          <cell r="D14190" t="str">
            <v>ICICI Prudential Fixed Maturity Plan - Series 82 - 1203 Days Plan K - Cumulative Option</v>
          </cell>
          <cell r="E14190">
            <v>12.6555</v>
          </cell>
        </row>
        <row r="14191">
          <cell r="B14191" t="str">
            <v>INF109KC1846</v>
          </cell>
          <cell r="C14191" t="str">
            <v>-</v>
          </cell>
          <cell r="D14191" t="str">
            <v>ICICI Prudential Fixed Maturity Plan - Series 82 - 1203 Days Plan K - Direct Plan Cumulative Option</v>
          </cell>
          <cell r="E14191">
            <v>12.705399999999999</v>
          </cell>
        </row>
        <row r="14192">
          <cell r="B14192" t="str">
            <v>INF109KC1861</v>
          </cell>
          <cell r="C14192" t="str">
            <v>-</v>
          </cell>
          <cell r="D14192" t="str">
            <v>ICICI Prudential Fixed Maturity Plan - Series 82 - 1203 Days Plan K - Direct Plan Quarterly IDCW Option</v>
          </cell>
          <cell r="E14192">
            <v>12.705399999999999</v>
          </cell>
        </row>
        <row r="14193">
          <cell r="B14193" t="str">
            <v>INF109KC1820</v>
          </cell>
          <cell r="C14193" t="str">
            <v>-</v>
          </cell>
          <cell r="D14193" t="str">
            <v>ICICI Prudential Fixed Maturity Plan - Series 82 - 1203 Days Plan K - Half Yearly IDCW Option</v>
          </cell>
          <cell r="E14193">
            <v>12.6557</v>
          </cell>
        </row>
        <row r="14194">
          <cell r="B14194" t="str">
            <v>INF109KC1838</v>
          </cell>
          <cell r="C14194" t="str">
            <v>-</v>
          </cell>
          <cell r="D14194" t="str">
            <v>ICICI Prudential Fixed Maturity Plan - Series 82 - 1203 Days Plan K - Quarterly IDCW Option</v>
          </cell>
          <cell r="E14194">
            <v>12.6554</v>
          </cell>
        </row>
        <row r="14195">
          <cell r="B14195" t="str">
            <v>INF109KC1499</v>
          </cell>
          <cell r="C14195" t="str">
            <v>-</v>
          </cell>
          <cell r="D14195" t="str">
            <v>ICICI Prudential Fixed Maturity Plan - Series 82 - 1215 Days Plan H - Cumulative Option</v>
          </cell>
          <cell r="E14195">
            <v>12.6981</v>
          </cell>
        </row>
        <row r="14196">
          <cell r="B14196" t="str">
            <v>INF109KC1523</v>
          </cell>
          <cell r="C14196" t="str">
            <v>-</v>
          </cell>
          <cell r="D14196" t="str">
            <v>ICICI Prudential Fixed Maturity Plan - Series 82 - 1215 Days Plan H - Direct Plan Cumulative Option</v>
          </cell>
          <cell r="E14196">
            <v>12.7501</v>
          </cell>
        </row>
        <row r="14197">
          <cell r="B14197" t="str">
            <v>INF109KC1531</v>
          </cell>
          <cell r="C14197" t="str">
            <v>-</v>
          </cell>
          <cell r="D14197" t="str">
            <v>ICICI Prudential Fixed Maturity Plan - Series 82 - 1215 Days Plan H - Direct Plan Half Yearly IDCW Option</v>
          </cell>
          <cell r="E14197">
            <v>12.75</v>
          </cell>
        </row>
        <row r="14198">
          <cell r="B14198" t="str">
            <v>INF109KC1549</v>
          </cell>
          <cell r="C14198" t="str">
            <v>-</v>
          </cell>
          <cell r="D14198" t="str">
            <v>ICICI Prudential Fixed Maturity Plan - Series 82 - 1215 Days Plan H - Direct Plan Quarterly IDCW Option</v>
          </cell>
          <cell r="E14198">
            <v>12.750299999999999</v>
          </cell>
        </row>
        <row r="14199">
          <cell r="B14199" t="str">
            <v>INF109KC1507</v>
          </cell>
          <cell r="C14199" t="str">
            <v>-</v>
          </cell>
          <cell r="D14199" t="str">
            <v>ICICI Prudential Fixed Maturity Plan - Series 82 - 1215 Days Plan H - Half Yearly IDCW Option</v>
          </cell>
          <cell r="E14199">
            <v>12.698</v>
          </cell>
        </row>
        <row r="14200">
          <cell r="B14200" t="str">
            <v>INF109KC1515</v>
          </cell>
          <cell r="C14200" t="str">
            <v>-</v>
          </cell>
          <cell r="D14200" t="str">
            <v>ICICI Prudential Fixed Maturity Plan - Series 82 - 1215 Days Plan H - Quarterly IDCW Option</v>
          </cell>
          <cell r="E14200">
            <v>12.6982</v>
          </cell>
        </row>
        <row r="14201">
          <cell r="B14201" t="str">
            <v>INF109KC1119</v>
          </cell>
          <cell r="C14201" t="str">
            <v>-</v>
          </cell>
          <cell r="D14201" t="str">
            <v>ICICI Prudential Fixed Maturity Plan - Series 82 - 1217 Days Plan C - Cumulative Option</v>
          </cell>
          <cell r="E14201">
            <v>12.6114</v>
          </cell>
        </row>
        <row r="14202">
          <cell r="B14202" t="str">
            <v>INF109KC1143</v>
          </cell>
          <cell r="C14202" t="str">
            <v>-</v>
          </cell>
          <cell r="D14202" t="str">
            <v>ICICI Prudential Fixed Maturity Plan - Series 82 - 1217 Days Plan C - Direct Plan Cumulative Option</v>
          </cell>
          <cell r="E14202">
            <v>12.681100000000001</v>
          </cell>
        </row>
        <row r="14203">
          <cell r="B14203" t="str">
            <v>INF109KC1150</v>
          </cell>
          <cell r="C14203" t="str">
            <v>-</v>
          </cell>
          <cell r="D14203" t="str">
            <v>ICICI Prudential Fixed Maturity Plan - Series 82 - 1217 Days Plan C - Direct Plan Half Yearly IDCW Option</v>
          </cell>
          <cell r="E14203">
            <v>12.6784</v>
          </cell>
        </row>
        <row r="14204">
          <cell r="B14204" t="str">
            <v>INF109KC1168</v>
          </cell>
          <cell r="C14204" t="str">
            <v>-</v>
          </cell>
          <cell r="D14204" t="str">
            <v>ICICI Prudential Fixed Maturity Plan - Series 82 - 1217 Days Plan C - Direct Plan Quarterly IDCW Option</v>
          </cell>
          <cell r="E14204">
            <v>12.681100000000001</v>
          </cell>
        </row>
        <row r="14205">
          <cell r="B14205" t="str">
            <v>INF109KC1127</v>
          </cell>
          <cell r="C14205" t="str">
            <v>-</v>
          </cell>
          <cell r="D14205" t="str">
            <v>ICICI Prudential Fixed Maturity Plan - Series 82 - 1217 Days Plan C - Half Yearly IDCW Option</v>
          </cell>
          <cell r="E14205">
            <v>12.6113</v>
          </cell>
        </row>
        <row r="14206">
          <cell r="B14206" t="str">
            <v>INF109KC1135</v>
          </cell>
          <cell r="C14206" t="str">
            <v>-</v>
          </cell>
          <cell r="D14206" t="str">
            <v>ICICI Prudential Fixed Maturity Plan - Series 82 - 1217 Days Plan C - Quarterly IDCW Option</v>
          </cell>
          <cell r="E14206">
            <v>12.6114</v>
          </cell>
        </row>
        <row r="14207">
          <cell r="B14207" t="str">
            <v>INF109KC1176</v>
          </cell>
          <cell r="C14207" t="str">
            <v>-</v>
          </cell>
          <cell r="D14207" t="str">
            <v>ICICI Prudential Fixed Maturity Plan - Series 82 - 1219 Days Plan D - Cumulative Option</v>
          </cell>
          <cell r="E14207">
            <v>12.658200000000001</v>
          </cell>
        </row>
        <row r="14208">
          <cell r="B14208" t="str">
            <v>INF109KC1200</v>
          </cell>
          <cell r="C14208" t="str">
            <v>-</v>
          </cell>
          <cell r="D14208" t="str">
            <v>ICICI Prudential Fixed Maturity Plan - Series 82 - 1219 Days Plan D - Direct Plan Cumulative Option</v>
          </cell>
          <cell r="E14208">
            <v>12.7258</v>
          </cell>
        </row>
        <row r="14209">
          <cell r="B14209" t="str">
            <v>INF109KC1226</v>
          </cell>
          <cell r="C14209" t="str">
            <v>-</v>
          </cell>
          <cell r="D14209" t="str">
            <v>ICICI Prudential Fixed Maturity Plan - Series 82 - 1219 Days Plan D - Direct Plan Quarterly IDCW Option</v>
          </cell>
          <cell r="E14209">
            <v>12.7258</v>
          </cell>
        </row>
        <row r="14210">
          <cell r="B14210" t="str">
            <v>INF109KC1184</v>
          </cell>
          <cell r="C14210" t="str">
            <v>-</v>
          </cell>
          <cell r="D14210" t="str">
            <v>ICICI Prudential Fixed Maturity Plan - Series 82 - 1219 Days Plan D - Half Yearly IDCW Option</v>
          </cell>
          <cell r="E14210">
            <v>12.649900000000001</v>
          </cell>
        </row>
        <row r="14211">
          <cell r="B14211" t="str">
            <v>INF109KC1192</v>
          </cell>
          <cell r="C14211" t="str">
            <v>-</v>
          </cell>
          <cell r="D14211" t="str">
            <v>ICICI Prudential Fixed Maturity Plan - Series 82 - 1219 Days Plan D - Quarterly IDCW Option</v>
          </cell>
          <cell r="E14211">
            <v>12.658200000000001</v>
          </cell>
        </row>
        <row r="14212">
          <cell r="B14212" t="str">
            <v>INF109KC1275</v>
          </cell>
          <cell r="C14212" t="str">
            <v>-</v>
          </cell>
          <cell r="D14212" t="str">
            <v>ICICI Prudential Fixed Maturity Plan - Series 82 - 1223 Days Plan E - Cumulative Option</v>
          </cell>
          <cell r="E14212">
            <v>12.6311</v>
          </cell>
        </row>
        <row r="14213">
          <cell r="B14213" t="str">
            <v>INF109KC1309</v>
          </cell>
          <cell r="C14213" t="str">
            <v>-</v>
          </cell>
          <cell r="D14213" t="str">
            <v>ICICI Prudential Fixed Maturity Plan - Series 82 - 1223 Days Plan E - Direct Plan Cumulative Option</v>
          </cell>
          <cell r="E14213">
            <v>12.698700000000001</v>
          </cell>
        </row>
        <row r="14214">
          <cell r="B14214" t="str">
            <v>INF109KC1317</v>
          </cell>
          <cell r="C14214" t="str">
            <v>-</v>
          </cell>
          <cell r="D14214" t="str">
            <v>ICICI Prudential Fixed Maturity Plan - Series 82 - 1223 Days Plan E - Direct Plan Half Yearly IDCW Option</v>
          </cell>
          <cell r="E14214">
            <v>12.6988</v>
          </cell>
        </row>
        <row r="14215">
          <cell r="B14215" t="str">
            <v>INF109KC1325</v>
          </cell>
          <cell r="C14215" t="str">
            <v>-</v>
          </cell>
          <cell r="D14215" t="str">
            <v>ICICI Prudential Fixed Maturity Plan - Series 82 - 1223 Days Plan E - Direct Plan Quarterly IDCW Option</v>
          </cell>
          <cell r="E14215">
            <v>12.698700000000001</v>
          </cell>
        </row>
        <row r="14216">
          <cell r="B14216" t="str">
            <v>INF109KC1283</v>
          </cell>
          <cell r="C14216" t="str">
            <v>-</v>
          </cell>
          <cell r="D14216" t="str">
            <v>ICICI Prudential Fixed Maturity Plan - Series 82 - 1223 Days Plan E - Half Yearly IDCW Option</v>
          </cell>
          <cell r="E14216">
            <v>12.630699999999999</v>
          </cell>
        </row>
        <row r="14217">
          <cell r="B14217" t="str">
            <v>INF109KC1291</v>
          </cell>
          <cell r="C14217" t="str">
            <v>-</v>
          </cell>
          <cell r="D14217" t="str">
            <v>ICICI Prudential Fixed Maturity Plan - Series 82 - 1223 Days Plan E - Quarterly IDCW Option</v>
          </cell>
          <cell r="E14217">
            <v>12.6311</v>
          </cell>
        </row>
        <row r="14218">
          <cell r="B14218" t="str">
            <v>INF109KC1432</v>
          </cell>
          <cell r="C14218" t="str">
            <v>-</v>
          </cell>
          <cell r="D14218" t="str">
            <v>ICICI Prudential Fixed Maturity Plan - Series 82 - 1223 Days Plan G - Cumulative Option</v>
          </cell>
          <cell r="E14218">
            <v>12.6569</v>
          </cell>
        </row>
        <row r="14219">
          <cell r="B14219" t="str">
            <v>INF109KC1465</v>
          </cell>
          <cell r="C14219" t="str">
            <v>-</v>
          </cell>
          <cell r="D14219" t="str">
            <v>ICICI Prudential Fixed Maturity Plan - Series 82 - 1223 Days Plan G - Direct Plan Cumulative Option</v>
          </cell>
          <cell r="E14219">
            <v>12.7102</v>
          </cell>
        </row>
        <row r="14220">
          <cell r="B14220" t="str">
            <v>INF109KC1473</v>
          </cell>
          <cell r="C14220" t="str">
            <v>-</v>
          </cell>
          <cell r="D14220" t="str">
            <v>ICICI Prudential Fixed Maturity Plan - Series 82 - 1223 Days Plan G - Direct Plan Half Yearly IDCW Option</v>
          </cell>
          <cell r="E14220">
            <v>12.7102</v>
          </cell>
        </row>
        <row r="14221">
          <cell r="B14221" t="str">
            <v>INF109KC1440</v>
          </cell>
          <cell r="C14221" t="str">
            <v>-</v>
          </cell>
          <cell r="D14221" t="str">
            <v>ICICI Prudential Fixed Maturity Plan - Series 82 - 1223 Days Plan G - Half Yearly IDCW Option</v>
          </cell>
          <cell r="E14221">
            <v>12.6569</v>
          </cell>
        </row>
        <row r="14222">
          <cell r="B14222" t="str">
            <v>INF109KC1457</v>
          </cell>
          <cell r="C14222" t="str">
            <v>-</v>
          </cell>
          <cell r="D14222" t="str">
            <v>ICICI Prudential Fixed Maturity Plan - Series 82 - 1223 Days Plan G - Quarterly IDCW Option</v>
          </cell>
          <cell r="E14222">
            <v>12.656599999999999</v>
          </cell>
        </row>
        <row r="14223">
          <cell r="B14223" t="str">
            <v>INF109KC1010</v>
          </cell>
          <cell r="C14223" t="str">
            <v>-</v>
          </cell>
          <cell r="D14223" t="str">
            <v>ICICI Prudential Fixed Maturity Plan - Series 82 - 1225 Days Plan B - Cumulative Option</v>
          </cell>
          <cell r="E14223">
            <v>12.633699999999999</v>
          </cell>
        </row>
        <row r="14224">
          <cell r="B14224" t="str">
            <v>INF109KC1044</v>
          </cell>
          <cell r="C14224" t="str">
            <v>-</v>
          </cell>
          <cell r="D14224" t="str">
            <v>ICICI Prudential Fixed Maturity Plan - Series 82 - 1225 Days Plan B - Direct Plan Cumulative Option</v>
          </cell>
          <cell r="E14224">
            <v>12.702500000000001</v>
          </cell>
        </row>
        <row r="14225">
          <cell r="B14225" t="str">
            <v>INF109KC1069</v>
          </cell>
          <cell r="C14225" t="str">
            <v>-</v>
          </cell>
          <cell r="D14225" t="str">
            <v>ICICI Prudential Fixed Maturity Plan - Series 82 - 1225 Days Plan B - Direct Plan Half Yearly IDCW Option</v>
          </cell>
          <cell r="E14225">
            <v>12.7028</v>
          </cell>
        </row>
        <row r="14226">
          <cell r="B14226" t="str">
            <v>INF109KC1051</v>
          </cell>
          <cell r="C14226" t="str">
            <v>-</v>
          </cell>
          <cell r="D14226" t="str">
            <v>ICICI Prudential Fixed Maturity Plan - Series 82 - 1225 Days Plan B - Direct Plan Quarterly IDCW Option</v>
          </cell>
          <cell r="E14226">
            <v>12.702199999999999</v>
          </cell>
        </row>
        <row r="14227">
          <cell r="B14227" t="str">
            <v>INF109KC1036</v>
          </cell>
          <cell r="C14227" t="str">
            <v>-</v>
          </cell>
          <cell r="D14227" t="str">
            <v>ICICI Prudential Fixed Maturity Plan - Series 82 - 1225 Days Plan B - Half Yearly IDCW Option</v>
          </cell>
          <cell r="E14227">
            <v>12.633699999999999</v>
          </cell>
        </row>
        <row r="14228">
          <cell r="B14228" t="str">
            <v>INF109KC1028</v>
          </cell>
          <cell r="C14228" t="str">
            <v>-</v>
          </cell>
          <cell r="D14228" t="str">
            <v>ICICI Prudential Fixed Maturity Plan - Series 82 - 1225 Days Plan B - Quarterly IDCW Option</v>
          </cell>
          <cell r="E14228">
            <v>12.633599999999999</v>
          </cell>
        </row>
        <row r="14229">
          <cell r="B14229" t="str">
            <v>INF109KB10Z5</v>
          </cell>
          <cell r="C14229" t="str">
            <v>-</v>
          </cell>
          <cell r="D14229" t="str">
            <v>ICICI Prudential Fixed Maturity Plan - Series 82 - 1236 Days Plan A - Cumulative Option</v>
          </cell>
          <cell r="E14229">
            <v>12.633800000000001</v>
          </cell>
        </row>
        <row r="14230">
          <cell r="B14230" t="str">
            <v>INF109KB13Z9</v>
          </cell>
          <cell r="C14230" t="str">
            <v>-</v>
          </cell>
          <cell r="D14230" t="str">
            <v>ICICI Prudential Fixed Maturity Plan - Series 82 - 1236 Days Plan A - Direct Plan Cumulative Option</v>
          </cell>
          <cell r="E14230">
            <v>12.6677</v>
          </cell>
        </row>
        <row r="14231">
          <cell r="B14231" t="str">
            <v>INF109KB14Z7</v>
          </cell>
          <cell r="C14231" t="str">
            <v>-</v>
          </cell>
          <cell r="D14231" t="str">
            <v>ICICI Prudential Fixed Maturity Plan - Series 82 - 1236 Days Plan A - Direct Plan Half Yearly IDCW Option</v>
          </cell>
          <cell r="E14231">
            <v>12.6676</v>
          </cell>
        </row>
        <row r="14232">
          <cell r="B14232" t="str">
            <v>INF109KB15Z4</v>
          </cell>
          <cell r="C14232" t="str">
            <v>-</v>
          </cell>
          <cell r="D14232" t="str">
            <v>ICICI Prudential Fixed Maturity Plan - Series 82 - 1236 Days Plan A - Direct Plan Quarterly IDCW Option</v>
          </cell>
          <cell r="E14232">
            <v>12.666700000000001</v>
          </cell>
        </row>
        <row r="14233">
          <cell r="B14233" t="str">
            <v>INF109KB11Z3</v>
          </cell>
          <cell r="C14233" t="str">
            <v>-</v>
          </cell>
          <cell r="D14233" t="str">
            <v>ICICI Prudential Fixed Maturity Plan - Series 82 - 1236 Days Plan A - Half Yearly IDCW Option</v>
          </cell>
          <cell r="E14233">
            <v>12.6335</v>
          </cell>
        </row>
        <row r="14234">
          <cell r="B14234" t="str">
            <v>INF109KB12Z1</v>
          </cell>
          <cell r="C14234" t="str">
            <v>-</v>
          </cell>
          <cell r="D14234" t="str">
            <v>ICICI Prudential Fixed Maturity Plan - Series 82 - 1236 Days Plan A - Quarterly IDCW Option</v>
          </cell>
          <cell r="E14234">
            <v>12.633800000000001</v>
          </cell>
        </row>
        <row r="14235">
          <cell r="B14235" t="str">
            <v>INF109KC1DM9</v>
          </cell>
          <cell r="C14235" t="str">
            <v>-</v>
          </cell>
          <cell r="D14235" t="str">
            <v>ICICI Prudential Fixed Maturity Plan - Series 82 - 91 Days Plan Z - Cumulative Option</v>
          </cell>
          <cell r="E14235">
            <v>10.197100000000001</v>
          </cell>
        </row>
        <row r="14236">
          <cell r="B14236" t="str">
            <v>INF109KC1DO5</v>
          </cell>
          <cell r="C14236" t="str">
            <v>-</v>
          </cell>
          <cell r="D14236" t="str">
            <v>ICICI Prudential Fixed Maturity Plan - Series 82 - 91 Days Plan Z - Direct Plan Cumulative Option</v>
          </cell>
          <cell r="E14236">
            <v>10.202999999999999</v>
          </cell>
        </row>
        <row r="14237">
          <cell r="B14237" t="str">
            <v>INF109KC1DP2</v>
          </cell>
          <cell r="C14237" t="str">
            <v>-</v>
          </cell>
          <cell r="D14237" t="str">
            <v>ICICI Prudential Fixed Maturity Plan - Series 82 - 91 Days Plan Z - Direct Plan Dividend Option</v>
          </cell>
          <cell r="E14237">
            <v>10.202999999999999</v>
          </cell>
        </row>
        <row r="14238">
          <cell r="B14238" t="str">
            <v>INF109KC1DN7</v>
          </cell>
          <cell r="C14238" t="str">
            <v>-</v>
          </cell>
          <cell r="D14238" t="str">
            <v>ICICI Prudential Fixed Maturity Plan - Series 82 - 91 Days Plan Z - Dividend Option</v>
          </cell>
          <cell r="E14238">
            <v>10.197100000000001</v>
          </cell>
        </row>
        <row r="14239">
          <cell r="B14239" t="str">
            <v>INF109KC1HG2</v>
          </cell>
          <cell r="C14239" t="str">
            <v>-</v>
          </cell>
          <cell r="D14239" t="str">
            <v>ICICI Prudential Fixed Maturity Plan - Series 83 - 1100 Days Plan O - Cumulative Option</v>
          </cell>
          <cell r="E14239">
            <v>12.5505</v>
          </cell>
        </row>
        <row r="14240">
          <cell r="B14240" t="str">
            <v>INF109KC1HJ6</v>
          </cell>
          <cell r="C14240" t="str">
            <v>-</v>
          </cell>
          <cell r="D14240" t="str">
            <v>ICICI Prudential Fixed Maturity Plan - Series 83 - 1100 Days Plan O - Direct Plan Cumulative Option</v>
          </cell>
          <cell r="E14240">
            <v>12.664099999999999</v>
          </cell>
        </row>
        <row r="14241">
          <cell r="B14241" t="str">
            <v>INF109KC1HU3</v>
          </cell>
          <cell r="C14241" t="str">
            <v>-</v>
          </cell>
          <cell r="D14241" t="str">
            <v>ICICI Prudential Fixed Maturity Plan - Series 83 - 1100 Days Plan R - Cumulative Option</v>
          </cell>
          <cell r="E14241">
            <v>12.570600000000001</v>
          </cell>
        </row>
        <row r="14242">
          <cell r="B14242" t="str">
            <v>INF109KC1HX7</v>
          </cell>
          <cell r="C14242" t="str">
            <v>-</v>
          </cell>
          <cell r="D14242" t="str">
            <v>ICICI Prudential Fixed Maturity Plan - Series 83 - 1100 Days Plan R - Direct Plan Cumulative Option</v>
          </cell>
          <cell r="E14242">
            <v>12.655200000000001</v>
          </cell>
        </row>
        <row r="14243">
          <cell r="B14243" t="str">
            <v>INF109KC1HV1</v>
          </cell>
          <cell r="C14243" t="str">
            <v>-</v>
          </cell>
          <cell r="D14243" t="str">
            <v>ICICI Prudential Fixed Maturity Plan - Series 83 - 1100 Days Plan R - Quarterly IDCW Option</v>
          </cell>
          <cell r="E14243">
            <v>12.5732</v>
          </cell>
        </row>
        <row r="14244">
          <cell r="B14244" t="str">
            <v>INF109KC1IA3</v>
          </cell>
          <cell r="C14244" t="str">
            <v>-</v>
          </cell>
          <cell r="D14244" t="str">
            <v>ICICI Prudential Fixed Maturity Plan - Series 83 - 1100 Days Plan S - Cumulative Option</v>
          </cell>
          <cell r="E14244">
            <v>12.350199999999999</v>
          </cell>
        </row>
        <row r="14245">
          <cell r="B14245" t="str">
            <v>INF109KC1ID7</v>
          </cell>
          <cell r="C14245" t="str">
            <v>-</v>
          </cell>
          <cell r="D14245" t="str">
            <v>ICICI Prudential Fixed Maturity Plan - Series 83 - 1100 Days Plan S - Direct Plan Cumulative Option</v>
          </cell>
          <cell r="E14245">
            <v>12.440300000000001</v>
          </cell>
        </row>
        <row r="14246">
          <cell r="B14246" t="str">
            <v>INF109KC1IE5</v>
          </cell>
          <cell r="C14246" t="str">
            <v>-</v>
          </cell>
          <cell r="D14246" t="str">
            <v>ICICI Prudential Fixed Maturity Plan - Series 83 - 1100 Days Plan S - Direct Plan Quarterly IDCW Option</v>
          </cell>
          <cell r="E14246">
            <v>12.4361</v>
          </cell>
        </row>
        <row r="14247">
          <cell r="B14247" t="str">
            <v>INF109KC1IC9</v>
          </cell>
          <cell r="C14247" t="str">
            <v>-</v>
          </cell>
          <cell r="D14247" t="str">
            <v>ICICI Prudential Fixed Maturity Plan - Series 83 - 1100 Days Plan S - Half Yearly IDCW Option</v>
          </cell>
          <cell r="E14247">
            <v>12.350199999999999</v>
          </cell>
        </row>
        <row r="14248">
          <cell r="B14248" t="str">
            <v>INF109KC1IB1</v>
          </cell>
          <cell r="C14248" t="str">
            <v>-</v>
          </cell>
          <cell r="D14248" t="str">
            <v>ICICI Prudential Fixed Maturity Plan - Series 83 - 1100 Days Plan S - Quarterly IDCW Option</v>
          </cell>
          <cell r="E14248">
            <v>12.350199999999999</v>
          </cell>
        </row>
        <row r="14249">
          <cell r="B14249" t="str">
            <v>INF109KC1JL8</v>
          </cell>
          <cell r="C14249" t="str">
            <v>-</v>
          </cell>
          <cell r="D14249" t="str">
            <v>ICICI Prudential Fixed Maturity Plan - Series 83 - 1100 Days Plan X - Cumulative Option</v>
          </cell>
          <cell r="E14249">
            <v>12.591799999999999</v>
          </cell>
        </row>
        <row r="14250">
          <cell r="B14250" t="str">
            <v>INF109KC1JO2</v>
          </cell>
          <cell r="C14250" t="str">
            <v>-</v>
          </cell>
          <cell r="D14250" t="str">
            <v>ICICI Prudential Fixed Maturity Plan - Series 83 - 1100 Days Plan X - Direct Plan Cumulative Option</v>
          </cell>
          <cell r="E14250">
            <v>12.7088</v>
          </cell>
        </row>
        <row r="14251">
          <cell r="B14251" t="str">
            <v>INF109KC1JQ7</v>
          </cell>
          <cell r="C14251" t="str">
            <v>-</v>
          </cell>
          <cell r="D14251" t="str">
            <v>ICICI Prudential Fixed Maturity Plan - Series 83 - 1100 Days Plan X - Direct Plan Half Yearly IDCW Option</v>
          </cell>
          <cell r="E14251">
            <v>12.7088</v>
          </cell>
        </row>
        <row r="14252">
          <cell r="B14252" t="str">
            <v>INF109KC1JP9</v>
          </cell>
          <cell r="C14252" t="str">
            <v>-</v>
          </cell>
          <cell r="D14252" t="str">
            <v>ICICI Prudential Fixed Maturity Plan - Series 83 - 1100 Days Plan X - Direct Plan Quarterly IDCW Option</v>
          </cell>
          <cell r="E14252">
            <v>12.7088</v>
          </cell>
        </row>
        <row r="14253">
          <cell r="B14253" t="str">
            <v>INF109KC1JN4</v>
          </cell>
          <cell r="C14253" t="str">
            <v>-</v>
          </cell>
          <cell r="D14253" t="str">
            <v>ICICI Prudential Fixed Maturity Plan - Series 83 - 1100 Days Plan X - Half Yearly IDCW Option</v>
          </cell>
          <cell r="E14253">
            <v>12.591799999999999</v>
          </cell>
        </row>
        <row r="14254">
          <cell r="B14254" t="str">
            <v>INF109KC1JM6</v>
          </cell>
          <cell r="C14254" t="str">
            <v>-</v>
          </cell>
          <cell r="D14254" t="str">
            <v>ICICI Prudential Fixed Maturity Plan - Series 83 - 1100 Days Plan X - Quarterly IDCW Option</v>
          </cell>
          <cell r="E14254">
            <v>12.591799999999999</v>
          </cell>
        </row>
        <row r="14255">
          <cell r="B14255" t="str">
            <v>INF109KC1JX3</v>
          </cell>
          <cell r="C14255" t="str">
            <v>-</v>
          </cell>
          <cell r="D14255" t="str">
            <v>ICICI Prudential Fixed Maturity Plan - Series 83 - 1101 Days Plan Z - Cumulative Option</v>
          </cell>
          <cell r="E14255">
            <v>12.619</v>
          </cell>
        </row>
        <row r="14256">
          <cell r="B14256" t="str">
            <v>INF109KC1KA9</v>
          </cell>
          <cell r="C14256" t="str">
            <v>-</v>
          </cell>
          <cell r="D14256" t="str">
            <v>ICICI Prudential Fixed Maturity Plan - Series 83 - 1101 Days Plan Z - Direct Plan Cumulative Option</v>
          </cell>
          <cell r="E14256">
            <v>12.7019</v>
          </cell>
        </row>
        <row r="14257">
          <cell r="B14257" t="str">
            <v>INF109KC1KC5</v>
          </cell>
          <cell r="C14257" t="str">
            <v>-</v>
          </cell>
          <cell r="D14257" t="str">
            <v>ICICI Prudential Fixed Maturity Plan - Series 83 - 1101 Days Plan Z - Direct Plan Half Yearly IDCW Option</v>
          </cell>
          <cell r="E14257">
            <v>12.7019</v>
          </cell>
        </row>
        <row r="14258">
          <cell r="B14258" t="str">
            <v>INF109KC1KB7</v>
          </cell>
          <cell r="C14258" t="str">
            <v>-</v>
          </cell>
          <cell r="D14258" t="str">
            <v>ICICI Prudential Fixed Maturity Plan - Series 83 - 1101 Days Plan Z - Direct Plan Quarterly IDCW Option</v>
          </cell>
          <cell r="E14258">
            <v>12.703200000000001</v>
          </cell>
        </row>
        <row r="14259">
          <cell r="B14259" t="str">
            <v>INF109KC1JZ8</v>
          </cell>
          <cell r="C14259" t="str">
            <v>-</v>
          </cell>
          <cell r="D14259" t="str">
            <v>ICICI Prudential Fixed Maturity Plan - Series 83 - 1101 Days Plan Z - Half Yearly IDCW Option</v>
          </cell>
          <cell r="E14259">
            <v>12.6188</v>
          </cell>
        </row>
        <row r="14260">
          <cell r="B14260" t="str">
            <v>INF109KC1JY1</v>
          </cell>
          <cell r="C14260" t="str">
            <v>-</v>
          </cell>
          <cell r="D14260" t="str">
            <v>ICICI Prudential Fixed Maturity Plan - Series 83 - 1101 Days Plan Z - Quarterly IDCW Option</v>
          </cell>
          <cell r="E14260">
            <v>12.619</v>
          </cell>
        </row>
        <row r="14261">
          <cell r="B14261" t="str">
            <v>INF109KC1FY9</v>
          </cell>
          <cell r="C14261" t="str">
            <v>-</v>
          </cell>
          <cell r="D14261" t="str">
            <v>ICICI Prudential Fixed Maturity Plan - Series 83 - 1103 Days Plan L - Cumulative Option</v>
          </cell>
          <cell r="E14261">
            <v>12.6852</v>
          </cell>
        </row>
        <row r="14262">
          <cell r="B14262" t="str">
            <v>INF109KC1GB5</v>
          </cell>
          <cell r="C14262" t="str">
            <v>-</v>
          </cell>
          <cell r="D14262" t="str">
            <v>ICICI Prudential Fixed Maturity Plan - Series 83 - 1103 Days Plan L - Direct Plan Cumulative Option</v>
          </cell>
          <cell r="E14262">
            <v>12.697100000000001</v>
          </cell>
        </row>
        <row r="14263">
          <cell r="B14263" t="str">
            <v>INF109KC1DA4</v>
          </cell>
          <cell r="C14263" t="str">
            <v>-</v>
          </cell>
          <cell r="D14263" t="str">
            <v>ICICI Prudential Fixed Maturity Plan - Series 83 - 1105 Days Plan A - Cumulative Option</v>
          </cell>
          <cell r="E14263">
            <v>12.5336</v>
          </cell>
        </row>
        <row r="14264">
          <cell r="B14264" t="str">
            <v>INF109KC1DD8</v>
          </cell>
          <cell r="C14264" t="str">
            <v>-</v>
          </cell>
          <cell r="D14264" t="str">
            <v>ICICI Prudential Fixed Maturity Plan - Series 83 - 1105 Days Plan A - Direct Plan Cumulative Option</v>
          </cell>
          <cell r="E14264">
            <v>12.648099999999999</v>
          </cell>
        </row>
        <row r="14265">
          <cell r="B14265" t="str">
            <v>INF109KC1DF3</v>
          </cell>
          <cell r="C14265" t="str">
            <v>-</v>
          </cell>
          <cell r="D14265" t="str">
            <v>ICICI Prudential Fixed Maturity Plan - Series 83 - 1105 Days Plan A - Direct Plan Half Yearly IDCW Option</v>
          </cell>
          <cell r="E14265">
            <v>12.648099999999999</v>
          </cell>
        </row>
        <row r="14266">
          <cell r="B14266" t="str">
            <v>INF109KC1DE6</v>
          </cell>
          <cell r="C14266" t="str">
            <v>-</v>
          </cell>
          <cell r="D14266" t="str">
            <v>ICICI Prudential Fixed Maturity Plan - Series 83 - 1105 Days Plan A - Direct Plan Quarterly IDCW Option</v>
          </cell>
          <cell r="E14266">
            <v>12.648099999999999</v>
          </cell>
        </row>
        <row r="14267">
          <cell r="B14267" t="str">
            <v>INF109KC1DC0</v>
          </cell>
          <cell r="C14267" t="str">
            <v>-</v>
          </cell>
          <cell r="D14267" t="str">
            <v>ICICI Prudential Fixed Maturity Plan - Series 83 - 1105 Days Plan A - Half Yearly IDCW Option</v>
          </cell>
          <cell r="E14267">
            <v>12.533899999999999</v>
          </cell>
        </row>
        <row r="14268">
          <cell r="B14268" t="str">
            <v>INF109KC1DB2</v>
          </cell>
          <cell r="C14268" t="str">
            <v>-</v>
          </cell>
          <cell r="D14268" t="str">
            <v>ICICI Prudential Fixed Maturity Plan - Series 83 - 1105 Days Plan A - Quarterly IDCW Option</v>
          </cell>
          <cell r="E14268">
            <v>12.5336</v>
          </cell>
        </row>
        <row r="14269">
          <cell r="B14269" t="str">
            <v>INF109KC1EO3</v>
          </cell>
          <cell r="C14269" t="str">
            <v>-</v>
          </cell>
          <cell r="D14269" t="str">
            <v>ICICI Prudential Fixed Maturity Plan - Series 83 - 1105 Days Plan F - Cumulative Option</v>
          </cell>
          <cell r="E14269">
            <v>12.5639</v>
          </cell>
        </row>
        <row r="14270">
          <cell r="B14270" t="str">
            <v>INF109KC1ER6</v>
          </cell>
          <cell r="C14270" t="str">
            <v>-</v>
          </cell>
          <cell r="D14270" t="str">
            <v>ICICI Prudential Fixed Maturity Plan - Series 83 - 1105 Days Plan F - Direct Plan Cumulative Option</v>
          </cell>
          <cell r="E14270">
            <v>12.6774</v>
          </cell>
        </row>
        <row r="14271">
          <cell r="B14271" t="str">
            <v>INF109KC1ET2</v>
          </cell>
          <cell r="C14271" t="str">
            <v>-</v>
          </cell>
          <cell r="D14271" t="str">
            <v>ICICI Prudential Fixed Maturity Plan - Series 83 - 1105 Days Plan F - Direct Plan Half Yearly IDCW Option</v>
          </cell>
          <cell r="E14271">
            <v>12.6774</v>
          </cell>
        </row>
        <row r="14272">
          <cell r="B14272" t="str">
            <v>INF109KC1EQ8</v>
          </cell>
          <cell r="C14272" t="str">
            <v>-</v>
          </cell>
          <cell r="D14272" t="str">
            <v>ICICI Prudential Fixed Maturity Plan - Series 83 - 1105 Days Plan F - Half Yearly IDCW Option</v>
          </cell>
          <cell r="E14272">
            <v>12.558</v>
          </cell>
        </row>
        <row r="14273">
          <cell r="B14273" t="str">
            <v>INF109KC1EP0</v>
          </cell>
          <cell r="C14273" t="str">
            <v>-</v>
          </cell>
          <cell r="D14273" t="str">
            <v>ICICI Prudential Fixed Maturity Plan - Series 83 - 1105 Days Plan F - Quarterly IDCW Option</v>
          </cell>
          <cell r="E14273">
            <v>12.5639</v>
          </cell>
        </row>
        <row r="14274">
          <cell r="B14274" t="str">
            <v>INF109KC1GK6</v>
          </cell>
          <cell r="C14274" t="str">
            <v>-</v>
          </cell>
          <cell r="D14274" t="str">
            <v>ICICI Prudential Fixed Maturity Plan - Series 83 - 1105 Days Plan M - Cumulative Option</v>
          </cell>
          <cell r="E14274">
            <v>12.5684</v>
          </cell>
        </row>
        <row r="14275">
          <cell r="B14275" t="str">
            <v>INF109KC1GN0</v>
          </cell>
          <cell r="C14275" t="str">
            <v>-</v>
          </cell>
          <cell r="D14275" t="str">
            <v>ICICI Prudential Fixed Maturity Plan - Series 83 - 1105 Days Plan M - Direct Plan Cumulative Option</v>
          </cell>
          <cell r="E14275">
            <v>12.672499999999999</v>
          </cell>
        </row>
        <row r="14276">
          <cell r="B14276" t="str">
            <v>INF109KC1GM2</v>
          </cell>
          <cell r="C14276" t="str">
            <v>-</v>
          </cell>
          <cell r="D14276" t="str">
            <v>ICICI Prudential Fixed Maturity Plan - Series 83 - 1105 Days Plan M - Half Yearly IDCW Option</v>
          </cell>
          <cell r="E14276">
            <v>12.5684</v>
          </cell>
        </row>
        <row r="14277">
          <cell r="B14277" t="str">
            <v>INF109KC1GL4</v>
          </cell>
          <cell r="C14277" t="str">
            <v>-</v>
          </cell>
          <cell r="D14277" t="str">
            <v>ICICI Prudential Fixed Maturity Plan - Series 83 - 1105 Days Plan M - Quarterly IDCW Option</v>
          </cell>
          <cell r="E14277">
            <v>12.5684</v>
          </cell>
        </row>
        <row r="14278">
          <cell r="B14278" t="str">
            <v>INF109KC1HM0</v>
          </cell>
          <cell r="C14278" t="str">
            <v>-</v>
          </cell>
          <cell r="D14278" t="str">
            <v>ICICI Prudential Fixed Maturity Plan - Series 83 - 1107 Days Plan Q - Cumulative Option</v>
          </cell>
          <cell r="E14278">
            <v>12.601100000000001</v>
          </cell>
        </row>
        <row r="14279">
          <cell r="B14279" t="str">
            <v>INF109KC1HP3</v>
          </cell>
          <cell r="C14279" t="str">
            <v>-</v>
          </cell>
          <cell r="D14279" t="str">
            <v>ICICI Prudential Fixed Maturity Plan - Series 83 - 1107 Days Plan Q - Direct Plan Cumulative Option</v>
          </cell>
          <cell r="E14279">
            <v>12.676600000000001</v>
          </cell>
        </row>
        <row r="14280">
          <cell r="B14280" t="str">
            <v>INF109KC1FM4</v>
          </cell>
          <cell r="C14280" t="str">
            <v>-</v>
          </cell>
          <cell r="D14280" t="str">
            <v>ICICI Prudential Fixed Maturity Plan - Series 83 - 1108 Days Plan H - Cumulative Option</v>
          </cell>
          <cell r="E14280">
            <v>12.644399999999999</v>
          </cell>
        </row>
        <row r="14281">
          <cell r="B14281" t="str">
            <v>INF109KC1FP7</v>
          </cell>
          <cell r="C14281" t="str">
            <v>-</v>
          </cell>
          <cell r="D14281" t="str">
            <v>ICICI Prudential Fixed Maturity Plan - Series 83 - 1108 Days Plan H - Direct Plan Cumulative Option</v>
          </cell>
          <cell r="E14281">
            <v>12.758599999999999</v>
          </cell>
        </row>
        <row r="14282">
          <cell r="B14282" t="str">
            <v>INF109KC1FR3</v>
          </cell>
          <cell r="C14282" t="str">
            <v>-</v>
          </cell>
          <cell r="D14282" t="str">
            <v>ICICI Prudential Fixed Maturity Plan - Series 83 - 1108 Days Plan H - Direct Plan Half Yearly IDCW Option</v>
          </cell>
          <cell r="E14282">
            <v>12.7585</v>
          </cell>
        </row>
        <row r="14283">
          <cell r="B14283" t="str">
            <v>INF109KC1FQ5</v>
          </cell>
          <cell r="C14283" t="str">
            <v>-</v>
          </cell>
          <cell r="D14283" t="str">
            <v>ICICI Prudential Fixed Maturity Plan - Series 83 - 1108 Days Plan H - Direct Plan Quarterly IDCW Option</v>
          </cell>
          <cell r="E14283">
            <v>12.7583</v>
          </cell>
        </row>
        <row r="14284">
          <cell r="B14284" t="str">
            <v>INF109KC1FO0</v>
          </cell>
          <cell r="C14284" t="str">
            <v>-</v>
          </cell>
          <cell r="D14284" t="str">
            <v>ICICI Prudential Fixed Maturity Plan - Series 83 - 1108 Days Plan H - Half Yearly IDCW Option</v>
          </cell>
          <cell r="E14284">
            <v>12.644399999999999</v>
          </cell>
        </row>
        <row r="14285">
          <cell r="B14285" t="str">
            <v>INF109KC1II6</v>
          </cell>
          <cell r="C14285" t="str">
            <v>-</v>
          </cell>
          <cell r="D14285" t="str">
            <v>ICICI Prudential Fixed Maturity Plan - Series 83 - 1110 Days Plan T - Cumulative Option</v>
          </cell>
          <cell r="E14285">
            <v>12.5573</v>
          </cell>
        </row>
        <row r="14286">
          <cell r="B14286" t="str">
            <v>INF109KC1IL0</v>
          </cell>
          <cell r="C14286" t="str">
            <v>-</v>
          </cell>
          <cell r="D14286" t="str">
            <v>ICICI Prudential Fixed Maturity Plan - Series 83 - 1110 Days Plan T - Direct Plan Cumulative Option</v>
          </cell>
          <cell r="E14286">
            <v>12.662699999999999</v>
          </cell>
        </row>
        <row r="14287">
          <cell r="B14287" t="str">
            <v>INF109KC1IJ4</v>
          </cell>
          <cell r="C14287" t="str">
            <v>-</v>
          </cell>
          <cell r="D14287" t="str">
            <v>ICICI Prudential Fixed Maturity Plan - Series 83 - 1110 Days Plan T - Quarterly IDCW Option</v>
          </cell>
          <cell r="E14287">
            <v>12.5573</v>
          </cell>
        </row>
        <row r="14288">
          <cell r="B14288" t="str">
            <v>INF109KC1JR5</v>
          </cell>
          <cell r="C14288" t="str">
            <v>-</v>
          </cell>
          <cell r="D14288" t="str">
            <v>ICICI Prudential Fixed Maturity Plan - Series 83 - 1111 Days Plan Y - Cumulative Option</v>
          </cell>
          <cell r="E14288">
            <v>12.6248</v>
          </cell>
        </row>
        <row r="14289">
          <cell r="B14289" t="str">
            <v>INF109KC1JU9</v>
          </cell>
          <cell r="C14289" t="str">
            <v>-</v>
          </cell>
          <cell r="D14289" t="str">
            <v>ICICI Prudential Fixed Maturity Plan - Series 83 - 1111 Days Plan Y - Direct Plan Cumulative Option</v>
          </cell>
          <cell r="E14289">
            <v>12.7041</v>
          </cell>
        </row>
        <row r="14290">
          <cell r="B14290" t="str">
            <v>INF109KC1JT1</v>
          </cell>
          <cell r="C14290" t="str">
            <v>-</v>
          </cell>
          <cell r="D14290" t="str">
            <v>ICICI Prudential Fixed Maturity Plan - Series 83 - 1111 Days Plan Y - Half Yearly IDCW Option</v>
          </cell>
          <cell r="E14290">
            <v>12.6248</v>
          </cell>
        </row>
        <row r="14291">
          <cell r="B14291" t="str">
            <v>INF109KC1JS3</v>
          </cell>
          <cell r="C14291" t="str">
            <v>-</v>
          </cell>
          <cell r="D14291" t="str">
            <v>ICICI Prudential Fixed Maturity Plan - Series 83 - 1111 Days Plan Y - Quarterly IDCW Option</v>
          </cell>
          <cell r="E14291">
            <v>12.6248</v>
          </cell>
        </row>
        <row r="14292">
          <cell r="B14292" t="str">
            <v>INF109KC1EI5</v>
          </cell>
          <cell r="C14292" t="str">
            <v>-</v>
          </cell>
          <cell r="D14292" t="str">
            <v>ICICI Prudential Fixed Maturity Plan - Series 83 - 1113 Days Plan E - Cumulative Option</v>
          </cell>
          <cell r="E14292">
            <v>12.624499999999999</v>
          </cell>
        </row>
        <row r="14293">
          <cell r="B14293" t="str">
            <v>INF109KC1EL9</v>
          </cell>
          <cell r="C14293" t="str">
            <v>-</v>
          </cell>
          <cell r="D14293" t="str">
            <v>ICICI Prudential Fixed Maturity Plan - Series 83 - 1113 Days Plan E - Direct Plan Cumulative Option</v>
          </cell>
          <cell r="E14293">
            <v>12.7323</v>
          </cell>
        </row>
        <row r="14294">
          <cell r="B14294" t="str">
            <v>INF109KC1EN5</v>
          </cell>
          <cell r="C14294" t="str">
            <v>-</v>
          </cell>
          <cell r="D14294" t="str">
            <v>ICICI Prudential Fixed Maturity Plan - Series 83 - 1113 Days Plan E - Direct Plan Half Yearly IDCW Option</v>
          </cell>
          <cell r="E14294">
            <v>12.732100000000001</v>
          </cell>
        </row>
        <row r="14295">
          <cell r="B14295" t="str">
            <v>INF109KC1EM7</v>
          </cell>
          <cell r="C14295" t="str">
            <v>-</v>
          </cell>
          <cell r="D14295" t="str">
            <v>ICICI Prudential Fixed Maturity Plan - Series 83 - 1113 Days Plan E - Direct Plan Quarterly IDCW Option</v>
          </cell>
          <cell r="E14295">
            <v>12.732200000000001</v>
          </cell>
        </row>
        <row r="14296">
          <cell r="B14296" t="str">
            <v>INF109KC1EK1</v>
          </cell>
          <cell r="C14296" t="str">
            <v>-</v>
          </cell>
          <cell r="D14296" t="str">
            <v>ICICI Prudential Fixed Maturity Plan - Series 83 - 1113 Days Plan E - Half Yearly IDCW Option</v>
          </cell>
          <cell r="E14296">
            <v>12.625999999999999</v>
          </cell>
        </row>
        <row r="14297">
          <cell r="B14297" t="str">
            <v>INF109KC1EJ3</v>
          </cell>
          <cell r="C14297" t="str">
            <v>-</v>
          </cell>
          <cell r="D14297" t="str">
            <v>ICICI Prudential Fixed Maturity Plan - Series 83 - 1113 Days Plan E - Quarterly IDCW Option</v>
          </cell>
          <cell r="E14297">
            <v>12.624499999999999</v>
          </cell>
        </row>
        <row r="14298">
          <cell r="B14298" t="str">
            <v>INF109KC1FG6</v>
          </cell>
          <cell r="C14298" t="str">
            <v>-</v>
          </cell>
          <cell r="D14298" t="str">
            <v>ICICI Prudential Fixed Maturity Plan - Series 83 - 1392 Days Plan J - Cumulative Option</v>
          </cell>
          <cell r="E14298">
            <v>13.3758</v>
          </cell>
        </row>
        <row r="14299">
          <cell r="B14299" t="str">
            <v>INF109KC1FJ0</v>
          </cell>
          <cell r="C14299" t="str">
            <v>-</v>
          </cell>
          <cell r="D14299" t="str">
            <v>ICICI Prudential Fixed Maturity Plan - Series 83 - 1392 Days Plan J - Direct Plan Cumulative Option</v>
          </cell>
          <cell r="E14299">
            <v>13.493399999999999</v>
          </cell>
        </row>
        <row r="14300">
          <cell r="B14300" t="str">
            <v>INF109KC1FL6</v>
          </cell>
          <cell r="C14300" t="str">
            <v>-</v>
          </cell>
          <cell r="D14300" t="str">
            <v>ICICI Prudential Fixed Maturity Plan - Series 83 - 1392 Days Plan J - Direct Plan Half Yearly IDCW Option</v>
          </cell>
          <cell r="E14300">
            <v>13.493399999999999</v>
          </cell>
        </row>
        <row r="14301">
          <cell r="B14301" t="str">
            <v>INF109KC1FK8</v>
          </cell>
          <cell r="C14301" t="str">
            <v>-</v>
          </cell>
          <cell r="D14301" t="str">
            <v>ICICI Prudential Fixed Maturity Plan - Series 83 - 1392 Days Plan J - Direct Plan Quarterly IDCW Option</v>
          </cell>
          <cell r="E14301">
            <v>13.4932</v>
          </cell>
        </row>
        <row r="14302">
          <cell r="B14302" t="str">
            <v>INF109KC1FI2</v>
          </cell>
          <cell r="C14302" t="str">
            <v>-</v>
          </cell>
          <cell r="D14302" t="str">
            <v>ICICI Prudential Fixed Maturity Plan - Series 83 - 1392 Days Plan J - Half Yearly IDCW Option</v>
          </cell>
          <cell r="E14302">
            <v>13.3757</v>
          </cell>
        </row>
        <row r="14303">
          <cell r="B14303" t="str">
            <v>INF109KC1FH4</v>
          </cell>
          <cell r="C14303" t="str">
            <v>-</v>
          </cell>
          <cell r="D14303" t="str">
            <v>ICICI Prudential Fixed Maturity Plan - Series 83 - 1392 Days Plan J - Quarterly IDCW Option</v>
          </cell>
          <cell r="E14303">
            <v>13.3758</v>
          </cell>
        </row>
        <row r="14304">
          <cell r="B14304" t="str">
            <v>INF109KC1DU2</v>
          </cell>
          <cell r="C14304" t="str">
            <v>-</v>
          </cell>
          <cell r="D14304" t="str">
            <v>ICICI Prudential Fixed Maturity Plan - Series 83 - 1406 Days Plan D - Cumulative Option</v>
          </cell>
          <cell r="E14304">
            <v>13.408799999999999</v>
          </cell>
        </row>
        <row r="14305">
          <cell r="B14305" t="str">
            <v>INF109KC1DX6</v>
          </cell>
          <cell r="C14305" t="str">
            <v>-</v>
          </cell>
          <cell r="D14305" t="str">
            <v>ICICI Prudential Fixed Maturity Plan - Series 83 - 1406 Days Plan D - Direct Plan Cumulative Option</v>
          </cell>
          <cell r="E14305">
            <v>13.5466</v>
          </cell>
        </row>
        <row r="14306">
          <cell r="B14306" t="str">
            <v>INF109KC1DV0</v>
          </cell>
          <cell r="C14306" t="str">
            <v>-</v>
          </cell>
          <cell r="D14306" t="str">
            <v>ICICI Prudential Fixed Maturity Plan - Series 83 - 1406 Days Plan D - Half Yearly IDCW Option</v>
          </cell>
          <cell r="E14306">
            <v>13.408300000000001</v>
          </cell>
        </row>
        <row r="14307">
          <cell r="B14307" t="str">
            <v>INF109KC1DW8</v>
          </cell>
          <cell r="C14307" t="str">
            <v>-</v>
          </cell>
          <cell r="D14307" t="str">
            <v>ICICI Prudential Fixed Maturity Plan - Series 83 - 1406 Days Plan D - Quarterly IDCW Option</v>
          </cell>
          <cell r="E14307">
            <v>13.408799999999999</v>
          </cell>
        </row>
        <row r="14308">
          <cell r="B14308" t="str">
            <v>INF109KC1DG1</v>
          </cell>
          <cell r="C14308" t="str">
            <v>-</v>
          </cell>
          <cell r="D14308" t="str">
            <v>ICICI Prudential Fixed Maturity Plan - Series 83 - 1412 Days Plan B - Cumulative Option</v>
          </cell>
          <cell r="E14308">
            <v>13.418900000000001</v>
          </cell>
        </row>
        <row r="14309">
          <cell r="B14309" t="str">
            <v>INF109KC1DJ5</v>
          </cell>
          <cell r="C14309" t="str">
            <v>-</v>
          </cell>
          <cell r="D14309" t="str">
            <v>ICICI Prudential Fixed Maturity Plan - Series 83 - 1412 Days Plan B - Direct Plan Cumulative Option</v>
          </cell>
          <cell r="E14309">
            <v>13.543799999999999</v>
          </cell>
        </row>
        <row r="14310">
          <cell r="B14310" t="str">
            <v>INF109KC1DL1</v>
          </cell>
          <cell r="C14310" t="str">
            <v>-</v>
          </cell>
          <cell r="D14310" t="str">
            <v>ICICI Prudential Fixed Maturity Plan - Series 83 - 1412 Days Plan B - Direct Plan Half Yearly IDCW Option</v>
          </cell>
          <cell r="E14310">
            <v>13.543799999999999</v>
          </cell>
        </row>
        <row r="14311">
          <cell r="B14311" t="str">
            <v>INF109KC1DK3</v>
          </cell>
          <cell r="C14311" t="str">
            <v>-</v>
          </cell>
          <cell r="D14311" t="str">
            <v>ICICI Prudential Fixed Maturity Plan - Series 83 - 1412 Days Plan B - Direct Plan Quarterly IDCW Option</v>
          </cell>
          <cell r="E14311">
            <v>13.543799999999999</v>
          </cell>
        </row>
        <row r="14312">
          <cell r="B14312" t="str">
            <v>INF109KC1DH9</v>
          </cell>
          <cell r="C14312" t="str">
            <v>-</v>
          </cell>
          <cell r="D14312" t="str">
            <v>ICICI Prudential Fixed Maturity Plan - Series 83 - 1412 Days Plan B - Quarterly IDCW Option</v>
          </cell>
          <cell r="E14312">
            <v>13.418900000000001</v>
          </cell>
        </row>
        <row r="14313">
          <cell r="B14313" t="str">
            <v>INF109KC1HA5</v>
          </cell>
          <cell r="C14313" t="str">
            <v>-</v>
          </cell>
          <cell r="D14313" t="str">
            <v>ICICI Prudential Fixed Maturity Plan - Series 83 - 1735 Days Plan P - Cumulative Option</v>
          </cell>
          <cell r="E14313">
            <v>14.368499999999999</v>
          </cell>
        </row>
        <row r="14314">
          <cell r="B14314" t="str">
            <v>INF109KC1HD9</v>
          </cell>
          <cell r="C14314" t="str">
            <v>-</v>
          </cell>
          <cell r="D14314" t="str">
            <v>ICICI Prudential Fixed Maturity Plan - Series 83 - 1735 Days Plan P - Direct Plan Cumulative Option</v>
          </cell>
          <cell r="E14314">
            <v>14.4885</v>
          </cell>
        </row>
        <row r="14315">
          <cell r="B14315" t="str">
            <v>INF109KC1HE7</v>
          </cell>
          <cell r="C14315" t="str">
            <v>-</v>
          </cell>
          <cell r="D14315" t="str">
            <v>ICICI Prudential Fixed Maturity Plan - Series 83 - 1735 Days Plan P - Direct Plan Quarterly IDCW Option</v>
          </cell>
          <cell r="E14315">
            <v>14.4884</v>
          </cell>
        </row>
        <row r="14316">
          <cell r="B14316" t="str">
            <v>INF109KC1HC1</v>
          </cell>
          <cell r="C14316" t="str">
            <v>-</v>
          </cell>
          <cell r="D14316" t="str">
            <v>ICICI Prudential Fixed Maturity Plan - Series 83 - 1735 Days Plan P - Half Yearly IDCW Option</v>
          </cell>
          <cell r="E14316">
            <v>14.368499999999999</v>
          </cell>
        </row>
        <row r="14317">
          <cell r="B14317" t="str">
            <v>INF109KC1HB3</v>
          </cell>
          <cell r="C14317" t="str">
            <v>-</v>
          </cell>
          <cell r="D14317" t="str">
            <v>ICICI Prudential Fixed Maturity Plan - Series 83 - 1735 Days Plan P - Quarterly IDCW Option</v>
          </cell>
          <cell r="E14317">
            <v>14.368499999999999</v>
          </cell>
        </row>
        <row r="14318">
          <cell r="B14318" t="str">
            <v>INF109KC1EY2</v>
          </cell>
          <cell r="C14318" t="str">
            <v>-</v>
          </cell>
          <cell r="D14318" t="str">
            <v>ICICI Prudential Fixed Maturity Plan - Series 83 - 193 Days Plan G - Cumulative Option</v>
          </cell>
          <cell r="E14318">
            <v>10.405099999999999</v>
          </cell>
        </row>
        <row r="14319">
          <cell r="B14319" t="str">
            <v>INF109KC1FA9</v>
          </cell>
          <cell r="C14319" t="str">
            <v>-</v>
          </cell>
          <cell r="D14319" t="str">
            <v>ICICI Prudential Fixed Maturity Plan - Series 83 - 193 Days Plan G - Direct Plan Cumulative Option</v>
          </cell>
          <cell r="E14319">
            <v>10.4177</v>
          </cell>
        </row>
        <row r="14320">
          <cell r="B14320" t="str">
            <v>INF109KC1FB7</v>
          </cell>
          <cell r="C14320" t="str">
            <v>-</v>
          </cell>
          <cell r="D14320" t="str">
            <v>ICICI Prudential Fixed Maturity Plan - Series 83 - 193 Days Plan G - Direct Plan Dividend Option</v>
          </cell>
          <cell r="E14320">
            <v>10.4177</v>
          </cell>
        </row>
        <row r="14321">
          <cell r="B14321" t="str">
            <v>INF109KC1DQ0</v>
          </cell>
          <cell r="C14321" t="str">
            <v>-</v>
          </cell>
          <cell r="D14321" t="str">
            <v>ICICI Prudential Fixed Maturity Plan - Series 83 - 91 Days Plan C - Cumulative Option</v>
          </cell>
          <cell r="E14321">
            <v>10.1807</v>
          </cell>
        </row>
        <row r="14322">
          <cell r="B14322" t="str">
            <v>INF109KC1DS6</v>
          </cell>
          <cell r="C14322" t="str">
            <v>-</v>
          </cell>
          <cell r="D14322" t="str">
            <v>ICICI Prudential Fixed Maturity Plan - Series 83 - 91 Days Plan C - Direct Plan Cumulative Option</v>
          </cell>
          <cell r="E14322">
            <v>10.186500000000001</v>
          </cell>
        </row>
        <row r="14323">
          <cell r="B14323" t="str">
            <v>INF109KC1DT4</v>
          </cell>
          <cell r="C14323" t="str">
            <v>-</v>
          </cell>
          <cell r="D14323" t="str">
            <v>ICICI Prudential Fixed Maturity Plan - Series 83 - 91 Days Plan C - Direct Plan Dividend Option</v>
          </cell>
          <cell r="E14323">
            <v>10.186500000000001</v>
          </cell>
        </row>
        <row r="14324">
          <cell r="B14324" t="str">
            <v>INF109KC1DR8</v>
          </cell>
          <cell r="C14324" t="str">
            <v>-</v>
          </cell>
          <cell r="D14324" t="str">
            <v>ICICI Prudential Fixed Maturity Plan - Series 83 - 91 Days Plan C - Dividend Option</v>
          </cell>
          <cell r="E14324">
            <v>10.1807</v>
          </cell>
        </row>
        <row r="14325">
          <cell r="B14325" t="str">
            <v>INF109KC1KD3</v>
          </cell>
          <cell r="C14325" t="str">
            <v>-</v>
          </cell>
          <cell r="D14325" t="str">
            <v>ICICI Prudential Fixed Maturity Plan - Series 84 - 1101 Days Plan A - Cumulative Option</v>
          </cell>
          <cell r="E14325">
            <v>12.5495</v>
          </cell>
        </row>
        <row r="14326">
          <cell r="B14326" t="str">
            <v>INF109KC1KG6</v>
          </cell>
          <cell r="C14326" t="str">
            <v>-</v>
          </cell>
          <cell r="D14326" t="str">
            <v>ICICI Prudential Fixed Maturity Plan - Series 84 - 1101 Days Plan A - Direct Plan Cumulative Option</v>
          </cell>
          <cell r="E14326">
            <v>12.6372</v>
          </cell>
        </row>
        <row r="14327">
          <cell r="B14327" t="str">
            <v>INF109KC1KI2</v>
          </cell>
          <cell r="C14327" t="str">
            <v>-</v>
          </cell>
          <cell r="D14327" t="str">
            <v>ICICI Prudential Fixed Maturity Plan - Series 84 - 1101 Days Plan A - Direct Plan Half Yearly IDCW Option</v>
          </cell>
          <cell r="E14327">
            <v>12.6371</v>
          </cell>
        </row>
        <row r="14328">
          <cell r="B14328" t="str">
            <v>INF109KC1KH4</v>
          </cell>
          <cell r="C14328" t="str">
            <v>-</v>
          </cell>
          <cell r="D14328" t="str">
            <v>ICICI Prudential Fixed Maturity Plan - Series 84 - 1101 Days Plan A - Direct Plan Quarterly IDCW Option</v>
          </cell>
          <cell r="E14328">
            <v>12.637600000000001</v>
          </cell>
        </row>
        <row r="14329">
          <cell r="B14329" t="str">
            <v>INF109KC1KE1</v>
          </cell>
          <cell r="C14329" t="str">
            <v>-</v>
          </cell>
          <cell r="D14329" t="str">
            <v>ICICI Prudential Fixed Maturity Plan - Series 84 - 1101 Days Plan A - Quarterly IDCW Option</v>
          </cell>
          <cell r="E14329">
            <v>12.5495</v>
          </cell>
        </row>
        <row r="14330">
          <cell r="B14330" t="str">
            <v>INF109KC1KN2</v>
          </cell>
          <cell r="C14330" t="str">
            <v>-</v>
          </cell>
          <cell r="D14330" t="str">
            <v>ICICI Prudential Fixed Maturity Plan - Series 84 - 1103 Days Plan C - Cumulative Option</v>
          </cell>
          <cell r="E14330">
            <v>12.825799999999999</v>
          </cell>
        </row>
        <row r="14331">
          <cell r="B14331" t="str">
            <v>INF109KC1KQ5</v>
          </cell>
          <cell r="C14331" t="str">
            <v>-</v>
          </cell>
          <cell r="D14331" t="str">
            <v>ICICI Prudential Fixed Maturity Plan - Series 84 - 1103 Days Plan C - Direct Plan Cumulative Option</v>
          </cell>
          <cell r="E14331">
            <v>12.937099999999999</v>
          </cell>
        </row>
        <row r="14332">
          <cell r="B14332" t="str">
            <v>INF109KC1KS1</v>
          </cell>
          <cell r="C14332" t="str">
            <v>-</v>
          </cell>
          <cell r="D14332" t="str">
            <v>ICICI Prudential Fixed Maturity Plan - Series 84 - 1103 Days Plan C - Direct Plan Quarterly IDCW Option</v>
          </cell>
          <cell r="E14332">
            <v>12.937099999999999</v>
          </cell>
        </row>
        <row r="14333">
          <cell r="B14333" t="str">
            <v>INF109KC1KO0</v>
          </cell>
          <cell r="C14333" t="str">
            <v>-</v>
          </cell>
          <cell r="D14333" t="str">
            <v>ICICI Prudential Fixed Maturity Plan - Series 84 - 1103 Days Plan C - Half Yearly IDCW Option</v>
          </cell>
          <cell r="E14333">
            <v>12.825799999999999</v>
          </cell>
        </row>
        <row r="14334">
          <cell r="B14334" t="str">
            <v>INF109KC1KP7</v>
          </cell>
          <cell r="C14334" t="str">
            <v>-</v>
          </cell>
          <cell r="D14334" t="str">
            <v>ICICI Prudential Fixed Maturity Plan - Series 84 - 1103 Days Plan C - Quarterly IDCW Option</v>
          </cell>
          <cell r="E14334">
            <v>12.825799999999999</v>
          </cell>
        </row>
        <row r="14335">
          <cell r="B14335" t="str">
            <v>INF109KC1SC8</v>
          </cell>
          <cell r="C14335" t="str">
            <v>-</v>
          </cell>
          <cell r="D14335" t="str">
            <v>ICICI Prudential Fixed Maturity Plan - Series 84 - 1188 Days Plan Z - Cumulative Option</v>
          </cell>
          <cell r="E14335">
            <v>12.770799999999999</v>
          </cell>
        </row>
        <row r="14336">
          <cell r="B14336" t="str">
            <v>INF109KC1SH7</v>
          </cell>
          <cell r="C14336" t="str">
            <v>-</v>
          </cell>
          <cell r="D14336" t="str">
            <v>ICICI Prudential Fixed Maturity Plan - Series 84 - 1188 Days Plan Z - Direct Plan Cumulative Option</v>
          </cell>
          <cell r="E14336">
            <v>12.9063</v>
          </cell>
        </row>
        <row r="14337">
          <cell r="B14337" t="str">
            <v>INF109KC1SE4</v>
          </cell>
          <cell r="C14337" t="str">
            <v>-</v>
          </cell>
          <cell r="D14337" t="str">
            <v>ICICI Prudential Fixed Maturity Plan - Series 84 - 1188 Days Plan Z - Half Yearly IDCW Option</v>
          </cell>
          <cell r="E14337">
            <v>12.771100000000001</v>
          </cell>
        </row>
        <row r="14338">
          <cell r="B14338" t="str">
            <v>INF109KC1SD6</v>
          </cell>
          <cell r="C14338" t="str">
            <v>-</v>
          </cell>
          <cell r="D14338" t="str">
            <v>ICICI Prudential Fixed Maturity Plan - Series 84 - 1188 Days Plan Z - Quarterly IDCW Option</v>
          </cell>
          <cell r="E14338">
            <v>12.771100000000001</v>
          </cell>
        </row>
        <row r="14339">
          <cell r="B14339" t="str">
            <v>INF109KC1RW8</v>
          </cell>
          <cell r="C14339" t="str">
            <v>-</v>
          </cell>
          <cell r="D14339" t="str">
            <v>ICICI Prudential Fixed Maturity Plan - Series 84 - 1204 Days Plan Y - Cumulative Option</v>
          </cell>
          <cell r="E14339">
            <v>12.7879</v>
          </cell>
        </row>
        <row r="14340">
          <cell r="B14340" t="str">
            <v>INF109KC1SB0</v>
          </cell>
          <cell r="C14340" t="str">
            <v>-</v>
          </cell>
          <cell r="D14340" t="str">
            <v>ICICI Prudential Fixed Maturity Plan - Series 84 - 1204 Days Plan Y - Direct Plan Cumulative Option</v>
          </cell>
          <cell r="E14340">
            <v>12.883699999999999</v>
          </cell>
        </row>
        <row r="14341">
          <cell r="B14341" t="str">
            <v>INF109KC1RY4</v>
          </cell>
          <cell r="C14341" t="str">
            <v>-</v>
          </cell>
          <cell r="D14341" t="str">
            <v>ICICI Prudential Fixed Maturity Plan - Series 84 - 1204 Days Plan Y - Half Yearly IDCW Option</v>
          </cell>
          <cell r="E14341">
            <v>12.7874</v>
          </cell>
        </row>
        <row r="14342">
          <cell r="B14342" t="str">
            <v>INF109KC1RX6</v>
          </cell>
          <cell r="C14342" t="str">
            <v>-</v>
          </cell>
          <cell r="D14342" t="str">
            <v>ICICI Prudential Fixed Maturity Plan - Series 84 - 1204 Days Plan Y - Quarterly IDCW Option</v>
          </cell>
          <cell r="E14342">
            <v>12.788</v>
          </cell>
        </row>
        <row r="14343">
          <cell r="B14343" t="str">
            <v>INF109KC1PY8</v>
          </cell>
          <cell r="C14343" t="str">
            <v>-</v>
          </cell>
          <cell r="D14343" t="str">
            <v>ICICI Prudential Fixed Maturity Plan - Series 84 - 1224 Days Plan S - Cumulative Option</v>
          </cell>
          <cell r="E14343">
            <v>12.8569</v>
          </cell>
        </row>
        <row r="14344">
          <cell r="B14344" t="str">
            <v>INF109KC1QB4</v>
          </cell>
          <cell r="C14344" t="str">
            <v>-</v>
          </cell>
          <cell r="D14344" t="str">
            <v>ICICI Prudential Fixed Maturity Plan - Series 84 - 1224 Days Plan S - Direct Plan Cumulative Option</v>
          </cell>
          <cell r="E14344">
            <v>12.9598</v>
          </cell>
        </row>
        <row r="14345">
          <cell r="B14345" t="str">
            <v>INF109KC1QA6</v>
          </cell>
          <cell r="C14345" t="str">
            <v>-</v>
          </cell>
          <cell r="D14345" t="str">
            <v>ICICI Prudential Fixed Maturity Plan - Series 84 - 1224 Days Plan S - Half Yearly IDCW Option</v>
          </cell>
          <cell r="E14345">
            <v>12.8566</v>
          </cell>
        </row>
        <row r="14346">
          <cell r="B14346" t="str">
            <v>INF109KC1PZ5</v>
          </cell>
          <cell r="C14346" t="str">
            <v>-</v>
          </cell>
          <cell r="D14346" t="str">
            <v>ICICI Prudential Fixed Maturity Plan - Series 84 - 1224 Days Plan S - Quarterly IDCW Option</v>
          </cell>
          <cell r="E14346">
            <v>12.8568</v>
          </cell>
        </row>
        <row r="14347">
          <cell r="B14347" t="str">
            <v>INF109KC1QE8</v>
          </cell>
          <cell r="C14347" t="str">
            <v>-</v>
          </cell>
          <cell r="D14347" t="str">
            <v>ICICI Prudential Fixed Maturity Plan - Series 84 - 1235 Days Plan R - Cumulative Option</v>
          </cell>
          <cell r="E14347">
            <v>12.9695</v>
          </cell>
        </row>
        <row r="14348">
          <cell r="B14348" t="str">
            <v>INF109KC1QH1</v>
          </cell>
          <cell r="C14348" t="str">
            <v>-</v>
          </cell>
          <cell r="D14348" t="str">
            <v>ICICI Prudential Fixed Maturity Plan - Series 84 - 1235 Days Plan R - Direct Plan Cumulative Option</v>
          </cell>
          <cell r="E14348">
            <v>13.1046</v>
          </cell>
        </row>
        <row r="14349">
          <cell r="B14349" t="str">
            <v>INF109KC1QJ7</v>
          </cell>
          <cell r="C14349" t="str">
            <v>-</v>
          </cell>
          <cell r="D14349" t="str">
            <v>ICICI Prudential Fixed Maturity Plan - Series 84 - 1235 Days Plan R - Direct Plan Half Yearly IDCW Option</v>
          </cell>
          <cell r="E14349">
            <v>13.098699999999999</v>
          </cell>
        </row>
        <row r="14350">
          <cell r="B14350" t="str">
            <v>INF109KC1QI9</v>
          </cell>
          <cell r="C14350" t="str">
            <v>-</v>
          </cell>
          <cell r="D14350" t="str">
            <v>ICICI Prudential Fixed Maturity Plan - Series 84 - 1235 Days Plan R - Direct Plan Quarterly IDCW Option</v>
          </cell>
          <cell r="E14350">
            <v>13.1038</v>
          </cell>
        </row>
        <row r="14351">
          <cell r="B14351" t="str">
            <v>INF109KC1QG3</v>
          </cell>
          <cell r="C14351" t="str">
            <v>-</v>
          </cell>
          <cell r="D14351" t="str">
            <v>ICICI Prudential Fixed Maturity Plan - Series 84 - 1235 Days Plan R - Half Yearly IDCW Option</v>
          </cell>
          <cell r="E14351">
            <v>12.969099999999999</v>
          </cell>
        </row>
        <row r="14352">
          <cell r="B14352" t="str">
            <v>INF109KC1QF5</v>
          </cell>
          <cell r="C14352" t="str">
            <v>-</v>
          </cell>
          <cell r="D14352" t="str">
            <v>ICICI Prudential Fixed Maturity Plan - Series 84 - 1235 Days Plan R - Quarterly IDCW Option</v>
          </cell>
          <cell r="E14352">
            <v>12.9695</v>
          </cell>
        </row>
        <row r="14353">
          <cell r="B14353" t="str">
            <v>INF109KC1NU1</v>
          </cell>
          <cell r="C14353" t="str">
            <v>-</v>
          </cell>
          <cell r="D14353" t="str">
            <v>ICICI Prudential Fixed Maturity Plan - Series 84 - 1245 Days Plan N - Cumulative Option</v>
          </cell>
          <cell r="E14353">
            <v>13.0267</v>
          </cell>
        </row>
        <row r="14354">
          <cell r="B14354" t="str">
            <v>INF109KC1NX5</v>
          </cell>
          <cell r="C14354" t="str">
            <v>-</v>
          </cell>
          <cell r="D14354" t="str">
            <v>ICICI Prudential Fixed Maturity Plan - Series 84 - 1245 Days Plan N - Direct Plan Cumulative Option</v>
          </cell>
          <cell r="E14354">
            <v>13.135300000000001</v>
          </cell>
        </row>
        <row r="14355">
          <cell r="B14355" t="str">
            <v>INF109KC1NY3</v>
          </cell>
          <cell r="C14355" t="str">
            <v>-</v>
          </cell>
          <cell r="D14355" t="str">
            <v>ICICI Prudential Fixed Maturity Plan - Series 84 - 1245 Days Plan N - Direct Plan Quarterly IDCW Option</v>
          </cell>
          <cell r="E14355">
            <v>13.135300000000001</v>
          </cell>
        </row>
        <row r="14356">
          <cell r="B14356" t="str">
            <v>INF109KC1NV9</v>
          </cell>
          <cell r="C14356" t="str">
            <v>-</v>
          </cell>
          <cell r="D14356" t="str">
            <v>ICICI Prudential Fixed Maturity Plan - Series 84 - 1245 Days Plan N - Quarterly IDCW Option</v>
          </cell>
          <cell r="E14356">
            <v>13.0267</v>
          </cell>
        </row>
        <row r="14357">
          <cell r="B14357" t="str">
            <v>INF109KC1NI6</v>
          </cell>
          <cell r="C14357" t="str">
            <v>-</v>
          </cell>
          <cell r="D14357" t="str">
            <v>ICICI Prudential Fixed Maturity Plan - Series 84 - 1247 Days Plan M - Cumulative Option</v>
          </cell>
          <cell r="E14357">
            <v>12.8757</v>
          </cell>
        </row>
        <row r="14358">
          <cell r="B14358" t="str">
            <v>INF109KC1NL0</v>
          </cell>
          <cell r="C14358" t="str">
            <v>-</v>
          </cell>
          <cell r="D14358" t="str">
            <v>ICICI Prudential Fixed Maturity Plan - Series 84 - 1247 Days Plan M - Direct Plan Cumulative Option</v>
          </cell>
          <cell r="E14358">
            <v>12.9756</v>
          </cell>
        </row>
        <row r="14359">
          <cell r="B14359" t="str">
            <v>INF109KC1NK2</v>
          </cell>
          <cell r="C14359" t="str">
            <v>-</v>
          </cell>
          <cell r="D14359" t="str">
            <v>ICICI Prudential Fixed Maturity Plan - Series 84 - 1247 Days Plan M - Half Yearly IDCW Option</v>
          </cell>
          <cell r="E14359">
            <v>12.875500000000001</v>
          </cell>
        </row>
        <row r="14360">
          <cell r="B14360" t="str">
            <v>INF109KC1NJ4</v>
          </cell>
          <cell r="C14360" t="str">
            <v>-</v>
          </cell>
          <cell r="D14360" t="str">
            <v>ICICI Prudential Fixed Maturity Plan - Series 84 - 1247 Days Plan M - Quarterly IDCW Option</v>
          </cell>
          <cell r="E14360">
            <v>12.8756</v>
          </cell>
        </row>
        <row r="14361">
          <cell r="B14361" t="str">
            <v>INF109KC1RK3</v>
          </cell>
          <cell r="C14361" t="str">
            <v>-</v>
          </cell>
          <cell r="D14361" t="str">
            <v>ICICI Prudential Fixed Maturity Plan - Series 84 - 1247 Days Plan W - Cumulative Option</v>
          </cell>
          <cell r="E14361">
            <v>12.852499999999999</v>
          </cell>
        </row>
        <row r="14362">
          <cell r="B14362" t="str">
            <v>INF109KC1RP2</v>
          </cell>
          <cell r="C14362" t="str">
            <v>-</v>
          </cell>
          <cell r="D14362" t="str">
            <v>ICICI Prudential Fixed Maturity Plan - Series 84 - 1247 Days Plan W - Direct Plan Cumulative Option</v>
          </cell>
          <cell r="E14362">
            <v>12.953900000000001</v>
          </cell>
        </row>
        <row r="14363">
          <cell r="B14363" t="str">
            <v>INF109KC1RO5</v>
          </cell>
          <cell r="C14363" t="str">
            <v>-</v>
          </cell>
          <cell r="D14363" t="str">
            <v>ICICI Prudential Fixed Maturity Plan - Series 84 - 1247 Days Plan W - Direct Plan Half Yearly IDCW Option</v>
          </cell>
          <cell r="E14363">
            <v>12.953900000000001</v>
          </cell>
        </row>
        <row r="14364">
          <cell r="B14364" t="str">
            <v>INF109KC1RN7</v>
          </cell>
          <cell r="C14364" t="str">
            <v>-</v>
          </cell>
          <cell r="D14364" t="str">
            <v>ICICI Prudential Fixed Maturity Plan - Series 84 - 1247 Days Plan W - Direct Plan Quarterly IDCW Option</v>
          </cell>
          <cell r="E14364">
            <v>12.953900000000001</v>
          </cell>
        </row>
        <row r="14365">
          <cell r="B14365" t="str">
            <v>INF109KC1RM9</v>
          </cell>
          <cell r="C14365" t="str">
            <v>-</v>
          </cell>
          <cell r="D14365" t="str">
            <v>ICICI Prudential Fixed Maturity Plan - Series 84 - 1247 Days Plan W - Half Yearly IDCW Option</v>
          </cell>
          <cell r="E14365">
            <v>12.852399999999999</v>
          </cell>
        </row>
        <row r="14366">
          <cell r="B14366" t="str">
            <v>INF109KC1RL1</v>
          </cell>
          <cell r="C14366" t="str">
            <v>-</v>
          </cell>
          <cell r="D14366" t="str">
            <v>ICICI Prudential Fixed Maturity Plan - Series 84 - 1247 Days Plan W - Quarterly IDCW Option</v>
          </cell>
          <cell r="E14366">
            <v>12.852399999999999</v>
          </cell>
        </row>
        <row r="14367">
          <cell r="B14367" t="str">
            <v>INF109KC1QU4</v>
          </cell>
          <cell r="C14367" t="str">
            <v>-</v>
          </cell>
          <cell r="D14367" t="str">
            <v>ICICI Prudential Fixed Maturity Plan - Series 84 - 1254 Days Plan U - Cumulative Option</v>
          </cell>
          <cell r="E14367">
            <v>12.825200000000001</v>
          </cell>
        </row>
        <row r="14368">
          <cell r="B14368" t="str">
            <v>INF109KC1QZ3</v>
          </cell>
          <cell r="C14368" t="str">
            <v>-</v>
          </cell>
          <cell r="D14368" t="str">
            <v>ICICI Prudential Fixed Maturity Plan - Series 84 - 1254 Days Plan U - Direct Plan Cumulative Option</v>
          </cell>
          <cell r="E14368">
            <v>12.9359</v>
          </cell>
        </row>
        <row r="14369">
          <cell r="B14369" t="str">
            <v>INF109KC1QY6</v>
          </cell>
          <cell r="C14369" t="str">
            <v>-</v>
          </cell>
          <cell r="D14369" t="str">
            <v>ICICI Prudential Fixed Maturity Plan - Series 84 - 1254 Days Plan U - Direct Plan Half Yearly IDCW Option</v>
          </cell>
          <cell r="E14369">
            <v>12.9359</v>
          </cell>
        </row>
        <row r="14370">
          <cell r="B14370" t="str">
            <v>INF109KC1QW0</v>
          </cell>
          <cell r="C14370" t="str">
            <v>-</v>
          </cell>
          <cell r="D14370" t="str">
            <v>ICICI Prudential Fixed Maturity Plan - Series 84 - 1254 Days Plan U - Half Yearly IDCW Option</v>
          </cell>
          <cell r="E14370">
            <v>12.8209</v>
          </cell>
        </row>
        <row r="14371">
          <cell r="B14371" t="str">
            <v>INF109KC1QV2</v>
          </cell>
          <cell r="C14371" t="str">
            <v>-</v>
          </cell>
          <cell r="D14371" t="str">
            <v>ICICI Prudential Fixed Maturity Plan - Series 84 - 1254 Days Plan U - Quarterly IDCW Option</v>
          </cell>
          <cell r="E14371">
            <v>12.8253</v>
          </cell>
        </row>
        <row r="14372">
          <cell r="B14372" t="str">
            <v>INF109KC1PS0</v>
          </cell>
          <cell r="C14372" t="str">
            <v>-</v>
          </cell>
          <cell r="D14372" t="str">
            <v>ICICI Prudential Fixed Maturity Plan - Series 84 - 1272 Days Plan Q - Cumulative Option</v>
          </cell>
          <cell r="E14372">
            <v>12.997</v>
          </cell>
        </row>
        <row r="14373">
          <cell r="B14373" t="str">
            <v>INF109KC1PV4</v>
          </cell>
          <cell r="C14373" t="str">
            <v>-</v>
          </cell>
          <cell r="D14373" t="str">
            <v>ICICI Prudential Fixed Maturity Plan - Series 84 - 1272 Days Plan Q - Direct Plan Cumulative Option</v>
          </cell>
          <cell r="E14373">
            <v>13.1022</v>
          </cell>
        </row>
        <row r="14374">
          <cell r="B14374" t="str">
            <v>INF109KC1PU6</v>
          </cell>
          <cell r="C14374" t="str">
            <v>-</v>
          </cell>
          <cell r="D14374" t="str">
            <v>ICICI Prudential Fixed Maturity Plan - Series 84 - 1272 Days Plan Q - Half Yearly IDCW Option</v>
          </cell>
          <cell r="E14374">
            <v>12.9969</v>
          </cell>
        </row>
        <row r="14375">
          <cell r="B14375" t="str">
            <v>INF109KC1PT8</v>
          </cell>
          <cell r="C14375" t="str">
            <v>-</v>
          </cell>
          <cell r="D14375" t="str">
            <v>ICICI Prudential Fixed Maturity Plan - Series 84 - 1272 Days Plan Q - Quarterly IDCW Option</v>
          </cell>
          <cell r="E14375">
            <v>12.997</v>
          </cell>
        </row>
        <row r="14376">
          <cell r="B14376" t="str">
            <v>INF109KC1MO6</v>
          </cell>
          <cell r="C14376" t="str">
            <v>-</v>
          </cell>
          <cell r="D14376" t="str">
            <v>ICICI Prudential Fixed Maturity Plan - Series 84 - 1275 Days Plan K - Cumulative Option</v>
          </cell>
          <cell r="E14376">
            <v>13.09</v>
          </cell>
        </row>
        <row r="14377">
          <cell r="B14377" t="str">
            <v>INF109KC1MR9</v>
          </cell>
          <cell r="C14377" t="str">
            <v>-</v>
          </cell>
          <cell r="D14377" t="str">
            <v>ICICI Prudential Fixed Maturity Plan - Series 84 - 1275 Days Plan K - Direct Plan Cumulative Option</v>
          </cell>
          <cell r="E14377">
            <v>13.2257</v>
          </cell>
        </row>
        <row r="14378">
          <cell r="B14378" t="str">
            <v>INF109KC1MT5</v>
          </cell>
          <cell r="C14378" t="str">
            <v>-</v>
          </cell>
          <cell r="D14378" t="str">
            <v>ICICI Prudential Fixed Maturity Plan - Series 84 - 1275 Days Plan K - Direct Plan Half Yearly IDCW Option</v>
          </cell>
          <cell r="E14378">
            <v>13.2257</v>
          </cell>
        </row>
        <row r="14379">
          <cell r="B14379" t="str">
            <v>INF109KC1MQ1</v>
          </cell>
          <cell r="C14379" t="str">
            <v>-</v>
          </cell>
          <cell r="D14379" t="str">
            <v>ICICI Prudential Fixed Maturity Plan - Series 84 - 1275 Days Plan K - Half Yearly IDCW Option</v>
          </cell>
          <cell r="E14379">
            <v>13.09</v>
          </cell>
        </row>
        <row r="14380">
          <cell r="B14380" t="str">
            <v>INF109KC1MP3</v>
          </cell>
          <cell r="C14380" t="str">
            <v>-</v>
          </cell>
          <cell r="D14380" t="str">
            <v>ICICI Prudential Fixed Maturity Plan - Series 84 - 1275 Days Plan K - Quarterly IDCW Option</v>
          </cell>
          <cell r="E14380">
            <v>13.09</v>
          </cell>
        </row>
        <row r="14381">
          <cell r="B14381" t="str">
            <v>INF109KC1PM3</v>
          </cell>
          <cell r="C14381" t="str">
            <v>-</v>
          </cell>
          <cell r="D14381" t="str">
            <v>ICICI Prudential Fixed Maturity Plan - Series 84 - 1279 Days Plan P - Cumulative Option</v>
          </cell>
          <cell r="E14381">
            <v>13.0059</v>
          </cell>
        </row>
        <row r="14382">
          <cell r="B14382" t="str">
            <v>INF109KC1PP6</v>
          </cell>
          <cell r="C14382" t="str">
            <v>-</v>
          </cell>
          <cell r="D14382" t="str">
            <v>ICICI Prudential Fixed Maturity Plan - Series 84 - 1279 Days Plan P - Direct Plan Cumulative Option</v>
          </cell>
          <cell r="E14382">
            <v>13.118399999999999</v>
          </cell>
        </row>
        <row r="14383">
          <cell r="B14383" t="str">
            <v>INF109KC1PO9</v>
          </cell>
          <cell r="C14383" t="str">
            <v>-</v>
          </cell>
          <cell r="D14383" t="str">
            <v>ICICI Prudential Fixed Maturity Plan - Series 84 - 1279 Days Plan P - Half Yearly IDCW Option</v>
          </cell>
          <cell r="E14383">
            <v>13.010300000000001</v>
          </cell>
        </row>
        <row r="14384">
          <cell r="B14384" t="str">
            <v>INF109KC1PN1</v>
          </cell>
          <cell r="C14384" t="str">
            <v>-</v>
          </cell>
          <cell r="D14384" t="str">
            <v>ICICI Prudential Fixed Maturity Plan - Series 84 - 1279 Days Plan P - Quarterly IDCW Option</v>
          </cell>
          <cell r="E14384">
            <v>13.005800000000001</v>
          </cell>
        </row>
        <row r="14385">
          <cell r="B14385" t="str">
            <v>INF109KC1LM2</v>
          </cell>
          <cell r="C14385" t="str">
            <v>-</v>
          </cell>
          <cell r="D14385" t="str">
            <v>ICICI Prudential Fixed Maturity Plan - Series 84 - 1286 Days Plan F - Cumulative Option</v>
          </cell>
          <cell r="E14385">
            <v>13.1485</v>
          </cell>
        </row>
        <row r="14386">
          <cell r="B14386" t="str">
            <v>INF109KC1LP5</v>
          </cell>
          <cell r="C14386" t="str">
            <v>-</v>
          </cell>
          <cell r="D14386" t="str">
            <v>ICICI Prudential Fixed Maturity Plan - Series 84 - 1286 Days Plan F - Direct Plan Cumulative Option</v>
          </cell>
          <cell r="E14386">
            <v>13.2506</v>
          </cell>
        </row>
        <row r="14387">
          <cell r="B14387" t="str">
            <v>INF109KC1LQ3</v>
          </cell>
          <cell r="C14387" t="str">
            <v>-</v>
          </cell>
          <cell r="D14387" t="str">
            <v>ICICI Prudential Fixed Maturity Plan - Series 84 - 1286 Days Plan F - Direct Plan Quarterly IDCW Option</v>
          </cell>
          <cell r="E14387">
            <v>13.2506</v>
          </cell>
        </row>
        <row r="14388">
          <cell r="B14388" t="str">
            <v>INF109KC1LN0</v>
          </cell>
          <cell r="C14388" t="str">
            <v>-</v>
          </cell>
          <cell r="D14388" t="str">
            <v>ICICI Prudential Fixed Maturity Plan - Series 84 - 1286 Days Plan F - Quarterly IDCW Option</v>
          </cell>
          <cell r="E14388">
            <v>13.1485</v>
          </cell>
        </row>
        <row r="14389">
          <cell r="B14389" t="str">
            <v>INF109KC1MI8</v>
          </cell>
          <cell r="C14389" t="str">
            <v>-</v>
          </cell>
          <cell r="D14389" t="str">
            <v>ICICI Prudential Fixed Maturity Plan - Series 84 - 1287 Days Plan I - Cumulative Option</v>
          </cell>
          <cell r="E14389">
            <v>13.2041</v>
          </cell>
        </row>
        <row r="14390">
          <cell r="B14390" t="str">
            <v>INF109KC1ML2</v>
          </cell>
          <cell r="C14390" t="str">
            <v>-</v>
          </cell>
          <cell r="D14390" t="str">
            <v>ICICI Prudential Fixed Maturity Plan - Series 84 - 1287 Days Plan I - Direct Plan Cumulative Option</v>
          </cell>
          <cell r="E14390">
            <v>13.3454</v>
          </cell>
        </row>
        <row r="14391">
          <cell r="B14391" t="str">
            <v>INF109KC1MK4</v>
          </cell>
          <cell r="C14391" t="str">
            <v>-</v>
          </cell>
          <cell r="D14391" t="str">
            <v>ICICI Prudential Fixed Maturity Plan - Series 84 - 1287 Days Plan I - Half Yearly IDCW Option</v>
          </cell>
          <cell r="E14391">
            <v>13.202999999999999</v>
          </cell>
        </row>
        <row r="14392">
          <cell r="B14392" t="str">
            <v>INF109KC1MJ6</v>
          </cell>
          <cell r="C14392" t="str">
            <v>-</v>
          </cell>
          <cell r="D14392" t="str">
            <v>ICICI Prudential Fixed Maturity Plan - Series 84 - 1287 Days Plan I - Quarterly IDCW Option</v>
          </cell>
          <cell r="E14392">
            <v>13.203900000000001</v>
          </cell>
        </row>
        <row r="14393">
          <cell r="B14393" t="str">
            <v>INF109KC1LA7</v>
          </cell>
          <cell r="C14393" t="str">
            <v>-</v>
          </cell>
          <cell r="D14393" t="str">
            <v>ICICI Prudential Fixed Maturity Plan - Series 84 - 1288 Days Plan E - Cumulative Option</v>
          </cell>
          <cell r="E14393">
            <v>13.1455</v>
          </cell>
        </row>
        <row r="14394">
          <cell r="B14394" t="str">
            <v>INF109KC1LD1</v>
          </cell>
          <cell r="C14394" t="str">
            <v>-</v>
          </cell>
          <cell r="D14394" t="str">
            <v>ICICI Prudential Fixed Maturity Plan - Series 84 - 1288 Days Plan E - Direct Plan Cumulative Option</v>
          </cell>
          <cell r="E14394">
            <v>13.258699999999999</v>
          </cell>
        </row>
        <row r="14395">
          <cell r="B14395" t="str">
            <v>INF109KC1LC3</v>
          </cell>
          <cell r="C14395" t="str">
            <v>-</v>
          </cell>
          <cell r="D14395" t="str">
            <v>ICICI Prudential Fixed Maturity Plan - Series 84 - 1288 Days Plan E - Half Yearly IDCW Option</v>
          </cell>
          <cell r="E14395">
            <v>13.1454</v>
          </cell>
        </row>
        <row r="14396">
          <cell r="B14396" t="str">
            <v>INF109KC1LB5</v>
          </cell>
          <cell r="C14396" t="str">
            <v>-</v>
          </cell>
          <cell r="D14396" t="str">
            <v>ICICI Prudential Fixed Maturity Plan - Series 84 - 1288 Days Plan E - Quarterly IDCW Option</v>
          </cell>
          <cell r="E14396">
            <v>13.145300000000001</v>
          </cell>
        </row>
        <row r="14397">
          <cell r="B14397" t="str">
            <v>INF109KC1PG5</v>
          </cell>
          <cell r="C14397" t="str">
            <v>-</v>
          </cell>
          <cell r="D14397" t="str">
            <v>ICICI Prudential Fixed Maturity Plan - Series 84 - 1288 Days Plan O - Cumulative Option</v>
          </cell>
          <cell r="E14397">
            <v>13.1572</v>
          </cell>
        </row>
        <row r="14398">
          <cell r="B14398" t="str">
            <v>INF109KC1PJ9</v>
          </cell>
          <cell r="C14398" t="str">
            <v>-</v>
          </cell>
          <cell r="D14398" t="str">
            <v>ICICI Prudential Fixed Maturity Plan - Series 84 - 1288 Days Plan O - Direct Plan Cumulative Option</v>
          </cell>
          <cell r="E14398">
            <v>13.203900000000001</v>
          </cell>
        </row>
        <row r="14399">
          <cell r="B14399" t="str">
            <v>INF109KC1PK7</v>
          </cell>
          <cell r="C14399" t="str">
            <v>-</v>
          </cell>
          <cell r="D14399" t="str">
            <v>ICICI Prudential Fixed Maturity Plan - Series 84 - 1288 Days Plan O - Direct Plan Quarterly IDCW Option</v>
          </cell>
          <cell r="E14399">
            <v>13.203900000000001</v>
          </cell>
        </row>
        <row r="14400">
          <cell r="B14400" t="str">
            <v>INF109KC1KU7</v>
          </cell>
          <cell r="C14400" t="str">
            <v>-</v>
          </cell>
          <cell r="D14400" t="str">
            <v>ICICI Prudential Fixed Maturity Plan - Series 84 - 1293 Days Plan D - Cumulative Option</v>
          </cell>
          <cell r="E14400">
            <v>13.238799999999999</v>
          </cell>
        </row>
        <row r="14401">
          <cell r="B14401" t="str">
            <v>INF109KC1KX1</v>
          </cell>
          <cell r="C14401" t="str">
            <v>-</v>
          </cell>
          <cell r="D14401" t="str">
            <v>ICICI Prudential Fixed Maturity Plan - Series 84 - 1293 Days Plan D - Direct Plan Cumulative Option</v>
          </cell>
          <cell r="E14401">
            <v>13.3589</v>
          </cell>
        </row>
        <row r="14402">
          <cell r="B14402" t="str">
            <v>INF109KC1KW3</v>
          </cell>
          <cell r="C14402" t="str">
            <v>-</v>
          </cell>
          <cell r="D14402" t="str">
            <v>ICICI Prudential Fixed Maturity Plan - Series 84 - 1293 Days Plan D - Half Yearly IDCW Option</v>
          </cell>
          <cell r="E14402">
            <v>13.241400000000001</v>
          </cell>
        </row>
        <row r="14403">
          <cell r="B14403" t="str">
            <v>INF109KC1KV5</v>
          </cell>
          <cell r="C14403" t="str">
            <v>-</v>
          </cell>
          <cell r="D14403" t="str">
            <v>ICICI Prudential Fixed Maturity Plan - Series 84 - 1293 Days Plan D - Quarterly IDCW Option</v>
          </cell>
          <cell r="E14403">
            <v>13.238799999999999</v>
          </cell>
        </row>
        <row r="14404">
          <cell r="B14404" t="str">
            <v>INF109KC1LS9</v>
          </cell>
          <cell r="C14404" t="str">
            <v>-</v>
          </cell>
          <cell r="D14404" t="str">
            <v>ICICI Prudential Fixed Maturity Plan - Series 84 - 168 Days Plan G - Cumulative Option</v>
          </cell>
          <cell r="E14404">
            <v>10.3545</v>
          </cell>
        </row>
        <row r="14405">
          <cell r="B14405" t="str">
            <v>INF109KC1LU5</v>
          </cell>
          <cell r="C14405" t="str">
            <v>-</v>
          </cell>
          <cell r="D14405" t="str">
            <v>ICICI Prudential Fixed Maturity Plan - Series 84 - 168 Days Plan G - Direct Plan Cumulative Option</v>
          </cell>
          <cell r="E14405">
            <v>10.363799999999999</v>
          </cell>
        </row>
        <row r="14406">
          <cell r="B14406" t="str">
            <v>INF109KC1LT7</v>
          </cell>
          <cell r="C14406" t="str">
            <v>-</v>
          </cell>
          <cell r="D14406" t="str">
            <v>ICICI Prudential Fixed Maturity Plan - Series 84 - 168 Days Plan G - Dividend Option</v>
          </cell>
          <cell r="E14406">
            <v>10.3545</v>
          </cell>
        </row>
        <row r="14407">
          <cell r="B14407" t="str">
            <v>INF109KC1VQ2</v>
          </cell>
          <cell r="C14407" t="str">
            <v>-</v>
          </cell>
          <cell r="D14407" t="str">
            <v>ICICI Prudential Fixed Maturity Plan - Series 85 - 10 Years Plan I - Cumulative Option</v>
          </cell>
          <cell r="E14407">
            <v>17.7759</v>
          </cell>
        </row>
        <row r="14408">
          <cell r="B14408" t="str">
            <v>INF109KC1VT6</v>
          </cell>
          <cell r="C14408" t="str">
            <v>-</v>
          </cell>
          <cell r="D14408" t="str">
            <v>ICICI Prudential Fixed Maturity Plan - Series 85 - 10 Years Plan I - Direct Plan Cumulative Option</v>
          </cell>
          <cell r="E14408">
            <v>18.022400000000001</v>
          </cell>
        </row>
        <row r="14409">
          <cell r="B14409" t="str">
            <v>INF109KC1VR0</v>
          </cell>
          <cell r="C14409" t="str">
            <v>-</v>
          </cell>
          <cell r="D14409" t="str">
            <v>ICICI Prudential Fixed Maturity Plan - Series 85 - 10 Years Plan I - Quarterly IDCW Option</v>
          </cell>
          <cell r="E14409">
            <v>17.462199999999999</v>
          </cell>
        </row>
        <row r="14410">
          <cell r="B14410" t="str">
            <v>INF109KC1WY4</v>
          </cell>
          <cell r="C14410" t="str">
            <v>-</v>
          </cell>
          <cell r="D14410" t="str">
            <v>ICICI Prudential Fixed Maturity Plan - Series 85 - 1127 Days Plan O - Cumulative Option</v>
          </cell>
          <cell r="E14410">
            <v>12.3725</v>
          </cell>
        </row>
        <row r="14411">
          <cell r="B14411" t="str">
            <v>INF109KC1XB0</v>
          </cell>
          <cell r="C14411" t="str">
            <v>-</v>
          </cell>
          <cell r="D14411" t="str">
            <v>ICICI Prudential Fixed Maturity Plan - Series 85 - 1127 Days Plan O - Direct Plan Cumulative Option</v>
          </cell>
          <cell r="E14411">
            <v>12.4682</v>
          </cell>
        </row>
        <row r="14412">
          <cell r="B14412" t="str">
            <v>INF109KC1XA2</v>
          </cell>
          <cell r="C14412" t="str">
            <v>-</v>
          </cell>
          <cell r="D14412" t="str">
            <v>ICICI Prudential Fixed Maturity Plan - Series 85 - 1127 Days Plan O - Half Yearly IDCW Option</v>
          </cell>
          <cell r="E14412">
            <v>12.3725</v>
          </cell>
        </row>
        <row r="14413">
          <cell r="B14413" t="str">
            <v>INF109KC1XO3</v>
          </cell>
          <cell r="C14413" t="str">
            <v>-</v>
          </cell>
          <cell r="D14413" t="str">
            <v>ICICI Prudential Fixed Maturity Plan - Series 85 - 1127 Days Plan Q - Cumulative Option</v>
          </cell>
          <cell r="E14413">
            <v>12.398400000000001</v>
          </cell>
        </row>
        <row r="14414">
          <cell r="B14414" t="str">
            <v>INF109KC1XR6</v>
          </cell>
          <cell r="C14414" t="str">
            <v>-</v>
          </cell>
          <cell r="D14414" t="str">
            <v>ICICI Prudential Fixed Maturity Plan - Series 85 - 1127 Days Plan Q - Direct Plan Cumulative Option</v>
          </cell>
          <cell r="E14414">
            <v>12.473800000000001</v>
          </cell>
        </row>
        <row r="14415">
          <cell r="B14415" t="str">
            <v>INF109KC1XQ8</v>
          </cell>
          <cell r="C14415" t="str">
            <v>-</v>
          </cell>
          <cell r="D14415" t="str">
            <v>ICICI Prudential Fixed Maturity Plan - Series 85 - 1127 Days Plan Q - Half Yearly IDCW Option</v>
          </cell>
          <cell r="E14415">
            <v>12.397600000000001</v>
          </cell>
        </row>
        <row r="14416">
          <cell r="B14416" t="str">
            <v>INF109KC1XP0</v>
          </cell>
          <cell r="C14416" t="str">
            <v>-</v>
          </cell>
          <cell r="D14416" t="str">
            <v>ICICI Prudential Fixed Maturity Plan - Series 85 - 1127 Days Plan Q - Quarterly IDCW Option</v>
          </cell>
          <cell r="E14416">
            <v>12.398400000000001</v>
          </cell>
        </row>
        <row r="14417">
          <cell r="B14417" t="str">
            <v>INF109KC1XI5</v>
          </cell>
          <cell r="C14417" t="str">
            <v>-</v>
          </cell>
          <cell r="D14417" t="str">
            <v>ICICI Prudential Fixed Maturity Plan - Series 85 - 1129 Days Plan P - Cumulative Option</v>
          </cell>
          <cell r="E14417">
            <v>12.4567</v>
          </cell>
        </row>
        <row r="14418">
          <cell r="B14418" t="str">
            <v>INF109KC1XL9</v>
          </cell>
          <cell r="C14418" t="str">
            <v>-</v>
          </cell>
          <cell r="D14418" t="str">
            <v>ICICI Prudential Fixed Maturity Plan - Series 85 - 1129 Days Plan P - Direct Plan Cumulative Option</v>
          </cell>
          <cell r="E14418">
            <v>12.495200000000001</v>
          </cell>
        </row>
        <row r="14419">
          <cell r="B14419" t="str">
            <v>INF109KC1XJ3</v>
          </cell>
          <cell r="C14419" t="str">
            <v>-</v>
          </cell>
          <cell r="D14419" t="str">
            <v>ICICI Prudential Fixed Maturity Plan - Series 85 - 1129 Days Plan P - Quarterly IDCW Option</v>
          </cell>
          <cell r="E14419">
            <v>12.4567</v>
          </cell>
        </row>
        <row r="14420">
          <cell r="B14420" t="str">
            <v>INF109KC1XU0</v>
          </cell>
          <cell r="C14420" t="str">
            <v>-</v>
          </cell>
          <cell r="D14420" t="str">
            <v>ICICI Prudential Fixed Maturity Plan - Series 85 - 1140 Days Plan R - Cumulative Option</v>
          </cell>
          <cell r="E14420">
            <v>12.607799999999999</v>
          </cell>
        </row>
        <row r="14421">
          <cell r="B14421" t="str">
            <v>INF109KC1XX4</v>
          </cell>
          <cell r="C14421" t="str">
            <v>-</v>
          </cell>
          <cell r="D14421" t="str">
            <v>ICICI Prudential Fixed Maturity Plan - Series 85 - 1140 Days Plan R - Direct Plan Cumulative Option</v>
          </cell>
          <cell r="E14421">
            <v>12.6843</v>
          </cell>
        </row>
        <row r="14422">
          <cell r="B14422" t="str">
            <v>INF109KC1XV8</v>
          </cell>
          <cell r="C14422" t="str">
            <v>-</v>
          </cell>
          <cell r="D14422" t="str">
            <v>ICICI Prudential Fixed Maturity Plan - Series 85 - 1140 Days Plan R - Quarterly IDCW Option</v>
          </cell>
          <cell r="E14422">
            <v>12.607799999999999</v>
          </cell>
        </row>
        <row r="14423">
          <cell r="B14423" t="str">
            <v>INF109KC1VK5</v>
          </cell>
          <cell r="C14423" t="str">
            <v>-</v>
          </cell>
          <cell r="D14423" t="str">
            <v>ICICI Prudential Fixed Maturity Plan - Series 85 - 1143 Days Plan J - Cumulative Option</v>
          </cell>
          <cell r="E14423">
            <v>12.4678</v>
          </cell>
        </row>
        <row r="14424">
          <cell r="B14424" t="str">
            <v>INF109KC1VN9</v>
          </cell>
          <cell r="C14424" t="str">
            <v>-</v>
          </cell>
          <cell r="D14424" t="str">
            <v>ICICI Prudential Fixed Maturity Plan - Series 85 - 1143 Days Plan J - Direct Plan Cumulative Option</v>
          </cell>
          <cell r="E14424">
            <v>12.5069</v>
          </cell>
        </row>
        <row r="14425">
          <cell r="B14425" t="str">
            <v>INF109KC1VO7</v>
          </cell>
          <cell r="C14425" t="str">
            <v>-</v>
          </cell>
          <cell r="D14425" t="str">
            <v>ICICI Prudential Fixed Maturity Plan - Series 85 - 1143 Days Plan J - Direct Plan Quarterly IDCW Option</v>
          </cell>
          <cell r="E14425">
            <v>12.5069</v>
          </cell>
        </row>
        <row r="14426">
          <cell r="B14426" t="str">
            <v>INF109KC1VM1</v>
          </cell>
          <cell r="C14426" t="str">
            <v>-</v>
          </cell>
          <cell r="D14426" t="str">
            <v>ICICI Prudential Fixed Maturity Plan - Series 85 - 1143 Days Plan J - Half Yearly IDCW Option</v>
          </cell>
          <cell r="E14426">
            <v>12.4678</v>
          </cell>
        </row>
        <row r="14427">
          <cell r="B14427" t="str">
            <v>INF109KC1UK7</v>
          </cell>
          <cell r="C14427" t="str">
            <v>-</v>
          </cell>
          <cell r="D14427" t="str">
            <v>ICICI Prudential Fixed Maturity Plan - Series 85 - 1156 Days Plan F - Cumulative Option</v>
          </cell>
          <cell r="E14427">
            <v>12.5627</v>
          </cell>
        </row>
        <row r="14428">
          <cell r="B14428" t="str">
            <v>INF109KC1UN1</v>
          </cell>
          <cell r="C14428" t="str">
            <v>-</v>
          </cell>
          <cell r="D14428" t="str">
            <v>ICICI Prudential Fixed Maturity Plan - Series 85 - 1156 Days Plan F - Direct Plan Cumulative Option</v>
          </cell>
          <cell r="E14428">
            <v>12.6837</v>
          </cell>
        </row>
        <row r="14429">
          <cell r="B14429" t="str">
            <v>INF109KC1UP6</v>
          </cell>
          <cell r="C14429" t="str">
            <v>-</v>
          </cell>
          <cell r="D14429" t="str">
            <v>ICICI Prudential Fixed Maturity Plan - Series 85 - 1156 Days Plan F - Direct Plan Half Yearly IDCW Option</v>
          </cell>
          <cell r="E14429">
            <v>12.6837</v>
          </cell>
        </row>
        <row r="14430">
          <cell r="B14430" t="str">
            <v>INF109KC1UM3</v>
          </cell>
          <cell r="C14430" t="str">
            <v>-</v>
          </cell>
          <cell r="D14430" t="str">
            <v>ICICI Prudential Fixed Maturity Plan - Series 85 - 1156 Days Plan F - Half Yearly IDCW Option</v>
          </cell>
          <cell r="E14430">
            <v>12.5627</v>
          </cell>
        </row>
        <row r="14431">
          <cell r="B14431" t="str">
            <v>INF109KC1UL5</v>
          </cell>
          <cell r="C14431" t="str">
            <v>-</v>
          </cell>
          <cell r="D14431" t="str">
            <v>ICICI Prudential Fixed Maturity Plan - Series 85 - 1156 Days Plan F - Quarterly IDCW Option</v>
          </cell>
          <cell r="E14431">
            <v>12.5627</v>
          </cell>
        </row>
        <row r="14432">
          <cell r="B14432" t="str">
            <v>INF109KC1UQ4</v>
          </cell>
          <cell r="C14432" t="str">
            <v>-</v>
          </cell>
          <cell r="D14432" t="str">
            <v>ICICI Prudential Fixed Maturity Plan - Series 85 - 1156 Days Plan G - Cumulative Option</v>
          </cell>
          <cell r="E14432">
            <v>12.647600000000001</v>
          </cell>
        </row>
        <row r="14433">
          <cell r="B14433" t="str">
            <v>INF109KC1UT8</v>
          </cell>
          <cell r="C14433" t="str">
            <v>-</v>
          </cell>
          <cell r="D14433" t="str">
            <v>ICICI Prudential Fixed Maturity Plan - Series 85 - 1156 Days Plan G - Direct Plan Cumulative Option</v>
          </cell>
          <cell r="E14433">
            <v>12.6877</v>
          </cell>
        </row>
        <row r="14434">
          <cell r="B14434" t="str">
            <v>INF109KC1US0</v>
          </cell>
          <cell r="C14434" t="str">
            <v>-</v>
          </cell>
          <cell r="D14434" t="str">
            <v>ICICI Prudential Fixed Maturity Plan - Series 85 - 1156 Days Plan G - Half Yearly IDCW Option</v>
          </cell>
          <cell r="E14434">
            <v>12.647600000000001</v>
          </cell>
        </row>
        <row r="14435">
          <cell r="B14435" t="str">
            <v>INF109KC1UR2</v>
          </cell>
          <cell r="C14435" t="str">
            <v>-</v>
          </cell>
          <cell r="D14435" t="str">
            <v>ICICI Prudential Fixed Maturity Plan - Series 85 - 1156 Days Plan G - Quarterly IDCW Option</v>
          </cell>
          <cell r="E14435">
            <v>12.647600000000001</v>
          </cell>
        </row>
        <row r="14436">
          <cell r="B14436" t="str">
            <v>INF109KC1TK9</v>
          </cell>
          <cell r="C14436" t="str">
            <v>-</v>
          </cell>
          <cell r="D14436" t="str">
            <v>ICICI Prudential Fixed Maturity Plan - Series 85 - 1168 Days Plan E - Cumulative Option</v>
          </cell>
          <cell r="E14436">
            <v>12.687099999999999</v>
          </cell>
        </row>
        <row r="14437">
          <cell r="B14437" t="str">
            <v>INF109KC1TN3</v>
          </cell>
          <cell r="C14437" t="str">
            <v>-</v>
          </cell>
          <cell r="D14437" t="str">
            <v>ICICI Prudential Fixed Maturity Plan - Series 85 - 1168 Days Plan E - Direct Plan Cumulative Option</v>
          </cell>
          <cell r="E14437">
            <v>12.7072</v>
          </cell>
        </row>
        <row r="14438">
          <cell r="B14438" t="str">
            <v>INF109KC1TO1</v>
          </cell>
          <cell r="C14438" t="str">
            <v>-</v>
          </cell>
          <cell r="D14438" t="str">
            <v>ICICI Prudential Fixed Maturity Plan - Series 85 - 1168 Days Plan E - Direct Plan Quarterly IDCW Option</v>
          </cell>
          <cell r="E14438">
            <v>12.7072</v>
          </cell>
        </row>
        <row r="14439">
          <cell r="B14439" t="str">
            <v>INF109KC1TL7</v>
          </cell>
          <cell r="C14439" t="str">
            <v>-</v>
          </cell>
          <cell r="D14439" t="str">
            <v>ICICI Prudential Fixed Maturity Plan - Series 85 - 1168 Days Plan E - Quarterly IDCW Option</v>
          </cell>
          <cell r="E14439">
            <v>12.687099999999999</v>
          </cell>
        </row>
        <row r="14440">
          <cell r="B14440" t="str">
            <v>INF109KC1TA0</v>
          </cell>
          <cell r="C14440" t="str">
            <v>-</v>
          </cell>
          <cell r="D14440" t="str">
            <v>ICICI Prudential Fixed Maturity Plan - Series 85 - 1175 Days Plan D - Cumulative Option</v>
          </cell>
          <cell r="E14440">
            <v>12.654199999999999</v>
          </cell>
        </row>
        <row r="14441">
          <cell r="B14441" t="str">
            <v>INF109KC1TD4</v>
          </cell>
          <cell r="C14441" t="str">
            <v>-</v>
          </cell>
          <cell r="D14441" t="str">
            <v>ICICI Prudential Fixed Maturity Plan - Series 85 - 1175 Days Plan D - Direct Plan Cumulative Option</v>
          </cell>
          <cell r="E14441">
            <v>12.7516</v>
          </cell>
        </row>
        <row r="14442">
          <cell r="B14442" t="str">
            <v>INF109KC1TE2</v>
          </cell>
          <cell r="C14442" t="str">
            <v>-</v>
          </cell>
          <cell r="D14442" t="str">
            <v>ICICI Prudential Fixed Maturity Plan - Series 85 - 1175 Days Plan D - Direct Plan Quarterly IDCW Option</v>
          </cell>
          <cell r="E14442">
            <v>12.7522</v>
          </cell>
        </row>
        <row r="14443">
          <cell r="B14443" t="str">
            <v>INF109KC1TC6</v>
          </cell>
          <cell r="C14443" t="str">
            <v>-</v>
          </cell>
          <cell r="D14443" t="str">
            <v>ICICI Prudential Fixed Maturity Plan - Series 85 - 1175 Days Plan D - Half Yearly IDCW Option</v>
          </cell>
          <cell r="E14443">
            <v>12.6539</v>
          </cell>
        </row>
        <row r="14444">
          <cell r="B14444" t="str">
            <v>INF109KC1TB8</v>
          </cell>
          <cell r="C14444" t="str">
            <v>-</v>
          </cell>
          <cell r="D14444" t="str">
            <v>ICICI Prudential Fixed Maturity Plan - Series 85 - 1175 Days Plan D - Quarterly IDCW Option</v>
          </cell>
          <cell r="E14444">
            <v>12.654199999999999</v>
          </cell>
        </row>
        <row r="14445">
          <cell r="B14445" t="str">
            <v>INF109KC1SO3</v>
          </cell>
          <cell r="C14445" t="str">
            <v>-</v>
          </cell>
          <cell r="D14445" t="str">
            <v>ICICI Prudential Fixed Maturity Plan - Series 85 - 1178 Days Plan B - Cumulative Option</v>
          </cell>
          <cell r="E14445">
            <v>12.690200000000001</v>
          </cell>
        </row>
        <row r="14446">
          <cell r="B14446" t="str">
            <v>INF109KC1SR6</v>
          </cell>
          <cell r="C14446" t="str">
            <v>-</v>
          </cell>
          <cell r="D14446" t="str">
            <v>ICICI Prudential Fixed Maturity Plan - Series 85 - 1178 Days Plan B - Direct Plan Cumulative Option</v>
          </cell>
          <cell r="E14446">
            <v>12.823700000000001</v>
          </cell>
        </row>
        <row r="14447">
          <cell r="B14447" t="str">
            <v>INF109KC1ST2</v>
          </cell>
          <cell r="C14447" t="str">
            <v>-</v>
          </cell>
          <cell r="D14447" t="str">
            <v>ICICI Prudential Fixed Maturity Plan - Series 85 - 1178 Days Plan B - Direct Plan Half Yearly IDCW Option</v>
          </cell>
          <cell r="E14447">
            <v>12.823700000000001</v>
          </cell>
        </row>
        <row r="14448">
          <cell r="B14448" t="str">
            <v>INF109KC1SS4</v>
          </cell>
          <cell r="C14448" t="str">
            <v>-</v>
          </cell>
          <cell r="D14448" t="str">
            <v>ICICI Prudential Fixed Maturity Plan - Series 85 - 1178 Days Plan B - Direct Plan Quarterly IDCW Option</v>
          </cell>
          <cell r="E14448">
            <v>12.8215</v>
          </cell>
        </row>
        <row r="14449">
          <cell r="B14449" t="str">
            <v>INF109KC1SQ8</v>
          </cell>
          <cell r="C14449" t="str">
            <v>-</v>
          </cell>
          <cell r="D14449" t="str">
            <v>ICICI Prudential Fixed Maturity Plan - Series 85 - 1178 Days Plan B - Half Yearly IDCW Option</v>
          </cell>
          <cell r="E14449">
            <v>12.690200000000001</v>
          </cell>
        </row>
        <row r="14450">
          <cell r="B14450" t="str">
            <v>INF109KC1SP0</v>
          </cell>
          <cell r="C14450" t="str">
            <v>-</v>
          </cell>
          <cell r="D14450" t="str">
            <v>ICICI Prudential Fixed Maturity Plan - Series 85 - 1178 Days Plan B - Quarterly IDCW Option</v>
          </cell>
          <cell r="E14450">
            <v>12.689399999999999</v>
          </cell>
        </row>
        <row r="14451">
          <cell r="B14451" t="str">
            <v>INF109KC1SU0</v>
          </cell>
          <cell r="C14451" t="str">
            <v>-</v>
          </cell>
          <cell r="D14451" t="str">
            <v>ICICI Prudential Fixed Maturity Plan - Series 85 - 1185 Days Plan C - Cumulative Option</v>
          </cell>
          <cell r="E14451">
            <v>12.8642</v>
          </cell>
        </row>
        <row r="14452">
          <cell r="B14452" t="str">
            <v>INF109KC1SX4</v>
          </cell>
          <cell r="C14452" t="str">
            <v>-</v>
          </cell>
          <cell r="D14452" t="str">
            <v>ICICI Prudential Fixed Maturity Plan - Series 85 - 1185 Days Plan C - Direct Plan Cumulative Option</v>
          </cell>
          <cell r="E14452">
            <v>12.9876</v>
          </cell>
        </row>
        <row r="14453">
          <cell r="B14453" t="str">
            <v>INF109KC1SZ9</v>
          </cell>
          <cell r="C14453" t="str">
            <v>-</v>
          </cell>
          <cell r="D14453" t="str">
            <v>ICICI Prudential Fixed Maturity Plan - Series 85 - 1185 Days Plan C - Direct Plan Half Yearly IDCW Option</v>
          </cell>
          <cell r="E14453">
            <v>12.9876</v>
          </cell>
        </row>
        <row r="14454">
          <cell r="B14454" t="str">
            <v>INF109KC1SW6</v>
          </cell>
          <cell r="C14454" t="str">
            <v>-</v>
          </cell>
          <cell r="D14454" t="str">
            <v>ICICI Prudential Fixed Maturity Plan - Series 85 - 1185 Days Plan C - Half Yearly IDCW Option</v>
          </cell>
          <cell r="E14454">
            <v>12.863899999999999</v>
          </cell>
        </row>
        <row r="14455">
          <cell r="B14455" t="str">
            <v>INF109KC1SV8</v>
          </cell>
          <cell r="C14455" t="str">
            <v>-</v>
          </cell>
          <cell r="D14455" t="str">
            <v>ICICI Prudential Fixed Maturity Plan - Series 85 - 1185 Days Plan C - Quarterly IDCW Option</v>
          </cell>
          <cell r="E14455">
            <v>12.8642</v>
          </cell>
        </row>
        <row r="14456">
          <cell r="B14456" t="str">
            <v>INF109KC1SI5</v>
          </cell>
          <cell r="C14456" t="str">
            <v>-</v>
          </cell>
          <cell r="D14456" t="str">
            <v>ICICI Prudential Fixed Maturity Plan - Series 85 - 1197 Days Plan A - Cumulative Option</v>
          </cell>
          <cell r="E14456">
            <v>12.754099999999999</v>
          </cell>
        </row>
        <row r="14457">
          <cell r="B14457" t="str">
            <v>INF109KC1SL9</v>
          </cell>
          <cell r="C14457" t="str">
            <v>-</v>
          </cell>
          <cell r="D14457" t="str">
            <v>ICICI Prudential Fixed Maturity Plan - Series 85 - 1197 Days Plan A - Direct Plan Cumulative Option</v>
          </cell>
          <cell r="E14457">
            <v>12.862</v>
          </cell>
        </row>
        <row r="14458">
          <cell r="B14458" t="str">
            <v>INF109KC1SM7</v>
          </cell>
          <cell r="C14458" t="str">
            <v>-</v>
          </cell>
          <cell r="D14458" t="str">
            <v>ICICI Prudential Fixed Maturity Plan - Series 85 - 1197 Days Plan A - Direct Plan Quarterly IDCW Option</v>
          </cell>
          <cell r="E14458">
            <v>12.862</v>
          </cell>
        </row>
        <row r="14459">
          <cell r="B14459" t="str">
            <v>INF109KC1SK1</v>
          </cell>
          <cell r="C14459" t="str">
            <v>-</v>
          </cell>
          <cell r="D14459" t="str">
            <v>ICICI Prudential Fixed Maturity Plan - Series 85 - 1197 Days Plan A - Half Yearly IDCW Option</v>
          </cell>
          <cell r="E14459">
            <v>12.754</v>
          </cell>
        </row>
        <row r="14460">
          <cell r="B14460" t="str">
            <v>INF109KC1SJ3</v>
          </cell>
          <cell r="C14460" t="str">
            <v>-</v>
          </cell>
          <cell r="D14460" t="str">
            <v>ICICI Prudential Fixed Maturity Plan - Series 85 - 1197 Days Plan A - Quarterly IDCW Option</v>
          </cell>
          <cell r="E14460">
            <v>12.754099999999999</v>
          </cell>
        </row>
        <row r="14461">
          <cell r="B14461" t="str">
            <v>INF109KC1A21</v>
          </cell>
          <cell r="C14461" t="str">
            <v>-</v>
          </cell>
          <cell r="D14461" t="str">
            <v>ICICI Prudential Fixed Maturity Plan - Series 86 - 1099 Days Plan A - Cumulative Option</v>
          </cell>
          <cell r="E14461">
            <v>12.391400000000001</v>
          </cell>
        </row>
        <row r="14462">
          <cell r="B14462" t="str">
            <v>INF109KC1A54</v>
          </cell>
          <cell r="C14462" t="str">
            <v>-</v>
          </cell>
          <cell r="D14462" t="str">
            <v>ICICI Prudential Fixed Maturity Plan - Series 86 - 1099 Days Plan A - Direct Plan Cumulative Option</v>
          </cell>
          <cell r="E14462">
            <v>12.4857</v>
          </cell>
        </row>
        <row r="14463">
          <cell r="B14463" t="str">
            <v>INF109KC1A70</v>
          </cell>
          <cell r="C14463" t="str">
            <v>-</v>
          </cell>
          <cell r="D14463" t="str">
            <v>ICICI Prudential Fixed Maturity Plan - Series 86 - 1099 Days Plan A - Direct Plan Half Yearly IDCW Option</v>
          </cell>
          <cell r="E14463">
            <v>12.4856</v>
          </cell>
        </row>
        <row r="14464">
          <cell r="B14464" t="str">
            <v>INF109KC1A47</v>
          </cell>
          <cell r="C14464" t="str">
            <v>-</v>
          </cell>
          <cell r="D14464" t="str">
            <v>ICICI Prudential Fixed Maturity Plan - Series 86 - 1099 Days Plan A - Half Yearly IDCW Option</v>
          </cell>
          <cell r="E14464">
            <v>12.3811</v>
          </cell>
        </row>
        <row r="14465">
          <cell r="B14465" t="str">
            <v>INF109KC1A39</v>
          </cell>
          <cell r="C14465" t="str">
            <v>-</v>
          </cell>
          <cell r="D14465" t="str">
            <v>ICICI Prudential Fixed Maturity Plan - Series 86 - 1099 Days Plan A - Quarterly IDCW Option</v>
          </cell>
          <cell r="E14465">
            <v>12.391299999999999</v>
          </cell>
        </row>
        <row r="14466">
          <cell r="B14466" t="str">
            <v>INF109KC1K52</v>
          </cell>
          <cell r="C14466" t="str">
            <v>-</v>
          </cell>
          <cell r="D14466" t="str">
            <v>ICICI Prudential Fixed Maturity Plan - Series 87 - 1141 Days Plan G - Cumulative Option</v>
          </cell>
          <cell r="E14466">
            <v>12.1897</v>
          </cell>
        </row>
        <row r="14467">
          <cell r="B14467" t="str">
            <v>INF109KC1K86</v>
          </cell>
          <cell r="C14467" t="str">
            <v>-</v>
          </cell>
          <cell r="D14467" t="str">
            <v>ICICI Prudential Fixed Maturity Plan - Series 87 - 1141 Days Plan G - Direct Plan Cumulative Option</v>
          </cell>
          <cell r="E14467">
            <v>12.210900000000001</v>
          </cell>
        </row>
        <row r="14468">
          <cell r="B14468" t="str">
            <v>INF109KC1K78</v>
          </cell>
          <cell r="C14468" t="str">
            <v>-</v>
          </cell>
          <cell r="D14468" t="str">
            <v>ICICI Prudential Fixed Maturity Plan - Series 87 - 1141 Days Plan G - Half Yearly IDCW Option</v>
          </cell>
          <cell r="E14468">
            <v>12.189399999999999</v>
          </cell>
        </row>
        <row r="14469">
          <cell r="B14469" t="str">
            <v>INF109KC1K60</v>
          </cell>
          <cell r="C14469" t="str">
            <v>-</v>
          </cell>
          <cell r="D14469" t="str">
            <v>ICICI Prudential Fixed Maturity Plan - Series 87 - 1141 Days Plan G - Quarterly IDCW Option</v>
          </cell>
          <cell r="E14469">
            <v>12.1896</v>
          </cell>
        </row>
        <row r="14470">
          <cell r="B14470" t="str">
            <v>INF109KC1G90</v>
          </cell>
          <cell r="C14470" t="str">
            <v>-</v>
          </cell>
          <cell r="D14470" t="str">
            <v>ICICI Prudential Fixed Maturity Plan - Series 87 - 1174 Days Plan B - Cumulative Option</v>
          </cell>
          <cell r="E14470">
            <v>12.2371</v>
          </cell>
        </row>
        <row r="14471">
          <cell r="B14471" t="str">
            <v>INF109KC1H24</v>
          </cell>
          <cell r="C14471" t="str">
            <v>-</v>
          </cell>
          <cell r="D14471" t="str">
            <v>ICICI Prudential Fixed Maturity Plan - Series 87 - 1174 Days Plan B - Direct Plan Cumulative Option</v>
          </cell>
          <cell r="E14471">
            <v>12.29</v>
          </cell>
        </row>
        <row r="14472">
          <cell r="B14472" t="str">
            <v>INF109KC1H40</v>
          </cell>
          <cell r="C14472" t="str">
            <v>-</v>
          </cell>
          <cell r="D14472" t="str">
            <v>ICICI Prudential Fixed Maturity Plan - Series 87 - 1174 Days Plan B - Direct Plan Half Yearly IDCW Option</v>
          </cell>
          <cell r="E14472">
            <v>12.289899999999999</v>
          </cell>
        </row>
        <row r="14473">
          <cell r="B14473" t="str">
            <v>INF109KC1H32</v>
          </cell>
          <cell r="C14473" t="str">
            <v>-</v>
          </cell>
          <cell r="D14473" t="str">
            <v>ICICI Prudential Fixed Maturity Plan - Series 87 - 1174 Days Plan B - Direct Plan Quarterly IDCW Option</v>
          </cell>
          <cell r="E14473">
            <v>12.289899999999999</v>
          </cell>
        </row>
        <row r="14474">
          <cell r="B14474" t="str">
            <v>INF109KC1H16</v>
          </cell>
          <cell r="C14474" t="str">
            <v>-</v>
          </cell>
          <cell r="D14474" t="str">
            <v>ICICI Prudential Fixed Maturity Plan - Series 87 - 1174 Days Plan B - Half Yearly IDCW Option</v>
          </cell>
          <cell r="E14474">
            <v>12.2371</v>
          </cell>
        </row>
        <row r="14475">
          <cell r="B14475" t="str">
            <v>INF109KC1H08</v>
          </cell>
          <cell r="C14475" t="str">
            <v>-</v>
          </cell>
          <cell r="D14475" t="str">
            <v>ICICI Prudential Fixed Maturity Plan - Series 87 - 1174 Days Plan B - Quarterly IDCW Option</v>
          </cell>
          <cell r="E14475">
            <v>12.2371</v>
          </cell>
        </row>
        <row r="14476">
          <cell r="B14476" t="str">
            <v>INF109KC1G25</v>
          </cell>
          <cell r="C14476" t="str">
            <v>-</v>
          </cell>
          <cell r="D14476" t="str">
            <v>ICICI Prudential Fixed Maturity Plan - Series 87 - 1214 Days Plan A - Cumulative Option</v>
          </cell>
          <cell r="E14476">
            <v>12.4498</v>
          </cell>
        </row>
        <row r="14477">
          <cell r="B14477" t="str">
            <v>INF109KC1G58</v>
          </cell>
          <cell r="C14477" t="str">
            <v>-</v>
          </cell>
          <cell r="D14477" t="str">
            <v>ICICI Prudential Fixed Maturity Plan - Series 87 - 1214 Days Plan A - Direct Plan Cumulative Option</v>
          </cell>
          <cell r="E14477">
            <v>12.4947</v>
          </cell>
        </row>
        <row r="14478">
          <cell r="B14478" t="str">
            <v>INF109KC1G74</v>
          </cell>
          <cell r="C14478" t="str">
            <v>-</v>
          </cell>
          <cell r="D14478" t="str">
            <v>ICICI Prudential Fixed Maturity Plan - Series 87 - 1214 Days Plan A - Direct Plan Half Yearly IDCW Option</v>
          </cell>
          <cell r="E14478">
            <v>12.4946</v>
          </cell>
        </row>
        <row r="14479">
          <cell r="B14479" t="str">
            <v>INF109KC1G66</v>
          </cell>
          <cell r="C14479" t="str">
            <v>-</v>
          </cell>
          <cell r="D14479" t="str">
            <v>ICICI Prudential Fixed Maturity Plan - Series 87 - 1214 Days Plan A - Direct Plan Quarterly IDCW Option</v>
          </cell>
          <cell r="E14479">
            <v>12.4946</v>
          </cell>
        </row>
        <row r="14480">
          <cell r="B14480" t="str">
            <v>INF109KC1G41</v>
          </cell>
          <cell r="C14480" t="str">
            <v>-</v>
          </cell>
          <cell r="D14480" t="str">
            <v>ICICI Prudential Fixed Maturity Plan - Series 87 - 1214 Days Plan A - Half Yearly IDCW Option</v>
          </cell>
          <cell r="E14480">
            <v>12.4498</v>
          </cell>
        </row>
        <row r="14481">
          <cell r="B14481" t="str">
            <v>INF109KC1G33</v>
          </cell>
          <cell r="C14481" t="str">
            <v>-</v>
          </cell>
          <cell r="D14481" t="str">
            <v>ICICI Prudential Fixed Maturity Plan - Series 87 - 1214 Days Plan A - Quarterly IDCW Option</v>
          </cell>
          <cell r="E14481">
            <v>12.4498</v>
          </cell>
        </row>
        <row r="14482">
          <cell r="B14482" t="str">
            <v>INF109KC17M6</v>
          </cell>
          <cell r="C14482" t="str">
            <v>-</v>
          </cell>
          <cell r="D14482" t="str">
            <v>ICICI Prudential Fixed Maturity Plan - Series 88 - 1226 Days Plan F - Direct Plan - Growth</v>
          </cell>
          <cell r="E14482">
            <v>12.598599999999999</v>
          </cell>
        </row>
        <row r="14483">
          <cell r="B14483" t="str">
            <v>INF109KC19M2</v>
          </cell>
          <cell r="C14483" t="str">
            <v>-</v>
          </cell>
          <cell r="D14483" t="str">
            <v>ICICI Prudential Fixed Maturity Plan - Series 88 - 1226 Days Plan F - Direct Plan - Half Yearly IDCW</v>
          </cell>
          <cell r="E14483">
            <v>12.392099999999999</v>
          </cell>
        </row>
        <row r="14484">
          <cell r="B14484" t="str">
            <v>INF109KC18M4</v>
          </cell>
          <cell r="C14484" t="str">
            <v>-</v>
          </cell>
          <cell r="D14484" t="str">
            <v>ICICI Prudential Fixed Maturity Plan - Series 88 - 1226 Days Plan F - Direct Plan - Quarterly IDCW</v>
          </cell>
          <cell r="E14484">
            <v>12.337</v>
          </cell>
        </row>
        <row r="14485">
          <cell r="B14485" t="str">
            <v>INF109KC14M3</v>
          </cell>
          <cell r="C14485" t="str">
            <v>-</v>
          </cell>
          <cell r="D14485" t="str">
            <v>ICICI Prudential Fixed Maturity Plan - Series 88 - 1226 Days Plan F - Growth</v>
          </cell>
          <cell r="E14485">
            <v>12.5085</v>
          </cell>
        </row>
        <row r="14486">
          <cell r="B14486" t="str">
            <v>INF109KC16M8</v>
          </cell>
          <cell r="C14486" t="str">
            <v>-</v>
          </cell>
          <cell r="D14486" t="str">
            <v>ICICI Prudential Fixed Maturity Plan - Series 88 - 1226 Days Plan F - Half Yearly IDCW</v>
          </cell>
          <cell r="E14486">
            <v>12.302300000000001</v>
          </cell>
        </row>
        <row r="14487">
          <cell r="B14487" t="str">
            <v>INF109KC15M0</v>
          </cell>
          <cell r="C14487" t="str">
            <v>-</v>
          </cell>
          <cell r="D14487" t="str">
            <v>ICICI Prudential Fixed Maturity Plan - Series 88 - 1226 Days Plan F - Quarterly IDCW</v>
          </cell>
          <cell r="E14487">
            <v>12.2499</v>
          </cell>
        </row>
        <row r="14488">
          <cell r="B14488" t="str">
            <v>INF109KC14R2</v>
          </cell>
          <cell r="C14488" t="str">
            <v>-</v>
          </cell>
          <cell r="D14488" t="str">
            <v>ICICI Prudential Fixed Maturity Plan - Series 88 - 1303 Days Plan S - Direct Plan - Growth</v>
          </cell>
          <cell r="E14488">
            <v>12.7501</v>
          </cell>
        </row>
        <row r="14489">
          <cell r="B14489" t="str">
            <v>INF109KC15R9</v>
          </cell>
          <cell r="C14489" t="str">
            <v>-</v>
          </cell>
          <cell r="D14489" t="str">
            <v>ICICI Prudential Fixed Maturity Plan - Series 88 - 1303 Days Plan S - Direct Plan - IDCW</v>
          </cell>
          <cell r="E14489">
            <v>12.7501</v>
          </cell>
        </row>
        <row r="14490">
          <cell r="B14490" t="str">
            <v>INF109KC12R6</v>
          </cell>
          <cell r="C14490" t="str">
            <v>-</v>
          </cell>
          <cell r="D14490" t="str">
            <v>ICICI Prudential Fixed Maturity Plan - Series 88 - 1303 Days Plan S - Growth</v>
          </cell>
          <cell r="E14490">
            <v>12.644</v>
          </cell>
        </row>
        <row r="14491">
          <cell r="B14491" t="str">
            <v>INF109KC13R4</v>
          </cell>
          <cell r="C14491" t="str">
            <v>-</v>
          </cell>
          <cell r="D14491" t="str">
            <v>ICICI Prudential Fixed Maturity Plan - Series 88 - 1303 Days Plan S - IDCW</v>
          </cell>
          <cell r="E14491">
            <v>12.644</v>
          </cell>
        </row>
        <row r="14492">
          <cell r="B14492" t="str">
            <v>INF109KC17D5</v>
          </cell>
          <cell r="C14492" t="str">
            <v>-</v>
          </cell>
          <cell r="D14492" t="str">
            <v>ICICI Prudential Fixed Maturity Plan - Series 88 - 226 Days Plan E - Direct Plan - Growth</v>
          </cell>
          <cell r="E14492">
            <v>10.381500000000001</v>
          </cell>
        </row>
        <row r="14493">
          <cell r="B14493" t="str">
            <v>INF109KC19D1</v>
          </cell>
          <cell r="C14493" t="str">
            <v>-</v>
          </cell>
          <cell r="D14493" t="str">
            <v>ICICI Prudential Fixed Maturity Plan - Series 88 - 226 Days Plan E - Direct Plan - Half Yearly IDCW</v>
          </cell>
          <cell r="E14493">
            <v>10.380100000000001</v>
          </cell>
        </row>
        <row r="14494">
          <cell r="B14494" t="str">
            <v>INF109KC18D3</v>
          </cell>
          <cell r="C14494" t="str">
            <v>-</v>
          </cell>
          <cell r="D14494" t="str">
            <v>ICICI Prudential Fixed Maturity Plan - Series 88 - 226 Days Plan E - Direct Plan - Quarterly IDCW</v>
          </cell>
          <cell r="E14494">
            <v>10.3813</v>
          </cell>
        </row>
        <row r="14495">
          <cell r="B14495" t="str">
            <v>INF109KC14D2</v>
          </cell>
          <cell r="C14495" t="str">
            <v>-</v>
          </cell>
          <cell r="D14495" t="str">
            <v>ICICI Prudential Fixed Maturity Plan - Series 88 - 226 Days Plan E - Growth</v>
          </cell>
          <cell r="E14495">
            <v>10.3751</v>
          </cell>
        </row>
        <row r="14496">
          <cell r="B14496" t="str">
            <v>INF109KC15D9</v>
          </cell>
          <cell r="C14496" t="str">
            <v>-</v>
          </cell>
          <cell r="D14496" t="str">
            <v>ICICI Prudential Fixed Maturity Plan - Series 88 - 226 Days Plan E - Quarterly IDCW</v>
          </cell>
          <cell r="E14496">
            <v>10.3751</v>
          </cell>
        </row>
        <row r="14497">
          <cell r="B14497" t="str">
            <v>INF109KC12N5</v>
          </cell>
          <cell r="C14497" t="str">
            <v>-</v>
          </cell>
          <cell r="D14497" t="str">
            <v>ICICI Prudential Fixed Maturity Plan - Series 88 - 91 Days Plan G - Direct Plan - Growth</v>
          </cell>
          <cell r="E14497">
            <v>10.171799999999999</v>
          </cell>
        </row>
        <row r="14498">
          <cell r="B14498" t="str">
            <v>INF109KC13N3</v>
          </cell>
          <cell r="C14498" t="str">
            <v>-</v>
          </cell>
          <cell r="D14498" t="str">
            <v>ICICI Prudential Fixed Maturity Plan - Series 88 - 91 Days Plan G - Direct Plan - Quarterly IDCW</v>
          </cell>
          <cell r="E14498">
            <v>10.1716</v>
          </cell>
        </row>
        <row r="14499">
          <cell r="B14499" t="str">
            <v>INF109KC11N7</v>
          </cell>
          <cell r="C14499" t="str">
            <v>-</v>
          </cell>
          <cell r="D14499" t="str">
            <v>ICICI Prudential Fixed Maturity Plan - Series 88 - 91 Days Plan G - Quarterly IDCW</v>
          </cell>
          <cell r="E14499">
            <v>10.168799999999999</v>
          </cell>
        </row>
        <row r="14500">
          <cell r="B14500" t="str">
            <v>INF109KC10N9</v>
          </cell>
          <cell r="C14500" t="str">
            <v>-</v>
          </cell>
          <cell r="D14500" t="str">
            <v>ICICI Prudential Fixed Maturity Plan -- Series 88 - 91 Days Plan G - Growth</v>
          </cell>
          <cell r="E14500">
            <v>10.168799999999999</v>
          </cell>
        </row>
        <row r="14501">
          <cell r="B14501" t="str">
            <v>INF109KC13S2</v>
          </cell>
          <cell r="C14501" t="str">
            <v>-</v>
          </cell>
          <cell r="D14501" t="str">
            <v>ICICI Prudential Fixed Maturity Plan - Series 88 - Plan U - Direct Plan - Growth</v>
          </cell>
          <cell r="E14501">
            <v>10.1607</v>
          </cell>
        </row>
        <row r="14502">
          <cell r="B14502" t="str">
            <v>INF109KC14S0</v>
          </cell>
          <cell r="C14502" t="str">
            <v>-</v>
          </cell>
          <cell r="D14502" t="str">
            <v>ICICI Prudential Fixed Maturity Plan - Series 88 - Plan U - Direct Plan - IDCW</v>
          </cell>
          <cell r="E14502">
            <v>10.1602</v>
          </cell>
        </row>
        <row r="14503">
          <cell r="B14503" t="str">
            <v>INF109KC11S6</v>
          </cell>
          <cell r="C14503" t="str">
            <v>-</v>
          </cell>
          <cell r="D14503" t="str">
            <v>ICICI Prudential Fixed Maturity Plan - Series 88 - Plan U - Growth</v>
          </cell>
          <cell r="E14503">
            <v>10.1584</v>
          </cell>
        </row>
        <row r="14504">
          <cell r="B14504" t="str">
            <v>INF109KC12S4</v>
          </cell>
          <cell r="C14504" t="str">
            <v>-</v>
          </cell>
          <cell r="D14504" t="str">
            <v>ICICI Prudential Fixed Maturity Plan - Series 88 - Plan U - IDCW</v>
          </cell>
          <cell r="E14504">
            <v>10.1584</v>
          </cell>
        </row>
        <row r="14505">
          <cell r="B14505" t="str">
            <v>INF109KB1GL5</v>
          </cell>
          <cell r="C14505" t="str">
            <v>-</v>
          </cell>
          <cell r="D14505" t="str">
            <v>ICICI Prudential Fixed Maturity Plan - Series 74 -369 Days Plan T Direct Plan Cumulative Option</v>
          </cell>
          <cell r="E14505">
            <v>12.892099999999999</v>
          </cell>
        </row>
        <row r="14506">
          <cell r="B14506" t="str">
            <v>INF109KB1GN1</v>
          </cell>
          <cell r="C14506" t="str">
            <v>-</v>
          </cell>
          <cell r="D14506" t="str">
            <v>ICICI Prudential Fixed Maturity Plan -Series 74 -369 Days Plan T - Cumulative Option</v>
          </cell>
          <cell r="E14506">
            <v>12.8728</v>
          </cell>
        </row>
        <row r="14507">
          <cell r="B14507" t="str">
            <v>INF109KB1GO9</v>
          </cell>
          <cell r="C14507" t="str">
            <v>-</v>
          </cell>
          <cell r="D14507" t="str">
            <v>ICICI Prudential Fixed Maturity Plan -Series 74 -369 Days Plan T - Dividend Option</v>
          </cell>
          <cell r="E14507">
            <v>12.813599999999999</v>
          </cell>
        </row>
        <row r="14508">
          <cell r="B14508" t="str">
            <v>INF109KB1GM3</v>
          </cell>
          <cell r="C14508" t="str">
            <v>-</v>
          </cell>
          <cell r="D14508" t="str">
            <v>ICICI Prudential Fixed Maturity Plan -Series 74 -369 Days Plan T Direct Plan Dividend Option</v>
          </cell>
          <cell r="E14508">
            <v>12.832800000000001</v>
          </cell>
        </row>
        <row r="14509">
          <cell r="B14509" t="str">
            <v>INF109KB1IH9</v>
          </cell>
          <cell r="C14509" t="str">
            <v>-</v>
          </cell>
          <cell r="D14509" t="str">
            <v>ICICI Prudential Fixed Maturity Plan - Series 74 - 370 Days Plan V - Cumulative Option</v>
          </cell>
          <cell r="E14509">
            <v>12.8285</v>
          </cell>
        </row>
        <row r="14510">
          <cell r="B14510" t="str">
            <v>INF109KB1II7</v>
          </cell>
          <cell r="C14510" t="str">
            <v>-</v>
          </cell>
          <cell r="D14510" t="str">
            <v>ICICI Prudential Fixed Maturity Plan - Series 74 - 370 Days Plan V - Dividend Option</v>
          </cell>
          <cell r="E14510">
            <v>12.7697</v>
          </cell>
        </row>
        <row r="14511">
          <cell r="B14511" t="str">
            <v>INF109KB1IJ5</v>
          </cell>
          <cell r="C14511" t="str">
            <v>-</v>
          </cell>
          <cell r="D14511" t="str">
            <v>ICICI Prudential Fixed Maturity Plan - Series 74 - 370 Days Plan V Direct Plan Cumulative Option</v>
          </cell>
          <cell r="E14511">
            <v>12.8491</v>
          </cell>
        </row>
        <row r="14512">
          <cell r="B14512" t="str">
            <v>INF109KB1IK3</v>
          </cell>
          <cell r="C14512" t="str">
            <v>-</v>
          </cell>
          <cell r="D14512" t="str">
            <v>ICICI Prudential Fixed Maturity Plan - Series 74 - 370 Days Plan V Direct Plan Dividend Option</v>
          </cell>
          <cell r="E14512">
            <v>12.7902</v>
          </cell>
        </row>
        <row r="14513">
          <cell r="B14513" t="str">
            <v>INF109KA16S9</v>
          </cell>
          <cell r="C14513" t="str">
            <v>-</v>
          </cell>
          <cell r="D14513" t="str">
            <v>ICICI Prudential Fixed Maturity Plan-Series 76 -1185 Days Plan H Cumulative Option</v>
          </cell>
          <cell r="E14513">
            <v>13.413600000000001</v>
          </cell>
        </row>
        <row r="14514">
          <cell r="B14514" t="str">
            <v>INF109KA18S5</v>
          </cell>
          <cell r="C14514" t="str">
            <v>-</v>
          </cell>
          <cell r="D14514" t="str">
            <v>ICICI Prudential Fixed Maturity Plan-Series 76 -1185 Days Plan H Direct Plan Cumulative Option</v>
          </cell>
          <cell r="E14514">
            <v>13.6061</v>
          </cell>
        </row>
        <row r="14515">
          <cell r="B14515" t="str">
            <v>INF109KA19S3</v>
          </cell>
          <cell r="C14515" t="str">
            <v>-</v>
          </cell>
          <cell r="D14515" t="str">
            <v>ICICI Prudential Fixed Maturity Plan-Series 76 -1185 Days Plan H Direct Plan Dividend Option</v>
          </cell>
          <cell r="E14515">
            <v>13.6061</v>
          </cell>
        </row>
        <row r="14516">
          <cell r="B14516" t="str">
            <v>INF109KA17S7</v>
          </cell>
          <cell r="C14516" t="str">
            <v>-</v>
          </cell>
          <cell r="D14516" t="str">
            <v>ICICI Prudential Fixed Maturity Plan-Series 76 -1185 Days Plan H Dividend Option</v>
          </cell>
          <cell r="E14516">
            <v>13.413600000000001</v>
          </cell>
        </row>
        <row r="14517">
          <cell r="B14517" t="str">
            <v>INF109KB1XL0</v>
          </cell>
          <cell r="C14517" t="str">
            <v>-</v>
          </cell>
          <cell r="D14517" t="str">
            <v>ICICI Prudential Fixed Maturity Plan - Series 74 - 780 Days Plan E Cumulative Option</v>
          </cell>
          <cell r="E14517">
            <v>13.052899999999999</v>
          </cell>
        </row>
        <row r="14518">
          <cell r="B14518" t="str">
            <v>INF109KB1XN6</v>
          </cell>
          <cell r="C14518" t="str">
            <v>-</v>
          </cell>
          <cell r="D14518" t="str">
            <v>ICICI Prudential Fixed Maturity Plan - Series 74 - 780 Days Plan E Direct Plan Cumulative Option</v>
          </cell>
          <cell r="E14518">
            <v>13.1752</v>
          </cell>
        </row>
        <row r="14519">
          <cell r="B14519" t="str">
            <v>INF109KB1XO4</v>
          </cell>
          <cell r="C14519" t="str">
            <v>-</v>
          </cell>
          <cell r="D14519" t="str">
            <v>ICICI Prudential Fixed Maturity Plan - Series 74 - 780 Days Plan E Direct Plan Dividend Option</v>
          </cell>
          <cell r="E14519">
            <v>12.3809</v>
          </cell>
        </row>
        <row r="14520">
          <cell r="B14520" t="str">
            <v>INF109KB1XM8</v>
          </cell>
          <cell r="C14520" t="str">
            <v>-</v>
          </cell>
          <cell r="D14520" t="str">
            <v>ICICI Prudential Fixed Maturity Plan - Series 74 - 780 Days Plan E Dividend Option</v>
          </cell>
          <cell r="E14520">
            <v>12.289099999999999</v>
          </cell>
        </row>
        <row r="14521">
          <cell r="B14521" t="str">
            <v>INF109KB1O27</v>
          </cell>
          <cell r="C14521" t="str">
            <v>-</v>
          </cell>
          <cell r="D14521" t="str">
            <v>ICICI Prudential Fixed Maturity Plan - Series 80 - 1187 Days Plan G - Cumulative Option</v>
          </cell>
          <cell r="E14521">
            <v>12.420400000000001</v>
          </cell>
        </row>
        <row r="14522">
          <cell r="B14522" t="str">
            <v>INF109KB1O35</v>
          </cell>
          <cell r="C14522" t="str">
            <v>-</v>
          </cell>
          <cell r="D14522" t="str">
            <v>ICICI Prudential Fixed Maturity Plan - Series 80 - 1187 Days Plan G - Direct Plan - Cumulative Option</v>
          </cell>
          <cell r="E14522">
            <v>12.4437</v>
          </cell>
        </row>
        <row r="14523">
          <cell r="B14523" t="str">
            <v>INF109KB1O43</v>
          </cell>
          <cell r="C14523" t="str">
            <v>-</v>
          </cell>
          <cell r="D14523" t="str">
            <v>ICICI Prudential Fixed Maturity Plan - Series 80 - 1187 Days Plan G - Direct Plan - Dividend Option</v>
          </cell>
          <cell r="E14523">
            <v>12.4437</v>
          </cell>
        </row>
        <row r="14524">
          <cell r="B14524" t="str">
            <v>INF109KB1O50</v>
          </cell>
          <cell r="C14524" t="str">
            <v>-</v>
          </cell>
          <cell r="D14524" t="str">
            <v>ICICI Prudential Fixed Maturity Plan - Series 80 - 1187 Days Plan G - Dividend Option</v>
          </cell>
          <cell r="E14524">
            <v>12.420400000000001</v>
          </cell>
        </row>
        <row r="14525">
          <cell r="B14525" t="str">
            <v>INF109KB1N85</v>
          </cell>
          <cell r="C14525" t="str">
            <v>-</v>
          </cell>
          <cell r="D14525" t="str">
            <v>ICICI Prudential Fixed Maturity Plan - Series 80 - 1194 Days Plan F - Cumulative Option</v>
          </cell>
          <cell r="E14525">
            <v>12.444599999999999</v>
          </cell>
        </row>
        <row r="14526">
          <cell r="B14526" t="str">
            <v>INF109KB1O01</v>
          </cell>
          <cell r="C14526" t="str">
            <v>-</v>
          </cell>
          <cell r="D14526" t="str">
            <v>ICICI Prudential Fixed Maturity Plan - Series 80 - 1194 Days Plan F - Direct Plan - Cumulative Option</v>
          </cell>
          <cell r="E14526">
            <v>12.467499999999999</v>
          </cell>
        </row>
        <row r="14527">
          <cell r="B14527" t="str">
            <v>INF109KB1O19</v>
          </cell>
          <cell r="C14527" t="str">
            <v>-</v>
          </cell>
          <cell r="D14527" t="str">
            <v>ICICI Prudential Fixed Maturity Plan - Series 80 - 1194 Days Plan F - Direct Plan - Dividend Option</v>
          </cell>
          <cell r="E14527">
            <v>12.467499999999999</v>
          </cell>
        </row>
        <row r="14528">
          <cell r="B14528" t="str">
            <v>INF109KB1N93</v>
          </cell>
          <cell r="C14528" t="str">
            <v>-</v>
          </cell>
          <cell r="D14528" t="str">
            <v>ICICI Prudential Fixed Maturity Plan - Series 80 - 1194 Days Plan F - Dividend Option</v>
          </cell>
          <cell r="E14528">
            <v>12.444599999999999</v>
          </cell>
        </row>
        <row r="14529">
          <cell r="B14529" t="str">
            <v>INF109KC1937</v>
          </cell>
          <cell r="C14529" t="str">
            <v>-</v>
          </cell>
          <cell r="D14529" t="str">
            <v>ICICI Prudential Fixed Maturity Plan - Series 82 - 1185 Days Plan M - Cumulative Option</v>
          </cell>
          <cell r="E14529">
            <v>12.665699999999999</v>
          </cell>
        </row>
        <row r="14530">
          <cell r="B14530" t="str">
            <v>INF109KC1960</v>
          </cell>
          <cell r="C14530" t="str">
            <v>-</v>
          </cell>
          <cell r="D14530" t="str">
            <v>ICICI Prudential Fixed Maturity Plan - Series 82 - 1185 Days Plan M - Direct Plan Cumulative Option</v>
          </cell>
          <cell r="E14530">
            <v>12.6831</v>
          </cell>
        </row>
        <row r="14531">
          <cell r="B14531" t="str">
            <v>INF109KC1978</v>
          </cell>
          <cell r="C14531" t="str">
            <v>-</v>
          </cell>
          <cell r="D14531" t="str">
            <v>ICICI Prudential Fixed Maturity Plan - Series 82 - 1185 Days Plan M - Direct Plan Half Yearly IDCW Option</v>
          </cell>
          <cell r="E14531">
            <v>12.6831</v>
          </cell>
        </row>
        <row r="14532">
          <cell r="B14532" t="str">
            <v>INF109KC1986</v>
          </cell>
          <cell r="C14532" t="str">
            <v>-</v>
          </cell>
          <cell r="D14532" t="str">
            <v>ICICI Prudential Fixed Maturity Plan - Series 82 - 1185 Days Plan M - Direct Plan Quarterly IDCW Option</v>
          </cell>
          <cell r="E14532">
            <v>12.6831</v>
          </cell>
        </row>
        <row r="14533">
          <cell r="B14533" t="str">
            <v>INF109KC1952</v>
          </cell>
          <cell r="C14533" t="str">
            <v>-</v>
          </cell>
          <cell r="D14533" t="str">
            <v>ICICI Prudential Fixed Maturity Plan - Series 82 - 1185 Days Plan M - Quarterly IDCW Option</v>
          </cell>
          <cell r="E14533">
            <v>12.665699999999999</v>
          </cell>
        </row>
        <row r="14534">
          <cell r="B14534" t="str">
            <v>INF109KB1FU8</v>
          </cell>
          <cell r="C14534" t="str">
            <v>-</v>
          </cell>
          <cell r="D14534" t="str">
            <v>ICICI Prudential Fixed Maturity Plan - Series 74 - 367 Days Plan N  Cumulative Option</v>
          </cell>
          <cell r="E14534">
            <v>12.8901</v>
          </cell>
        </row>
        <row r="14535">
          <cell r="B14535" t="str">
            <v>INF109KB1FS2</v>
          </cell>
          <cell r="C14535" t="str">
            <v>-</v>
          </cell>
          <cell r="D14535" t="str">
            <v>ICICI Prudential Fixed Maturity Plan - Series 74 - 367 Days Plan N Direct Plan Cumulative Option</v>
          </cell>
          <cell r="E14535">
            <v>12.911899999999999</v>
          </cell>
        </row>
        <row r="14536">
          <cell r="B14536" t="str">
            <v>INF109KB1FT0</v>
          </cell>
          <cell r="C14536" t="str">
            <v>-</v>
          </cell>
          <cell r="D14536" t="str">
            <v>ICICI Prudential Fixed Maturity Plan - Series 74 - 367 Days Plan N Dividend Option</v>
          </cell>
          <cell r="E14536">
            <v>12.831</v>
          </cell>
        </row>
        <row r="14537">
          <cell r="B14537" t="str">
            <v>INF109KB1FR4</v>
          </cell>
          <cell r="C14537" t="str">
            <v>-</v>
          </cell>
          <cell r="D14537" t="str">
            <v>ICICI Prudential Fixed Maturity Plan -Series 74 -367 Days Plan N Direct Plan Dividend Option</v>
          </cell>
          <cell r="E14537">
            <v>12.852399999999999</v>
          </cell>
        </row>
        <row r="14538">
          <cell r="B14538" t="str">
            <v>INF109KB1JV8</v>
          </cell>
          <cell r="C14538" t="str">
            <v>-</v>
          </cell>
          <cell r="D14538" t="str">
            <v>ICICI Prudential Fixed Maturity Plan - Series 77 - 1105 Days Plan N - Cumulative Option</v>
          </cell>
          <cell r="E14538">
            <v>12.583299999999999</v>
          </cell>
        </row>
        <row r="14539">
          <cell r="B14539" t="str">
            <v>INF109KB1JX4</v>
          </cell>
          <cell r="C14539" t="str">
            <v>-</v>
          </cell>
          <cell r="D14539" t="str">
            <v>ICICI Prudential Fixed Maturity Plan - Series 77 - 1105 Days Plan N - Direct Plan - Cumulative Option</v>
          </cell>
          <cell r="E14539">
            <v>12.6638</v>
          </cell>
        </row>
        <row r="14540">
          <cell r="B14540" t="str">
            <v>INF109KB1JW6</v>
          </cell>
          <cell r="C14540" t="str">
            <v>-</v>
          </cell>
          <cell r="D14540" t="str">
            <v>ICICI Prudential Fixed Maturity Plan - Series 77 - 1105 Days Plan N - Dividend Option</v>
          </cell>
          <cell r="E14540">
            <v>12.583299999999999</v>
          </cell>
        </row>
        <row r="14541">
          <cell r="B14541" t="str">
            <v>INF109K01D10</v>
          </cell>
          <cell r="C14541" t="str">
            <v>-</v>
          </cell>
          <cell r="D14541" t="str">
            <v>ICICI Prudential Fixed Maturity Plan-Series 63-3 Year Plan K Cumulative</v>
          </cell>
          <cell r="E14541">
            <v>12.9573</v>
          </cell>
        </row>
        <row r="14542">
          <cell r="B14542" t="str">
            <v>INF109K01D28</v>
          </cell>
          <cell r="C14542" t="str">
            <v>-</v>
          </cell>
          <cell r="D14542" t="str">
            <v>ICICI Prudential Fixed Maturity Plan-Series 63-3 Year Plan K Dividend</v>
          </cell>
          <cell r="E14542">
            <v>10.4976</v>
          </cell>
        </row>
        <row r="14543">
          <cell r="B14543" t="str">
            <v>INF109K01E68</v>
          </cell>
          <cell r="C14543" t="str">
            <v>-</v>
          </cell>
          <cell r="D14543" t="str">
            <v>ICICI Prudential Fixed Maturity Plan-Series 63-3 Year Plan L Cumulative</v>
          </cell>
          <cell r="E14543">
            <v>12.9338</v>
          </cell>
        </row>
        <row r="14544">
          <cell r="B14544" t="str">
            <v>INF109K01E76</v>
          </cell>
          <cell r="C14544" t="str">
            <v>-</v>
          </cell>
          <cell r="D14544" t="str">
            <v>ICICI Prudential Fixed Maturity Plan-Series 63-3 Year Plan L Dividend</v>
          </cell>
          <cell r="E14544">
            <v>10.644299999999999</v>
          </cell>
        </row>
        <row r="14545">
          <cell r="B14545" t="str">
            <v>INF109K01F00</v>
          </cell>
          <cell r="C14545" t="str">
            <v>-</v>
          </cell>
          <cell r="D14545" t="str">
            <v>ICICI Prudential Fixed Maturity Plan-Series 63-3 Year Plan M Cumulative</v>
          </cell>
          <cell r="E14545">
            <v>12.8634</v>
          </cell>
        </row>
        <row r="14546">
          <cell r="B14546" t="str">
            <v>INF109K01F18</v>
          </cell>
          <cell r="C14546" t="str">
            <v>-</v>
          </cell>
          <cell r="D14546" t="str">
            <v>ICICI Prudential Fixed Maturity Plan-Series 63-3 Year Plan M Dividend</v>
          </cell>
          <cell r="E14546">
            <v>10.667199999999999</v>
          </cell>
        </row>
        <row r="14547">
          <cell r="B14547" t="str">
            <v>INF109K01F26</v>
          </cell>
          <cell r="C14547" t="str">
            <v>-</v>
          </cell>
          <cell r="D14547" t="str">
            <v>ICICI Prudential Fixed Maturity Plan-Series 64-3 Year Plan H Cumulative</v>
          </cell>
          <cell r="E14547">
            <v>12.739699999999999</v>
          </cell>
        </row>
        <row r="14548">
          <cell r="B14548" t="str">
            <v>INF109K01F34</v>
          </cell>
          <cell r="C14548" t="str">
            <v>-</v>
          </cell>
          <cell r="D14548" t="str">
            <v>ICICI Prudential Fixed Maturity Plan-Series 64-3 Year Plan H Dividend</v>
          </cell>
          <cell r="E14548">
            <v>10.7166</v>
          </cell>
        </row>
        <row r="14549">
          <cell r="B14549" t="str">
            <v>INF109K01F67</v>
          </cell>
          <cell r="C14549" t="str">
            <v>-</v>
          </cell>
          <cell r="D14549" t="str">
            <v>ICICI Prudential Fixed Maturity Plan-Series 64-3 Year Plan I Cumulative</v>
          </cell>
          <cell r="E14549">
            <v>12.9274</v>
          </cell>
        </row>
        <row r="14550">
          <cell r="B14550" t="str">
            <v>INF109K01F75</v>
          </cell>
          <cell r="C14550" t="str">
            <v>-</v>
          </cell>
          <cell r="D14550" t="str">
            <v>ICICI Prudential Fixed Maturity Plan-Series 64-3 Year Plan I Dividend</v>
          </cell>
          <cell r="E14550">
            <v>11.9832</v>
          </cell>
        </row>
        <row r="14551">
          <cell r="B14551" t="str">
            <v>INF109K01F83</v>
          </cell>
          <cell r="C14551" t="str">
            <v>-</v>
          </cell>
          <cell r="D14551" t="str">
            <v>ICICI Prudential Fixed Maturity Plan-Series 64-3 Year Plan K Cumulative</v>
          </cell>
          <cell r="E14551">
            <v>12.73</v>
          </cell>
        </row>
        <row r="14552">
          <cell r="B14552" t="str">
            <v>INF109K01F91</v>
          </cell>
          <cell r="C14552" t="str">
            <v>-</v>
          </cell>
          <cell r="D14552" t="str">
            <v>ICICI Prudential Fixed Maturity Plan-Series 64-3 Year Plan K Dividend</v>
          </cell>
          <cell r="E14552">
            <v>10.776999999999999</v>
          </cell>
        </row>
        <row r="14553">
          <cell r="B14553" t="str">
            <v>INF109K01G25</v>
          </cell>
          <cell r="C14553" t="str">
            <v>-</v>
          </cell>
          <cell r="D14553" t="str">
            <v>ICICI Prudential Fixed Maturity Plan-Series 65-3 Year Plan A Cumulative</v>
          </cell>
          <cell r="E14553">
            <v>12.767200000000001</v>
          </cell>
        </row>
        <row r="14554">
          <cell r="B14554" t="str">
            <v>INF109K01G33</v>
          </cell>
          <cell r="C14554" t="str">
            <v>-</v>
          </cell>
          <cell r="D14554" t="str">
            <v>ICICI Prudential Fixed Maturity Plan-Series 65-3 Year Plan A Dividend</v>
          </cell>
          <cell r="E14554">
            <v>10.856</v>
          </cell>
        </row>
        <row r="14555">
          <cell r="B14555" t="str">
            <v>INF109K019U5</v>
          </cell>
          <cell r="C14555" t="str">
            <v>-</v>
          </cell>
          <cell r="D14555" t="str">
            <v>ICICI Prudential Fixed Maturity Plan-Series 67-3 Year Plan F - Cumulative</v>
          </cell>
          <cell r="E14555">
            <v>12.8506</v>
          </cell>
        </row>
        <row r="14556">
          <cell r="B14556" t="str">
            <v>INF109K011V0</v>
          </cell>
          <cell r="C14556" t="str">
            <v>-</v>
          </cell>
          <cell r="D14556" t="str">
            <v>ICICI Prudential Fixed Maturity Plan-Series 67-3 Year Plan F - Direct Plan - Cumulative</v>
          </cell>
          <cell r="E14556">
            <v>12.9328</v>
          </cell>
        </row>
        <row r="14557">
          <cell r="B14557" t="str">
            <v>INF109K012V8</v>
          </cell>
          <cell r="C14557" t="str">
            <v>-</v>
          </cell>
          <cell r="D14557" t="str">
            <v>ICICI Prudential Fixed Maturity Plan-Series 67-3 Year Plan F - Direct Plan - Dividend</v>
          </cell>
          <cell r="E14557">
            <v>12.558999999999999</v>
          </cell>
        </row>
        <row r="14558">
          <cell r="B14558" t="str">
            <v>INF109K010V2</v>
          </cell>
          <cell r="C14558" t="str">
            <v>-</v>
          </cell>
          <cell r="D14558" t="str">
            <v>ICICI Prudential Fixed Maturity Plan-Series 67-3 Year Plan F - Dividend</v>
          </cell>
          <cell r="E14558">
            <v>12.4781</v>
          </cell>
        </row>
        <row r="14559">
          <cell r="B14559" t="str">
            <v>INF109K017V7</v>
          </cell>
          <cell r="C14559" t="str">
            <v>-</v>
          </cell>
          <cell r="D14559" t="str">
            <v>ICICI Prudential Fixed Maturity Plan-Series 67-740 Days Plan H - Cumulative</v>
          </cell>
          <cell r="E14559">
            <v>13.9697</v>
          </cell>
        </row>
        <row r="14560">
          <cell r="B14560" t="str">
            <v>INF109K019V3</v>
          </cell>
          <cell r="C14560" t="str">
            <v>-</v>
          </cell>
          <cell r="D14560" t="str">
            <v>ICICI Prudential Fixed Maturity Plan-Series 67-740 Days Plan H - Direct Plan - Cumulative</v>
          </cell>
          <cell r="E14560">
            <v>13.9771</v>
          </cell>
        </row>
        <row r="14561">
          <cell r="B14561" t="str">
            <v>INF109K010W0</v>
          </cell>
          <cell r="C14561" t="str">
            <v>-</v>
          </cell>
          <cell r="D14561" t="str">
            <v>ICICI Prudential Fixed Maturity Plan-Series 67-740 Days Plan H - Direct Plan - Dividend</v>
          </cell>
          <cell r="E14561">
            <v>12.4756</v>
          </cell>
        </row>
        <row r="14562">
          <cell r="B14562" t="str">
            <v>INF109K018V5</v>
          </cell>
          <cell r="C14562" t="str">
            <v>-</v>
          </cell>
          <cell r="D14562" t="str">
            <v>ICICI Prudential Fixed Maturity Plan-Series 67-740 Days Plan H - Dividend</v>
          </cell>
          <cell r="E14562">
            <v>13.424099999999999</v>
          </cell>
        </row>
        <row r="14563">
          <cell r="B14563" t="str">
            <v>INF109KB1FQ6</v>
          </cell>
          <cell r="C14563" t="str">
            <v>-</v>
          </cell>
          <cell r="D14563" t="str">
            <v>ICICI Prudential Fixed Maturity Plan-Series 67-745 Days Plan K - Cumulative</v>
          </cell>
          <cell r="E14563">
            <v>12.729900000000001</v>
          </cell>
        </row>
        <row r="14564">
          <cell r="B14564" t="str">
            <v>INF109KB1FO1</v>
          </cell>
          <cell r="C14564" t="str">
            <v>-</v>
          </cell>
          <cell r="D14564" t="str">
            <v>ICICI Prudential Fixed Maturity Plan-Series 67-745 Days Plan K - Direct Plan - Cumulative</v>
          </cell>
          <cell r="E14564">
            <v>12.8026</v>
          </cell>
        </row>
        <row r="14565">
          <cell r="B14565" t="str">
            <v>INF109KB1FN3</v>
          </cell>
          <cell r="C14565" t="str">
            <v>-</v>
          </cell>
          <cell r="D14565" t="str">
            <v>ICICI Prudential Fixed Maturity Plan-Series 67-745 Days Plan K - Direct Plan - Dividend</v>
          </cell>
          <cell r="E14565">
            <v>11.2654</v>
          </cell>
        </row>
        <row r="14566">
          <cell r="B14566" t="str">
            <v>INF109KB1FP8</v>
          </cell>
          <cell r="C14566" t="str">
            <v>-</v>
          </cell>
          <cell r="D14566" t="str">
            <v>ICICI Prudential Fixed Maturity Plan-Series 67-745 Days Plan K - Dividend</v>
          </cell>
          <cell r="E14566">
            <v>11.239100000000001</v>
          </cell>
        </row>
        <row r="14567">
          <cell r="B14567" t="str">
            <v>INF109KA1ZJ0</v>
          </cell>
          <cell r="C14567" t="str">
            <v>-</v>
          </cell>
          <cell r="D14567" t="str">
            <v>ICICI Prudential Fixed Maturity Plan-Series 68-368 Days Plan G - Cumulative</v>
          </cell>
          <cell r="E14567">
            <v>13.0306</v>
          </cell>
        </row>
        <row r="14568">
          <cell r="B14568" t="str">
            <v>INF109KA1ZH4</v>
          </cell>
          <cell r="C14568" t="str">
            <v>-</v>
          </cell>
          <cell r="D14568" t="str">
            <v>ICICI Prudential Fixed Maturity Plan-Series 68-368 Days Plan G - Direct Plan - Cumulative</v>
          </cell>
          <cell r="E14568">
            <v>13.0624</v>
          </cell>
        </row>
        <row r="14569">
          <cell r="B14569" t="str">
            <v>INF109KA1ZO0</v>
          </cell>
          <cell r="C14569" t="str">
            <v>-</v>
          </cell>
          <cell r="D14569" t="str">
            <v>ICICI Prudential Fixed Maturity Plan-Series 68-369 Days Plan I - Cumulative</v>
          </cell>
          <cell r="E14569">
            <v>13.0352</v>
          </cell>
        </row>
        <row r="14570">
          <cell r="B14570" t="str">
            <v>INF109KA1ZM4</v>
          </cell>
          <cell r="C14570" t="str">
            <v>-</v>
          </cell>
          <cell r="D14570" t="str">
            <v>ICICI Prudential Fixed Maturity Plan-Series 68-369 Days Plan I - Direct Plan - Cumulative</v>
          </cell>
          <cell r="E14570">
            <v>13.08</v>
          </cell>
        </row>
        <row r="14571">
          <cell r="B14571" t="str">
            <v>INF109KA1ZP7</v>
          </cell>
          <cell r="C14571" t="str">
            <v>-</v>
          </cell>
          <cell r="D14571" t="str">
            <v>ICICI Prudential Fixed Maturity Plan-Series 68-369 Days Plan I - Dividend</v>
          </cell>
          <cell r="E14571">
            <v>12.9756</v>
          </cell>
        </row>
        <row r="14572">
          <cell r="B14572" t="str">
            <v>INF109KA1A09</v>
          </cell>
          <cell r="C14572" t="str">
            <v>-</v>
          </cell>
          <cell r="D14572" t="str">
            <v>ICICI Prudential Fixed Maturity Plan-Series 68-369 Days Plan K - Cumulative</v>
          </cell>
          <cell r="E14572">
            <v>14.1731</v>
          </cell>
        </row>
        <row r="14573">
          <cell r="B14573" t="str">
            <v>INF109KA1ZY9</v>
          </cell>
          <cell r="C14573" t="str">
            <v>-</v>
          </cell>
          <cell r="D14573" t="str">
            <v>ICICI Prudential Fixed Maturity Plan-Series 68-369 Days Plan K - Direct Plan - Cumulative</v>
          </cell>
          <cell r="E14573">
            <v>14.2186</v>
          </cell>
        </row>
        <row r="14574">
          <cell r="B14574" t="str">
            <v>INF109KB1JR6</v>
          </cell>
          <cell r="C14574" t="str">
            <v>-</v>
          </cell>
          <cell r="D14574" t="str">
            <v>ICICI Prudential Fixed Maturity Plan-Series 68-704 Days Plan L - Cumulative</v>
          </cell>
          <cell r="E14574">
            <v>13.0068</v>
          </cell>
        </row>
        <row r="14575">
          <cell r="B14575" t="str">
            <v>INF109KB1JT2</v>
          </cell>
          <cell r="C14575" t="str">
            <v>-</v>
          </cell>
          <cell r="D14575" t="str">
            <v>ICICI Prudential Fixed Maturity Plan-Series 68-704 Days Plan L - Direct Plan - Cumulative</v>
          </cell>
          <cell r="E14575">
            <v>13.073</v>
          </cell>
        </row>
        <row r="14576">
          <cell r="B14576" t="str">
            <v>INF109KB1JU0</v>
          </cell>
          <cell r="C14576" t="str">
            <v>-</v>
          </cell>
          <cell r="D14576" t="str">
            <v>ICICI Prudential Fixed Maturity Plan-Series 68-704 Days Plan L - Direct Plan - Dividend</v>
          </cell>
          <cell r="E14576">
            <v>11.8454</v>
          </cell>
        </row>
        <row r="14577">
          <cell r="B14577" t="str">
            <v>INF109KB1JS4</v>
          </cell>
          <cell r="C14577" t="str">
            <v>-</v>
          </cell>
          <cell r="D14577" t="str">
            <v>ICICI Prudential Fixed Maturity Plan-Series 68-704 Days Plan L - Dividend</v>
          </cell>
          <cell r="E14577">
            <v>11.8131</v>
          </cell>
        </row>
        <row r="14578">
          <cell r="B14578" t="str">
            <v>INF109KB1IL1</v>
          </cell>
          <cell r="C14578" t="str">
            <v>-</v>
          </cell>
          <cell r="D14578" t="str">
            <v>ICICI Prudential Fixed Maturity Plan-Series 68-745 Days Plan C - Cumulative</v>
          </cell>
          <cell r="E14578">
            <v>12.6355</v>
          </cell>
        </row>
        <row r="14579">
          <cell r="B14579" t="str">
            <v>INF109KB1IN7</v>
          </cell>
          <cell r="C14579" t="str">
            <v>-</v>
          </cell>
          <cell r="D14579" t="str">
            <v>ICICI Prudential Fixed Maturity Plan-Series 68-745 Days Plan C - Direct Plan - Cumulative</v>
          </cell>
          <cell r="E14579">
            <v>12.7021</v>
          </cell>
        </row>
        <row r="14580">
          <cell r="B14580" t="str">
            <v>INF109KB1IO5</v>
          </cell>
          <cell r="C14580" t="str">
            <v>-</v>
          </cell>
          <cell r="D14580" t="str">
            <v>ICICI Prudential Fixed Maturity Plan-Series 68-745 Days Plan C - Direct Plan - Dividend</v>
          </cell>
          <cell r="E14580">
            <v>10.844900000000001</v>
          </cell>
        </row>
        <row r="14581">
          <cell r="B14581" t="str">
            <v>INF109KB1IM9</v>
          </cell>
          <cell r="C14581" t="str">
            <v>-</v>
          </cell>
          <cell r="D14581" t="str">
            <v>ICICI Prudential Fixed Maturity Plan-Series 68-745 Days Plan C - Dividend</v>
          </cell>
          <cell r="E14581">
            <v>11.5947</v>
          </cell>
        </row>
        <row r="14582">
          <cell r="B14582" t="str">
            <v>INF109KB1KF9</v>
          </cell>
          <cell r="C14582" t="str">
            <v>-</v>
          </cell>
          <cell r="D14582" t="str">
            <v>ICICI Prudential Fixed Maturity Plan-Series 68-745 Days Plan F - Cumulative</v>
          </cell>
          <cell r="E14582">
            <v>12.870699999999999</v>
          </cell>
        </row>
        <row r="14583">
          <cell r="B14583" t="str">
            <v>INF109KB1KH5</v>
          </cell>
          <cell r="C14583" t="str">
            <v>-</v>
          </cell>
          <cell r="D14583" t="str">
            <v>ICICI Prudential Fixed Maturity Plan-Series 68-745 Days Plan F - Direct Plan - Cumulative</v>
          </cell>
          <cell r="E14583">
            <v>12.924899999999999</v>
          </cell>
        </row>
        <row r="14584">
          <cell r="B14584" t="str">
            <v>INF109KB1KI3</v>
          </cell>
          <cell r="C14584" t="str">
            <v>-</v>
          </cell>
          <cell r="D14584" t="str">
            <v>ICICI Prudential Fixed Maturity Plan-Series 68-745 Days Plan F - Direct Plan - Dividend</v>
          </cell>
          <cell r="E14584">
            <v>11.6896</v>
          </cell>
        </row>
        <row r="14585">
          <cell r="B14585" t="str">
            <v>INF109KB1KG7</v>
          </cell>
          <cell r="C14585" t="str">
            <v>-</v>
          </cell>
          <cell r="D14585" t="str">
            <v>ICICI Prudential Fixed Maturity Plan-Series 68-745 Days Plan F - Dividend</v>
          </cell>
          <cell r="E14585">
            <v>11.6614</v>
          </cell>
        </row>
        <row r="14586">
          <cell r="B14586" t="str">
            <v>INF109KB1LD2</v>
          </cell>
          <cell r="C14586" t="str">
            <v>-</v>
          </cell>
          <cell r="D14586" t="str">
            <v>ICICI Prudential Fixed Maturity Plan-Series 68-745 Days Plan H - Cumulative</v>
          </cell>
          <cell r="E14586">
            <v>13.946199999999999</v>
          </cell>
        </row>
        <row r="14587">
          <cell r="B14587" t="str">
            <v>INF109KB1LF7</v>
          </cell>
          <cell r="C14587" t="str">
            <v>-</v>
          </cell>
          <cell r="D14587" t="str">
            <v>ICICI Prudential Fixed Maturity Plan-Series 68-745 Days Plan H - Direct Plan - Cumulative</v>
          </cell>
          <cell r="E14587">
            <v>14.036099999999999</v>
          </cell>
        </row>
        <row r="14588">
          <cell r="B14588" t="str">
            <v>INF109KB1LH3</v>
          </cell>
          <cell r="C14588" t="str">
            <v>-</v>
          </cell>
          <cell r="D14588" t="str">
            <v>ICICI Prudential Fixed Maturity Plan-Series 68-745 Days Plan J - Cumulative</v>
          </cell>
          <cell r="E14588">
            <v>14.018700000000001</v>
          </cell>
        </row>
        <row r="14589">
          <cell r="B14589" t="str">
            <v>INF109KB1LJ9</v>
          </cell>
          <cell r="C14589" t="str">
            <v>-</v>
          </cell>
          <cell r="D14589" t="str">
            <v>ICICI Prudential Fixed Maturity Plan-Series 68-745 Days Plan J - Direct Plan - Cumulative</v>
          </cell>
          <cell r="E14589">
            <v>14.1065</v>
          </cell>
        </row>
        <row r="14590">
          <cell r="B14590" t="str">
            <v>INF109KB1LI1</v>
          </cell>
          <cell r="C14590" t="str">
            <v>-</v>
          </cell>
          <cell r="D14590" t="str">
            <v>ICICI Prudential Fixed Maturity Plan-Series 68-745 Days Plan J - Dividend</v>
          </cell>
          <cell r="E14590">
            <v>12.3035</v>
          </cell>
        </row>
        <row r="14591">
          <cell r="B14591" t="str">
            <v>INF109KA1CZ5</v>
          </cell>
          <cell r="C14591" t="str">
            <v>-</v>
          </cell>
          <cell r="D14591" t="str">
            <v>ICICI Prudential Fixed Maturity Plan-Series 69-1092 Days Plan L - Cumulative</v>
          </cell>
          <cell r="E14591">
            <v>13.1157</v>
          </cell>
        </row>
        <row r="14592">
          <cell r="B14592" t="str">
            <v>INF109KA1CX0</v>
          </cell>
          <cell r="C14592" t="str">
            <v>-</v>
          </cell>
          <cell r="D14592" t="str">
            <v>ICICI Prudential Fixed Maturity Plan-Series 69-1092 Days Plan L - Direct Plan - Cumulative</v>
          </cell>
          <cell r="E14592">
            <v>13.3345</v>
          </cell>
        </row>
        <row r="14593">
          <cell r="B14593" t="str">
            <v>INF109KA1CY8</v>
          </cell>
          <cell r="C14593" t="str">
            <v>-</v>
          </cell>
          <cell r="D14593" t="str">
            <v>ICICI Prudential Fixed Maturity Plan-Series 69-1092 Days Plan L - Direct Plan - Dividend</v>
          </cell>
          <cell r="E14593">
            <v>11.807399999999999</v>
          </cell>
        </row>
        <row r="14594">
          <cell r="B14594" t="str">
            <v>INF109KA1DA6</v>
          </cell>
          <cell r="C14594" t="str">
            <v>-</v>
          </cell>
          <cell r="D14594" t="str">
            <v>ICICI Prudential Fixed Maturity Plan-Series 69-1092 Days Plan L - Dividend</v>
          </cell>
          <cell r="E14594">
            <v>11.8538</v>
          </cell>
        </row>
        <row r="14595">
          <cell r="B14595" t="str">
            <v>INF109KA1AP0</v>
          </cell>
          <cell r="C14595" t="str">
            <v>-</v>
          </cell>
          <cell r="D14595" t="str">
            <v>ICICI Prudential Fixed Maturity Plan-Series 69-1093 Days Plan F - Cumulative</v>
          </cell>
          <cell r="E14595">
            <v>13.2201</v>
          </cell>
        </row>
        <row r="14596">
          <cell r="B14596" t="str">
            <v>INF109KA1AN5</v>
          </cell>
          <cell r="C14596" t="str">
            <v>-</v>
          </cell>
          <cell r="D14596" t="str">
            <v>ICICI Prudential Fixed Maturity Plan-Series 69-1093 Days Plan F - Direct Plan - Cumulative</v>
          </cell>
          <cell r="E14596">
            <v>13.423</v>
          </cell>
        </row>
        <row r="14597">
          <cell r="B14597" t="str">
            <v>INF109KA1AQ8</v>
          </cell>
          <cell r="C14597" t="str">
            <v>-</v>
          </cell>
          <cell r="D14597" t="str">
            <v>ICICI Prudential Fixed Maturity Plan-Series 69-1093 Days Plan F - Dividend</v>
          </cell>
          <cell r="E14597">
            <v>12.007199999999999</v>
          </cell>
        </row>
        <row r="14598">
          <cell r="B14598" t="str">
            <v>INF109KA1BN3</v>
          </cell>
          <cell r="C14598" t="str">
            <v>-</v>
          </cell>
          <cell r="D14598" t="str">
            <v>ICICI Prudential Fixed Maturity Plan-Series 69-1821 Days Plan H - Cumulative</v>
          </cell>
          <cell r="E14598">
            <v>15.4246</v>
          </cell>
        </row>
        <row r="14599">
          <cell r="B14599" t="str">
            <v>INF109KA1BL7</v>
          </cell>
          <cell r="C14599" t="str">
            <v>-</v>
          </cell>
          <cell r="D14599" t="str">
            <v>ICICI Prudential Fixed Maturity Plan-Series 69-1821 Days Plan H - Direct Plan - Cumulative</v>
          </cell>
          <cell r="E14599">
            <v>15.7355</v>
          </cell>
        </row>
        <row r="14600">
          <cell r="B14600" t="str">
            <v>INF109KA1BO1</v>
          </cell>
          <cell r="C14600" t="str">
            <v>-</v>
          </cell>
          <cell r="D14600" t="str">
            <v>ICICI Prudential Fixed Maturity Plan-Series 69-1821 Days Plan H - Dividend</v>
          </cell>
          <cell r="E14600">
            <v>13.818199999999999</v>
          </cell>
        </row>
        <row r="14601">
          <cell r="B14601" t="str">
            <v>INF109KA1A41</v>
          </cell>
          <cell r="C14601" t="str">
            <v>-</v>
          </cell>
          <cell r="D14601" t="str">
            <v>ICICI Prudential Fixed Maturity Plan-Series 69-366 Days Plan A - Cumulative</v>
          </cell>
          <cell r="E14601">
            <v>14.1577</v>
          </cell>
        </row>
        <row r="14602">
          <cell r="B14602" t="str">
            <v>INF109KA1A25</v>
          </cell>
          <cell r="C14602" t="str">
            <v>-</v>
          </cell>
          <cell r="D14602" t="str">
            <v>ICICI Prudential Fixed Maturity Plan-Series 69-366 Days Plan A - Direct Plan - Cumulative</v>
          </cell>
          <cell r="E14602">
            <v>14.202199999999999</v>
          </cell>
        </row>
        <row r="14603">
          <cell r="B14603" t="str">
            <v>INF109KA1J67</v>
          </cell>
          <cell r="C14603" t="str">
            <v>-</v>
          </cell>
          <cell r="D14603" t="str">
            <v>ICICI Prudential Fixed Maturity Plan-Series 69-366 Days Plan G - Cumulative</v>
          </cell>
          <cell r="E14603">
            <v>13.097</v>
          </cell>
        </row>
        <row r="14604">
          <cell r="B14604" t="str">
            <v>INF109KA1J42</v>
          </cell>
          <cell r="C14604" t="str">
            <v>-</v>
          </cell>
          <cell r="D14604" t="str">
            <v>ICICI Prudential Fixed Maturity Plan-Series 69-366 Days Plan G - Direct Plan - Cumulative</v>
          </cell>
          <cell r="E14604">
            <v>13.1433</v>
          </cell>
        </row>
        <row r="14605">
          <cell r="B14605" t="str">
            <v>INF109KA1J75</v>
          </cell>
          <cell r="C14605" t="str">
            <v>-</v>
          </cell>
          <cell r="D14605" t="str">
            <v>ICICI Prudential Fixed Maturity Plan-Series 69-366 Days Plan G - Dividend</v>
          </cell>
          <cell r="E14605">
            <v>11.8779</v>
          </cell>
        </row>
        <row r="14606">
          <cell r="B14606" t="str">
            <v>INF109KA1P44</v>
          </cell>
          <cell r="C14606" t="str">
            <v>-</v>
          </cell>
          <cell r="D14606" t="str">
            <v>ICICI Prudential Fixed Maturity Plan-Series 69-369 Days Plan J - Cumulative</v>
          </cell>
          <cell r="E14606">
            <v>14.1495</v>
          </cell>
        </row>
        <row r="14607">
          <cell r="B14607" t="str">
            <v>INF109KA1P28</v>
          </cell>
          <cell r="C14607" t="str">
            <v>-</v>
          </cell>
          <cell r="D14607" t="str">
            <v>ICICI Prudential Fixed Maturity Plan-Series 69-369 Days Plan J - Direct Plan - Cumulative</v>
          </cell>
          <cell r="E14607">
            <v>14.183400000000001</v>
          </cell>
        </row>
        <row r="14608">
          <cell r="B14608" t="str">
            <v>INF109KA1P51</v>
          </cell>
          <cell r="C14608" t="str">
            <v>-</v>
          </cell>
          <cell r="D14608" t="str">
            <v>ICICI Prudential Fixed Maturity Plan-Series 69-369 Days Plan J - Dividend</v>
          </cell>
          <cell r="E14608">
            <v>12.7341</v>
          </cell>
        </row>
        <row r="14609">
          <cell r="B14609" t="str">
            <v>INF109KA1Q68</v>
          </cell>
          <cell r="C14609" t="str">
            <v>-</v>
          </cell>
          <cell r="D14609" t="str">
            <v>ICICI Prudential Fixed Maturity Plan-Series 69-372 Days Plan K - Cumulative</v>
          </cell>
          <cell r="E14609">
            <v>13.0814</v>
          </cell>
        </row>
        <row r="14610">
          <cell r="B14610" t="str">
            <v>INF109KA1Q43</v>
          </cell>
          <cell r="C14610" t="str">
            <v>-</v>
          </cell>
          <cell r="D14610" t="str">
            <v>ICICI Prudential Fixed Maturity Plan-Series 69-372 Days Plan K - Direct Plan - Cumulative</v>
          </cell>
          <cell r="E14610">
            <v>13.1396</v>
          </cell>
        </row>
        <row r="14611">
          <cell r="B14611" t="str">
            <v>INF109KA1Q76</v>
          </cell>
          <cell r="C14611" t="str">
            <v>-</v>
          </cell>
          <cell r="D14611" t="str">
            <v>ICICI Prudential Fixed Maturity Plan-Series 69-372 Days Plan K - Dividend</v>
          </cell>
          <cell r="E14611">
            <v>11.849399999999999</v>
          </cell>
        </row>
        <row r="14612">
          <cell r="B14612" t="str">
            <v>INF109KA10D4</v>
          </cell>
          <cell r="C14612" t="str">
            <v>-</v>
          </cell>
          <cell r="D14612" t="str">
            <v>ICICI Prudential Fixed Maturity Plan-Series 69-433 Days Plan E - Cumulative</v>
          </cell>
          <cell r="E14612">
            <v>13.197699999999999</v>
          </cell>
        </row>
        <row r="14613">
          <cell r="B14613" t="str">
            <v>INF109KA18C9</v>
          </cell>
          <cell r="C14613" t="str">
            <v>-</v>
          </cell>
          <cell r="D14613" t="str">
            <v>ICICI Prudential Fixed Maturity Plan-Series 69-433 Days Plan E - Direct Plan - Cumulative</v>
          </cell>
          <cell r="E14613">
            <v>13.251300000000001</v>
          </cell>
        </row>
        <row r="14614">
          <cell r="B14614" t="str">
            <v>INF109KA11D2</v>
          </cell>
          <cell r="C14614" t="str">
            <v>-</v>
          </cell>
          <cell r="D14614" t="str">
            <v>ICICI Prudential Fixed Maturity Plan-Series 69-433 Days Plan E - Dividend</v>
          </cell>
          <cell r="E14614">
            <v>13.1388</v>
          </cell>
        </row>
        <row r="14615">
          <cell r="B14615" t="str">
            <v>INF109KB1KB8</v>
          </cell>
          <cell r="C14615" t="str">
            <v>-</v>
          </cell>
          <cell r="D14615" t="str">
            <v>ICICI Prudential Fixed Maturity Plan-Series 69-693 Days Plan D - Cumulative</v>
          </cell>
          <cell r="E14615">
            <v>12.9976</v>
          </cell>
        </row>
        <row r="14616">
          <cell r="B14616" t="str">
            <v>INF109KB1KD4</v>
          </cell>
          <cell r="C14616" t="str">
            <v>-</v>
          </cell>
          <cell r="D14616" t="str">
            <v>ICICI Prudential Fixed Maturity Plan-Series 69-693 Days Plan D - Direct Plan - Cumulative</v>
          </cell>
          <cell r="E14616">
            <v>13.063499999999999</v>
          </cell>
        </row>
        <row r="14617">
          <cell r="B14617" t="str">
            <v>INF109KB1KE2</v>
          </cell>
          <cell r="C14617" t="str">
            <v>-</v>
          </cell>
          <cell r="D14617" t="str">
            <v>ICICI Prudential Fixed Maturity Plan-Series 69-693 Days Plan D - Direct Plan - Dividend</v>
          </cell>
          <cell r="E14617">
            <v>11.726699999999999</v>
          </cell>
        </row>
        <row r="14618">
          <cell r="B14618" t="str">
            <v>INF109KB1KC6</v>
          </cell>
          <cell r="C14618" t="str">
            <v>-</v>
          </cell>
          <cell r="D14618" t="str">
            <v>ICICI Prudential Fixed Maturity Plan-Series 69-693 Days Plan D - Dividend</v>
          </cell>
          <cell r="E14618">
            <v>11.6991</v>
          </cell>
        </row>
        <row r="14619">
          <cell r="B14619" t="str">
            <v>INF109KB1JN5</v>
          </cell>
          <cell r="C14619" t="str">
            <v>-</v>
          </cell>
          <cell r="D14619" t="str">
            <v>ICICI Prudential Fixed Maturity Plan-Series 69-698 Days Plan B - Cumulative</v>
          </cell>
          <cell r="E14619">
            <v>13.886699999999999</v>
          </cell>
        </row>
        <row r="14620">
          <cell r="B14620" t="str">
            <v>INF109KB1JP0</v>
          </cell>
          <cell r="C14620" t="str">
            <v>-</v>
          </cell>
          <cell r="D14620" t="str">
            <v>ICICI Prudential Fixed Maturity Plan-Series 69-698 Days Plan B - Direct Plan - Cumulative</v>
          </cell>
          <cell r="E14620">
            <v>13.956200000000001</v>
          </cell>
        </row>
        <row r="14621">
          <cell r="B14621" t="str">
            <v>INF109KB1JO3</v>
          </cell>
          <cell r="C14621" t="str">
            <v>-</v>
          </cell>
          <cell r="D14621" t="str">
            <v>ICICI Prudential Fixed Maturity Plan-Series 69-698 Days Plan B - Dividend</v>
          </cell>
          <cell r="E14621">
            <v>11.818</v>
          </cell>
        </row>
        <row r="14622">
          <cell r="B14622" t="str">
            <v>INF109KA1DX8</v>
          </cell>
          <cell r="C14622" t="str">
            <v>-</v>
          </cell>
          <cell r="D14622" t="str">
            <v>ICICI Prudential Fixed Maturity Plan-Series 70-1095 Days Plan H - Cumulative</v>
          </cell>
          <cell r="E14622">
            <v>12.7829</v>
          </cell>
        </row>
        <row r="14623">
          <cell r="B14623" t="str">
            <v>INF109KA1DV2</v>
          </cell>
          <cell r="C14623" t="str">
            <v>-</v>
          </cell>
          <cell r="D14623" t="str">
            <v>ICICI Prudential Fixed Maturity Plan-Series 70-1095 Days Plan H - Direct Plan - Cumulative</v>
          </cell>
          <cell r="E14623">
            <v>12.9847</v>
          </cell>
        </row>
        <row r="14624">
          <cell r="B14624" t="str">
            <v>INF109KA1DW0</v>
          </cell>
          <cell r="C14624" t="str">
            <v>-</v>
          </cell>
          <cell r="D14624" t="str">
            <v>ICICI Prudential Fixed Maturity Plan-Series 70-1095 Days Plan H - Direct Plan - Dividend</v>
          </cell>
          <cell r="E14624">
            <v>11.7402</v>
          </cell>
        </row>
        <row r="14625">
          <cell r="B14625" t="str">
            <v>INF109KA1DY6</v>
          </cell>
          <cell r="C14625" t="str">
            <v>-</v>
          </cell>
          <cell r="D14625" t="str">
            <v>ICICI Prudential Fixed Maturity Plan-Series 70-1095 Days Plan H - Dividend</v>
          </cell>
          <cell r="E14625">
            <v>11.6355</v>
          </cell>
        </row>
        <row r="14626">
          <cell r="B14626" t="str">
            <v>INF109KA1GH4</v>
          </cell>
          <cell r="C14626" t="str">
            <v>-</v>
          </cell>
          <cell r="D14626" t="str">
            <v>ICICI Prudential Fixed Maturity Plan-Series 70-1285 Days Plan T - Cumulative</v>
          </cell>
          <cell r="E14626">
            <v>13.443</v>
          </cell>
        </row>
        <row r="14627">
          <cell r="B14627" t="str">
            <v>INF109KA1GF8</v>
          </cell>
          <cell r="C14627" t="str">
            <v>-</v>
          </cell>
          <cell r="D14627" t="str">
            <v>ICICI Prudential Fixed Maturity Plan-Series 70-1285 Days Plan T - Direct Plan - Cumulative</v>
          </cell>
          <cell r="E14627">
            <v>13.5624</v>
          </cell>
        </row>
        <row r="14628">
          <cell r="B14628" t="str">
            <v>INF109KA1GG6</v>
          </cell>
          <cell r="C14628" t="str">
            <v>-</v>
          </cell>
          <cell r="D14628" t="str">
            <v>ICICI Prudential Fixed Maturity Plan-Series 70-1285 Days Plan T - Direct Plan - Dividend</v>
          </cell>
          <cell r="E14628">
            <v>12.776899999999999</v>
          </cell>
        </row>
        <row r="14629">
          <cell r="B14629" t="str">
            <v>INF109KA1GI2</v>
          </cell>
          <cell r="C14629" t="str">
            <v>-</v>
          </cell>
          <cell r="D14629" t="str">
            <v>ICICI Prudential Fixed Maturity Plan-Series 70-1285 Days Plan T - Dividend</v>
          </cell>
          <cell r="E14629">
            <v>12.662100000000001</v>
          </cell>
        </row>
        <row r="14630">
          <cell r="B14630" t="str">
            <v>INF109KA1R00</v>
          </cell>
          <cell r="C14630" t="str">
            <v>-</v>
          </cell>
          <cell r="D14630" t="str">
            <v>ICICI Prudential Fixed Maturity Plan-Series 70-366 Days Plan B - Cumulative</v>
          </cell>
          <cell r="E14630">
            <v>13.048299999999999</v>
          </cell>
        </row>
        <row r="14631">
          <cell r="B14631" t="str">
            <v>INF109KA1Q84</v>
          </cell>
          <cell r="C14631" t="str">
            <v>-</v>
          </cell>
          <cell r="D14631" t="str">
            <v>ICICI Prudential Fixed Maturity Plan-Series 70-366 Days Plan B - Direct Plan - Cumulative</v>
          </cell>
          <cell r="E14631">
            <v>13.076599999999999</v>
          </cell>
        </row>
        <row r="14632">
          <cell r="B14632" t="str">
            <v>INF109KA1R18</v>
          </cell>
          <cell r="C14632" t="str">
            <v>-</v>
          </cell>
          <cell r="D14632" t="str">
            <v>ICICI Prudential Fixed Maturity Plan-Series 70-366 Days Plan B - Dividend</v>
          </cell>
          <cell r="E14632">
            <v>11.843400000000001</v>
          </cell>
        </row>
        <row r="14633">
          <cell r="B14633" t="str">
            <v>INF109KA1U88</v>
          </cell>
          <cell r="C14633" t="str">
            <v>-</v>
          </cell>
          <cell r="D14633" t="str">
            <v>ICICI Prudential Fixed Maturity Plan-Series 70-366 Days Plan I - Cumulative</v>
          </cell>
          <cell r="E14633">
            <v>12.948</v>
          </cell>
        </row>
        <row r="14634">
          <cell r="B14634" t="str">
            <v>INF109KA1U62</v>
          </cell>
          <cell r="C14634" t="str">
            <v>-</v>
          </cell>
          <cell r="D14634" t="str">
            <v>ICICI Prudential Fixed Maturity Plan-Series 70-366 Days Plan I - Direct Plan - Cumulative</v>
          </cell>
          <cell r="E14634">
            <v>12.9762</v>
          </cell>
        </row>
        <row r="14635">
          <cell r="B14635" t="str">
            <v>INF109KA1U70</v>
          </cell>
          <cell r="C14635" t="str">
            <v>-</v>
          </cell>
          <cell r="D14635" t="str">
            <v>ICICI Prudential Fixed Maturity Plan-Series 70-366 Days Plan I - Direct Plan - Dividend</v>
          </cell>
          <cell r="E14635">
            <v>11.838100000000001</v>
          </cell>
        </row>
        <row r="14636">
          <cell r="B14636" t="str">
            <v>INF109KA1T24</v>
          </cell>
          <cell r="C14636" t="str">
            <v>-</v>
          </cell>
          <cell r="D14636" t="str">
            <v>ICICI Prudential Fixed Maturity Plan-Series 70-367 Days Plan C - Cumulative</v>
          </cell>
          <cell r="E14636">
            <v>14.0405</v>
          </cell>
        </row>
        <row r="14637">
          <cell r="B14637" t="str">
            <v>INF109KA1T08</v>
          </cell>
          <cell r="C14637" t="str">
            <v>-</v>
          </cell>
          <cell r="D14637" t="str">
            <v>ICICI Prudential Fixed Maturity Plan-Series 70-367 Days Plan C - Direct Plan - Cumulative</v>
          </cell>
          <cell r="E14637">
            <v>14.073499999999999</v>
          </cell>
        </row>
        <row r="14638">
          <cell r="B14638" t="str">
            <v>INF109KA1T16</v>
          </cell>
          <cell r="C14638" t="str">
            <v>-</v>
          </cell>
          <cell r="D14638" t="str">
            <v>ICICI Prudential Fixed Maturity Plan-Series 70-367 Days Plan C - Direct Plan - Dividend</v>
          </cell>
          <cell r="E14638">
            <v>11.876300000000001</v>
          </cell>
        </row>
        <row r="14639">
          <cell r="B14639" t="str">
            <v>INF109KA1T32</v>
          </cell>
          <cell r="C14639" t="str">
            <v>-</v>
          </cell>
          <cell r="D14639" t="str">
            <v>ICICI Prudential Fixed Maturity Plan-Series 70-367 Days Plan C - Dividend</v>
          </cell>
          <cell r="E14639">
            <v>11.8566</v>
          </cell>
        </row>
        <row r="14640">
          <cell r="B14640" t="str">
            <v>INF109KA1Z91</v>
          </cell>
          <cell r="C14640" t="str">
            <v>-</v>
          </cell>
          <cell r="D14640" t="str">
            <v>ICICI Prudential Fixed Maturity Plan-Series 70-367 Days Plan N - Cumulative</v>
          </cell>
          <cell r="E14640">
            <v>13.669</v>
          </cell>
        </row>
        <row r="14641">
          <cell r="B14641" t="str">
            <v>INF109KA1Y84</v>
          </cell>
          <cell r="C14641" t="str">
            <v>-</v>
          </cell>
          <cell r="D14641" t="str">
            <v>ICICI Prudential Fixed Maturity Plan-Series 70-367 Days Plan N - Direct Plan - Cumulative</v>
          </cell>
          <cell r="E14641">
            <v>13.7133</v>
          </cell>
        </row>
        <row r="14642">
          <cell r="B14642" t="str">
            <v>INF109KA1U47</v>
          </cell>
          <cell r="C14642" t="str">
            <v>-</v>
          </cell>
          <cell r="D14642" t="str">
            <v>ICICI Prudential Fixed Maturity Plan-Series 70-368 Days Plan J - Cumulative</v>
          </cell>
          <cell r="E14642">
            <v>12.9482</v>
          </cell>
        </row>
        <row r="14643">
          <cell r="B14643" t="str">
            <v>INF109KA1U21</v>
          </cell>
          <cell r="C14643" t="str">
            <v>-</v>
          </cell>
          <cell r="D14643" t="str">
            <v>ICICI Prudential Fixed Maturity Plan-Series 70-368 Days Plan J - Direct Plan - Cumulative</v>
          </cell>
          <cell r="E14643">
            <v>13.0015</v>
          </cell>
        </row>
        <row r="14644">
          <cell r="B14644" t="str">
            <v>INF109KA1V20</v>
          </cell>
          <cell r="C14644" t="str">
            <v>-</v>
          </cell>
          <cell r="D14644" t="str">
            <v>ICICI Prudential Fixed Maturity Plan-Series 70-368 Days Plan K - Cumulative</v>
          </cell>
          <cell r="E14644">
            <v>13.006600000000001</v>
          </cell>
        </row>
        <row r="14645">
          <cell r="B14645" t="str">
            <v>INF109KA1V04</v>
          </cell>
          <cell r="C14645" t="str">
            <v>-</v>
          </cell>
          <cell r="D14645" t="str">
            <v>ICICI Prudential Fixed Maturity Plan-Series 70-368 Days Plan K - Direct Plan - Cumulative</v>
          </cell>
          <cell r="E14645">
            <v>13.0365</v>
          </cell>
        </row>
        <row r="14646">
          <cell r="B14646" t="str">
            <v>INF109KA1Z34</v>
          </cell>
          <cell r="C14646" t="str">
            <v>-</v>
          </cell>
          <cell r="D14646" t="str">
            <v>ICICI Prudential Fixed Maturity Plan-Series 70-368 Days Plan M - Cumulative</v>
          </cell>
          <cell r="E14646">
            <v>12.925700000000001</v>
          </cell>
        </row>
        <row r="14647">
          <cell r="B14647" t="str">
            <v>INF109KA1Z18</v>
          </cell>
          <cell r="C14647" t="str">
            <v>-</v>
          </cell>
          <cell r="D14647" t="str">
            <v>ICICI Prudential Fixed Maturity Plan-Series 70-368 Days Plan M - Direct Plan - Cumulative</v>
          </cell>
          <cell r="E14647">
            <v>12.9521</v>
          </cell>
        </row>
        <row r="14648">
          <cell r="B14648" t="str">
            <v>INF109KA1Z42</v>
          </cell>
          <cell r="C14648" t="str">
            <v>-</v>
          </cell>
          <cell r="D14648" t="str">
            <v>ICICI Prudential Fixed Maturity Plan-Series 70-368 Days Plan M - Dividend</v>
          </cell>
          <cell r="E14648">
            <v>12.8665</v>
          </cell>
        </row>
        <row r="14649">
          <cell r="B14649" t="str">
            <v>INF109KA1S82</v>
          </cell>
          <cell r="C14649" t="str">
            <v>-</v>
          </cell>
          <cell r="D14649" t="str">
            <v>ICICI Prudential Fixed Maturity Plan-Series 70-369 Days Plan E - Cumulative</v>
          </cell>
          <cell r="E14649">
            <v>13.0463</v>
          </cell>
        </row>
        <row r="14650">
          <cell r="B14650" t="str">
            <v>INF109KA1S66</v>
          </cell>
          <cell r="C14650" t="str">
            <v>-</v>
          </cell>
          <cell r="D14650" t="str">
            <v>ICICI Prudential Fixed Maturity Plan-Series 70-369 Days Plan E - Direct Plan - Cumulative</v>
          </cell>
          <cell r="E14650">
            <v>13.1004</v>
          </cell>
        </row>
        <row r="14651">
          <cell r="B14651" t="str">
            <v>INF109KA1S90</v>
          </cell>
          <cell r="C14651" t="str">
            <v>-</v>
          </cell>
          <cell r="D14651" t="str">
            <v>ICICI Prudential Fixed Maturity Plan-Series 70-369 Days Plan E - Dividend</v>
          </cell>
          <cell r="E14651">
            <v>11.8376</v>
          </cell>
        </row>
        <row r="14652">
          <cell r="B14652" t="str">
            <v>INF109KA1Z75</v>
          </cell>
          <cell r="C14652" t="str">
            <v>-</v>
          </cell>
          <cell r="D14652" t="str">
            <v>ICICI Prudential Fixed Maturity Plan-Series 70-372 Days Plan L - Cumulative</v>
          </cell>
          <cell r="E14652">
            <v>12.9694</v>
          </cell>
        </row>
        <row r="14653">
          <cell r="B14653" t="str">
            <v>INF109KA1Z59</v>
          </cell>
          <cell r="C14653" t="str">
            <v>-</v>
          </cell>
          <cell r="D14653" t="str">
            <v>ICICI Prudential Fixed Maturity Plan-Series 70-372 Days Plan L - Direct Plan - Cumulative</v>
          </cell>
          <cell r="E14653">
            <v>12.996700000000001</v>
          </cell>
        </row>
        <row r="14654">
          <cell r="B14654" t="str">
            <v>INF109KA1Z83</v>
          </cell>
          <cell r="C14654" t="str">
            <v>-</v>
          </cell>
          <cell r="D14654" t="str">
            <v>ICICI Prudential Fixed Maturity Plan-Series 70-372 Days Plan L - Dividend</v>
          </cell>
          <cell r="E14654">
            <v>12.9091</v>
          </cell>
        </row>
        <row r="14655">
          <cell r="B14655" t="str">
            <v>INF109KB1BZ6</v>
          </cell>
          <cell r="C14655" t="str">
            <v>-</v>
          </cell>
          <cell r="D14655" t="str">
            <v>ICICI Prudential Fixed Maturity Plan-Series 70-540 Days Plan S - Cumulative</v>
          </cell>
          <cell r="E14655">
            <v>14.4536</v>
          </cell>
        </row>
        <row r="14656">
          <cell r="B14656" t="str">
            <v>INF109KB1CB5</v>
          </cell>
          <cell r="C14656" t="str">
            <v>-</v>
          </cell>
          <cell r="D14656" t="str">
            <v>ICICI Prudential Fixed Maturity Plan-Series 70-540 Days Plan S - Direct Plan - Cumulative</v>
          </cell>
          <cell r="E14656">
            <v>14.542899999999999</v>
          </cell>
        </row>
        <row r="14657">
          <cell r="B14657" t="str">
            <v>INF109KA1DT6</v>
          </cell>
          <cell r="C14657" t="str">
            <v>-</v>
          </cell>
          <cell r="D14657" t="str">
            <v>ICICI Prudential Fixed Maturity Plan-Series 70-742 Days Plan D - Cumulative</v>
          </cell>
          <cell r="E14657">
            <v>12.785600000000001</v>
          </cell>
        </row>
        <row r="14658">
          <cell r="B14658" t="str">
            <v>INF109KA1DR0</v>
          </cell>
          <cell r="C14658" t="str">
            <v>-</v>
          </cell>
          <cell r="D14658" t="str">
            <v>ICICI Prudential Fixed Maturity Plan-Series 70-742 Days Plan D - Direct Plan - Cumulative</v>
          </cell>
          <cell r="E14658">
            <v>12.9155</v>
          </cell>
        </row>
        <row r="14659">
          <cell r="B14659" t="str">
            <v>INF109KA1DS8</v>
          </cell>
          <cell r="C14659" t="str">
            <v>-</v>
          </cell>
          <cell r="D14659" t="str">
            <v>ICICI Prudential Fixed Maturity Plan-Series 70-742 Days Plan D - Direct Plan - Dividend</v>
          </cell>
          <cell r="E14659">
            <v>10.810499999999999</v>
          </cell>
        </row>
        <row r="14660">
          <cell r="B14660" t="str">
            <v>INF109KA1DU4</v>
          </cell>
          <cell r="C14660" t="str">
            <v>-</v>
          </cell>
          <cell r="D14660" t="str">
            <v>ICICI Prudential Fixed Maturity Plan-Series 70-742 Days Plan D - Dividend</v>
          </cell>
          <cell r="E14660">
            <v>11.6053</v>
          </cell>
        </row>
        <row r="14661">
          <cell r="B14661" t="str">
            <v>INF109KB1NH9</v>
          </cell>
          <cell r="C14661" t="str">
            <v>-</v>
          </cell>
          <cell r="D14661" t="str">
            <v>ICICI Prudential Fixed Maturity Plan-Series 70-745 Days Plan A - Cumulative</v>
          </cell>
          <cell r="E14661">
            <v>13.049899999999999</v>
          </cell>
        </row>
        <row r="14662">
          <cell r="B14662" t="str">
            <v>INF109KB1NJ5</v>
          </cell>
          <cell r="C14662" t="str">
            <v>-</v>
          </cell>
          <cell r="D14662" t="str">
            <v>ICICI Prudential Fixed Maturity Plan-Series 70-745 Days Plan A - Direct Plan - Cumulative</v>
          </cell>
          <cell r="E14662">
            <v>13.117599999999999</v>
          </cell>
        </row>
        <row r="14663">
          <cell r="B14663" t="str">
            <v>INF109KB1NI7</v>
          </cell>
          <cell r="C14663" t="str">
            <v>-</v>
          </cell>
          <cell r="D14663" t="str">
            <v>ICICI Prudential Fixed Maturity Plan-Series 70-745 Days Plan A - Dividend</v>
          </cell>
          <cell r="E14663">
            <v>11.827500000000001</v>
          </cell>
        </row>
        <row r="14664">
          <cell r="B14664" t="str">
            <v>INF109KA1EJ5</v>
          </cell>
          <cell r="C14664" t="str">
            <v>-</v>
          </cell>
          <cell r="D14664" t="str">
            <v>ICICI Prudential Fixed Maturity Plan-Series 70-745 Days Plan G - Cumulative</v>
          </cell>
          <cell r="E14664">
            <v>12.785600000000001</v>
          </cell>
        </row>
        <row r="14665">
          <cell r="B14665" t="str">
            <v>INF109KA1EH9</v>
          </cell>
          <cell r="C14665" t="str">
            <v>-</v>
          </cell>
          <cell r="D14665" t="str">
            <v>ICICI Prudential Fixed Maturity Plan-Series 70-745 Days Plan G - Direct Plan - Cumulative</v>
          </cell>
          <cell r="E14665">
            <v>12.9175</v>
          </cell>
        </row>
        <row r="14666">
          <cell r="B14666" t="str">
            <v>INF109KA1EI7</v>
          </cell>
          <cell r="C14666" t="str">
            <v>-</v>
          </cell>
          <cell r="D14666" t="str">
            <v>ICICI Prudential Fixed Maturity Plan-Series 70-745 Days Plan G - Direct Plan - Dividend</v>
          </cell>
          <cell r="E14666">
            <v>10.876799999999999</v>
          </cell>
        </row>
        <row r="14667">
          <cell r="B14667" t="str">
            <v>INF109KA1EK3</v>
          </cell>
          <cell r="C14667" t="str">
            <v>-</v>
          </cell>
          <cell r="D14667" t="str">
            <v>ICICI Prudential Fixed Maturity Plan-Series 70-745 Days Plan G - Dividend</v>
          </cell>
          <cell r="E14667">
            <v>11.622999999999999</v>
          </cell>
        </row>
        <row r="14668">
          <cell r="B14668" t="str">
            <v>INF109KB1OJ3</v>
          </cell>
          <cell r="C14668" t="str">
            <v>-</v>
          </cell>
          <cell r="D14668" t="str">
            <v>ICICI Prudential Fixed Maturity Plan-Series 70-745 Days Plan P - Cumulative</v>
          </cell>
          <cell r="E14668">
            <v>12.812099999999999</v>
          </cell>
        </row>
        <row r="14669">
          <cell r="B14669" t="str">
            <v>INF109KB1OL9</v>
          </cell>
          <cell r="C14669" t="str">
            <v>-</v>
          </cell>
          <cell r="D14669" t="str">
            <v>ICICI Prudential Fixed Maturity Plan-Series 70-745 Days Plan P - Direct Plan - Cumulative</v>
          </cell>
          <cell r="E14669">
            <v>12.8857</v>
          </cell>
        </row>
        <row r="14670">
          <cell r="B14670" t="str">
            <v>INF109KB1OK1</v>
          </cell>
          <cell r="C14670" t="str">
            <v>-</v>
          </cell>
          <cell r="D14670" t="str">
            <v>ICICI Prudential Fixed Maturity Plan-Series 70-745 Days Plan P - Dividend</v>
          </cell>
          <cell r="E14670">
            <v>11.6579</v>
          </cell>
        </row>
        <row r="14671">
          <cell r="B14671" t="str">
            <v>INF109KA1IL2</v>
          </cell>
          <cell r="C14671" t="str">
            <v>-</v>
          </cell>
          <cell r="D14671" t="str">
            <v>ICICI Prudential Fixed Maturity Plan-Series 71-1095 Days Plan O - Cumulative</v>
          </cell>
          <cell r="E14671">
            <v>13.1037</v>
          </cell>
        </row>
        <row r="14672">
          <cell r="B14672" t="str">
            <v>INF109KA1IN8</v>
          </cell>
          <cell r="C14672" t="str">
            <v>-</v>
          </cell>
          <cell r="D14672" t="str">
            <v>ICICI Prudential Fixed Maturity Plan-Series 71-1095 Days Plan O - Direct Plan - Cumulative</v>
          </cell>
          <cell r="E14672">
            <v>13.286099999999999</v>
          </cell>
        </row>
        <row r="14673">
          <cell r="B14673" t="str">
            <v>INF109KA1IO6</v>
          </cell>
          <cell r="C14673" t="str">
            <v>-</v>
          </cell>
          <cell r="D14673" t="str">
            <v>ICICI Prudential Fixed Maturity Plan-Series 71-1095 Days Plan O - Direct Plan - Dividend</v>
          </cell>
          <cell r="E14673">
            <v>12.195499999999999</v>
          </cell>
        </row>
        <row r="14674">
          <cell r="B14674" t="str">
            <v>INF109KA1IM0</v>
          </cell>
          <cell r="C14674" t="str">
            <v>-</v>
          </cell>
          <cell r="D14674" t="str">
            <v>ICICI Prudential Fixed Maturity Plan-Series 71-1095 Days Plan O - Dividend</v>
          </cell>
          <cell r="E14674">
            <v>12.0815</v>
          </cell>
        </row>
        <row r="14675">
          <cell r="B14675" t="str">
            <v>INF109KA18K2</v>
          </cell>
          <cell r="C14675" t="str">
            <v>-</v>
          </cell>
          <cell r="D14675" t="str">
            <v>ICICI Prudential Fixed Maturity Plan-Series 71-369 Days Plan E - Cumulative</v>
          </cell>
          <cell r="E14675">
            <v>12.8626</v>
          </cell>
        </row>
        <row r="14676">
          <cell r="B14676" t="str">
            <v>INF109KA10L7</v>
          </cell>
          <cell r="C14676" t="str">
            <v>-</v>
          </cell>
          <cell r="D14676" t="str">
            <v>ICICI Prudential Fixed Maturity Plan-Series 71-369 Days Plan E - Direct Plan - Cumulative</v>
          </cell>
          <cell r="E14676">
            <v>12.882099999999999</v>
          </cell>
        </row>
        <row r="14677">
          <cell r="B14677" t="str">
            <v>INF109KA11L5</v>
          </cell>
          <cell r="C14677" t="str">
            <v>-</v>
          </cell>
          <cell r="D14677" t="str">
            <v>ICICI Prudential Fixed Maturity Plan-Series 71-369 Days Plan E - Direct Plan - Dividend</v>
          </cell>
          <cell r="E14677">
            <v>11.905200000000001</v>
          </cell>
        </row>
        <row r="14678">
          <cell r="B14678" t="str">
            <v>INF109KA19K0</v>
          </cell>
          <cell r="C14678" t="str">
            <v>-</v>
          </cell>
          <cell r="D14678" t="str">
            <v>ICICI Prudential Fixed Maturity Plan-Series 71-369 Days Plan E - Dividend</v>
          </cell>
          <cell r="E14678">
            <v>11.895099999999999</v>
          </cell>
        </row>
        <row r="14679">
          <cell r="B14679" t="str">
            <v>INF109KB1CD1</v>
          </cell>
          <cell r="C14679" t="str">
            <v>-</v>
          </cell>
          <cell r="D14679" t="str">
            <v>ICICI Prudential Fixed Maturity Plan-Series 71-480 Days Plan L - Cumulative</v>
          </cell>
          <cell r="E14679">
            <v>14.2209</v>
          </cell>
        </row>
        <row r="14680">
          <cell r="B14680" t="str">
            <v>INF109KB1CF6</v>
          </cell>
          <cell r="C14680" t="str">
            <v>-</v>
          </cell>
          <cell r="D14680" t="str">
            <v>ICICI Prudential Fixed Maturity Plan-Series 71-480 Days Plan L - Direct Plan - Cumulative</v>
          </cell>
          <cell r="E14680">
            <v>14.331</v>
          </cell>
        </row>
        <row r="14681">
          <cell r="B14681" t="str">
            <v>INF109KB1CE9</v>
          </cell>
          <cell r="C14681" t="str">
            <v>-</v>
          </cell>
          <cell r="D14681" t="str">
            <v>ICICI Prudential Fixed Maturity Plan-Series 71-480 Days Plan L - Dividend</v>
          </cell>
          <cell r="E14681">
            <v>13.176399999999999</v>
          </cell>
        </row>
        <row r="14682">
          <cell r="B14682" t="str">
            <v>INF109KB1EB1</v>
          </cell>
          <cell r="C14682" t="str">
            <v>-</v>
          </cell>
          <cell r="D14682" t="str">
            <v>ICICI Prudential Fixed Maturity Plan-Series 71-505 Days Plan H - Cumulative</v>
          </cell>
          <cell r="E14682">
            <v>13.361499999999999</v>
          </cell>
        </row>
        <row r="14683">
          <cell r="B14683" t="str">
            <v>INF109KB1ED7</v>
          </cell>
          <cell r="C14683" t="str">
            <v>-</v>
          </cell>
          <cell r="D14683" t="str">
            <v>ICICI Prudential Fixed Maturity Plan-Series 71-505 Days Plan H - Direct Plan - Cumulative</v>
          </cell>
          <cell r="E14683">
            <v>13.4512</v>
          </cell>
        </row>
        <row r="14684">
          <cell r="B14684" t="str">
            <v>INF109KB1EE5</v>
          </cell>
          <cell r="C14684" t="str">
            <v>-</v>
          </cell>
          <cell r="D14684" t="str">
            <v>ICICI Prudential Fixed Maturity Plan-Series 71-505 Days Plan H - Direct Plan - Dividend</v>
          </cell>
          <cell r="E14684">
            <v>13.3917</v>
          </cell>
        </row>
        <row r="14685">
          <cell r="B14685" t="str">
            <v>INF109KB1EF2</v>
          </cell>
          <cell r="C14685" t="str">
            <v>-</v>
          </cell>
          <cell r="D14685" t="str">
            <v>ICICI Prudential Fixed Maturity Plan-Series 71-525 Days Plan D - Cumulative</v>
          </cell>
          <cell r="E14685">
            <v>13.4529</v>
          </cell>
        </row>
        <row r="14686">
          <cell r="B14686" t="str">
            <v>INF109KB1EH8</v>
          </cell>
          <cell r="C14686" t="str">
            <v>-</v>
          </cell>
          <cell r="D14686" t="str">
            <v>ICICI Prudential Fixed Maturity Plan-Series 71-525 Days Plan D - Direct Plan - Cumulative</v>
          </cell>
          <cell r="E14686">
            <v>13.515599999999999</v>
          </cell>
        </row>
        <row r="14687">
          <cell r="B14687" t="str">
            <v>INF109KB1EG0</v>
          </cell>
          <cell r="C14687" t="str">
            <v>-</v>
          </cell>
          <cell r="D14687" t="str">
            <v>ICICI Prudential Fixed Maturity Plan-Series 71-525 Days Plan D - Dividend</v>
          </cell>
          <cell r="E14687">
            <v>13.393599999999999</v>
          </cell>
        </row>
        <row r="14688">
          <cell r="B14688" t="str">
            <v>INF109KA1NN8</v>
          </cell>
          <cell r="C14688" t="str">
            <v>-</v>
          </cell>
          <cell r="D14688" t="str">
            <v>ICICI Prudential Fixed Maturity Plan-Series 72-1075 Days Plan Q - Cumulative</v>
          </cell>
          <cell r="E14688">
            <v>13.207100000000001</v>
          </cell>
        </row>
        <row r="14689">
          <cell r="B14689" t="str">
            <v>INF109KA1NP3</v>
          </cell>
          <cell r="C14689" t="str">
            <v>-</v>
          </cell>
          <cell r="D14689" t="str">
            <v>ICICI Prudential Fixed Maturity Plan-Series 72-1075 Days Plan Q - Direct Plan - Cumulative</v>
          </cell>
          <cell r="E14689">
            <v>13.4207</v>
          </cell>
        </row>
        <row r="14690">
          <cell r="B14690" t="str">
            <v>INF109KA1NQ1</v>
          </cell>
          <cell r="C14690" t="str">
            <v>-</v>
          </cell>
          <cell r="D14690" t="str">
            <v>ICICI Prudential Fixed Maturity Plan-Series 72-1075 Days Plan Q - Direct Plan - Dividend</v>
          </cell>
          <cell r="E14690">
            <v>12.530900000000001</v>
          </cell>
        </row>
        <row r="14691">
          <cell r="B14691" t="str">
            <v>INF109KA1NO6</v>
          </cell>
          <cell r="C14691" t="str">
            <v>-</v>
          </cell>
          <cell r="D14691" t="str">
            <v>ICICI Prudential Fixed Maturity Plan-Series 72-1075 Days Plan Q - Dividend</v>
          </cell>
          <cell r="E14691">
            <v>12.3689</v>
          </cell>
        </row>
        <row r="14692">
          <cell r="B14692" t="str">
            <v>INF109KA1LB7</v>
          </cell>
          <cell r="C14692" t="str">
            <v>-</v>
          </cell>
          <cell r="D14692" t="str">
            <v>ICICI Prudential Fixed Maturity Plan-Series 72-1092 Days Plan F - Cumulative</v>
          </cell>
          <cell r="E14692">
            <v>13.206300000000001</v>
          </cell>
        </row>
        <row r="14693">
          <cell r="B14693" t="str">
            <v>INF109KA1LD3</v>
          </cell>
          <cell r="C14693" t="str">
            <v>-</v>
          </cell>
          <cell r="D14693" t="str">
            <v>ICICI Prudential Fixed Maturity Plan-Series 72-1092 Days Plan F - Direct Plan - Cumulative</v>
          </cell>
          <cell r="E14693">
            <v>13.411</v>
          </cell>
        </row>
        <row r="14694">
          <cell r="B14694" t="str">
            <v>INF109KA1LE1</v>
          </cell>
          <cell r="C14694" t="str">
            <v>-</v>
          </cell>
          <cell r="D14694" t="str">
            <v>ICICI Prudential Fixed Maturity Plan-Series 72-1092 Days Plan F - Direct Plan - Dividend</v>
          </cell>
          <cell r="E14694">
            <v>12.527699999999999</v>
          </cell>
        </row>
        <row r="14695">
          <cell r="B14695" t="str">
            <v>INF109KA1LC5</v>
          </cell>
          <cell r="C14695" t="str">
            <v>-</v>
          </cell>
          <cell r="D14695" t="str">
            <v>ICICI Prudential Fixed Maturity Plan-Series 72-1092 Days Plan F - Dividend</v>
          </cell>
          <cell r="E14695">
            <v>12.381</v>
          </cell>
        </row>
        <row r="14696">
          <cell r="B14696" t="str">
            <v>INF109KA12R0</v>
          </cell>
          <cell r="C14696" t="str">
            <v>-</v>
          </cell>
          <cell r="D14696" t="str">
            <v>ICICI Prudential Fixed Maturity Plan-Series 72-366 Days Plan C - Cumulative</v>
          </cell>
          <cell r="E14696">
            <v>12.9933</v>
          </cell>
        </row>
        <row r="14697">
          <cell r="B14697" t="str">
            <v>INF109KA14R6</v>
          </cell>
          <cell r="C14697" t="str">
            <v>-</v>
          </cell>
          <cell r="D14697" t="str">
            <v>ICICI Prudential Fixed Maturity Plan-Series 72-366 Days Plan C - Direct Plan - Cumulative</v>
          </cell>
          <cell r="E14697">
            <v>13.0343</v>
          </cell>
        </row>
        <row r="14698">
          <cell r="B14698" t="str">
            <v>INF109KA13R8</v>
          </cell>
          <cell r="C14698" t="str">
            <v>-</v>
          </cell>
          <cell r="D14698" t="str">
            <v>ICICI Prudential Fixed Maturity Plan-Series 72-366 Days Plan C - Dividend</v>
          </cell>
          <cell r="E14698">
            <v>12.7302</v>
          </cell>
        </row>
        <row r="14699">
          <cell r="B14699" t="str">
            <v>INF109KA12W0</v>
          </cell>
          <cell r="C14699" t="str">
            <v>-</v>
          </cell>
          <cell r="D14699" t="str">
            <v>ICICI Prudential Fixed Maturity Plan-Series 72-366 Days Plan M - Cumulative</v>
          </cell>
          <cell r="E14699">
            <v>13.084099999999999</v>
          </cell>
        </row>
        <row r="14700">
          <cell r="B14700" t="str">
            <v>INF109KA14W6</v>
          </cell>
          <cell r="C14700" t="str">
            <v>-</v>
          </cell>
          <cell r="D14700" t="str">
            <v>ICICI Prudential Fixed Maturity Plan-Series 72-366 Days Plan M - Direct Plan - Cumulative</v>
          </cell>
          <cell r="E14700">
            <v>13.115500000000001</v>
          </cell>
        </row>
        <row r="14701">
          <cell r="B14701" t="str">
            <v>INF109KA15W3</v>
          </cell>
          <cell r="C14701" t="str">
            <v>-</v>
          </cell>
          <cell r="D14701" t="str">
            <v>ICICI Prudential Fixed Maturity Plan-Series 72-366 Days Plan M - Direct Plan - Dividend</v>
          </cell>
          <cell r="E14701">
            <v>13.0045</v>
          </cell>
        </row>
        <row r="14702">
          <cell r="B14702" t="str">
            <v>INF109KA18X5</v>
          </cell>
          <cell r="C14702" t="str">
            <v>-</v>
          </cell>
          <cell r="D14702" t="str">
            <v>ICICI Prudential Fixed Maturity Plan-Series 72-366 Days Plan T - Cumulative</v>
          </cell>
          <cell r="E14702">
            <v>12.8651</v>
          </cell>
        </row>
        <row r="14703">
          <cell r="B14703" t="str">
            <v>INF109KA10Y0</v>
          </cell>
          <cell r="C14703" t="str">
            <v>-</v>
          </cell>
          <cell r="D14703" t="str">
            <v>ICICI Prudential Fixed Maturity Plan-Series 72-366 Days Plan T - Direct Plan - Cumulative</v>
          </cell>
          <cell r="E14703">
            <v>12.8926</v>
          </cell>
        </row>
        <row r="14704">
          <cell r="B14704" t="str">
            <v>INF109KA11Y8</v>
          </cell>
          <cell r="C14704" t="str">
            <v>-</v>
          </cell>
          <cell r="D14704" t="str">
            <v>ICICI Prudential Fixed Maturity Plan-Series 72-366 Days Plan T - Direct Plan - Dividend</v>
          </cell>
          <cell r="E14704">
            <v>12.831899999999999</v>
          </cell>
        </row>
        <row r="14705">
          <cell r="B14705" t="str">
            <v>INF109KA16W1</v>
          </cell>
          <cell r="C14705" t="str">
            <v>-</v>
          </cell>
          <cell r="D14705" t="str">
            <v>ICICI Prudential Fixed Maturity Plan-Series 72-367 Days Plan R - Cumulative</v>
          </cell>
          <cell r="E14705">
            <v>13.0787</v>
          </cell>
        </row>
        <row r="14706">
          <cell r="B14706" t="str">
            <v>INF109KA18W7</v>
          </cell>
          <cell r="C14706" t="str">
            <v>-</v>
          </cell>
          <cell r="D14706" t="str">
            <v>ICICI Prudential Fixed Maturity Plan-Series 72-367 Days Plan R - Direct Plan - Cumulative</v>
          </cell>
          <cell r="E14706">
            <v>13.0997</v>
          </cell>
        </row>
        <row r="14707">
          <cell r="B14707" t="str">
            <v>INF109KA10Q6</v>
          </cell>
          <cell r="C14707" t="str">
            <v>-</v>
          </cell>
          <cell r="D14707" t="str">
            <v>ICICI Prudential Fixed Maturity Plan-Series 72-368 Days Plan A - Cumulative</v>
          </cell>
          <cell r="E14707">
            <v>13.065</v>
          </cell>
        </row>
        <row r="14708">
          <cell r="B14708" t="str">
            <v>INF109KA12Q2</v>
          </cell>
          <cell r="C14708" t="str">
            <v>-</v>
          </cell>
          <cell r="D14708" t="str">
            <v>ICICI Prudential Fixed Maturity Plan-Series 72-368 Days Plan A - Direct Plan - Cumulative</v>
          </cell>
          <cell r="E14708">
            <v>13.1092</v>
          </cell>
        </row>
        <row r="14709">
          <cell r="B14709" t="str">
            <v>INF109KA13Q0</v>
          </cell>
          <cell r="C14709" t="str">
            <v>-</v>
          </cell>
          <cell r="D14709" t="str">
            <v>ICICI Prudential Fixed Maturity Plan-Series 72-368 Days Plan A - Direct Plan - Dividend</v>
          </cell>
          <cell r="E14709">
            <v>12.0128</v>
          </cell>
        </row>
        <row r="14710">
          <cell r="B14710" t="str">
            <v>INF109KA11Q4</v>
          </cell>
          <cell r="C14710" t="str">
            <v>-</v>
          </cell>
          <cell r="D14710" t="str">
            <v>ICICI Prudential Fixed Maturity Plan-Series 72-368 Days Plan A - Dividend</v>
          </cell>
          <cell r="E14710">
            <v>12.1637</v>
          </cell>
        </row>
        <row r="14711">
          <cell r="B14711" t="str">
            <v>INF109KA11S0</v>
          </cell>
          <cell r="C14711" t="str">
            <v>-</v>
          </cell>
          <cell r="D14711" t="str">
            <v>ICICI Prudential Fixed Maturity Plan-Series 72-368 Days Plan D - Cumulative</v>
          </cell>
          <cell r="E14711">
            <v>12.993499999999999</v>
          </cell>
        </row>
        <row r="14712">
          <cell r="B14712" t="str">
            <v>INF109KA13S6</v>
          </cell>
          <cell r="C14712" t="str">
            <v>-</v>
          </cell>
          <cell r="D14712" t="str">
            <v>ICICI Prudential Fixed Maturity Plan-Series 72-368 Days Plan D - Direct Plan - Cumulative</v>
          </cell>
          <cell r="E14712">
            <v>13.0397</v>
          </cell>
        </row>
        <row r="14713">
          <cell r="B14713" t="str">
            <v>INF109KA12S8</v>
          </cell>
          <cell r="C14713" t="str">
            <v>-</v>
          </cell>
          <cell r="D14713" t="str">
            <v>ICICI Prudential Fixed Maturity Plan-Series 72-368 Days Plan D - Dividend</v>
          </cell>
          <cell r="E14713">
            <v>11.564</v>
          </cell>
        </row>
        <row r="14714">
          <cell r="B14714" t="str">
            <v>INF109KA12Y6</v>
          </cell>
          <cell r="C14714" t="str">
            <v>-</v>
          </cell>
          <cell r="D14714" t="str">
            <v>ICICI Prudential Fixed Maturity Plan-Series 72-368 Days Plan P - Cumulative</v>
          </cell>
          <cell r="E14714">
            <v>12.8531</v>
          </cell>
        </row>
        <row r="14715">
          <cell r="B14715" t="str">
            <v>INF109KA14Y2</v>
          </cell>
          <cell r="C14715" t="str">
            <v>-</v>
          </cell>
          <cell r="D14715" t="str">
            <v>ICICI Prudential Fixed Maturity Plan-Series 72-368 Days Plan P - Direct Plan - Cumulative</v>
          </cell>
          <cell r="E14715">
            <v>12.926</v>
          </cell>
        </row>
        <row r="14716">
          <cell r="B14716" t="str">
            <v>INF109KA15Y9</v>
          </cell>
          <cell r="C14716" t="str">
            <v>-</v>
          </cell>
          <cell r="D14716" t="str">
            <v>ICICI Prudential Fixed Maturity Plan-Series 72-368 Days Plan P - Direct Plan - Dividend</v>
          </cell>
          <cell r="E14716">
            <v>12.1495</v>
          </cell>
        </row>
        <row r="14717">
          <cell r="B14717" t="str">
            <v>INF109KA13Y4</v>
          </cell>
          <cell r="C14717" t="str">
            <v>-</v>
          </cell>
          <cell r="D14717" t="str">
            <v>ICICI Prudential Fixed Maturity Plan-Series 72-368 Days Plan P - Dividend</v>
          </cell>
          <cell r="E14717">
            <v>12.1142</v>
          </cell>
        </row>
        <row r="14718">
          <cell r="B14718" t="str">
            <v>INF109KA16U5</v>
          </cell>
          <cell r="C14718" t="str">
            <v>-</v>
          </cell>
          <cell r="D14718" t="str">
            <v>ICICI Prudential Fixed Maturity Plan-Series 72-370 Days Plan G - Cumulative</v>
          </cell>
          <cell r="E14718">
            <v>13.097300000000001</v>
          </cell>
        </row>
        <row r="14719">
          <cell r="B14719" t="str">
            <v>INF109KA18U1</v>
          </cell>
          <cell r="C14719" t="str">
            <v>-</v>
          </cell>
          <cell r="D14719" t="str">
            <v>ICICI Prudential Fixed Maturity Plan-Series 72-370 Days Plan G - Direct Plan - Cumulative</v>
          </cell>
          <cell r="E14719">
            <v>13.124700000000001</v>
          </cell>
        </row>
        <row r="14720">
          <cell r="B14720" t="str">
            <v>INF109KA19U9</v>
          </cell>
          <cell r="C14720" t="str">
            <v>-</v>
          </cell>
          <cell r="D14720" t="str">
            <v>ICICI Prudential Fixed Maturity Plan-Series 72-370 Days Plan G - Direct Plan - Dividend</v>
          </cell>
          <cell r="E14720">
            <v>12.786300000000001</v>
          </cell>
        </row>
        <row r="14721">
          <cell r="B14721" t="str">
            <v>INF109KA17U3</v>
          </cell>
          <cell r="C14721" t="str">
            <v>-</v>
          </cell>
          <cell r="D14721" t="str">
            <v>ICICI Prudential Fixed Maturity Plan-Series 72-370 Days Plan G - Dividend</v>
          </cell>
          <cell r="E14721">
            <v>12.7605</v>
          </cell>
        </row>
        <row r="14722">
          <cell r="B14722" t="str">
            <v>INF109KB1AX3</v>
          </cell>
          <cell r="C14722" t="str">
            <v>-</v>
          </cell>
          <cell r="D14722" t="str">
            <v>ICICI Prudential Fixed Maturity Plan-Series 72-409 Days Plan S - Cumulative</v>
          </cell>
          <cell r="E14722">
            <v>14.055400000000001</v>
          </cell>
        </row>
        <row r="14723">
          <cell r="B14723" t="str">
            <v>INF109KB1AZ8</v>
          </cell>
          <cell r="C14723" t="str">
            <v>-</v>
          </cell>
          <cell r="D14723" t="str">
            <v>ICICI Prudential Fixed Maturity Plan-Series 72-409 Days Plan S - Direct Plan - Cumulative</v>
          </cell>
          <cell r="E14723">
            <v>14.1912</v>
          </cell>
        </row>
        <row r="14724">
          <cell r="B14724" t="str">
            <v>INF109KB1BA9</v>
          </cell>
          <cell r="C14724" t="str">
            <v>-</v>
          </cell>
          <cell r="D14724" t="str">
            <v>ICICI Prudential Fixed Maturity Plan-Series 72-409 Days Plan S - Direct Plan - Dividend</v>
          </cell>
          <cell r="E14724">
            <v>14.1272</v>
          </cell>
        </row>
        <row r="14725">
          <cell r="B14725" t="str">
            <v>INF109KB1AY1</v>
          </cell>
          <cell r="C14725" t="str">
            <v>-</v>
          </cell>
          <cell r="D14725" t="str">
            <v>ICICI Prudential Fixed Maturity Plan-Series 72-409 Days Plan S - Dividend</v>
          </cell>
          <cell r="E14725">
            <v>13.9899</v>
          </cell>
        </row>
        <row r="14726">
          <cell r="B14726" t="str">
            <v>INF109KB1BR3</v>
          </cell>
          <cell r="C14726" t="str">
            <v>-</v>
          </cell>
          <cell r="D14726" t="str">
            <v>ICICI Prudential Fixed Maturity Plan-Series 72-425 Days Plan N - Cumulative</v>
          </cell>
          <cell r="E14726">
            <v>14.0594</v>
          </cell>
        </row>
        <row r="14727">
          <cell r="B14727" t="str">
            <v>INF109KB1BT9</v>
          </cell>
          <cell r="C14727" t="str">
            <v>-</v>
          </cell>
          <cell r="D14727" t="str">
            <v>ICICI Prudential Fixed Maturity Plan-Series 72-425 Days Plan N - Direct Plan - Cumulative</v>
          </cell>
          <cell r="E14727">
            <v>14.1861</v>
          </cell>
        </row>
        <row r="14728">
          <cell r="B14728" t="str">
            <v>INF109KB1BS1</v>
          </cell>
          <cell r="C14728" t="str">
            <v>-</v>
          </cell>
          <cell r="D14728" t="str">
            <v>ICICI Prudential Fixed Maturity Plan-Series 72-425 Days Plan N - Dividend</v>
          </cell>
          <cell r="E14728">
            <v>13.213699999999999</v>
          </cell>
        </row>
        <row r="14729">
          <cell r="B14729" t="str">
            <v>INF109KB1CH2</v>
          </cell>
          <cell r="C14729" t="str">
            <v>-</v>
          </cell>
          <cell r="D14729" t="str">
            <v>ICICI Prudential Fixed Maturity Plan-Series 72-440 Days Plan L - Cumulative</v>
          </cell>
          <cell r="E14729">
            <v>14.1111</v>
          </cell>
        </row>
        <row r="14730">
          <cell r="B14730" t="str">
            <v>INF109KB1CJ8</v>
          </cell>
          <cell r="C14730" t="str">
            <v>-</v>
          </cell>
          <cell r="D14730" t="str">
            <v>ICICI Prudential Fixed Maturity Plan-Series 72-440 Days Plan L - Direct Plan - Cumulative</v>
          </cell>
          <cell r="E14730">
            <v>14.2333</v>
          </cell>
        </row>
        <row r="14731">
          <cell r="B14731" t="str">
            <v>INF109KB1CK6</v>
          </cell>
          <cell r="C14731" t="str">
            <v>-</v>
          </cell>
          <cell r="D14731" t="str">
            <v>ICICI Prudential Fixed Maturity Plan-Series 72-440 Days Plan L - Direct Plan - Dividend</v>
          </cell>
          <cell r="E14731">
            <v>12.3009</v>
          </cell>
        </row>
        <row r="14732">
          <cell r="B14732" t="str">
            <v>INF109KB1CI0</v>
          </cell>
          <cell r="C14732" t="str">
            <v>-</v>
          </cell>
          <cell r="D14732" t="str">
            <v>ICICI Prudential Fixed Maturity Plan-Series 72-440 Days Plan L - Dividend</v>
          </cell>
          <cell r="E14732">
            <v>12.251300000000001</v>
          </cell>
        </row>
        <row r="14733">
          <cell r="B14733" t="str">
            <v>INF109KB1GC4</v>
          </cell>
          <cell r="C14733" t="str">
            <v>-</v>
          </cell>
          <cell r="D14733" t="str">
            <v>ICICI Prudential Fixed Maturity Plan-Series 72-483 Days Plan J - Cumulative</v>
          </cell>
          <cell r="E14733">
            <v>13.265499999999999</v>
          </cell>
        </row>
        <row r="14734">
          <cell r="B14734" t="str">
            <v>INF109KB1GA8</v>
          </cell>
          <cell r="C14734" t="str">
            <v>-</v>
          </cell>
          <cell r="D14734" t="str">
            <v>ICICI Prudential Fixed Maturity Plan-Series 72-483 Days Plan J - Direct Plan - Cumulative</v>
          </cell>
          <cell r="E14734">
            <v>13.3782</v>
          </cell>
        </row>
        <row r="14735">
          <cell r="B14735" t="str">
            <v>INF109KB1FZ7</v>
          </cell>
          <cell r="C14735" t="str">
            <v>-</v>
          </cell>
          <cell r="D14735" t="str">
            <v>ICICI Prudential Fixed Maturity Plan-Series 72-483 Days Plan J - Direct Plan - Dividend</v>
          </cell>
          <cell r="E14735">
            <v>11.2859</v>
          </cell>
        </row>
        <row r="14736">
          <cell r="B14736" t="str">
            <v>INF109KB1GB6</v>
          </cell>
          <cell r="C14736" t="str">
            <v>-</v>
          </cell>
          <cell r="D14736" t="str">
            <v>ICICI Prudential Fixed Maturity Plan-Series 72-483 Days Plan J - Dividend</v>
          </cell>
          <cell r="E14736">
            <v>11.2264</v>
          </cell>
        </row>
        <row r="14737">
          <cell r="B14737" t="str">
            <v>INF109KB1HF5</v>
          </cell>
          <cell r="C14737" t="str">
            <v>-</v>
          </cell>
          <cell r="D14737" t="str">
            <v>ICICI Prudential Fixed Maturity Plan-Series 72-500 Days Plan E - Cumulative</v>
          </cell>
          <cell r="E14737">
            <v>13.2789</v>
          </cell>
        </row>
        <row r="14738">
          <cell r="B14738" t="str">
            <v>INF109KB1HH1</v>
          </cell>
          <cell r="C14738" t="str">
            <v>-</v>
          </cell>
          <cell r="D14738" t="str">
            <v>ICICI Prudential Fixed Maturity Plan-Series 72-500 Days Plan E - Direct Plan - Cumulative</v>
          </cell>
          <cell r="E14738">
            <v>13.363899999999999</v>
          </cell>
        </row>
        <row r="14739">
          <cell r="B14739" t="str">
            <v>INF109KB1HG3</v>
          </cell>
          <cell r="C14739" t="str">
            <v>-</v>
          </cell>
          <cell r="D14739" t="str">
            <v>ICICI Prudential Fixed Maturity Plan-Series 72-500 Days Plan E - Dividend</v>
          </cell>
          <cell r="E14739">
            <v>11.2477</v>
          </cell>
        </row>
        <row r="14740">
          <cell r="B14740" t="str">
            <v>INF109KB1HJ7</v>
          </cell>
          <cell r="C14740" t="str">
            <v>-</v>
          </cell>
          <cell r="D14740" t="str">
            <v>ICICI Prudential Fixed Maturity Plan-Series 72-525 Days Plan B - Cumulative</v>
          </cell>
          <cell r="E14740">
            <v>13.1572</v>
          </cell>
        </row>
        <row r="14741">
          <cell r="B14741" t="str">
            <v>INF109KB1HL3</v>
          </cell>
          <cell r="C14741" t="str">
            <v>-</v>
          </cell>
          <cell r="D14741" t="str">
            <v>ICICI Prudential Fixed Maturity Plan-Series 72-525 Days Plan B - Direct Plan - Cumulative</v>
          </cell>
          <cell r="E14741">
            <v>13.2765</v>
          </cell>
        </row>
        <row r="14742">
          <cell r="B14742" t="str">
            <v>INF109KB1HK5</v>
          </cell>
          <cell r="C14742" t="str">
            <v>-</v>
          </cell>
          <cell r="D14742" t="str">
            <v>ICICI Prudential Fixed Maturity Plan-Series 72-525 Days Plan B - Dividend</v>
          </cell>
          <cell r="E14742">
            <v>13.099</v>
          </cell>
        </row>
        <row r="14743">
          <cell r="B14743" t="str">
            <v>INF109KA1MH2</v>
          </cell>
          <cell r="C14743" t="str">
            <v>-</v>
          </cell>
          <cell r="D14743" t="str">
            <v>ICICI Prudential Fixed Maturity Plan-Series 72-785 Days Plan O - Cumulative</v>
          </cell>
          <cell r="E14743">
            <v>13.065799999999999</v>
          </cell>
        </row>
        <row r="14744">
          <cell r="B14744" t="str">
            <v>INF109KA1MJ8</v>
          </cell>
          <cell r="C14744" t="str">
            <v>-</v>
          </cell>
          <cell r="D14744" t="str">
            <v>ICICI Prudential Fixed Maturity Plan-Series 72-785 Days Plan O - Direct Plan - Cumulative</v>
          </cell>
          <cell r="E14744">
            <v>13.2217</v>
          </cell>
        </row>
        <row r="14745">
          <cell r="B14745" t="str">
            <v>INF109KA1MK6</v>
          </cell>
          <cell r="C14745" t="str">
            <v>-</v>
          </cell>
          <cell r="D14745" t="str">
            <v>ICICI Prudential Fixed Maturity Plan-Series 72-785 Days Plan O - Direct Plan - Dividend</v>
          </cell>
          <cell r="E14745">
            <v>12.3881</v>
          </cell>
        </row>
        <row r="14746">
          <cell r="B14746" t="str">
            <v>INF109KA1MI0</v>
          </cell>
          <cell r="C14746" t="str">
            <v>-</v>
          </cell>
          <cell r="D14746" t="str">
            <v>ICICI Prudential Fixed Maturity Plan-Series 72-785 Days Plan O - Dividend</v>
          </cell>
          <cell r="E14746">
            <v>12.2813</v>
          </cell>
        </row>
        <row r="14747">
          <cell r="B14747" t="str">
            <v>INF109KA1KX3</v>
          </cell>
          <cell r="C14747" t="str">
            <v>-</v>
          </cell>
          <cell r="D14747" t="str">
            <v>ICICI Prudential Fixed Maturity Plan-Series 72-823 Days Plan H - Cumulative</v>
          </cell>
          <cell r="E14747">
            <v>13.835100000000001</v>
          </cell>
        </row>
        <row r="14748">
          <cell r="B14748" t="str">
            <v>INF109KA1KZ8</v>
          </cell>
          <cell r="C14748" t="str">
            <v>-</v>
          </cell>
          <cell r="D14748" t="str">
            <v>ICICI Prudential Fixed Maturity Plan-Series 72-823 Days Plan H - Direct Plan - Cumulative</v>
          </cell>
          <cell r="E14748">
            <v>13.983700000000001</v>
          </cell>
        </row>
        <row r="14749">
          <cell r="B14749" t="str">
            <v>INF109KA1LA9</v>
          </cell>
          <cell r="C14749" t="str">
            <v>-</v>
          </cell>
          <cell r="D14749" t="str">
            <v>ICICI Prudential Fixed Maturity Plan-Series 72-823 Days Plan H - Direct Plan - Dividend</v>
          </cell>
          <cell r="E14749">
            <v>12.916</v>
          </cell>
        </row>
        <row r="14750">
          <cell r="B14750" t="str">
            <v>INF109KA1KY1</v>
          </cell>
          <cell r="C14750" t="str">
            <v>-</v>
          </cell>
          <cell r="D14750" t="str">
            <v>ICICI Prudential Fixed Maturity Plan-Series 72-823 Days Plan H - Dividend</v>
          </cell>
          <cell r="E14750">
            <v>12.8248</v>
          </cell>
        </row>
        <row r="14751">
          <cell r="B14751" t="str">
            <v>INF109KA1QJ9</v>
          </cell>
          <cell r="C14751" t="str">
            <v>-</v>
          </cell>
          <cell r="D14751" t="str">
            <v>ICICI Prudential Fixed Maturity Plan-Series 73-1120 Days Plan L - Cumulative</v>
          </cell>
          <cell r="E14751">
            <v>12.993600000000001</v>
          </cell>
        </row>
        <row r="14752">
          <cell r="B14752" t="str">
            <v>INF109KA1QL5</v>
          </cell>
          <cell r="C14752" t="str">
            <v>-</v>
          </cell>
          <cell r="D14752" t="str">
            <v>ICICI Prudential Fixed Maturity Plan-Series 73-1120 Days Plan L - Direct Plan - Cumulative</v>
          </cell>
          <cell r="E14752">
            <v>13.172599999999999</v>
          </cell>
        </row>
        <row r="14753">
          <cell r="B14753" t="str">
            <v>INF109KA1QM3</v>
          </cell>
          <cell r="C14753" t="str">
            <v>-</v>
          </cell>
          <cell r="D14753" t="str">
            <v>ICICI Prudential Fixed Maturity Plan-Series 73-1120 Days Plan L - Direct Plan - Dividend</v>
          </cell>
          <cell r="E14753">
            <v>12.889799999999999</v>
          </cell>
        </row>
        <row r="14754">
          <cell r="B14754" t="str">
            <v>INF109KA1QK7</v>
          </cell>
          <cell r="C14754" t="str">
            <v>-</v>
          </cell>
          <cell r="D14754" t="str">
            <v>ICICI Prudential Fixed Maturity Plan-Series 73-1120 Days Plan L - Dividend</v>
          </cell>
          <cell r="E14754">
            <v>12.7126</v>
          </cell>
        </row>
        <row r="14755">
          <cell r="B14755" t="str">
            <v>INF109KA18Z0</v>
          </cell>
          <cell r="C14755" t="str">
            <v>-</v>
          </cell>
          <cell r="D14755" t="str">
            <v>ICICI Prudential Fixed Maturity Plan-Series 73-366 Days Plan A - Cumulative</v>
          </cell>
          <cell r="E14755">
            <v>12.909599999999999</v>
          </cell>
        </row>
        <row r="14756">
          <cell r="B14756" t="str">
            <v>INF109KB1011</v>
          </cell>
          <cell r="C14756" t="str">
            <v>-</v>
          </cell>
          <cell r="D14756" t="str">
            <v>ICICI Prudential Fixed Maturity Plan-Series 73-366 Days Plan A - Direct Plan - Cumulative</v>
          </cell>
          <cell r="E14756">
            <v>12.941599999999999</v>
          </cell>
        </row>
        <row r="14757">
          <cell r="B14757" t="str">
            <v>INF109KA19Z8</v>
          </cell>
          <cell r="C14757" t="str">
            <v>-</v>
          </cell>
          <cell r="D14757" t="str">
            <v>ICICI Prudential Fixed Maturity Plan-Series 73-366 Days Plan A - Dividend</v>
          </cell>
          <cell r="E14757">
            <v>12.167299999999999</v>
          </cell>
        </row>
        <row r="14758">
          <cell r="B14758" t="str">
            <v>INF109KA14Z9</v>
          </cell>
          <cell r="C14758" t="str">
            <v>-</v>
          </cell>
          <cell r="D14758" t="str">
            <v>ICICI Prudential Fixed Maturity Plan-Series 73-366 Days Plan B - Cumulative</v>
          </cell>
          <cell r="E14758">
            <v>12.896599999999999</v>
          </cell>
        </row>
        <row r="14759">
          <cell r="B14759" t="str">
            <v>INF109KA16Z4</v>
          </cell>
          <cell r="C14759" t="str">
            <v>-</v>
          </cell>
          <cell r="D14759" t="str">
            <v>ICICI Prudential Fixed Maturity Plan-Series 73-366 Days Plan B - Direct Plan - Cumulative</v>
          </cell>
          <cell r="E14759">
            <v>12.930899999999999</v>
          </cell>
        </row>
        <row r="14760">
          <cell r="B14760" t="str">
            <v>INF109KB1078</v>
          </cell>
          <cell r="C14760" t="str">
            <v>-</v>
          </cell>
          <cell r="D14760" t="str">
            <v>ICICI Prudential Fixed Maturity Plan-Series 73-368 Days Plan D - Cumulative</v>
          </cell>
          <cell r="E14760">
            <v>13.9201</v>
          </cell>
        </row>
        <row r="14761">
          <cell r="B14761" t="str">
            <v>INF109KB1094</v>
          </cell>
          <cell r="C14761" t="str">
            <v>-</v>
          </cell>
          <cell r="D14761" t="str">
            <v>ICICI Prudential Fixed Maturity Plan-Series 73-368 Days Plan D - Direct Plan - Cumulative</v>
          </cell>
          <cell r="E14761">
            <v>13.982200000000001</v>
          </cell>
        </row>
        <row r="14762">
          <cell r="B14762" t="str">
            <v>INF109KB1086</v>
          </cell>
          <cell r="C14762" t="str">
            <v>-</v>
          </cell>
          <cell r="D14762" t="str">
            <v>ICICI Prudential Fixed Maturity Plan-Series 73-368 Days Plan D - Dividend</v>
          </cell>
          <cell r="E14762">
            <v>13.8018</v>
          </cell>
        </row>
        <row r="14763">
          <cell r="B14763" t="str">
            <v>INF109KB1516</v>
          </cell>
          <cell r="C14763" t="str">
            <v>-</v>
          </cell>
          <cell r="D14763" t="str">
            <v>ICICI Prudential Fixed Maturity Plan-Series 73-368 Days Plan M - Cumulative</v>
          </cell>
          <cell r="E14763">
            <v>12.784599999999999</v>
          </cell>
        </row>
        <row r="14764">
          <cell r="B14764" t="str">
            <v>INF109KB1532</v>
          </cell>
          <cell r="C14764" t="str">
            <v>-</v>
          </cell>
          <cell r="D14764" t="str">
            <v>ICICI Prudential Fixed Maturity Plan-Series 73-368 Days Plan M - Direct Plan - Cumulative</v>
          </cell>
          <cell r="E14764">
            <v>12.816700000000001</v>
          </cell>
        </row>
        <row r="14765">
          <cell r="B14765" t="str">
            <v>INF109KB1524</v>
          </cell>
          <cell r="C14765" t="str">
            <v>-</v>
          </cell>
          <cell r="D14765" t="str">
            <v>ICICI Prudential Fixed Maturity Plan-Series 73-368 Days Plan M - Dividend</v>
          </cell>
          <cell r="E14765">
            <v>12.725899999999999</v>
          </cell>
        </row>
        <row r="14766">
          <cell r="B14766" t="str">
            <v>INF109KB1599</v>
          </cell>
          <cell r="C14766" t="str">
            <v>-</v>
          </cell>
          <cell r="D14766" t="str">
            <v>ICICI Prudential Fixed Maturity Plan-Series 73-368 Days Plan R - Cumulative</v>
          </cell>
          <cell r="E14766">
            <v>12.781700000000001</v>
          </cell>
        </row>
        <row r="14767">
          <cell r="B14767" t="str">
            <v>INF109KB1615</v>
          </cell>
          <cell r="C14767" t="str">
            <v>-</v>
          </cell>
          <cell r="D14767" t="str">
            <v>ICICI Prudential Fixed Maturity Plan-Series 73-368 Days Plan R - Direct Plan - Cumulative</v>
          </cell>
          <cell r="E14767">
            <v>12.7963</v>
          </cell>
        </row>
        <row r="14768">
          <cell r="B14768" t="str">
            <v>INF109KB1037</v>
          </cell>
          <cell r="C14768" t="str">
            <v>-</v>
          </cell>
          <cell r="D14768" t="str">
            <v>ICICI Prudential Fixed Maturity Plan-Series 73-369 Days Plan H - Cumulative</v>
          </cell>
          <cell r="E14768">
            <v>12.8782</v>
          </cell>
        </row>
        <row r="14769">
          <cell r="B14769" t="str">
            <v>INF109KB1052</v>
          </cell>
          <cell r="C14769" t="str">
            <v>-</v>
          </cell>
          <cell r="D14769" t="str">
            <v>ICICI Prudential Fixed Maturity Plan-Series 73-369 Days Plan H - Direct Plan - Cumulative</v>
          </cell>
          <cell r="E14769">
            <v>12.911300000000001</v>
          </cell>
        </row>
        <row r="14770">
          <cell r="B14770" t="str">
            <v>INF109KB1631</v>
          </cell>
          <cell r="C14770" t="str">
            <v>-</v>
          </cell>
          <cell r="D14770" t="str">
            <v>ICICI Prudential Fixed Maturity Plan-Series 73-369 Days Plan P- Cumulative</v>
          </cell>
          <cell r="E14770">
            <v>12.792999999999999</v>
          </cell>
        </row>
        <row r="14771">
          <cell r="B14771" t="str">
            <v>INF109KB1656</v>
          </cell>
          <cell r="C14771" t="str">
            <v>-</v>
          </cell>
          <cell r="D14771" t="str">
            <v>ICICI Prudential Fixed Maturity Plan-Series 73-369 Days Plan P- Direct Plan - Cumulative</v>
          </cell>
          <cell r="E14771">
            <v>12.817399999999999</v>
          </cell>
        </row>
        <row r="14772">
          <cell r="B14772" t="str">
            <v>INF109KB1649</v>
          </cell>
          <cell r="C14772" t="str">
            <v>-</v>
          </cell>
          <cell r="D14772" t="str">
            <v>ICICI Prudential Fixed Maturity Plan-Series 73-369 Days Plan P- Dividend</v>
          </cell>
          <cell r="E14772">
            <v>12.734299999999999</v>
          </cell>
        </row>
        <row r="14773">
          <cell r="B14773" t="str">
            <v>INF109KB1912</v>
          </cell>
          <cell r="C14773" t="str">
            <v>-</v>
          </cell>
          <cell r="D14773" t="str">
            <v>ICICI Prudential Fixed Maturity Plan-Series 73-369 Days Plan S- Cumulative</v>
          </cell>
          <cell r="E14773">
            <v>13.918100000000001</v>
          </cell>
        </row>
        <row r="14774">
          <cell r="B14774" t="str">
            <v>INF109KB1938</v>
          </cell>
          <cell r="C14774" t="str">
            <v>-</v>
          </cell>
          <cell r="D14774" t="str">
            <v>ICICI Prudential Fixed Maturity Plan-Series 73-369 Days Plan S- Direct Plan - Cumulative</v>
          </cell>
          <cell r="E14774">
            <v>13.9741</v>
          </cell>
        </row>
        <row r="14775">
          <cell r="B14775" t="str">
            <v>INF109KB1920</v>
          </cell>
          <cell r="C14775" t="str">
            <v>-</v>
          </cell>
          <cell r="D14775" t="str">
            <v>ICICI Prudential Fixed Maturity Plan-Series 73-369 Days Plan S- Dividend</v>
          </cell>
          <cell r="E14775">
            <v>12.7514</v>
          </cell>
        </row>
        <row r="14776">
          <cell r="B14776" t="str">
            <v>INF109KB1AL8</v>
          </cell>
          <cell r="C14776" t="str">
            <v>-</v>
          </cell>
          <cell r="D14776" t="str">
            <v>ICICI Prudential Fixed Maturity Plan-Series 73-369 Days Plan T - Cumulative</v>
          </cell>
          <cell r="E14776">
            <v>13.919700000000001</v>
          </cell>
        </row>
        <row r="14777">
          <cell r="B14777" t="str">
            <v>INF109KB1AN4</v>
          </cell>
          <cell r="C14777" t="str">
            <v>-</v>
          </cell>
          <cell r="D14777" t="str">
            <v>ICICI Prudential Fixed Maturity Plan-Series 73-369 Days Plan T - Direct Plan - Cumulative</v>
          </cell>
          <cell r="E14777">
            <v>13.965</v>
          </cell>
        </row>
        <row r="14778">
          <cell r="B14778" t="str">
            <v>INF109KB1AM6</v>
          </cell>
          <cell r="C14778" t="str">
            <v>-</v>
          </cell>
          <cell r="D14778" t="str">
            <v>ICICI Prudential Fixed Maturity Plan-Series 73-369 Days Plan T - Dividend</v>
          </cell>
          <cell r="E14778">
            <v>12.75</v>
          </cell>
        </row>
        <row r="14779">
          <cell r="B14779" t="str">
            <v>INF109KB1AH6</v>
          </cell>
          <cell r="C14779" t="str">
            <v>-</v>
          </cell>
          <cell r="D14779" t="str">
            <v>ICICI Prudential Fixed Maturity Plan-Series 73-376 Days Plan Q - Cumulative</v>
          </cell>
          <cell r="E14779">
            <v>13.9185</v>
          </cell>
        </row>
        <row r="14780">
          <cell r="B14780" t="str">
            <v>INF109KB1AJ2</v>
          </cell>
          <cell r="C14780" t="str">
            <v>-</v>
          </cell>
          <cell r="D14780" t="str">
            <v>ICICI Prudential Fixed Maturity Plan-Series 73-376 Days Plan Q - Direct Plan - Cumulative</v>
          </cell>
          <cell r="E14780">
            <v>13.9786</v>
          </cell>
        </row>
        <row r="14781">
          <cell r="B14781" t="str">
            <v>INF109KB1AI4</v>
          </cell>
          <cell r="C14781" t="str">
            <v>-</v>
          </cell>
          <cell r="D14781" t="str">
            <v>ICICI Prudential Fixed Maturity Plan-Series 73-376 Days Plan Q - Dividend</v>
          </cell>
          <cell r="E14781">
            <v>12.1965</v>
          </cell>
        </row>
        <row r="14782">
          <cell r="B14782" t="str">
            <v>INF109KB1870</v>
          </cell>
          <cell r="C14782" t="str">
            <v>-</v>
          </cell>
          <cell r="D14782" t="str">
            <v>ICICI Prudential Fixed Maturity Plan-Series 73-378 Days Plan N - Cumulative</v>
          </cell>
          <cell r="E14782">
            <v>12.7921</v>
          </cell>
        </row>
        <row r="14783">
          <cell r="B14783" t="str">
            <v>INF109KB1896</v>
          </cell>
          <cell r="C14783" t="str">
            <v>-</v>
          </cell>
          <cell r="D14783" t="str">
            <v>ICICI Prudential Fixed Maturity Plan-Series 73-378 Days Plan N - Direct Plan - Cumulative</v>
          </cell>
          <cell r="E14783">
            <v>12.872299999999999</v>
          </cell>
        </row>
        <row r="14784">
          <cell r="B14784" t="str">
            <v>INF109KB1AP9</v>
          </cell>
          <cell r="C14784" t="str">
            <v>-</v>
          </cell>
          <cell r="D14784" t="str">
            <v>ICICI Prudential Fixed Maturity Plan-Series 73-378 Days Plan O - Cumulative</v>
          </cell>
          <cell r="E14784">
            <v>13.883900000000001</v>
          </cell>
        </row>
        <row r="14785">
          <cell r="B14785" t="str">
            <v>INF109KB1AR5</v>
          </cell>
          <cell r="C14785" t="str">
            <v>-</v>
          </cell>
          <cell r="D14785" t="str">
            <v>ICICI Prudential Fixed Maturity Plan-Series 73-378 Days Plan O - Direct Plan - Cumulative</v>
          </cell>
          <cell r="E14785">
            <v>13.9663</v>
          </cell>
        </row>
        <row r="14786">
          <cell r="B14786" t="str">
            <v>INF109KB1AS3</v>
          </cell>
          <cell r="C14786" t="str">
            <v>-</v>
          </cell>
          <cell r="D14786" t="str">
            <v>ICICI Prudential Fixed Maturity Plan-Series 73-378 Days Plan O - Direct Plan - Dividend</v>
          </cell>
          <cell r="E14786">
            <v>12.8117</v>
          </cell>
        </row>
        <row r="14787">
          <cell r="B14787" t="str">
            <v>INF109KB1AQ7</v>
          </cell>
          <cell r="C14787" t="str">
            <v>-</v>
          </cell>
          <cell r="D14787" t="str">
            <v>ICICI Prudential Fixed Maturity Plan-Series 73-378 Days Plan O - Dividend</v>
          </cell>
          <cell r="E14787">
            <v>12.7562</v>
          </cell>
        </row>
        <row r="14788">
          <cell r="B14788" t="str">
            <v>INF109KB1839</v>
          </cell>
          <cell r="C14788" t="str">
            <v>-</v>
          </cell>
          <cell r="D14788" t="str">
            <v>ICICI Prudential Fixed Maturity Plan-Series 73-383 Days Plan K - Cumulative</v>
          </cell>
          <cell r="E14788">
            <v>13.970800000000001</v>
          </cell>
        </row>
        <row r="14789">
          <cell r="B14789" t="str">
            <v>INF109KB1854</v>
          </cell>
          <cell r="C14789" t="str">
            <v>-</v>
          </cell>
          <cell r="D14789" t="str">
            <v>ICICI Prudential Fixed Maturity Plan-Series 73-383 Days Plan K - Direct Plan - Cumulative</v>
          </cell>
          <cell r="E14789">
            <v>14.053800000000001</v>
          </cell>
        </row>
        <row r="14790">
          <cell r="B14790" t="str">
            <v>INF109KB1847</v>
          </cell>
          <cell r="C14790" t="str">
            <v>-</v>
          </cell>
          <cell r="D14790" t="str">
            <v>ICICI Prudential Fixed Maturity Plan-Series 73-383 Days Plan K - Dividend</v>
          </cell>
          <cell r="E14790">
            <v>12.7844</v>
          </cell>
        </row>
        <row r="14791">
          <cell r="B14791" t="str">
            <v>INF109KB1BJ0</v>
          </cell>
          <cell r="C14791" t="str">
            <v>-</v>
          </cell>
          <cell r="D14791" t="str">
            <v>ICICI Prudential Fixed Maturity Plan-Series 73-390 Days Plan I - Cumulative</v>
          </cell>
          <cell r="E14791">
            <v>13.9537</v>
          </cell>
        </row>
        <row r="14792">
          <cell r="B14792" t="str">
            <v>INF109KB1BL6</v>
          </cell>
          <cell r="C14792" t="str">
            <v>-</v>
          </cell>
          <cell r="D14792" t="str">
            <v>ICICI Prudential Fixed Maturity Plan-Series 73-390 Days Plan I - Direct Plan - Cumulative</v>
          </cell>
          <cell r="E14792">
            <v>14.0436</v>
          </cell>
        </row>
        <row r="14793">
          <cell r="B14793" t="str">
            <v>INF109KB1BK8</v>
          </cell>
          <cell r="C14793" t="str">
            <v>-</v>
          </cell>
          <cell r="D14793" t="str">
            <v>ICICI Prudential Fixed Maturity Plan-Series 73-390 Days Plan I - Dividend</v>
          </cell>
          <cell r="E14793">
            <v>12.7959</v>
          </cell>
        </row>
        <row r="14794">
          <cell r="B14794" t="str">
            <v>INF109KB1797</v>
          </cell>
          <cell r="C14794" t="str">
            <v>-</v>
          </cell>
          <cell r="D14794" t="str">
            <v>ICICI Prudential Fixed Maturity Plan-Series 73-391 Days Plan G - Cumulative</v>
          </cell>
          <cell r="E14794">
            <v>13.846399999999999</v>
          </cell>
        </row>
        <row r="14795">
          <cell r="B14795" t="str">
            <v>INF109KB1813</v>
          </cell>
          <cell r="C14795" t="str">
            <v>-</v>
          </cell>
          <cell r="D14795" t="str">
            <v>ICICI Prudential Fixed Maturity Plan-Series 73-391 Days Plan G - Direct Plan - Cumulative</v>
          </cell>
          <cell r="E14795">
            <v>13.9437</v>
          </cell>
        </row>
        <row r="14796">
          <cell r="B14796" t="str">
            <v>INF109KB1805</v>
          </cell>
          <cell r="C14796" t="str">
            <v>-</v>
          </cell>
          <cell r="D14796" t="str">
            <v>ICICI Prudential Fixed Maturity Plan-Series 73-391 Days Plan G - Dividend</v>
          </cell>
          <cell r="E14796">
            <v>13.1265</v>
          </cell>
        </row>
        <row r="14797">
          <cell r="B14797" t="str">
            <v>INF109KB1755</v>
          </cell>
          <cell r="C14797" t="str">
            <v>-</v>
          </cell>
          <cell r="D14797" t="str">
            <v>ICICI Prudential Fixed Maturity Plan-Series 73-392 Days Plan F - Cumulative</v>
          </cell>
          <cell r="E14797">
            <v>12.888199999999999</v>
          </cell>
        </row>
        <row r="14798">
          <cell r="B14798" t="str">
            <v>INF109KB1771</v>
          </cell>
          <cell r="C14798" t="str">
            <v>-</v>
          </cell>
          <cell r="D14798" t="str">
            <v>ICICI Prudential Fixed Maturity Plan-Series 73-392 Days Plan F - Direct Plan - Cumulative</v>
          </cell>
          <cell r="E14798">
            <v>12.951000000000001</v>
          </cell>
        </row>
        <row r="14799">
          <cell r="B14799" t="str">
            <v>INF109KB1BN2</v>
          </cell>
          <cell r="C14799" t="str">
            <v>-</v>
          </cell>
          <cell r="D14799" t="str">
            <v>ICICI Prudential Fixed Maturity Plan-Series 73-407 Days Plan C - Cumulative</v>
          </cell>
          <cell r="E14799">
            <v>14.0174</v>
          </cell>
        </row>
        <row r="14800">
          <cell r="B14800" t="str">
            <v>INF109KB1BP7</v>
          </cell>
          <cell r="C14800" t="str">
            <v>-</v>
          </cell>
          <cell r="D14800" t="str">
            <v>ICICI Prudential Fixed Maturity Plan-Series 73-407 Days Plan C - Direct Plan - Cumulative</v>
          </cell>
          <cell r="E14800">
            <v>14.1305</v>
          </cell>
        </row>
        <row r="14801">
          <cell r="B14801" t="str">
            <v>INF109KB1BO0</v>
          </cell>
          <cell r="C14801" t="str">
            <v>-</v>
          </cell>
          <cell r="D14801" t="str">
            <v>ICICI Prudential Fixed Maturity Plan-Series 73-407 Days Plan C - Dividend</v>
          </cell>
          <cell r="E14801">
            <v>12.8551</v>
          </cell>
        </row>
        <row r="14802">
          <cell r="B14802" t="str">
            <v>INF109KB1XP1</v>
          </cell>
          <cell r="C14802" t="str">
            <v>-</v>
          </cell>
          <cell r="D14802" t="str">
            <v>ICICI Prudential Fixed Maturity Plan-Series 73-830 Days Plan J - Cumulative</v>
          </cell>
          <cell r="E14802">
            <v>13.209300000000001</v>
          </cell>
        </row>
        <row r="14803">
          <cell r="B14803" t="str">
            <v>INF109KB1XR7</v>
          </cell>
          <cell r="C14803" t="str">
            <v>-</v>
          </cell>
          <cell r="D14803" t="str">
            <v>ICICI Prudential Fixed Maturity Plan-Series 73-830 Days Plan J - Direct Plan - Cumulative</v>
          </cell>
          <cell r="E14803">
            <v>13.338800000000001</v>
          </cell>
        </row>
        <row r="14804">
          <cell r="B14804" t="str">
            <v>INF109KB1XS5</v>
          </cell>
          <cell r="C14804" t="str">
            <v>-</v>
          </cell>
          <cell r="D14804" t="str">
            <v>ICICI Prudential Fixed Maturity Plan-Series 73-830 Days Plan J - Direct Plan - Dividend</v>
          </cell>
          <cell r="E14804">
            <v>12.4137</v>
          </cell>
        </row>
        <row r="14805">
          <cell r="B14805" t="str">
            <v>INF109KB1XQ9</v>
          </cell>
          <cell r="C14805" t="str">
            <v>-</v>
          </cell>
          <cell r="D14805" t="str">
            <v>ICICI Prudential Fixed Maturity Plan-Series 73-830 Days Plan J - Dividend</v>
          </cell>
          <cell r="E14805">
            <v>12.3287</v>
          </cell>
        </row>
        <row r="14806">
          <cell r="B14806" t="str">
            <v>INF109KB1GV4</v>
          </cell>
          <cell r="C14806" t="str">
            <v>-</v>
          </cell>
          <cell r="D14806" t="str">
            <v>ICICI Prudential Fixed Maturity Plan -Series 74 -368 Days Plan R Cumulative Option</v>
          </cell>
          <cell r="E14806">
            <v>12.860099999999999</v>
          </cell>
        </row>
        <row r="14807">
          <cell r="B14807" t="str">
            <v>INF109KB1GT8</v>
          </cell>
          <cell r="C14807" t="str">
            <v>-</v>
          </cell>
          <cell r="D14807" t="str">
            <v>ICICI Prudential Fixed Maturity Plan -Series 74 -368 Days Plan R Direct Plan Cumulative Option</v>
          </cell>
          <cell r="E14807">
            <v>12.886200000000001</v>
          </cell>
        </row>
        <row r="14808">
          <cell r="B14808" t="str">
            <v>INF109KB1GU6</v>
          </cell>
          <cell r="C14808" t="str">
            <v>-</v>
          </cell>
          <cell r="D14808" t="str">
            <v>ICICI Prudential Fixed Maturity Plan -Series 74 -368 Days Plan R Direct Plan Dividend Option</v>
          </cell>
          <cell r="E14808">
            <v>10.6233</v>
          </cell>
        </row>
        <row r="14809">
          <cell r="B14809" t="str">
            <v>INF109KB1GW2</v>
          </cell>
          <cell r="C14809" t="str">
            <v>-</v>
          </cell>
          <cell r="D14809" t="str">
            <v>ICICI Prudential Fixed Maturity Plan-Series 74-368 Days Plan R Dividend Option</v>
          </cell>
          <cell r="E14809">
            <v>12.481400000000001</v>
          </cell>
        </row>
        <row r="14810">
          <cell r="B14810" t="str">
            <v>INF109KB1GJ9</v>
          </cell>
          <cell r="C14810" t="str">
            <v>-</v>
          </cell>
          <cell r="D14810" t="str">
            <v>ICICI Prudential Fixed Maturity Plan - Series 74 - 370 Days Plan Q Cumulative Option</v>
          </cell>
          <cell r="E14810">
            <v>12.859299999999999</v>
          </cell>
        </row>
        <row r="14811">
          <cell r="B14811" t="str">
            <v>INF109KB1GH3</v>
          </cell>
          <cell r="C14811" t="str">
            <v>-</v>
          </cell>
          <cell r="D14811" t="str">
            <v>ICICI Prudential Fixed Maturity Plan - Series 74 -370 Days Plan Q Direct Plan Cumulative Option</v>
          </cell>
          <cell r="E14811">
            <v>12.8848</v>
          </cell>
        </row>
        <row r="14812">
          <cell r="B14812" t="str">
            <v>INF109KB1GI1</v>
          </cell>
          <cell r="C14812" t="str">
            <v>-</v>
          </cell>
          <cell r="D14812" t="str">
            <v>ICICI Prudential Fixed Maturity Plan -Series 74 -370 Days Plan Q Direct Plan Dividend Option</v>
          </cell>
          <cell r="E14812">
            <v>12.825699999999999</v>
          </cell>
        </row>
        <row r="14813">
          <cell r="B14813" t="str">
            <v>INF109KB1GK7</v>
          </cell>
          <cell r="C14813" t="str">
            <v>-</v>
          </cell>
          <cell r="D14813" t="str">
            <v>ICICI Prudential Fixed Maturity Plan -Series 74 -370 Days Plan Q Dividend Option</v>
          </cell>
          <cell r="E14813">
            <v>12.8002</v>
          </cell>
        </row>
        <row r="14814">
          <cell r="B14814" t="str">
            <v>INF109KA1TH7</v>
          </cell>
          <cell r="C14814" t="str">
            <v>-</v>
          </cell>
          <cell r="D14814" t="str">
            <v>ICICI Prudential Fixed Maturity Plan-Series 74-1092 Days Plan G - Cumulative</v>
          </cell>
          <cell r="E14814">
            <v>13.1435</v>
          </cell>
        </row>
        <row r="14815">
          <cell r="B14815" t="str">
            <v>INF109KA1TJ3</v>
          </cell>
          <cell r="C14815" t="str">
            <v>-</v>
          </cell>
          <cell r="D14815" t="str">
            <v>ICICI Prudential Fixed Maturity Plan-Series 74-1092 Days Plan G - Direct Plan - Cumulative</v>
          </cell>
          <cell r="E14815">
            <v>13.309200000000001</v>
          </cell>
        </row>
        <row r="14816">
          <cell r="B14816" t="str">
            <v>INF109KA1TK1</v>
          </cell>
          <cell r="C14816" t="str">
            <v>-</v>
          </cell>
          <cell r="D14816" t="str">
            <v>ICICI Prudential Fixed Maturity Plan-Series 74-1092 Days Plan G - Direct Plan - Dividend</v>
          </cell>
          <cell r="E14816">
            <v>12.5647</v>
          </cell>
        </row>
        <row r="14817">
          <cell r="B14817" t="str">
            <v>INF109KA1TI5</v>
          </cell>
          <cell r="C14817" t="str">
            <v>-</v>
          </cell>
          <cell r="D14817" t="str">
            <v>ICICI Prudential Fixed Maturity Plan-Series 74-1092 Days Plan G - Dividend</v>
          </cell>
          <cell r="E14817">
            <v>12.4345</v>
          </cell>
        </row>
        <row r="14818">
          <cell r="B14818" t="str">
            <v>INF109KA1VB6</v>
          </cell>
          <cell r="C14818" t="str">
            <v>-</v>
          </cell>
          <cell r="D14818" t="str">
            <v>ICICI Prudential Fixed Maturity Plan - Series 74 - 1092 Days Plan P - Cumulative Option</v>
          </cell>
          <cell r="E14818">
            <v>13.0718</v>
          </cell>
        </row>
        <row r="14819">
          <cell r="B14819" t="str">
            <v>INF109KA1VC4</v>
          </cell>
          <cell r="C14819" t="str">
            <v>-</v>
          </cell>
          <cell r="D14819" t="str">
            <v>ICICI Prudential Fixed Maturity Plan - Series 74 - 1092 Days Plan P - Dividend Option</v>
          </cell>
          <cell r="E14819">
            <v>12.4108</v>
          </cell>
        </row>
        <row r="14820">
          <cell r="B14820" t="str">
            <v>INF109KA1VE0</v>
          </cell>
          <cell r="C14820" t="str">
            <v>-</v>
          </cell>
          <cell r="D14820" t="str">
            <v>ICICI Prudential Fixed Maturity Plan - Series 74 - 1092 Days Plan P Direct Plan Dividend Option</v>
          </cell>
          <cell r="E14820">
            <v>12.5101</v>
          </cell>
        </row>
        <row r="14821">
          <cell r="B14821" t="str">
            <v>INF109KA1VD2</v>
          </cell>
          <cell r="C14821" t="str">
            <v>-</v>
          </cell>
          <cell r="D14821" t="str">
            <v>ICICI Prudential Fixed Maturity Plan - Series 74 - 1092 Days Plan P Direct Plan-Cumulative Option</v>
          </cell>
          <cell r="E14821">
            <v>13.19</v>
          </cell>
        </row>
        <row r="14822">
          <cell r="B14822" t="str">
            <v>INF109KB1CP5</v>
          </cell>
          <cell r="C14822" t="str">
            <v>-</v>
          </cell>
          <cell r="D14822" t="str">
            <v>ICICI Prudential Fixed Maturity Plan-Series 74-367 Days Plan C - Cumulative</v>
          </cell>
          <cell r="E14822">
            <v>13.798299999999999</v>
          </cell>
        </row>
        <row r="14823">
          <cell r="B14823" t="str">
            <v>INF109KB1CR1</v>
          </cell>
          <cell r="C14823" t="str">
            <v>-</v>
          </cell>
          <cell r="D14823" t="str">
            <v>ICICI Prudential Fixed Maturity Plan-Series 74-367 Days Plan C - Direct Plan - Cumulative</v>
          </cell>
          <cell r="E14823">
            <v>13.8415</v>
          </cell>
        </row>
        <row r="14824">
          <cell r="B14824" t="str">
            <v>INF109KB1CQ3</v>
          </cell>
          <cell r="C14824" t="str">
            <v>-</v>
          </cell>
          <cell r="D14824" t="str">
            <v>ICICI Prudential Fixed Maturity Plan-Series 74-367 Days Plan C - Dividend</v>
          </cell>
          <cell r="E14824">
            <v>12.176</v>
          </cell>
        </row>
        <row r="14825">
          <cell r="B14825" t="str">
            <v>INF109KB1DY5</v>
          </cell>
          <cell r="C14825" t="str">
            <v>-</v>
          </cell>
          <cell r="D14825" t="str">
            <v>ICICI Prudential Fixed Maturity Plan-Series 74-367 Days Plan D - Cumulative</v>
          </cell>
          <cell r="E14825">
            <v>12.974</v>
          </cell>
        </row>
        <row r="14826">
          <cell r="B14826" t="str">
            <v>INF109KB1EK2</v>
          </cell>
          <cell r="C14826" t="str">
            <v>-</v>
          </cell>
          <cell r="D14826" t="str">
            <v>ICICI Prudential Fixed Maturity Plan-Series 74-367 Days Plan D - Direct Plan - Cumulative</v>
          </cell>
          <cell r="E14826">
            <v>13.0189</v>
          </cell>
        </row>
        <row r="14827">
          <cell r="B14827" t="str">
            <v>INF109KB1DZ2</v>
          </cell>
          <cell r="C14827" t="str">
            <v>-</v>
          </cell>
          <cell r="D14827" t="str">
            <v>ICICI Prudential Fixed Maturity Plan-Series 74-367 Days Plan D - Dividend</v>
          </cell>
          <cell r="E14827">
            <v>12.4361</v>
          </cell>
        </row>
        <row r="14828">
          <cell r="B14828" t="str">
            <v>INF109KB1DV1</v>
          </cell>
          <cell r="C14828" t="str">
            <v>-</v>
          </cell>
          <cell r="D14828" t="str">
            <v>ICICI Prudential Fixed Maturity Plan Series 74 368 Days Plan H Cumulative Option</v>
          </cell>
          <cell r="E14828">
            <v>12.9674</v>
          </cell>
        </row>
        <row r="14829">
          <cell r="B14829" t="str">
            <v>INF109KB1DW9</v>
          </cell>
          <cell r="C14829" t="str">
            <v>-</v>
          </cell>
          <cell r="D14829" t="str">
            <v>ICICI Prudential Fixed Maturity Plan Series 74 368 Days Plan H Direct Plan Cumulative Option</v>
          </cell>
          <cell r="E14829">
            <v>12.9978</v>
          </cell>
        </row>
        <row r="14830">
          <cell r="B14830" t="str">
            <v>INF109KB1EJ4</v>
          </cell>
          <cell r="C14830" t="str">
            <v>-</v>
          </cell>
          <cell r="D14830" t="str">
            <v>ICICI Prudential Fixed Maturity Plan Series 74 368 Days Plan H Dividend Option</v>
          </cell>
          <cell r="E14830">
            <v>12.907999999999999</v>
          </cell>
        </row>
        <row r="14831">
          <cell r="B14831" t="str">
            <v>INF109KB1EX5</v>
          </cell>
          <cell r="C14831" t="str">
            <v>-</v>
          </cell>
          <cell r="D14831" t="str">
            <v>ICICI Prudential Fixed Maturity Plan -Series 74 -368 Days Plan J Cumulative Option</v>
          </cell>
          <cell r="E14831">
            <v>12.950200000000001</v>
          </cell>
        </row>
        <row r="14832">
          <cell r="B14832" t="str">
            <v>INF109KB1FA0</v>
          </cell>
          <cell r="C14832" t="str">
            <v>-</v>
          </cell>
          <cell r="D14832" t="str">
            <v>ICICI Prudential Fixed Maturity Plan -Series 74 -368 Days Plan J Direct Plan Dividend Option</v>
          </cell>
          <cell r="E14832">
            <v>12.9222</v>
          </cell>
        </row>
        <row r="14833">
          <cell r="B14833" t="str">
            <v>INF109KB1EZ0</v>
          </cell>
          <cell r="C14833" t="str">
            <v>-</v>
          </cell>
          <cell r="D14833" t="str">
            <v>ICICI Prudential Fixed Maturity Plan -Series 74 -368 Days Plan J Direct Plan-Cumulative Option</v>
          </cell>
          <cell r="E14833">
            <v>12.9816</v>
          </cell>
        </row>
        <row r="14834">
          <cell r="B14834" t="str">
            <v>INF109KB1EY3</v>
          </cell>
          <cell r="C14834" t="str">
            <v>-</v>
          </cell>
          <cell r="D14834" t="str">
            <v>ICICI Prudential Fixed Maturity Plan -Series 74 -368 Days Plan J Dividend Option</v>
          </cell>
          <cell r="E14834">
            <v>12.8908</v>
          </cell>
        </row>
        <row r="14835">
          <cell r="B14835" t="str">
            <v>INF109KB1CT7</v>
          </cell>
          <cell r="C14835" t="str">
            <v>-</v>
          </cell>
          <cell r="D14835" t="str">
            <v>ICICI Prudential Fixed Maturity Plan-Series 74-369 Days Plan B - Cumulative</v>
          </cell>
          <cell r="E14835">
            <v>13.8978</v>
          </cell>
        </row>
        <row r="14836">
          <cell r="B14836" t="str">
            <v>INF109KB1CV3</v>
          </cell>
          <cell r="C14836" t="str">
            <v>-</v>
          </cell>
          <cell r="D14836" t="str">
            <v>ICICI Prudential Fixed Maturity Plan-Series 74-369 Days Plan B - Direct Plan - Cumulative</v>
          </cell>
          <cell r="E14836">
            <v>13.961600000000001</v>
          </cell>
        </row>
        <row r="14837">
          <cell r="B14837" t="str">
            <v>INF109KB1CW1</v>
          </cell>
          <cell r="C14837" t="str">
            <v>-</v>
          </cell>
          <cell r="D14837" t="str">
            <v>ICICI Prudential Fixed Maturity Plan-Series 74-369 Days Plan B - Direct Plan - Dividend</v>
          </cell>
          <cell r="E14837">
            <v>13.8436</v>
          </cell>
        </row>
        <row r="14838">
          <cell r="B14838" t="str">
            <v>INF109KB1CU5</v>
          </cell>
          <cell r="C14838" t="str">
            <v>-</v>
          </cell>
          <cell r="D14838" t="str">
            <v>ICICI Prudential Fixed Maturity Plan-Series 74-369 Days Plan B - Dividend</v>
          </cell>
          <cell r="E14838">
            <v>13.780099999999999</v>
          </cell>
        </row>
        <row r="14839">
          <cell r="B14839" t="str">
            <v>INF109KB1CX9</v>
          </cell>
          <cell r="C14839" t="str">
            <v>-</v>
          </cell>
          <cell r="D14839" t="str">
            <v>ICICI Prudential Fixed Maturity Plan-Series 74-369 Days Plan F - Cumulative</v>
          </cell>
          <cell r="E14839">
            <v>13.8231</v>
          </cell>
        </row>
        <row r="14840">
          <cell r="B14840" t="str">
            <v>INF109KB1CZ4</v>
          </cell>
          <cell r="C14840" t="str">
            <v>-</v>
          </cell>
          <cell r="D14840" t="str">
            <v>ICICI Prudential Fixed Maturity Plan-Series 74-369 Days Plan F - Direct Plan - Cumulative</v>
          </cell>
          <cell r="E14840">
            <v>13.871700000000001</v>
          </cell>
        </row>
        <row r="14841">
          <cell r="B14841" t="str">
            <v>INF109KB1FB8</v>
          </cell>
          <cell r="C14841" t="str">
            <v>-</v>
          </cell>
          <cell r="D14841" t="str">
            <v>ICICI Prudential Fixed Maturity Plan -Series 74 -369 Days Plan I - Cumulative Option</v>
          </cell>
          <cell r="E14841">
            <v>12.9887</v>
          </cell>
        </row>
        <row r="14842">
          <cell r="B14842" t="str">
            <v>INF109KB1FC6</v>
          </cell>
          <cell r="C14842" t="str">
            <v>-</v>
          </cell>
          <cell r="D14842" t="str">
            <v>ICICI Prudential Fixed Maturity Plan -Series 74 -369 Days Plan I - Dividend Option</v>
          </cell>
          <cell r="E14842">
            <v>10.930199999999999</v>
          </cell>
        </row>
        <row r="14843">
          <cell r="B14843" t="str">
            <v>INF109KB1FE2</v>
          </cell>
          <cell r="C14843" t="str">
            <v>-</v>
          </cell>
          <cell r="D14843" t="str">
            <v>ICICI Prudential Fixed Maturity Plan -Series 74 -369 Days Plan I Direct Plan Dividend Option</v>
          </cell>
          <cell r="E14843">
            <v>12.9655</v>
          </cell>
        </row>
        <row r="14844">
          <cell r="B14844" t="str">
            <v>INF109KB1FD4</v>
          </cell>
          <cell r="C14844" t="str">
            <v>-</v>
          </cell>
          <cell r="D14844" t="str">
            <v>ICICI Prudential Fixed Maturity Plan -Series 74-369 Days Plan I Direct Plan Cumulative Option</v>
          </cell>
          <cell r="E14844">
            <v>13.0251</v>
          </cell>
        </row>
        <row r="14845">
          <cell r="B14845" t="str">
            <v>INF109KB1FM5</v>
          </cell>
          <cell r="C14845" t="str">
            <v>-</v>
          </cell>
          <cell r="D14845" t="str">
            <v>ICICI Prudential Fixed Maturity Plan - Series 74 - 369 Days Plan K - Cumulative Option</v>
          </cell>
          <cell r="E14845">
            <v>12.9072</v>
          </cell>
        </row>
        <row r="14846">
          <cell r="B14846" t="str">
            <v>INF109KB1FJ1</v>
          </cell>
          <cell r="C14846" t="str">
            <v>-</v>
          </cell>
          <cell r="D14846" t="str">
            <v>ICICI Prudential Fixed Maturity Plan - Series 74 - 369 Days Plan K Direct Plan Dividend Option</v>
          </cell>
          <cell r="E14846">
            <v>10.9092</v>
          </cell>
        </row>
        <row r="14847">
          <cell r="B14847" t="str">
            <v>INF109KB1FL7</v>
          </cell>
          <cell r="C14847" t="str">
            <v>-</v>
          </cell>
          <cell r="D14847" t="str">
            <v>ICICI Prudential Fixed Maturity Plan -Series 74 - 369 Days Plan K - Dividend Option</v>
          </cell>
          <cell r="E14847">
            <v>12.848000000000001</v>
          </cell>
        </row>
        <row r="14848">
          <cell r="B14848" t="str">
            <v>INF109KB1FK9</v>
          </cell>
          <cell r="C14848" t="str">
            <v>-</v>
          </cell>
          <cell r="D14848" t="str">
            <v>ICICI Prudential Fixed Maturity Plan -Series 74 -369 Days Plan K Direct Plan Cumulative Option</v>
          </cell>
          <cell r="E14848">
            <v>12.938700000000001</v>
          </cell>
        </row>
        <row r="14849">
          <cell r="B14849" t="str">
            <v>INF109KB1GR2</v>
          </cell>
          <cell r="C14849" t="str">
            <v>-</v>
          </cell>
          <cell r="D14849" t="str">
            <v>ICICI Prudential Fixed Maturity Plan -Series 74 -369 Days Plan L - Cumulative Option</v>
          </cell>
          <cell r="E14849">
            <v>12.8812</v>
          </cell>
        </row>
        <row r="14850">
          <cell r="B14850" t="str">
            <v>INF109KB1GS0</v>
          </cell>
          <cell r="C14850" t="str">
            <v>-</v>
          </cell>
          <cell r="D14850" t="str">
            <v>ICICI Prudential Fixed Maturity Plan -Series 74 -369 Days Plan L - Dividend Option</v>
          </cell>
          <cell r="E14850">
            <v>12.8233</v>
          </cell>
        </row>
        <row r="14851">
          <cell r="B14851" t="str">
            <v>INF109KB1GP6</v>
          </cell>
          <cell r="C14851" t="str">
            <v>-</v>
          </cell>
          <cell r="D14851" t="str">
            <v>ICICI Prudential Fixed Maturity Plan -Series 74 -369 Days Plan L Direct Plan Cumulative Option</v>
          </cell>
          <cell r="E14851">
            <v>12.904299999999999</v>
          </cell>
        </row>
        <row r="14852">
          <cell r="B14852" t="str">
            <v>INF109KB1GQ4</v>
          </cell>
          <cell r="C14852" t="str">
            <v>-</v>
          </cell>
          <cell r="D14852" t="str">
            <v>ICICI Prudential Fixed Maturity Plan-Series 74- 369 Days Plan L Direct Plan Dividend Option</v>
          </cell>
          <cell r="E14852">
            <v>10.9025</v>
          </cell>
        </row>
        <row r="14853">
          <cell r="B14853" t="str">
            <v>INF109KB1CL4</v>
          </cell>
          <cell r="C14853" t="str">
            <v>-</v>
          </cell>
          <cell r="D14853" t="str">
            <v>ICICI Prudential Fixed Maturity Plan-Series 74-370 Days Plan A - Cumulative</v>
          </cell>
          <cell r="E14853">
            <v>13.866199999999999</v>
          </cell>
        </row>
        <row r="14854">
          <cell r="B14854" t="str">
            <v>INF109KB1CN0</v>
          </cell>
          <cell r="C14854" t="str">
            <v>-</v>
          </cell>
          <cell r="D14854" t="str">
            <v>ICICI Prudential Fixed Maturity Plan-Series 74-370 Days Plan A - Direct Plan - Cumulative</v>
          </cell>
          <cell r="E14854">
            <v>13.900399999999999</v>
          </cell>
        </row>
        <row r="14855">
          <cell r="B14855" t="str">
            <v>INF109KB1CO8</v>
          </cell>
          <cell r="C14855" t="str">
            <v>-</v>
          </cell>
          <cell r="D14855" t="str">
            <v>ICICI Prudential Fixed Maturity Plan-Series 74-370 Days Plan A - Direct Plan - Dividend</v>
          </cell>
          <cell r="E14855">
            <v>12.738799999999999</v>
          </cell>
        </row>
        <row r="14856">
          <cell r="B14856" t="str">
            <v>INF109KB1CM2</v>
          </cell>
          <cell r="C14856" t="str">
            <v>-</v>
          </cell>
          <cell r="D14856" t="str">
            <v>ICICI Prudential Fixed Maturity Plan-Series 74-370 Days Plan A - Dividend</v>
          </cell>
          <cell r="E14856">
            <v>12.703900000000001</v>
          </cell>
        </row>
        <row r="14857">
          <cell r="B14857" t="str">
            <v>INF109KB1HV2</v>
          </cell>
          <cell r="C14857" t="str">
            <v>-</v>
          </cell>
          <cell r="D14857" t="str">
            <v>ICICI Prudential Fixed Maturity Plan -Series 74 -370 Days Plan S  Cumulative Option</v>
          </cell>
          <cell r="E14857">
            <v>12.783300000000001</v>
          </cell>
        </row>
        <row r="14858">
          <cell r="B14858" t="str">
            <v>INF109KB1HX8</v>
          </cell>
          <cell r="C14858" t="str">
            <v>-</v>
          </cell>
          <cell r="D14858" t="str">
            <v>ICICI Prudential Fixed Maturity Plan -Series 74 -370 Days Plan S Direct Plan Cumulative Option</v>
          </cell>
          <cell r="E14858">
            <v>12.8002</v>
          </cell>
        </row>
        <row r="14859">
          <cell r="B14859" t="str">
            <v>INF109KB1HY6</v>
          </cell>
          <cell r="C14859" t="str">
            <v>-</v>
          </cell>
          <cell r="D14859" t="str">
            <v>ICICI Prudential Fixed Maturity Plan -Series 74 -370 Days Plan S Direct Plan Dividend Option</v>
          </cell>
          <cell r="E14859">
            <v>12.4505</v>
          </cell>
        </row>
        <row r="14860">
          <cell r="B14860" t="str">
            <v>INF109KB1HW0</v>
          </cell>
          <cell r="C14860" t="str">
            <v>-</v>
          </cell>
          <cell r="D14860" t="str">
            <v>ICICI Prudential Fixed Maturity Plan -Series 74 -370 Days Plan S Dividend Option</v>
          </cell>
          <cell r="E14860">
            <v>12.4358</v>
          </cell>
        </row>
        <row r="14861">
          <cell r="B14861" t="str">
            <v>INF109KB1ON5</v>
          </cell>
          <cell r="C14861" t="str">
            <v>-</v>
          </cell>
          <cell r="D14861" t="str">
            <v>ICICI Prudential Multiple Yield Fund - Series 10 - 1775 Days Plan A Cumulative Option</v>
          </cell>
          <cell r="E14861">
            <v>13.89</v>
          </cell>
        </row>
        <row r="14862">
          <cell r="B14862" t="str">
            <v>INF109KB1OP0</v>
          </cell>
          <cell r="C14862" t="str">
            <v>-</v>
          </cell>
          <cell r="D14862" t="str">
            <v>ICICI Prudential Multiple Yield Fund - Series 10 - 1775 Days Plan A Direct Plan Cumulative Option</v>
          </cell>
          <cell r="E14862">
            <v>14.2742</v>
          </cell>
        </row>
        <row r="14863">
          <cell r="B14863" t="str">
            <v>INF109KB1OQ8</v>
          </cell>
          <cell r="C14863" t="str">
            <v>-</v>
          </cell>
          <cell r="D14863" t="str">
            <v>ICICI Prudential Multiple Yield Fund - Series 10 - 1775 Days Plan A Direct Plan Dividend Option</v>
          </cell>
          <cell r="E14863">
            <v>14.2742</v>
          </cell>
        </row>
        <row r="14864">
          <cell r="B14864" t="str">
            <v>INF109KB1OO3</v>
          </cell>
          <cell r="C14864" t="str">
            <v>-</v>
          </cell>
          <cell r="D14864" t="str">
            <v>ICICI Prudential Multiple Yield Fund - Series 10 - 1775 Days Plan A Dividend Option</v>
          </cell>
          <cell r="E14864">
            <v>13.89</v>
          </cell>
        </row>
        <row r="14865">
          <cell r="B14865" t="str">
            <v>INF109KB1PD3</v>
          </cell>
          <cell r="C14865" t="str">
            <v>-</v>
          </cell>
          <cell r="D14865" t="str">
            <v>ICICI Prudential Multiple Yield Fund - Series 10 - 1825 Days Plan B Cumulative Option</v>
          </cell>
          <cell r="E14865">
            <v>14.2247</v>
          </cell>
        </row>
        <row r="14866">
          <cell r="B14866" t="str">
            <v>INF109KB1PE1</v>
          </cell>
          <cell r="C14866" t="str">
            <v>-</v>
          </cell>
          <cell r="D14866" t="str">
            <v>ICICI Prudential Multiple Yield Fund - Series 10 - 1825 Days Plan B Direct Plan Cumulative Option</v>
          </cell>
          <cell r="E14866">
            <v>15.0573</v>
          </cell>
        </row>
        <row r="14867">
          <cell r="B14867" t="str">
            <v>INF109KB1PF8</v>
          </cell>
          <cell r="C14867" t="str">
            <v>-</v>
          </cell>
          <cell r="D14867" t="str">
            <v>ICICI Prudential Multiple Yield Fund - Series 10 - 1825 Days Plan B Direct Plan Dividend Option</v>
          </cell>
          <cell r="E14867">
            <v>15.0573</v>
          </cell>
        </row>
        <row r="14868">
          <cell r="B14868" t="str">
            <v>INF109KB1PG6</v>
          </cell>
          <cell r="C14868" t="str">
            <v>-</v>
          </cell>
          <cell r="D14868" t="str">
            <v>ICICI Prudential Multiple Yield Fund - Series 10 - 1825 Days Plan B Dividend Option</v>
          </cell>
          <cell r="E14868">
            <v>14.2247</v>
          </cell>
        </row>
        <row r="14869">
          <cell r="B14869" t="str">
            <v>INF109KB1YE3</v>
          </cell>
          <cell r="C14869" t="str">
            <v>-</v>
          </cell>
          <cell r="D14869" t="str">
            <v>ICICI Prudential Multiple Yield Fund - Series 11 - Plan A 1427 Days Cumulative Option</v>
          </cell>
          <cell r="E14869">
            <v>12.926299999999999</v>
          </cell>
        </row>
        <row r="14870">
          <cell r="B14870" t="str">
            <v>INF109KB1YC7</v>
          </cell>
          <cell r="C14870" t="str">
            <v>-</v>
          </cell>
          <cell r="D14870" t="str">
            <v>ICICI Prudential Multiple Yield Fund - Series 11 - Plan A 1427 Days Direct Plan Cumulative Option</v>
          </cell>
          <cell r="E14870">
            <v>13.4892</v>
          </cell>
        </row>
        <row r="14871">
          <cell r="B14871" t="str">
            <v>INF109KB1YD5</v>
          </cell>
          <cell r="C14871" t="str">
            <v>-</v>
          </cell>
          <cell r="D14871" t="str">
            <v>ICICI Prudential Multiple Yield Fund - Series 11 - Plan A 1427 Days Direct Plan Dividend Option</v>
          </cell>
          <cell r="E14871">
            <v>13.4892</v>
          </cell>
        </row>
        <row r="14872">
          <cell r="B14872" t="str">
            <v>INF109KB1YF0</v>
          </cell>
          <cell r="C14872" t="str">
            <v>-</v>
          </cell>
          <cell r="D14872" t="str">
            <v>ICICI Prudential Multiple Yield Fund - Series 11 - Plan A 1427 Days Dividend Option</v>
          </cell>
          <cell r="E14872">
            <v>12.926299999999999</v>
          </cell>
        </row>
        <row r="14873">
          <cell r="B14873" t="str">
            <v>INF109KB1ZW2</v>
          </cell>
          <cell r="C14873" t="str">
            <v>-</v>
          </cell>
          <cell r="D14873" t="str">
            <v>ICICI Prudential Multiple Yield Fund - Series 11 - Plan B 1394 Days Cumulative Option</v>
          </cell>
          <cell r="E14873">
            <v>12.576499999999999</v>
          </cell>
        </row>
        <row r="14874">
          <cell r="B14874" t="str">
            <v>INF109KB1ZU6</v>
          </cell>
          <cell r="C14874" t="str">
            <v>-</v>
          </cell>
          <cell r="D14874" t="str">
            <v>ICICI Prudential Multiple Yield Fund - Series 11 - Plan B 1394 Days Direct Plan Cumulative Option</v>
          </cell>
          <cell r="E14874">
            <v>13.029</v>
          </cell>
        </row>
        <row r="14875">
          <cell r="B14875" t="str">
            <v>INF109KB1ZV4</v>
          </cell>
          <cell r="C14875" t="str">
            <v>-</v>
          </cell>
          <cell r="D14875" t="str">
            <v>ICICI Prudential Multiple Yield Fund - Series 11 - Plan B 1394 Days Direct Plan Dividend Option</v>
          </cell>
          <cell r="E14875">
            <v>13.029</v>
          </cell>
        </row>
        <row r="14876">
          <cell r="B14876" t="str">
            <v>INF109KB1ZX0</v>
          </cell>
          <cell r="C14876" t="str">
            <v>-</v>
          </cell>
          <cell r="D14876" t="str">
            <v>ICICI Prudential Multiple Yield Fund - Series 11 - Plan B 1394 Days Dividend Option</v>
          </cell>
          <cell r="E14876">
            <v>12.576499999999999</v>
          </cell>
        </row>
        <row r="14877">
          <cell r="B14877" t="str">
            <v>INF109KB1G50</v>
          </cell>
          <cell r="C14877" t="str">
            <v>-</v>
          </cell>
          <cell r="D14877" t="str">
            <v>ICICI Prudential Multiple Yield Fund - Series 11 - Plan C 1387 Days Cumulative Option</v>
          </cell>
          <cell r="E14877">
            <v>12.209099999999999</v>
          </cell>
        </row>
        <row r="14878">
          <cell r="B14878" t="str">
            <v>INF109KB1G35</v>
          </cell>
          <cell r="C14878" t="str">
            <v>-</v>
          </cell>
          <cell r="D14878" t="str">
            <v>ICICI Prudential Multiple Yield Fund - Series 11 - Plan C 1387 Days Direct Plan Cumulative Option</v>
          </cell>
          <cell r="E14878">
            <v>12.6591</v>
          </cell>
        </row>
        <row r="14879">
          <cell r="B14879" t="str">
            <v>INF109KB1G27</v>
          </cell>
          <cell r="C14879" t="str">
            <v>-</v>
          </cell>
          <cell r="D14879" t="str">
            <v>ICICI Prudential Multiple Yield Fund - Series 11 - Plan C 1387 Days Direct Plan Dividend Option</v>
          </cell>
          <cell r="E14879">
            <v>12.6591</v>
          </cell>
        </row>
        <row r="14880">
          <cell r="B14880" t="str">
            <v>INF109KB1G43</v>
          </cell>
          <cell r="C14880" t="str">
            <v>-</v>
          </cell>
          <cell r="D14880" t="str">
            <v>ICICI Prudential Multiple Yield Fund - Series 11 - Plan C 1387 Days Dividend Option</v>
          </cell>
          <cell r="E14880">
            <v>12.209099999999999</v>
          </cell>
        </row>
        <row r="14881">
          <cell r="B14881" t="str">
            <v>INF109KB1J24</v>
          </cell>
          <cell r="C14881" t="str">
            <v>-</v>
          </cell>
          <cell r="D14881" t="str">
            <v>ICICI Prudential Multiple Yield Fund - Series 11 - Plan D 1361 Days - Cumulative Option</v>
          </cell>
          <cell r="E14881">
            <v>12.269500000000001</v>
          </cell>
        </row>
        <row r="14882">
          <cell r="B14882" t="str">
            <v>INF109KB1J08</v>
          </cell>
          <cell r="C14882" t="str">
            <v>-</v>
          </cell>
          <cell r="D14882" t="str">
            <v>ICICI Prudential Multiple Yield Fund - Series 11 - Plan D 1361 Days - Direct Plan - Cumulative Option</v>
          </cell>
          <cell r="E14882">
            <v>12.736599999999999</v>
          </cell>
        </row>
        <row r="14883">
          <cell r="B14883" t="str">
            <v>INF109KB1J16</v>
          </cell>
          <cell r="C14883" t="str">
            <v>-</v>
          </cell>
          <cell r="D14883" t="str">
            <v>ICICI Prudential Multiple Yield Fund - Series 11 - Plan D 1361 Days - Direct Plan - Dividend Option</v>
          </cell>
          <cell r="E14883">
            <v>12.736599999999999</v>
          </cell>
        </row>
        <row r="14884">
          <cell r="B14884" t="str">
            <v>INF109KB1J32</v>
          </cell>
          <cell r="C14884" t="str">
            <v>-</v>
          </cell>
          <cell r="D14884" t="str">
            <v>ICICI Prudential Multiple Yield Fund - Series 11 - Plan D 1361 Days - Dividend Option</v>
          </cell>
          <cell r="E14884">
            <v>12.269500000000001</v>
          </cell>
        </row>
        <row r="14885">
          <cell r="B14885" t="str">
            <v>INF109KC1630</v>
          </cell>
          <cell r="C14885" t="str">
            <v>-</v>
          </cell>
          <cell r="D14885" t="str">
            <v>ICICI Prudential Multiple Yield Fund - Series 14 - Plan A 1228 Days Cumulative Option</v>
          </cell>
          <cell r="E14885">
            <v>12.6723</v>
          </cell>
        </row>
        <row r="14886">
          <cell r="B14886" t="str">
            <v>INF109KC1655</v>
          </cell>
          <cell r="C14886" t="str">
            <v>-</v>
          </cell>
          <cell r="D14886" t="str">
            <v>ICICI Prudential Multiple Yield Fund - Series 14 - Plan A 1228 Days Direct Plan Cumulative Option</v>
          </cell>
          <cell r="E14886">
            <v>12.9582</v>
          </cell>
        </row>
        <row r="14887">
          <cell r="B14887" t="str">
            <v>INF109KC1663</v>
          </cell>
          <cell r="C14887" t="str">
            <v>-</v>
          </cell>
          <cell r="D14887" t="str">
            <v>ICICI Prudential Multiple Yield Fund - Series 14 - Plan A 1228 Days Direct Plan IDCW Option</v>
          </cell>
          <cell r="E14887">
            <v>12.9582</v>
          </cell>
        </row>
        <row r="14888">
          <cell r="B14888" t="str">
            <v>INF109KC1648</v>
          </cell>
          <cell r="C14888" t="str">
            <v>-</v>
          </cell>
          <cell r="D14888" t="str">
            <v>ICICI Prudential Multiple Yield Fund - Series 14 - Plan A 1228 Days IDCW Option</v>
          </cell>
          <cell r="E14888">
            <v>12.6723</v>
          </cell>
        </row>
        <row r="14889">
          <cell r="B14889" t="str">
            <v>INF109K017R5</v>
          </cell>
          <cell r="C14889" t="str">
            <v>-</v>
          </cell>
          <cell r="D14889" t="str">
            <v>ICICI Prudential Multiple Yield Fund - Series 3 - Plan A - Cumulative</v>
          </cell>
          <cell r="E14889">
            <v>13.679500000000001</v>
          </cell>
        </row>
        <row r="14890">
          <cell r="B14890" t="str">
            <v>INF109K019R1</v>
          </cell>
          <cell r="C14890" t="str">
            <v>-</v>
          </cell>
          <cell r="D14890" t="str">
            <v>ICICI Prudential Multiple Yield Fund - Series 3 - Plan A - Direct Plan - Cumulative</v>
          </cell>
          <cell r="E14890">
            <v>14.149100000000001</v>
          </cell>
        </row>
        <row r="14891">
          <cell r="B14891" t="str">
            <v>INF109K010S8</v>
          </cell>
          <cell r="C14891" t="str">
            <v>-</v>
          </cell>
          <cell r="D14891" t="str">
            <v>ICICI Prudential Multiple Yield Fund - Series 3 - Plan A - Direct Plan - Dividend</v>
          </cell>
          <cell r="E14891">
            <v>12.162699999999999</v>
          </cell>
        </row>
        <row r="14892">
          <cell r="B14892" t="str">
            <v>INF109K018R3</v>
          </cell>
          <cell r="C14892" t="str">
            <v>-</v>
          </cell>
          <cell r="D14892" t="str">
            <v>ICICI Prudential Multiple Yield Fund - Series 3 - Plan A -Dividend</v>
          </cell>
          <cell r="E14892">
            <v>11.9359</v>
          </cell>
        </row>
        <row r="14893">
          <cell r="B14893" t="str">
            <v>INF109K013X2</v>
          </cell>
          <cell r="C14893" t="str">
            <v>-</v>
          </cell>
          <cell r="D14893" t="str">
            <v>ICICI Prudential Multiple Yield Fund - Series 3 - Plan B - Cumulative</v>
          </cell>
          <cell r="E14893">
            <v>13.441800000000001</v>
          </cell>
        </row>
        <row r="14894">
          <cell r="B14894" t="str">
            <v>INF109K015X7</v>
          </cell>
          <cell r="C14894" t="str">
            <v>-</v>
          </cell>
          <cell r="D14894" t="str">
            <v>ICICI Prudential Multiple Yield Fund - Series 3 - Plan B - Direct Plan - Cumulative</v>
          </cell>
          <cell r="E14894">
            <v>13.9543</v>
          </cell>
        </row>
        <row r="14895">
          <cell r="B14895" t="str">
            <v>INF109K016X5</v>
          </cell>
          <cell r="C14895" t="str">
            <v>-</v>
          </cell>
          <cell r="D14895" t="str">
            <v>ICICI Prudential Multiple Yield Fund - Series 3 - Plan B - Direct Plan - Dividend</v>
          </cell>
          <cell r="E14895">
            <v>12.2117</v>
          </cell>
        </row>
        <row r="14896">
          <cell r="B14896" t="str">
            <v>INF109K014X0</v>
          </cell>
          <cell r="C14896" t="str">
            <v>-</v>
          </cell>
          <cell r="D14896" t="str">
            <v>ICICI Prudential Multiple Yield Fund - Series 3 - Plan B -Dividend</v>
          </cell>
          <cell r="E14896">
            <v>11.941599999999999</v>
          </cell>
        </row>
        <row r="14897">
          <cell r="B14897" t="str">
            <v>INF109KA1087</v>
          </cell>
          <cell r="C14897" t="str">
            <v>-</v>
          </cell>
          <cell r="D14897" t="str">
            <v>ICICI Prudential Multiple Yield Fund - Series 3 - Plan C - Cumulative</v>
          </cell>
          <cell r="E14897">
            <v>15.568</v>
          </cell>
        </row>
        <row r="14898">
          <cell r="B14898" t="str">
            <v>INF109KA1079</v>
          </cell>
          <cell r="C14898" t="str">
            <v>-</v>
          </cell>
          <cell r="D14898" t="str">
            <v>ICICI Prudential Multiple Yield Fund - Series 3 - Plan C - Direct Plan - Cumulative</v>
          </cell>
          <cell r="E14898">
            <v>16.613499999999998</v>
          </cell>
        </row>
        <row r="14899">
          <cell r="B14899" t="str">
            <v>INF109KA1061</v>
          </cell>
          <cell r="C14899" t="str">
            <v>-</v>
          </cell>
          <cell r="D14899" t="str">
            <v>ICICI Prudential Multiple Yield Fund - Series 3 - Plan C - Direct Plan - Dividend</v>
          </cell>
          <cell r="E14899">
            <v>11.970599999999999</v>
          </cell>
        </row>
        <row r="14900">
          <cell r="B14900" t="str">
            <v>INF109KA1095</v>
          </cell>
          <cell r="C14900" t="str">
            <v>-</v>
          </cell>
          <cell r="D14900" t="str">
            <v>ICICI Prudential Multiple Yield Fund - Series 3 - Plan C -Dividend</v>
          </cell>
          <cell r="E14900">
            <v>11.726000000000001</v>
          </cell>
        </row>
        <row r="14901">
          <cell r="B14901" t="str">
            <v>INF109KB1WM0</v>
          </cell>
          <cell r="C14901" t="str">
            <v>-</v>
          </cell>
          <cell r="D14901" t="str">
            <v>ICICI Prudential Multiple Yield Fund - Series 3 - Plan D - Cumulative</v>
          </cell>
          <cell r="E14901">
            <v>15.6067</v>
          </cell>
        </row>
        <row r="14902">
          <cell r="B14902" t="str">
            <v>INF109KB1WO6</v>
          </cell>
          <cell r="C14902" t="str">
            <v>-</v>
          </cell>
          <cell r="D14902" t="str">
            <v>ICICI Prudential Multiple Yield Fund - Series 3 - Plan D - Direct Plan - Cumulative</v>
          </cell>
          <cell r="E14902">
            <v>16.587599999999998</v>
          </cell>
        </row>
        <row r="14903">
          <cell r="B14903" t="str">
            <v>INF109KB1WP3</v>
          </cell>
          <cell r="C14903" t="str">
            <v>-</v>
          </cell>
          <cell r="D14903" t="str">
            <v>ICICI Prudential Multiple Yield Fund - Series 3 - Plan D - Direct Plan - Dividend</v>
          </cell>
          <cell r="E14903">
            <v>14.3827</v>
          </cell>
        </row>
        <row r="14904">
          <cell r="B14904" t="str">
            <v>INF109KB1WN8</v>
          </cell>
          <cell r="C14904" t="str">
            <v>-</v>
          </cell>
          <cell r="D14904" t="str">
            <v>ICICI Prudential Multiple Yield Fund - Series 3 - Plan D -Dividend</v>
          </cell>
          <cell r="E14904">
            <v>13.737500000000001</v>
          </cell>
        </row>
        <row r="14905">
          <cell r="B14905" t="str">
            <v>INF109KA1442</v>
          </cell>
          <cell r="C14905" t="str">
            <v>-</v>
          </cell>
          <cell r="D14905" t="str">
            <v>ICICI Prudential Multiple Yield Fund - Series 4 - 1100 Days - Plan C - Cumulative</v>
          </cell>
          <cell r="E14905">
            <v>13.5471</v>
          </cell>
        </row>
        <row r="14906">
          <cell r="B14906" t="str">
            <v>INF109KA1467</v>
          </cell>
          <cell r="C14906" t="str">
            <v>-</v>
          </cell>
          <cell r="D14906" t="str">
            <v>ICICI Prudential Multiple Yield Fund - Series 4 - 1100 Days - Plan C - Direct Plan - Cumulative</v>
          </cell>
          <cell r="E14906">
            <v>14.0558</v>
          </cell>
        </row>
        <row r="14907">
          <cell r="B14907" t="str">
            <v>INF109KA1475</v>
          </cell>
          <cell r="C14907" t="str">
            <v>-</v>
          </cell>
          <cell r="D14907" t="str">
            <v>ICICI Prudential Multiple Yield Fund - Series 4 - 1100 Days - Plan C - Direct Plan - Dividend</v>
          </cell>
          <cell r="E14907">
            <v>12.178900000000001</v>
          </cell>
        </row>
        <row r="14908">
          <cell r="B14908" t="str">
            <v>INF109KA1459</v>
          </cell>
          <cell r="C14908" t="str">
            <v>-</v>
          </cell>
          <cell r="D14908" t="str">
            <v>ICICI Prudential Multiple Yield Fund - Series 4 - 1100 Days - Plan C - Dividend</v>
          </cell>
          <cell r="E14908">
            <v>11.904299999999999</v>
          </cell>
        </row>
        <row r="14909">
          <cell r="B14909" t="str">
            <v>INF109KA1806</v>
          </cell>
          <cell r="C14909" t="str">
            <v>-</v>
          </cell>
          <cell r="D14909" t="str">
            <v>ICICI Prudential Multiple Yield Fund - Series 4 - 1100 Days - Plan E - Cumulative</v>
          </cell>
          <cell r="E14909">
            <v>13.868</v>
          </cell>
        </row>
        <row r="14910">
          <cell r="B14910" t="str">
            <v>INF109KA1822</v>
          </cell>
          <cell r="C14910" t="str">
            <v>-</v>
          </cell>
          <cell r="D14910" t="str">
            <v>ICICI Prudential Multiple Yield Fund - Series 4 - 1100 Days - Plan E - Direct Plan - Cumulative</v>
          </cell>
          <cell r="E14910">
            <v>14.349399999999999</v>
          </cell>
        </row>
        <row r="14911">
          <cell r="B14911" t="str">
            <v>INF109KA1830</v>
          </cell>
          <cell r="C14911" t="str">
            <v>-</v>
          </cell>
          <cell r="D14911" t="str">
            <v>ICICI Prudential Multiple Yield Fund - Series 4 - 1100 Days - Plan E - Direct Plan - Dividend</v>
          </cell>
          <cell r="E14911">
            <v>12.521800000000001</v>
          </cell>
        </row>
        <row r="14912">
          <cell r="B14912" t="str">
            <v>INF109KA1814</v>
          </cell>
          <cell r="C14912" t="str">
            <v>-</v>
          </cell>
          <cell r="D14912" t="str">
            <v>ICICI Prudential Multiple Yield Fund - Series 4 - 1100 Days - Plan E -Dividend</v>
          </cell>
          <cell r="E14912">
            <v>12.2607</v>
          </cell>
        </row>
        <row r="14913">
          <cell r="B14913" t="str">
            <v>INF109KA1285</v>
          </cell>
          <cell r="C14913" t="str">
            <v>-</v>
          </cell>
          <cell r="D14913" t="str">
            <v>ICICI Prudential Multiple Yield Fund - Series 4 - 1825 Days - Plan A - Direct Plan - Cumulative</v>
          </cell>
          <cell r="E14913">
            <v>17.396699999999999</v>
          </cell>
        </row>
        <row r="14914">
          <cell r="B14914" t="str">
            <v>INF109KA1293</v>
          </cell>
          <cell r="C14914" t="str">
            <v>-</v>
          </cell>
          <cell r="D14914" t="str">
            <v>ICICI Prudential Multiple Yield Fund - Series 4 - 1825 Days - Plan A - Direct Plan - Dividend</v>
          </cell>
          <cell r="E14914">
            <v>14.5419</v>
          </cell>
        </row>
        <row r="14915">
          <cell r="B14915" t="str">
            <v>INF109KA1277</v>
          </cell>
          <cell r="C14915" t="str">
            <v>-</v>
          </cell>
          <cell r="D14915" t="str">
            <v>ICICI Prudential Multiple Yield Fund - Series 4 - 1825 Days - Plan A - Dividend</v>
          </cell>
          <cell r="E14915">
            <v>14.061999999999999</v>
          </cell>
        </row>
        <row r="14916">
          <cell r="B14916" t="str">
            <v>INF109KA1269</v>
          </cell>
          <cell r="C14916" t="str">
            <v>-</v>
          </cell>
          <cell r="D14916" t="str">
            <v>ICICI Prudential Multiple Yield Fund - Series 4 - 1825 Days - Plan A -Cumulative</v>
          </cell>
          <cell r="E14916">
            <v>16.5747</v>
          </cell>
        </row>
        <row r="14917">
          <cell r="B14917" t="str">
            <v>INF109KA1483</v>
          </cell>
          <cell r="C14917" t="str">
            <v>-</v>
          </cell>
          <cell r="D14917" t="str">
            <v>ICICI Prudential Multiple Yield Fund - Series 4 - 1825 Days - Plan B - Cumulative</v>
          </cell>
          <cell r="E14917">
            <v>16.557700000000001</v>
          </cell>
        </row>
        <row r="14918">
          <cell r="B14918" t="str">
            <v>INF109KA1509</v>
          </cell>
          <cell r="C14918" t="str">
            <v>-</v>
          </cell>
          <cell r="D14918" t="str">
            <v>ICICI Prudential Multiple Yield Fund - Series 4 - 1825 Days - Plan B - Direct Plan - Cumulative</v>
          </cell>
          <cell r="E14918">
            <v>17.5395</v>
          </cell>
        </row>
        <row r="14919">
          <cell r="B14919" t="str">
            <v>INF109KA1517</v>
          </cell>
          <cell r="C14919" t="str">
            <v>-</v>
          </cell>
          <cell r="D14919" t="str">
            <v>ICICI Prudential Multiple Yield Fund - Series 4 - 1825 Days - Plan B - Direct Plan - Dividend</v>
          </cell>
          <cell r="E14919">
            <v>14.687200000000001</v>
          </cell>
        </row>
        <row r="14920">
          <cell r="B14920" t="str">
            <v>INF109KA1491</v>
          </cell>
          <cell r="C14920" t="str">
            <v>-</v>
          </cell>
          <cell r="D14920" t="str">
            <v>ICICI Prudential Multiple Yield Fund - Series 4 - 1825 Days - Plan B -Dividend</v>
          </cell>
          <cell r="E14920">
            <v>14.0745</v>
          </cell>
        </row>
        <row r="14921">
          <cell r="B14921" t="str">
            <v>INF109KA1566</v>
          </cell>
          <cell r="C14921" t="str">
            <v>-</v>
          </cell>
          <cell r="D14921" t="str">
            <v>ICICI Prudential Multiple Yield Fund - Series 4 - 1825 Days - Plan D - Cumulative</v>
          </cell>
          <cell r="E14921">
            <v>16.455300000000001</v>
          </cell>
        </row>
        <row r="14922">
          <cell r="B14922" t="str">
            <v>INF109KA1582</v>
          </cell>
          <cell r="C14922" t="str">
            <v>-</v>
          </cell>
          <cell r="D14922" t="str">
            <v>ICICI Prudential Multiple Yield Fund - Series 4 - 1825 Days - Plan D - Direct Plan - Cumulative</v>
          </cell>
          <cell r="E14922">
            <v>17.279199999999999</v>
          </cell>
        </row>
        <row r="14923">
          <cell r="B14923" t="str">
            <v>INF109KA1590</v>
          </cell>
          <cell r="C14923" t="str">
            <v>-</v>
          </cell>
          <cell r="D14923" t="str">
            <v>ICICI Prudential Multiple Yield Fund - Series 4 - 1825 Days - Plan D - Direct Plan - Dividend</v>
          </cell>
          <cell r="E14923">
            <v>14.3576</v>
          </cell>
        </row>
        <row r="14924">
          <cell r="B14924" t="str">
            <v>INF109KA1574</v>
          </cell>
          <cell r="C14924" t="str">
            <v>-</v>
          </cell>
          <cell r="D14924" t="str">
            <v>ICICI Prudential Multiple Yield Fund - Series 4 - 1825 Days - Plan D -Dividend</v>
          </cell>
          <cell r="E14924">
            <v>13.882999999999999</v>
          </cell>
        </row>
        <row r="14925">
          <cell r="B14925" t="str">
            <v>INF109KA1DH1</v>
          </cell>
          <cell r="C14925" t="str">
            <v>-</v>
          </cell>
          <cell r="D14925" t="str">
            <v>ICICI Prudential Multiple Yield Fund - Series 5 - 1100 Days - Plan A - Cumulative</v>
          </cell>
          <cell r="E14925">
            <v>14.102399999999999</v>
          </cell>
        </row>
        <row r="14926">
          <cell r="B14926" t="str">
            <v>INF109KA1DF5</v>
          </cell>
          <cell r="C14926" t="str">
            <v>-</v>
          </cell>
          <cell r="D14926" t="str">
            <v>ICICI Prudential Multiple Yield Fund - Series 5 - 1100 Days - Plan A - Direct Plan - Cumulative</v>
          </cell>
          <cell r="E14926">
            <v>14.7044</v>
          </cell>
        </row>
        <row r="14927">
          <cell r="B14927" t="str">
            <v>INF109KA1DG3</v>
          </cell>
          <cell r="C14927" t="str">
            <v>-</v>
          </cell>
          <cell r="D14927" t="str">
            <v>ICICI Prudential Multiple Yield Fund - Series 5 - 1100 Days - Plan A - Direct Plan - Dividend</v>
          </cell>
          <cell r="E14927">
            <v>12.885199999999999</v>
          </cell>
        </row>
        <row r="14928">
          <cell r="B14928" t="str">
            <v>INF109KA1DI9</v>
          </cell>
          <cell r="C14928" t="str">
            <v>-</v>
          </cell>
          <cell r="D14928" t="str">
            <v>ICICI Prudential Multiple Yield Fund - Series 5 - 1100 Days - Plan A - Dividend</v>
          </cell>
          <cell r="E14928">
            <v>12.5433</v>
          </cell>
        </row>
        <row r="14929">
          <cell r="B14929" t="str">
            <v>INF109KA1HB5</v>
          </cell>
          <cell r="C14929" t="str">
            <v>-</v>
          </cell>
          <cell r="D14929" t="str">
            <v>ICICI Prudential Multiple Yield Fund - Series 5 - 1100 Days - Plan B - Direct Plan - Cumulative</v>
          </cell>
          <cell r="E14929">
            <v>13.7804</v>
          </cell>
        </row>
        <row r="14930">
          <cell r="B14930" t="str">
            <v>INF109KA1HC3</v>
          </cell>
          <cell r="C14930" t="str">
            <v>-</v>
          </cell>
          <cell r="D14930" t="str">
            <v>ICICI Prudential Multiple Yield Fund - Series 5 - 1100 Days - Plan B - Direct Plan - Dividend</v>
          </cell>
          <cell r="E14930">
            <v>12.521599999999999</v>
          </cell>
        </row>
        <row r="14931">
          <cell r="B14931" t="str">
            <v>INF109KA1HE9</v>
          </cell>
          <cell r="C14931" t="str">
            <v>-</v>
          </cell>
          <cell r="D14931" t="str">
            <v>ICICI Prudential Multiple Yield Fund - Series 5 - 1100 Days - Plan B - Dividend</v>
          </cell>
          <cell r="E14931">
            <v>12.1846</v>
          </cell>
        </row>
        <row r="14932">
          <cell r="B14932" t="str">
            <v>INF109KA1HD1</v>
          </cell>
          <cell r="C14932" t="str">
            <v>-</v>
          </cell>
          <cell r="D14932" t="str">
            <v>ICICI Prudential Multiple Yield Fund - Series 5 - 1100 Days - Plan B -Cumulative</v>
          </cell>
          <cell r="E14932">
            <v>13.2516</v>
          </cell>
        </row>
        <row r="14933">
          <cell r="B14933" t="str">
            <v>INF109KA1JP1</v>
          </cell>
          <cell r="C14933" t="str">
            <v>-</v>
          </cell>
          <cell r="D14933" t="str">
            <v>ICICI Prudential Multiple Yield Fund - Series 5 - 1100 Days - Plan D - Direct Plan - Cumulative</v>
          </cell>
          <cell r="E14933">
            <v>14.0847</v>
          </cell>
        </row>
        <row r="14934">
          <cell r="B14934" t="str">
            <v>INF109KA1JQ9</v>
          </cell>
          <cell r="C14934" t="str">
            <v>-</v>
          </cell>
          <cell r="D14934" t="str">
            <v>ICICI Prudential Multiple Yield Fund - Series 5 - 1100 Days - Plan D - Direct Plan - Dividend</v>
          </cell>
          <cell r="E14934">
            <v>12.826000000000001</v>
          </cell>
        </row>
        <row r="14935">
          <cell r="B14935" t="str">
            <v>INF109KA1JN6</v>
          </cell>
          <cell r="C14935" t="str">
            <v>-</v>
          </cell>
          <cell r="D14935" t="str">
            <v>ICICI Prudential Multiple Yield Fund - Series 5 - 1100 Days - Plan D -Cumulative</v>
          </cell>
          <cell r="E14935">
            <v>13.4961</v>
          </cell>
        </row>
        <row r="14936">
          <cell r="B14936" t="str">
            <v>INF109KA1JO4</v>
          </cell>
          <cell r="C14936" t="str">
            <v>-</v>
          </cell>
          <cell r="D14936" t="str">
            <v>ICICI Prudential Multiple Yield Fund - Series 5 - 1100 Days - Plan D -Dividend</v>
          </cell>
          <cell r="E14936">
            <v>12.410399999999999</v>
          </cell>
        </row>
        <row r="14937">
          <cell r="B14937" t="str">
            <v>INF109KA1JJ4</v>
          </cell>
          <cell r="C14937" t="str">
            <v>-</v>
          </cell>
          <cell r="D14937" t="str">
            <v>ICICI Prudential Multiple Yield Fund - Series 5 - 1825 Days - Plan C - Cumulative</v>
          </cell>
          <cell r="E14937">
            <v>15.541</v>
          </cell>
        </row>
        <row r="14938">
          <cell r="B14938" t="str">
            <v>INF109KA1JL0</v>
          </cell>
          <cell r="C14938" t="str">
            <v>-</v>
          </cell>
          <cell r="D14938" t="str">
            <v>ICICI Prudential Multiple Yield Fund - Series 5 - 1825 Days - Plan C - Direct Plan - Cumulative</v>
          </cell>
          <cell r="E14938">
            <v>16.551300000000001</v>
          </cell>
        </row>
        <row r="14939">
          <cell r="B14939" t="str">
            <v>INF109KA1JK2</v>
          </cell>
          <cell r="C14939" t="str">
            <v>-</v>
          </cell>
          <cell r="D14939" t="str">
            <v>ICICI Prudential Multiple Yield Fund - Series 5 - 1825 Days - Plan C - Dividend</v>
          </cell>
          <cell r="E14939">
            <v>13.8636</v>
          </cell>
        </row>
        <row r="14940">
          <cell r="B14940" t="str">
            <v>INF109KA1ND9</v>
          </cell>
          <cell r="C14940" t="str">
            <v>-</v>
          </cell>
          <cell r="D14940" t="str">
            <v>ICICI Prudential Multiple Yield Fund - Series 6 - 1100 Days - Plan A - Direct Plan - Cumulative</v>
          </cell>
          <cell r="E14940">
            <v>13.914300000000001</v>
          </cell>
        </row>
        <row r="14941">
          <cell r="B14941" t="str">
            <v>INF109KA1NB3</v>
          </cell>
          <cell r="C14941" t="str">
            <v>-</v>
          </cell>
          <cell r="D14941" t="str">
            <v>ICICI Prudential Multiple Yield Fund - Series 6 - 1100 Days - Plan A -Cumulative</v>
          </cell>
          <cell r="E14941">
            <v>13.356</v>
          </cell>
        </row>
        <row r="14942">
          <cell r="B14942" t="str">
            <v>INF109KA1NC1</v>
          </cell>
          <cell r="C14942" t="str">
            <v>-</v>
          </cell>
          <cell r="D14942" t="str">
            <v>ICICI Prudential Multiple Yield Fund - Series 6 - 1100 Days - Plan A -Dividend</v>
          </cell>
          <cell r="E14942">
            <v>12.3592</v>
          </cell>
        </row>
        <row r="14943">
          <cell r="B14943" t="str">
            <v>INF109KA1SP2</v>
          </cell>
          <cell r="C14943" t="str">
            <v>-</v>
          </cell>
          <cell r="D14943" t="str">
            <v>ICICI Prudential Multiple Yield Fund - Series 6 - 1100 Days - Plan E - Direct Plan - Cumulative</v>
          </cell>
          <cell r="E14943">
            <v>13.5358</v>
          </cell>
        </row>
        <row r="14944">
          <cell r="B14944" t="str">
            <v>INF109KA1SQ0</v>
          </cell>
          <cell r="C14944" t="str">
            <v>-</v>
          </cell>
          <cell r="D14944" t="str">
            <v>ICICI Prudential Multiple Yield Fund - Series 6 - 1100 Days - Plan E - Direct Plan - Dividend</v>
          </cell>
          <cell r="E14944">
            <v>12.686400000000001</v>
          </cell>
        </row>
        <row r="14945">
          <cell r="B14945" t="str">
            <v>INF109KA1SN7</v>
          </cell>
          <cell r="C14945" t="str">
            <v>-</v>
          </cell>
          <cell r="D14945" t="str">
            <v>ICICI Prudential Multiple Yield Fund - Series 6 - 1100 Days - Plan E -Cumulative</v>
          </cell>
          <cell r="E14945">
            <v>12.974600000000001</v>
          </cell>
        </row>
        <row r="14946">
          <cell r="B14946" t="str">
            <v>INF109KA1SO5</v>
          </cell>
          <cell r="C14946" t="str">
            <v>-</v>
          </cell>
          <cell r="D14946" t="str">
            <v>ICICI Prudential Multiple Yield Fund - Series 6 - 1100 Days - Plan E -Dividend</v>
          </cell>
          <cell r="E14946">
            <v>12.2433</v>
          </cell>
        </row>
        <row r="14947">
          <cell r="B14947" t="str">
            <v>INF109KA1PP8</v>
          </cell>
          <cell r="C14947" t="str">
            <v>-</v>
          </cell>
          <cell r="D14947" t="str">
            <v>ICICI Prudential Multiple Yield Fund - Series 6 - 1125 Days - Plan B - Cumulative</v>
          </cell>
          <cell r="E14947">
            <v>13.159599999999999</v>
          </cell>
        </row>
        <row r="14948">
          <cell r="B14948" t="str">
            <v>INF109KA1PR4</v>
          </cell>
          <cell r="C14948" t="str">
            <v>-</v>
          </cell>
          <cell r="D14948" t="str">
            <v>ICICI Prudential Multiple Yield Fund - Series 6 - 1125 Days - Plan B - Direct Plan - Cumulative</v>
          </cell>
          <cell r="E14948">
            <v>13.7037</v>
          </cell>
        </row>
        <row r="14949">
          <cell r="B14949" t="str">
            <v>INF109KA1PS2</v>
          </cell>
          <cell r="C14949" t="str">
            <v>-</v>
          </cell>
          <cell r="D14949" t="str">
            <v>ICICI Prudential Multiple Yield Fund - Series 6 - 1125 Days - Plan B - Direct Plan - Dividend</v>
          </cell>
          <cell r="E14949">
            <v>12.791700000000001</v>
          </cell>
        </row>
        <row r="14950">
          <cell r="B14950" t="str">
            <v>INF109KA1PQ6</v>
          </cell>
          <cell r="C14950" t="str">
            <v>-</v>
          </cell>
          <cell r="D14950" t="str">
            <v>ICICI Prudential Multiple Yield Fund - Series 6 - 1125 Days - Plan B - Dividend</v>
          </cell>
          <cell r="E14950">
            <v>12.3721</v>
          </cell>
        </row>
        <row r="14951">
          <cell r="B14951" t="str">
            <v>INF109KA1RD0</v>
          </cell>
          <cell r="C14951" t="str">
            <v>-</v>
          </cell>
          <cell r="D14951" t="str">
            <v>ICICI Prudential Multiple Yield Fund - Series 6 - 1825 Days - Plan C - Cumulative</v>
          </cell>
          <cell r="E14951">
            <v>15.206</v>
          </cell>
        </row>
        <row r="14952">
          <cell r="B14952" t="str">
            <v>INF109KA1RF5</v>
          </cell>
          <cell r="C14952" t="str">
            <v>-</v>
          </cell>
          <cell r="D14952" t="str">
            <v>ICICI Prudential Multiple Yield Fund - Series 6 - 1825 Days - Plan C - Direct Plan - Cumulative</v>
          </cell>
          <cell r="E14952">
            <v>16.261199999999999</v>
          </cell>
        </row>
        <row r="14953">
          <cell r="B14953" t="str">
            <v>INF109KA1RG3</v>
          </cell>
          <cell r="C14953" t="str">
            <v>-</v>
          </cell>
          <cell r="D14953" t="str">
            <v>ICICI Prudential Multiple Yield Fund - Series 6 - 1825 Days - Plan C - Direct Plan - Dividend</v>
          </cell>
          <cell r="E14953">
            <v>14.8062</v>
          </cell>
        </row>
        <row r="14954">
          <cell r="B14954" t="str">
            <v>INF109KA1RE8</v>
          </cell>
          <cell r="C14954" t="str">
            <v>-</v>
          </cell>
          <cell r="D14954" t="str">
            <v>ICICI Prudential Multiple Yield Fund - Series 6 - 1825 Days - Plan C -Dividend</v>
          </cell>
          <cell r="E14954">
            <v>13.949299999999999</v>
          </cell>
        </row>
        <row r="14955">
          <cell r="B14955" t="str">
            <v>INF109KA1TT2</v>
          </cell>
          <cell r="C14955" t="str">
            <v>-</v>
          </cell>
          <cell r="D14955" t="str">
            <v>ICICI Prudential Multiple Yield Fund - Series 6 - 1825 Days Plan D Cumulative Option</v>
          </cell>
          <cell r="E14955">
            <v>14.9292</v>
          </cell>
        </row>
        <row r="14956">
          <cell r="B14956" t="str">
            <v>INF109KA1TV8</v>
          </cell>
          <cell r="C14956" t="str">
            <v>-</v>
          </cell>
          <cell r="D14956" t="str">
            <v>ICICI Prudential Multiple Yield Fund - Series 6 - 1825 Days Plan D Direct Plan Cumulative Option</v>
          </cell>
          <cell r="E14956">
            <v>15.8208</v>
          </cell>
        </row>
        <row r="14957">
          <cell r="B14957" t="str">
            <v>INF109KA1TW6</v>
          </cell>
          <cell r="C14957" t="str">
            <v>-</v>
          </cell>
          <cell r="D14957" t="str">
            <v>ICICI Prudential Multiple Yield Fund - Series 6 - 1825 Days Plan D Direct Plan- Dividend Option</v>
          </cell>
          <cell r="E14957">
            <v>14.737500000000001</v>
          </cell>
        </row>
        <row r="14958">
          <cell r="B14958" t="str">
            <v>INF109KA1TU0</v>
          </cell>
          <cell r="C14958" t="str">
            <v>-</v>
          </cell>
          <cell r="D14958" t="str">
            <v>ICICI Prudential Multiple Yield Fund - Series 6 - 1825 Days Plan D Dividend Option</v>
          </cell>
          <cell r="E14958">
            <v>13.994300000000001</v>
          </cell>
        </row>
        <row r="14959">
          <cell r="B14959" t="str">
            <v>INF109KA1T81</v>
          </cell>
          <cell r="C14959" t="str">
            <v>-</v>
          </cell>
          <cell r="D14959" t="str">
            <v>ICICI Prudential Multiple Yield Fund - Series 7 - 1100 Days Plan F Cumulative Option</v>
          </cell>
          <cell r="E14959">
            <v>12.2797</v>
          </cell>
        </row>
        <row r="14960">
          <cell r="B14960" t="str">
            <v>INF109KA1U05</v>
          </cell>
          <cell r="C14960" t="str">
            <v>-</v>
          </cell>
          <cell r="D14960" t="str">
            <v>ICICI Prudential Multiple Yield Fund - Series 7 - 1100 Days Plan F Direct Plan Cumulative Option</v>
          </cell>
          <cell r="E14960">
            <v>12.7499</v>
          </cell>
        </row>
        <row r="14961">
          <cell r="B14961" t="str">
            <v>INF109KA1U13</v>
          </cell>
          <cell r="C14961" t="str">
            <v>-</v>
          </cell>
          <cell r="D14961" t="str">
            <v>ICICI Prudential Multiple Yield Fund - Series 7 - 1100 Days Plan F Direct Plan Dividend Option</v>
          </cell>
          <cell r="E14961">
            <v>12.7499</v>
          </cell>
        </row>
        <row r="14962">
          <cell r="B14962" t="str">
            <v>INF109KA1T99</v>
          </cell>
          <cell r="C14962" t="str">
            <v>-</v>
          </cell>
          <cell r="D14962" t="str">
            <v>ICICI Prudential Multiple Yield Fund - Series 7 - 1100 Days Plan F Dividend Option</v>
          </cell>
          <cell r="E14962">
            <v>12.2797</v>
          </cell>
        </row>
        <row r="14963">
          <cell r="B14963" t="str">
            <v>INF109KA1R75</v>
          </cell>
          <cell r="C14963" t="str">
            <v>-</v>
          </cell>
          <cell r="D14963" t="str">
            <v>ICICI Prudential Multiple Yield Fund - Series 7 - 1338 Days Plan D  Dividend Option</v>
          </cell>
          <cell r="E14963">
            <v>12.718999999999999</v>
          </cell>
        </row>
        <row r="14964">
          <cell r="B14964" t="str">
            <v>INF109KA1R67</v>
          </cell>
          <cell r="C14964" t="str">
            <v>-</v>
          </cell>
          <cell r="D14964" t="str">
            <v>ICICI Prudential Multiple Yield Fund - Series 7 - 1338 Days Plan D Cumulative Option</v>
          </cell>
          <cell r="E14964">
            <v>12.718999999999999</v>
          </cell>
        </row>
        <row r="14965">
          <cell r="B14965" t="str">
            <v>INF109KA1R83</v>
          </cell>
          <cell r="C14965" t="str">
            <v>-</v>
          </cell>
          <cell r="D14965" t="str">
            <v>ICICI Prudential Multiple Yield Fund - Series 7 - 1338 Days Plan D Direct Plan Cumulative Option</v>
          </cell>
          <cell r="E14965">
            <v>13.2675</v>
          </cell>
        </row>
        <row r="14966">
          <cell r="B14966" t="str">
            <v>INF109KA1R91</v>
          </cell>
          <cell r="C14966" t="str">
            <v>-</v>
          </cell>
          <cell r="D14966" t="str">
            <v>ICICI Prudential Multiple Yield Fund - Series 7 - 1338 Days Plan D Direct Plan Dividend Option</v>
          </cell>
          <cell r="E14966">
            <v>13.2675</v>
          </cell>
        </row>
        <row r="14967">
          <cell r="B14967" t="str">
            <v>INF109KA1YP0</v>
          </cell>
          <cell r="C14967" t="str">
            <v>-</v>
          </cell>
          <cell r="D14967" t="str">
            <v>ICICI Prudential Multiple Yield Fund - Series 7 - 1825 Days Plan B Cumulative Option</v>
          </cell>
          <cell r="E14967">
            <v>14.3276</v>
          </cell>
        </row>
        <row r="14968">
          <cell r="B14968" t="str">
            <v>INF109KA1YN5</v>
          </cell>
          <cell r="C14968" t="str">
            <v>-</v>
          </cell>
          <cell r="D14968" t="str">
            <v>ICICI Prudential Multiple Yield Fund - Series 7 - 1825 Days Plan B Direct Plan Cumulative Option</v>
          </cell>
          <cell r="E14968">
            <v>15.1065</v>
          </cell>
        </row>
        <row r="14969">
          <cell r="B14969" t="str">
            <v>INF109KA1YO3</v>
          </cell>
          <cell r="C14969" t="str">
            <v>-</v>
          </cell>
          <cell r="D14969" t="str">
            <v>ICICI Prudential Multiple Yield Fund - Series 7 - 1825 Days Plan B Direct Plan Dividend Option</v>
          </cell>
          <cell r="E14969">
            <v>15.1065</v>
          </cell>
        </row>
        <row r="14970">
          <cell r="B14970" t="str">
            <v>INF109KA1YQ8</v>
          </cell>
          <cell r="C14970" t="str">
            <v>-</v>
          </cell>
          <cell r="D14970" t="str">
            <v>ICICI Prudential Multiple Yield Fund - Series 7 - 1825 Days Plan B Dividend Option</v>
          </cell>
          <cell r="E14970">
            <v>14.3276</v>
          </cell>
        </row>
        <row r="14971">
          <cell r="B14971" t="str">
            <v>INF109KA1J83</v>
          </cell>
          <cell r="C14971" t="str">
            <v>-</v>
          </cell>
          <cell r="D14971" t="str">
            <v>ICICI Prudential Multiple Yield Fund - Series 7 - 1825 Days Plan C Cumulative Option</v>
          </cell>
          <cell r="E14971">
            <v>13.9758</v>
          </cell>
        </row>
        <row r="14972">
          <cell r="B14972" t="str">
            <v>INF109KA1K07</v>
          </cell>
          <cell r="C14972" t="str">
            <v>-</v>
          </cell>
          <cell r="D14972" t="str">
            <v>ICICI Prudential Multiple Yield Fund - Series 7 - 1825 Days Plan C Direct Plan Cumulative Option</v>
          </cell>
          <cell r="E14972">
            <v>14.723100000000001</v>
          </cell>
        </row>
        <row r="14973">
          <cell r="B14973" t="str">
            <v>INF109KA1K15</v>
          </cell>
          <cell r="C14973" t="str">
            <v>-</v>
          </cell>
          <cell r="D14973" t="str">
            <v>ICICI Prudential Multiple Yield Fund - Series 7 - 1825 Days Plan C Direct Plan Dividend Option</v>
          </cell>
          <cell r="E14973">
            <v>14.723100000000001</v>
          </cell>
        </row>
        <row r="14974">
          <cell r="B14974" t="str">
            <v>INF109KA1J91</v>
          </cell>
          <cell r="C14974" t="str">
            <v>-</v>
          </cell>
          <cell r="D14974" t="str">
            <v>ICICI Prudential Multiple Yield Fund - Series 7 - 1825 Days Plan C Dividend Option</v>
          </cell>
          <cell r="E14974">
            <v>13.9758</v>
          </cell>
        </row>
        <row r="14975">
          <cell r="B14975" t="str">
            <v>INF109KA1S25</v>
          </cell>
          <cell r="C14975" t="str">
            <v>-</v>
          </cell>
          <cell r="D14975" t="str">
            <v>ICICI Prudential Multiple Yield Fund - Series 7 - 1825 Days Plan E Cumulative Option</v>
          </cell>
          <cell r="E14975">
            <v>13.8672</v>
          </cell>
        </row>
        <row r="14976">
          <cell r="B14976" t="str">
            <v>INF109KA1S41</v>
          </cell>
          <cell r="C14976" t="str">
            <v>-</v>
          </cell>
          <cell r="D14976" t="str">
            <v>ICICI Prudential Multiple Yield Fund - Series 7 - 1825 Days Plan E Direct Plan Cumulative Option</v>
          </cell>
          <cell r="E14976">
            <v>14.618</v>
          </cell>
        </row>
        <row r="14977">
          <cell r="B14977" t="str">
            <v>INF109KA1S58</v>
          </cell>
          <cell r="C14977" t="str">
            <v>-</v>
          </cell>
          <cell r="D14977" t="str">
            <v>ICICI Prudential Multiple Yield Fund - Series 7 - 1825 Days Plan E Direct Plan Dividend Option</v>
          </cell>
          <cell r="E14977">
            <v>14.618</v>
          </cell>
        </row>
        <row r="14978">
          <cell r="B14978" t="str">
            <v>INF109KA1S33</v>
          </cell>
          <cell r="C14978" t="str">
            <v>-</v>
          </cell>
          <cell r="D14978" t="str">
            <v>ICICI Prudential Multiple Yield Fund - Series 7 - 1825 Days Plan E Dividend Option</v>
          </cell>
          <cell r="E14978">
            <v>13.8672</v>
          </cell>
        </row>
        <row r="14979">
          <cell r="B14979" t="str">
            <v>INF109KA16L4</v>
          </cell>
          <cell r="C14979" t="str">
            <v>-</v>
          </cell>
          <cell r="D14979" t="str">
            <v>ICICI Prudential Multiple Yield Fund - Series 8 -1101 Days Plan E Cumulative Option</v>
          </cell>
          <cell r="E14979">
            <v>12.0937</v>
          </cell>
        </row>
        <row r="14980">
          <cell r="B14980" t="str">
            <v>INF109KA18L0</v>
          </cell>
          <cell r="C14980" t="str">
            <v>-</v>
          </cell>
          <cell r="D14980" t="str">
            <v>ICICI Prudential Multiple Yield Fund - Series 8 -1101 Days Plan E Direct Plan Cumulative Option</v>
          </cell>
          <cell r="E14980">
            <v>12.6249</v>
          </cell>
        </row>
        <row r="14981">
          <cell r="B14981" t="str">
            <v>INF109KA17L2</v>
          </cell>
          <cell r="C14981" t="str">
            <v>-</v>
          </cell>
          <cell r="D14981" t="str">
            <v>ICICI Prudential Multiple Yield Fund - Series 8 -1101 Days Plan E Dividend Option</v>
          </cell>
          <cell r="E14981">
            <v>12.0937</v>
          </cell>
        </row>
        <row r="14982">
          <cell r="B14982" t="str">
            <v>INF109KA16F6</v>
          </cell>
          <cell r="C14982" t="str">
            <v>-</v>
          </cell>
          <cell r="D14982" t="str">
            <v>ICICI Prudential Multiple Yield Fund - Series 8 - 1103 Days Plan C Cumulative Option</v>
          </cell>
          <cell r="E14982">
            <v>12.024800000000001</v>
          </cell>
        </row>
        <row r="14983">
          <cell r="B14983" t="str">
            <v>INF109KA18F2</v>
          </cell>
          <cell r="C14983" t="str">
            <v>-</v>
          </cell>
          <cell r="D14983" t="str">
            <v>ICICI Prudential Multiple Yield Fund - Series 8 - 1103 Days Plan C Direct Plan Cumulative Option</v>
          </cell>
          <cell r="E14983">
            <v>12.57</v>
          </cell>
        </row>
        <row r="14984">
          <cell r="B14984" t="str">
            <v>INF109KA19F0</v>
          </cell>
          <cell r="C14984" t="str">
            <v>-</v>
          </cell>
          <cell r="D14984" t="str">
            <v>ICICI Prudential Multiple Yield Fund - Series 8 - 1103 Days Plan C Direct Plan Dividend Option</v>
          </cell>
          <cell r="E14984">
            <v>12.57</v>
          </cell>
        </row>
        <row r="14985">
          <cell r="B14985" t="str">
            <v>INF109KA17F4</v>
          </cell>
          <cell r="C14985" t="str">
            <v>-</v>
          </cell>
          <cell r="D14985" t="str">
            <v>ICICI Prudential Multiple Yield Fund - Series 8 - 1103 Days Plan C Dividend Option</v>
          </cell>
          <cell r="E14985">
            <v>12.024800000000001</v>
          </cell>
        </row>
        <row r="14986">
          <cell r="B14986" t="str">
            <v>INF109KA10T0</v>
          </cell>
          <cell r="C14986" t="str">
            <v>-</v>
          </cell>
          <cell r="D14986" t="str">
            <v>ICICI Prudential Multiple Yield Fund - Series 8 - 1103 Days Plan F Cumulative Option</v>
          </cell>
          <cell r="E14986">
            <v>11.7925</v>
          </cell>
        </row>
        <row r="14987">
          <cell r="B14987" t="str">
            <v>INF109KA12T6</v>
          </cell>
          <cell r="C14987" t="str">
            <v>-</v>
          </cell>
          <cell r="D14987" t="str">
            <v>ICICI Prudential Multiple Yield Fund - Series 8 - 1103 Days Plan F Direct Plan Cumulative Option</v>
          </cell>
          <cell r="E14987">
            <v>12.3399</v>
          </cell>
        </row>
        <row r="14988">
          <cell r="B14988" t="str">
            <v>INF109KA13T4</v>
          </cell>
          <cell r="C14988" t="str">
            <v>-</v>
          </cell>
          <cell r="D14988" t="str">
            <v>ICICI Prudential Multiple Yield Fund - Series 8 - 1103 Days Plan F Direct Plan Dividend Option</v>
          </cell>
          <cell r="E14988">
            <v>12.3399</v>
          </cell>
        </row>
        <row r="14989">
          <cell r="B14989" t="str">
            <v>INF109KA11T8</v>
          </cell>
          <cell r="C14989" t="str">
            <v>-</v>
          </cell>
          <cell r="D14989" t="str">
            <v>ICICI Prudential Multiple Yield Fund - Series 8 - 1103 Days Plan F Dividend Option</v>
          </cell>
          <cell r="E14989">
            <v>11.7925</v>
          </cell>
        </row>
        <row r="14990">
          <cell r="B14990" t="str">
            <v>INF109KA18J4</v>
          </cell>
          <cell r="C14990" t="str">
            <v>-</v>
          </cell>
          <cell r="D14990" t="str">
            <v>ICICI Prudential Multiple Yield Fund - Series 8 -1822 Days Plan D Cumulative Option</v>
          </cell>
          <cell r="E14990">
            <v>13.599500000000001</v>
          </cell>
        </row>
        <row r="14991">
          <cell r="B14991" t="str">
            <v>INF109KA10K9</v>
          </cell>
          <cell r="C14991" t="str">
            <v>-</v>
          </cell>
          <cell r="D14991" t="str">
            <v>ICICI Prudential Multiple Yield Fund - Series 8 -1822 Days Plan D Direct Plan Cumulative Option</v>
          </cell>
          <cell r="E14991">
            <v>14.3826</v>
          </cell>
        </row>
        <row r="14992">
          <cell r="B14992" t="str">
            <v>INF109KA11K7</v>
          </cell>
          <cell r="C14992" t="str">
            <v>-</v>
          </cell>
          <cell r="D14992" t="str">
            <v>ICICI Prudential Multiple Yield Fund - Series 8 -1822 Days Plan D Direct Plan Dividend Option</v>
          </cell>
          <cell r="E14992">
            <v>14.3826</v>
          </cell>
        </row>
        <row r="14993">
          <cell r="B14993" t="str">
            <v>INF109KA19J2</v>
          </cell>
          <cell r="C14993" t="str">
            <v>-</v>
          </cell>
          <cell r="D14993" t="str">
            <v>ICICI Prudential Multiple Yield Fund - Series 8 -1822 Days Plan D Dividend Option</v>
          </cell>
          <cell r="E14993">
            <v>13.599500000000001</v>
          </cell>
        </row>
        <row r="14994">
          <cell r="B14994" t="str">
            <v>INF109KA16B5</v>
          </cell>
          <cell r="C14994" t="str">
            <v>-</v>
          </cell>
          <cell r="D14994" t="str">
            <v>ICICI Prudential Multiple Yield Fund - Series 8 - 1824 Days Plan A Cumulative Option</v>
          </cell>
          <cell r="E14994">
            <v>13.476000000000001</v>
          </cell>
        </row>
        <row r="14995">
          <cell r="B14995" t="str">
            <v>INF109KA18B1</v>
          </cell>
          <cell r="C14995" t="str">
            <v>-</v>
          </cell>
          <cell r="D14995" t="str">
            <v>ICICI Prudential Multiple Yield Fund - Series 8 - 1824 Days Plan A Direct Plan Cumulative Option</v>
          </cell>
          <cell r="E14995">
            <v>14.258900000000001</v>
          </cell>
        </row>
        <row r="14996">
          <cell r="B14996" t="str">
            <v>INF109KA19B9</v>
          </cell>
          <cell r="C14996" t="str">
            <v>-</v>
          </cell>
          <cell r="D14996" t="str">
            <v>ICICI Prudential Multiple Yield Fund - Series 8 - 1824 Days Plan A Direct Plan Dividend Option</v>
          </cell>
          <cell r="E14996">
            <v>14.258900000000001</v>
          </cell>
        </row>
        <row r="14997">
          <cell r="B14997" t="str">
            <v>INF109KA17B3</v>
          </cell>
          <cell r="C14997" t="str">
            <v>-</v>
          </cell>
          <cell r="D14997" t="str">
            <v>ICICI Prudential Multiple Yield Fund - Series 8 - 1824 Days Plan A Dividend Option</v>
          </cell>
          <cell r="E14997">
            <v>13.476000000000001</v>
          </cell>
        </row>
        <row r="14998">
          <cell r="B14998" t="str">
            <v>INF109KB1714</v>
          </cell>
          <cell r="C14998" t="str">
            <v>-</v>
          </cell>
          <cell r="D14998" t="str">
            <v>ICICI Prudential Multiple Yield Fund - Series 9 - 1140 Days Plan A Cumulative Option</v>
          </cell>
          <cell r="E14998">
            <v>11.2828</v>
          </cell>
        </row>
        <row r="14999">
          <cell r="B14999" t="str">
            <v>INF109KB1730</v>
          </cell>
          <cell r="C14999" t="str">
            <v>-</v>
          </cell>
          <cell r="D14999" t="str">
            <v>ICICI Prudential Multiple Yield Fund - Series 9 - 1140 Days Plan A Direct Plan Cumulative Option</v>
          </cell>
          <cell r="E14999">
            <v>11.7593</v>
          </cell>
        </row>
        <row r="15000">
          <cell r="B15000" t="str">
            <v>INF109KB1748</v>
          </cell>
          <cell r="C15000" t="str">
            <v>-</v>
          </cell>
          <cell r="D15000" t="str">
            <v>ICICI Prudential Multiple Yield Fund - Series 9 - 1140 Days Plan A Direct Plan Dividend Option</v>
          </cell>
          <cell r="E15000">
            <v>11.7593</v>
          </cell>
        </row>
        <row r="15001">
          <cell r="B15001" t="str">
            <v>INF109KB1722</v>
          </cell>
          <cell r="C15001" t="str">
            <v>-</v>
          </cell>
          <cell r="D15001" t="str">
            <v>ICICI Prudential Multiple Yield Fund - Series 9 - 1140 Days Plan A Dividend Option</v>
          </cell>
          <cell r="E15001">
            <v>11.2828</v>
          </cell>
        </row>
        <row r="15002">
          <cell r="B15002" t="str">
            <v>INF109KA1UX2</v>
          </cell>
          <cell r="C15002" t="str">
            <v>-</v>
          </cell>
          <cell r="D15002" t="str">
            <v>ICICI Prudential Multiple Yield Fund - Series 6 - 1100 Days Plan F Cumulative Option</v>
          </cell>
          <cell r="E15002">
            <v>12.898199999999999</v>
          </cell>
        </row>
        <row r="15003">
          <cell r="B15003" t="str">
            <v>INF109KA1UZ7</v>
          </cell>
          <cell r="C15003" t="str">
            <v>-</v>
          </cell>
          <cell r="D15003" t="str">
            <v>ICICI Prudential Multiple Yield Fund - Series 6 - 1100 Days Plan F Direct Plan Cumulative Option</v>
          </cell>
          <cell r="E15003">
            <v>13.450799999999999</v>
          </cell>
        </row>
        <row r="15004">
          <cell r="B15004" t="str">
            <v>INF109KA1VA8</v>
          </cell>
          <cell r="C15004" t="str">
            <v>-</v>
          </cell>
          <cell r="D15004" t="str">
            <v>ICICI Prudential Multiple Yield Fund - Series 6 - 1100 Days Plan F Direct Plan- Dividend Option</v>
          </cell>
          <cell r="E15004">
            <v>12.6492</v>
          </cell>
        </row>
        <row r="15005">
          <cell r="B15005" t="str">
            <v>INF109KA1UY0</v>
          </cell>
          <cell r="C15005" t="str">
            <v>-</v>
          </cell>
          <cell r="D15005" t="str">
            <v>ICICI Prudential Multiple Yield Fund - Series 6 - 1100 Days Plan F Dividend Option</v>
          </cell>
          <cell r="E15005">
            <v>12.194900000000001</v>
          </cell>
        </row>
        <row r="15006">
          <cell r="B15006" t="str">
            <v>INF109KA1WV2</v>
          </cell>
          <cell r="C15006" t="str">
            <v>-</v>
          </cell>
          <cell r="D15006" t="str">
            <v>ICICI Prudential Multiple Yield Fund - Series 7 - 1100 Days Plan A Cumulative Option</v>
          </cell>
          <cell r="E15006">
            <v>12.434200000000001</v>
          </cell>
        </row>
        <row r="15007">
          <cell r="B15007" t="str">
            <v>INF109KA1WX8</v>
          </cell>
          <cell r="C15007" t="str">
            <v>-</v>
          </cell>
          <cell r="D15007" t="str">
            <v>ICICI Prudential Multiple Yield Fund - Series 7 - 1100 Days Plan A Direct Plan Cumulative Option</v>
          </cell>
          <cell r="E15007">
            <v>12.9747</v>
          </cell>
        </row>
        <row r="15008">
          <cell r="B15008" t="str">
            <v>INF109KA1WY6</v>
          </cell>
          <cell r="C15008" t="str">
            <v>-</v>
          </cell>
          <cell r="D15008" t="str">
            <v>ICICI Prudential Multiple Yield Fund - Series 7 - 1100 Days Plan A Direct Plan Dividend Option</v>
          </cell>
          <cell r="E15008">
            <v>12.6366</v>
          </cell>
        </row>
        <row r="15009">
          <cell r="B15009" t="str">
            <v>INF109KA1WW0</v>
          </cell>
          <cell r="C15009" t="str">
            <v>-</v>
          </cell>
          <cell r="D15009" t="str">
            <v>ICICI Prudential Multiple Yield Fund - Series 7 - 1100 Days Plan A Dividend Option</v>
          </cell>
          <cell r="E15009">
            <v>12.167999999999999</v>
          </cell>
        </row>
        <row r="15010">
          <cell r="B15010" t="str">
            <v/>
          </cell>
          <cell r="C15010" t="str">
            <v/>
          </cell>
          <cell r="D15010" t="str">
            <v/>
          </cell>
        </row>
        <row r="15011">
          <cell r="B15011" t="str">
            <v/>
          </cell>
          <cell r="C15011" t="str">
            <v/>
          </cell>
          <cell r="D15011" t="str">
            <v/>
          </cell>
        </row>
        <row r="15012">
          <cell r="B15012" t="str">
            <v/>
          </cell>
          <cell r="C15012" t="str">
            <v/>
          </cell>
          <cell r="D15012" t="str">
            <v/>
          </cell>
        </row>
        <row r="15013">
          <cell r="B15013" t="str">
            <v>INF613Q01025</v>
          </cell>
          <cell r="C15013" t="str">
            <v>Redeemed</v>
          </cell>
          <cell r="D15013" t="str">
            <v>IL&amp;FS Infrastructure Debt Fund Series 1A - Dividend payout option</v>
          </cell>
          <cell r="E15013">
            <v>1680494.0463</v>
          </cell>
        </row>
        <row r="15014">
          <cell r="B15014" t="str">
            <v>INF613Q01017</v>
          </cell>
          <cell r="C15014" t="str">
            <v>Redeemed</v>
          </cell>
          <cell r="D15014" t="str">
            <v>IL&amp;FS Infrastructure Debt Fund Series 1A - Growth</v>
          </cell>
          <cell r="E15014">
            <v>1680494.0463</v>
          </cell>
        </row>
        <row r="15015">
          <cell r="B15015" t="str">
            <v>INF613Q01058</v>
          </cell>
          <cell r="C15015" t="str">
            <v>Redeemed</v>
          </cell>
          <cell r="D15015" t="str">
            <v>IL&amp;FS Infrastructure Debt Fund Series 1C - Growth</v>
          </cell>
          <cell r="E15015">
            <v>2185944.3802999998</v>
          </cell>
        </row>
        <row r="15016">
          <cell r="B15016" t="str">
            <v>INF613Q01066</v>
          </cell>
          <cell r="C15016" t="str">
            <v>Redeemed</v>
          </cell>
          <cell r="D15016" t="str">
            <v>IL&amp;FS Infrastructure Debt Fund Series 1C- Dividend Payout Option</v>
          </cell>
          <cell r="E15016">
            <v>2185944.3903000001</v>
          </cell>
        </row>
        <row r="15017">
          <cell r="B15017" t="str">
            <v>INF613Q01140</v>
          </cell>
          <cell r="C15017" t="str">
            <v>-</v>
          </cell>
          <cell r="D15017" t="str">
            <v>IL&amp;FS Infrastructure Debt Fund Series 2A - Growth - Direct</v>
          </cell>
          <cell r="E15017">
            <v>1979043.4256</v>
          </cell>
        </row>
        <row r="15018">
          <cell r="B15018" t="str">
            <v>INF613Q01157</v>
          </cell>
          <cell r="C15018" t="str">
            <v>-</v>
          </cell>
          <cell r="D15018" t="str">
            <v>IL&amp;FS Infrastructure Debt Fund Series 2B - Growth - Direct</v>
          </cell>
          <cell r="E15018">
            <v>2510326.4049</v>
          </cell>
        </row>
        <row r="15019">
          <cell r="B15019" t="str">
            <v>INF613Q01165</v>
          </cell>
          <cell r="C15019" t="str">
            <v>-</v>
          </cell>
          <cell r="D15019" t="str">
            <v>IL&amp;FS Infrastructure Debt Fund Series 2C - Growth - Direct</v>
          </cell>
          <cell r="E15019">
            <v>2472409.3435</v>
          </cell>
        </row>
        <row r="15020">
          <cell r="B15020" t="str">
            <v>INF613Q01082</v>
          </cell>
          <cell r="C15020" t="str">
            <v>Redeemed</v>
          </cell>
          <cell r="D15020" t="str">
            <v>IL&amp;FS Infrastructure Debt Fund Series 3A - Dividend payout option - Direct</v>
          </cell>
          <cell r="E15020">
            <v>1213044.969</v>
          </cell>
        </row>
        <row r="15021">
          <cell r="B15021" t="str">
            <v>INF613Q01074</v>
          </cell>
          <cell r="C15021" t="str">
            <v>Redeemed</v>
          </cell>
          <cell r="D15021" t="str">
            <v>IL&amp;FS Infrastructure Debt Fund Series 3A - Growth - Direct</v>
          </cell>
          <cell r="E15021">
            <v>1213045.0145</v>
          </cell>
        </row>
        <row r="15022">
          <cell r="B15022" t="str">
            <v>INF613Q01090</v>
          </cell>
          <cell r="C15022" t="str">
            <v>Redeemed</v>
          </cell>
          <cell r="D15022" t="str">
            <v>IL&amp;FS Infrastructure Debt Fund Series 3A - Growth - Regular</v>
          </cell>
          <cell r="E15022">
            <v>1211636.7662</v>
          </cell>
        </row>
        <row r="15023">
          <cell r="B15023" t="str">
            <v>INF613Q01041</v>
          </cell>
          <cell r="C15023" t="str">
            <v>Redeemed</v>
          </cell>
          <cell r="D15023" t="str">
            <v>IL&amp;FS Infrastructure Debt Fund Series 1B - Dividend Payout</v>
          </cell>
          <cell r="E15023">
            <v>1456756.8966000001</v>
          </cell>
        </row>
        <row r="15024">
          <cell r="B15024" t="str">
            <v>INF613Q01033</v>
          </cell>
          <cell r="C15024" t="str">
            <v>Redeemed</v>
          </cell>
          <cell r="D15024" t="str">
            <v>IL&amp;FS Infrastructure Debt Fund Series 1B - Growth</v>
          </cell>
          <cell r="E15024">
            <v>1456756.8970999999</v>
          </cell>
        </row>
        <row r="15025">
          <cell r="B15025" t="str">
            <v/>
          </cell>
          <cell r="C15025" t="str">
            <v/>
          </cell>
          <cell r="D15025" t="str">
            <v/>
          </cell>
        </row>
        <row r="15026">
          <cell r="B15026" t="str">
            <v/>
          </cell>
          <cell r="C15026" t="str">
            <v/>
          </cell>
          <cell r="D15026" t="str">
            <v/>
          </cell>
        </row>
        <row r="15027">
          <cell r="B15027" t="str">
            <v/>
          </cell>
          <cell r="C15027" t="str">
            <v/>
          </cell>
          <cell r="D15027" t="str">
            <v/>
          </cell>
        </row>
        <row r="15028">
          <cell r="B15028" t="str">
            <v>INF174K01U50</v>
          </cell>
          <cell r="C15028" t="str">
            <v>-</v>
          </cell>
          <cell r="D15028" t="str">
            <v>Kotak Capital Protection Oriented Scheme - Series 1 - Direct Dividend</v>
          </cell>
          <cell r="E15028">
            <v>10.000002</v>
          </cell>
        </row>
        <row r="15029">
          <cell r="B15029" t="str">
            <v>INF174K01U43</v>
          </cell>
          <cell r="C15029" t="str">
            <v>-</v>
          </cell>
          <cell r="D15029" t="str">
            <v>Kotak Capital Protection Oriented Scheme - Series 1 - Direct Growth</v>
          </cell>
          <cell r="E15029">
            <v>12.141466660000001</v>
          </cell>
        </row>
        <row r="15030">
          <cell r="B15030" t="str">
            <v>INF174K01U35</v>
          </cell>
          <cell r="C15030" t="str">
            <v>-</v>
          </cell>
          <cell r="D15030" t="str">
            <v>Kotak Capital Protection Oriented Scheme - Series 1 - Regular Dividend</v>
          </cell>
          <cell r="E15030">
            <v>10.000016710000001</v>
          </cell>
        </row>
        <row r="15031">
          <cell r="B15031" t="str">
            <v>INF174K01U27</v>
          </cell>
          <cell r="C15031" t="str">
            <v>-</v>
          </cell>
          <cell r="D15031" t="str">
            <v>Kotak Capital Protection Oriented Scheme - Series 1 - Regular Growth</v>
          </cell>
          <cell r="E15031">
            <v>11.9437053</v>
          </cell>
        </row>
        <row r="15032">
          <cell r="B15032" t="str">
            <v>INF174K011A4</v>
          </cell>
          <cell r="C15032" t="str">
            <v>-</v>
          </cell>
          <cell r="D15032" t="str">
            <v>Kotak Capital Protection Oriented Scheme - Series 2 - Direct Dividend</v>
          </cell>
          <cell r="E15032">
            <v>10.000014</v>
          </cell>
        </row>
        <row r="15033">
          <cell r="B15033" t="str">
            <v>INF174K010A6</v>
          </cell>
          <cell r="C15033" t="str">
            <v>-</v>
          </cell>
          <cell r="D15033" t="str">
            <v>Kotak Capital Protection Oriented Scheme - Series 2 - Direct Growth</v>
          </cell>
          <cell r="E15033">
            <v>12.24230938</v>
          </cell>
        </row>
        <row r="15034">
          <cell r="B15034" t="str">
            <v>INF174K01Z97</v>
          </cell>
          <cell r="C15034" t="str">
            <v>-</v>
          </cell>
          <cell r="D15034" t="str">
            <v>Kotak Capital Protection Oriented Scheme - Series 2 - Dividend</v>
          </cell>
          <cell r="E15034">
            <v>10.00000026</v>
          </cell>
        </row>
        <row r="15035">
          <cell r="B15035" t="str">
            <v>INF174K01Z89</v>
          </cell>
          <cell r="C15035" t="str">
            <v>-</v>
          </cell>
          <cell r="D15035" t="str">
            <v>Kotak Capital Protection Oriented Scheme - Series 2 - Growth</v>
          </cell>
          <cell r="E15035">
            <v>12.048264659999999</v>
          </cell>
        </row>
        <row r="15036">
          <cell r="B15036" t="str">
            <v>INF174K010E8</v>
          </cell>
          <cell r="C15036" t="str">
            <v>-</v>
          </cell>
          <cell r="D15036" t="str">
            <v>Kotak Capital Protection Oriented Scheme Series 3 - Direct Growth</v>
          </cell>
          <cell r="E15036">
            <v>12.01316151</v>
          </cell>
        </row>
        <row r="15037">
          <cell r="B15037" t="str">
            <v>INF174K019D1</v>
          </cell>
          <cell r="C15037" t="str">
            <v>-</v>
          </cell>
          <cell r="D15037" t="str">
            <v>Kotak Capital Protection Oriented Scheme Series 3 Regular Dividend Payout</v>
          </cell>
          <cell r="E15037">
            <v>10.00000414</v>
          </cell>
        </row>
        <row r="15038">
          <cell r="B15038" t="str">
            <v>INF174K018D3</v>
          </cell>
          <cell r="C15038" t="str">
            <v>-</v>
          </cell>
          <cell r="D15038" t="str">
            <v>Kotak Capital Protection Oriented Scheme Series 3 Regular Growth</v>
          </cell>
          <cell r="E15038">
            <v>11.796539149999999</v>
          </cell>
        </row>
        <row r="15039">
          <cell r="B15039" t="str">
            <v>INF174K015G2</v>
          </cell>
          <cell r="C15039" t="str">
            <v>-</v>
          </cell>
          <cell r="D15039" t="str">
            <v>Kotak Capital Protection Oriented Scheme - Series 4 - Direct Dividend</v>
          </cell>
          <cell r="E15039">
            <v>10.000003</v>
          </cell>
        </row>
        <row r="15040">
          <cell r="B15040" t="str">
            <v>INF174K014G5</v>
          </cell>
          <cell r="C15040" t="str">
            <v>-</v>
          </cell>
          <cell r="D15040" t="str">
            <v>Kotak Capital Protection Oriented Scheme - Series 4 - Direct Growth</v>
          </cell>
          <cell r="E15040">
            <v>11.912271519999999</v>
          </cell>
        </row>
        <row r="15041">
          <cell r="B15041" t="str">
            <v>INF174K013G7</v>
          </cell>
          <cell r="C15041" t="str">
            <v>-</v>
          </cell>
          <cell r="D15041" t="str">
            <v>Kotak Capital Protection Oriented Scheme - Series 4 - Regular Dividend</v>
          </cell>
          <cell r="E15041">
            <v>10.00000281</v>
          </cell>
        </row>
        <row r="15042">
          <cell r="B15042" t="str">
            <v>INF174K012G9</v>
          </cell>
          <cell r="C15042" t="str">
            <v>-</v>
          </cell>
          <cell r="D15042" t="str">
            <v>Kotak Capital Protection Oriented Scheme - Series 4 - Regular Growth</v>
          </cell>
          <cell r="E15042">
            <v>11.724089360000001</v>
          </cell>
        </row>
        <row r="15043">
          <cell r="B15043" t="str">
            <v>INF174KA1QU6</v>
          </cell>
          <cell r="C15043" t="str">
            <v>-</v>
          </cell>
          <cell r="D15043" t="str">
            <v>Kotak Fixed Maturity Plan Series 328 - 90 Days - Direct Plan - Growth Option</v>
          </cell>
          <cell r="E15043">
            <v>10.19907795</v>
          </cell>
        </row>
        <row r="15044">
          <cell r="B15044" t="str">
            <v>INF174KA1QV4</v>
          </cell>
          <cell r="C15044" t="str">
            <v>-</v>
          </cell>
          <cell r="D15044" t="str">
            <v>Kotak Fixed Maturity Plan Series 328 - 90 Days - Direct Plan - IDCW Option</v>
          </cell>
          <cell r="E15044">
            <v>10.199023909999999</v>
          </cell>
        </row>
        <row r="15045">
          <cell r="B15045" t="str">
            <v>INF174KA1QS0</v>
          </cell>
          <cell r="C15045" t="str">
            <v>-</v>
          </cell>
          <cell r="D15045" t="str">
            <v>Kotak Fixed Maturity Plan Series 328 - 90 Days - Regular Plan - Growth Option</v>
          </cell>
          <cell r="E15045">
            <v>10.195182020000001</v>
          </cell>
        </row>
        <row r="15046">
          <cell r="B15046" t="str">
            <v>INF174KA1QT8</v>
          </cell>
          <cell r="C15046" t="str">
            <v>-</v>
          </cell>
          <cell r="D15046" t="str">
            <v>Kotak Fixed Maturity Plan Series 328 - 90 Days - Regular` Plan - IDCW Option</v>
          </cell>
          <cell r="E15046">
            <v>10.19518122</v>
          </cell>
        </row>
        <row r="15047">
          <cell r="B15047" t="str">
            <v>INF174KA1RP4</v>
          </cell>
          <cell r="C15047" t="str">
            <v>-</v>
          </cell>
          <cell r="D15047" t="str">
            <v>Kotak Fixed Maturity Plan Series 329 - 90 Days - Direct Plan - Growth Option</v>
          </cell>
          <cell r="E15047">
            <v>10.18968203</v>
          </cell>
        </row>
        <row r="15048">
          <cell r="B15048" t="str">
            <v>INF174KA1RQ2</v>
          </cell>
          <cell r="C15048" t="str">
            <v>-</v>
          </cell>
          <cell r="D15048" t="str">
            <v>Kotak Fixed Maturity Plan Series 329 - 90 Days - Direct Plan - IDCW Option</v>
          </cell>
          <cell r="E15048">
            <v>10.189593609999999</v>
          </cell>
        </row>
        <row r="15049">
          <cell r="B15049" t="str">
            <v>INF174KA1RR0</v>
          </cell>
          <cell r="C15049" t="str">
            <v>-</v>
          </cell>
          <cell r="D15049" t="str">
            <v>Kotak Fixed Maturity Plan Series 329 - 90 Days - Regular Plan - Growth Option</v>
          </cell>
          <cell r="E15049">
            <v>10.18584049</v>
          </cell>
        </row>
        <row r="15050">
          <cell r="B15050" t="str">
            <v>INF174KA1RO7</v>
          </cell>
          <cell r="C15050" t="str">
            <v>-</v>
          </cell>
          <cell r="D15050" t="str">
            <v>Kotak Fixed Maturity Plan Series 329 - 90 Days - Regular Plan - IDCW Option</v>
          </cell>
          <cell r="E15050">
            <v>10.18583696</v>
          </cell>
        </row>
        <row r="15051">
          <cell r="B15051" t="str">
            <v>INF174K01ZA0</v>
          </cell>
          <cell r="C15051" t="str">
            <v>-</v>
          </cell>
          <cell r="D15051" t="str">
            <v>Kotak FMP Series 105 Direct Dividend</v>
          </cell>
          <cell r="E15051">
            <v>12.75752</v>
          </cell>
        </row>
        <row r="15052">
          <cell r="B15052" t="str">
            <v>INF174K01YZ0</v>
          </cell>
          <cell r="C15052" t="str">
            <v>-</v>
          </cell>
          <cell r="D15052" t="str">
            <v>Kotak FMP Series 105 Direct Growth</v>
          </cell>
          <cell r="E15052">
            <v>14.060825299999999</v>
          </cell>
        </row>
        <row r="15053">
          <cell r="B15053" t="str">
            <v>INF174K01OY4</v>
          </cell>
          <cell r="C15053" t="str">
            <v>-</v>
          </cell>
          <cell r="D15053" t="str">
            <v>Kotak FMP Series 105 Dividend</v>
          </cell>
          <cell r="E15053">
            <v>10.000052719999999</v>
          </cell>
        </row>
        <row r="15054">
          <cell r="B15054" t="str">
            <v>INF174K01YX5</v>
          </cell>
          <cell r="C15054" t="str">
            <v>-</v>
          </cell>
          <cell r="D15054" t="str">
            <v>Kotak FMP Series 105 Growth</v>
          </cell>
          <cell r="E15054">
            <v>14.01012529</v>
          </cell>
        </row>
        <row r="15055">
          <cell r="B15055" t="str">
            <v>-</v>
          </cell>
          <cell r="C15055" t="str">
            <v>-</v>
          </cell>
          <cell r="D15055" t="str">
            <v>Kotak FMP Series 106 Direct Dividend</v>
          </cell>
          <cell r="E15055">
            <v>10.00000021</v>
          </cell>
        </row>
        <row r="15056">
          <cell r="B15056" t="str">
            <v>INF174K01ZD4</v>
          </cell>
          <cell r="C15056" t="str">
            <v>-</v>
          </cell>
          <cell r="D15056" t="str">
            <v>Kotak FMP Series 106 Direct Growth</v>
          </cell>
          <cell r="E15056">
            <v>14.0569223</v>
          </cell>
        </row>
        <row r="15057">
          <cell r="B15057" t="str">
            <v>-</v>
          </cell>
          <cell r="C15057" t="str">
            <v>-</v>
          </cell>
          <cell r="D15057" t="str">
            <v>Kotak FMP Series 106 Dividend</v>
          </cell>
          <cell r="E15057">
            <v>10.0000024</v>
          </cell>
        </row>
        <row r="15058">
          <cell r="B15058" t="str">
            <v>INF174K01ZB8</v>
          </cell>
          <cell r="C15058" t="str">
            <v>-</v>
          </cell>
          <cell r="D15058" t="str">
            <v>Kotak FMP Series 106 Growth</v>
          </cell>
          <cell r="E15058">
            <v>14.01230223</v>
          </cell>
        </row>
        <row r="15059">
          <cell r="B15059" t="str">
            <v>INF174K01ZI3</v>
          </cell>
          <cell r="C15059" t="str">
            <v>-</v>
          </cell>
          <cell r="D15059" t="str">
            <v>Kotak FMP Series 107 Direct Dividend</v>
          </cell>
          <cell r="E15059">
            <v>11.895659</v>
          </cell>
        </row>
        <row r="15060">
          <cell r="B15060" t="str">
            <v>INF174K01ZH5</v>
          </cell>
          <cell r="C15060" t="str">
            <v>-</v>
          </cell>
          <cell r="D15060" t="str">
            <v>Kotak FMP Series 107 Direct Growth</v>
          </cell>
          <cell r="E15060">
            <v>13.86302882</v>
          </cell>
        </row>
        <row r="15061">
          <cell r="B15061" t="str">
            <v>INF174K01ZG7</v>
          </cell>
          <cell r="C15061" t="str">
            <v>-</v>
          </cell>
          <cell r="D15061" t="str">
            <v>Kotak FMP Series 107 Dividend</v>
          </cell>
          <cell r="E15061">
            <v>12.603973999999999</v>
          </cell>
        </row>
        <row r="15062">
          <cell r="B15062" t="str">
            <v>INF174K01ZF9</v>
          </cell>
          <cell r="C15062" t="str">
            <v>-</v>
          </cell>
          <cell r="D15062" t="str">
            <v>Kotak FMP Series 107 Growth</v>
          </cell>
          <cell r="E15062">
            <v>13.826000000000001</v>
          </cell>
        </row>
        <row r="15063">
          <cell r="B15063" t="str">
            <v>INF174K01PL8</v>
          </cell>
          <cell r="C15063" t="str">
            <v>-</v>
          </cell>
          <cell r="D15063" t="str">
            <v>Kotak FMP Series 108 Direct Growth</v>
          </cell>
          <cell r="E15063">
            <v>15.286099999999999</v>
          </cell>
        </row>
        <row r="15064">
          <cell r="B15064" t="str">
            <v>INF174K01PK0</v>
          </cell>
          <cell r="C15064" t="str">
            <v>-</v>
          </cell>
          <cell r="D15064" t="str">
            <v>Kotak FMP Series 108 Dividend</v>
          </cell>
          <cell r="E15064">
            <v>15.143599999999999</v>
          </cell>
        </row>
        <row r="15065">
          <cell r="B15065" t="str">
            <v>INF174K01PJ2</v>
          </cell>
          <cell r="C15065" t="str">
            <v>-</v>
          </cell>
          <cell r="D15065" t="str">
            <v>Kotak FMP Series 108 Growth</v>
          </cell>
          <cell r="E15065">
            <v>15.143599999999999</v>
          </cell>
        </row>
        <row r="15066">
          <cell r="B15066" t="str">
            <v>INF174K01QG6</v>
          </cell>
          <cell r="C15066" t="str">
            <v>-</v>
          </cell>
          <cell r="D15066" t="str">
            <v>Kotak FMP Series 113 (1094 Days)  - Direct Dividend</v>
          </cell>
          <cell r="E15066">
            <v>14.12405644</v>
          </cell>
        </row>
        <row r="15067">
          <cell r="B15067" t="str">
            <v>INF174K01QF8</v>
          </cell>
          <cell r="C15067" t="str">
            <v>-</v>
          </cell>
          <cell r="D15067" t="str">
            <v>Kotak FMP Series 113 (1094 Days) - Direct Growth</v>
          </cell>
          <cell r="E15067">
            <v>14.124066900000001</v>
          </cell>
        </row>
        <row r="15068">
          <cell r="B15068" t="str">
            <v>INF174K01QE1</v>
          </cell>
          <cell r="C15068" t="str">
            <v>-</v>
          </cell>
          <cell r="D15068" t="str">
            <v>Kotak FMP Series 113 (1094 Days) - Dividend</v>
          </cell>
          <cell r="E15068">
            <v>13.12598706</v>
          </cell>
        </row>
        <row r="15069">
          <cell r="B15069" t="str">
            <v>INF174K01QD3</v>
          </cell>
          <cell r="C15069" t="str">
            <v>-</v>
          </cell>
          <cell r="D15069" t="str">
            <v>Kotak FMP Series 113 (1094 Days) - Growth</v>
          </cell>
          <cell r="E15069">
            <v>13.928975919999999</v>
          </cell>
        </row>
        <row r="15070">
          <cell r="B15070" t="str">
            <v>INF174K01B04</v>
          </cell>
          <cell r="C15070" t="str">
            <v>-</v>
          </cell>
          <cell r="D15070" t="str">
            <v>Kotak FMP Series 115 (370 Days) - Direct Dividend</v>
          </cell>
          <cell r="E15070">
            <v>13.9816854</v>
          </cell>
        </row>
        <row r="15071">
          <cell r="B15071" t="str">
            <v>INF174K01A96</v>
          </cell>
          <cell r="C15071" t="str">
            <v>-</v>
          </cell>
          <cell r="D15071" t="str">
            <v>Kotak FMP Series 115 (370 Days) - Direct Growth</v>
          </cell>
          <cell r="E15071">
            <v>13.98165446</v>
          </cell>
        </row>
        <row r="15072">
          <cell r="B15072" t="str">
            <v>-</v>
          </cell>
          <cell r="C15072" t="str">
            <v>-</v>
          </cell>
          <cell r="D15072" t="str">
            <v>Kotak FMP Series 115 (370 Days) - Dividend</v>
          </cell>
          <cell r="E15072">
            <v>11.05176745</v>
          </cell>
        </row>
        <row r="15073">
          <cell r="B15073" t="str">
            <v>INF174K01A70</v>
          </cell>
          <cell r="C15073" t="str">
            <v>-</v>
          </cell>
          <cell r="D15073" t="str">
            <v>Kotak FMP Series 115 (370 Days) - Growth</v>
          </cell>
          <cell r="E15073">
            <v>13.906873620000001</v>
          </cell>
        </row>
        <row r="15074">
          <cell r="B15074" t="str">
            <v>INF174K01QS1</v>
          </cell>
          <cell r="C15074" t="str">
            <v>-</v>
          </cell>
          <cell r="D15074" t="str">
            <v>Kotak FMP Series 116 (370 Days) - Direct Dividend</v>
          </cell>
          <cell r="E15074">
            <v>11.091900000000001</v>
          </cell>
        </row>
        <row r="15075">
          <cell r="B15075" t="str">
            <v>INF174K01B38</v>
          </cell>
          <cell r="C15075" t="str">
            <v>-</v>
          </cell>
          <cell r="D15075" t="str">
            <v>Kotak FMP Series 116 (370 Days) - Direct Growth</v>
          </cell>
          <cell r="E15075">
            <v>14.0495</v>
          </cell>
        </row>
        <row r="15076">
          <cell r="B15076" t="str">
            <v>INF174K01B12</v>
          </cell>
          <cell r="C15076" t="str">
            <v>-</v>
          </cell>
          <cell r="D15076" t="str">
            <v>Kotak FMP Series 116 (370 Days) - Growth</v>
          </cell>
          <cell r="E15076">
            <v>14.01739046</v>
          </cell>
        </row>
        <row r="15077">
          <cell r="B15077" t="str">
            <v>INF174K01QQ5</v>
          </cell>
          <cell r="C15077" t="str">
            <v>-</v>
          </cell>
          <cell r="D15077" t="str">
            <v>Kotak FMP Series 116 (370 Days)- Dividend</v>
          </cell>
          <cell r="E15077">
            <v>11.08650939</v>
          </cell>
        </row>
        <row r="15078">
          <cell r="B15078" t="str">
            <v>INF174K01TB1</v>
          </cell>
          <cell r="C15078" t="str">
            <v>-</v>
          </cell>
          <cell r="D15078" t="str">
            <v>Kotak FMP Series 131 (1061 Days) - Direct Growth</v>
          </cell>
          <cell r="E15078">
            <v>13.403971520000001</v>
          </cell>
        </row>
        <row r="15079">
          <cell r="B15079" t="str">
            <v>INF174K01TA3</v>
          </cell>
          <cell r="C15079" t="str">
            <v>-</v>
          </cell>
          <cell r="D15079" t="str">
            <v>Kotak FMP Series 131 (1061 Days) - Dividend</v>
          </cell>
          <cell r="E15079">
            <v>13.30711876</v>
          </cell>
        </row>
        <row r="15080">
          <cell r="B15080" t="str">
            <v>INF174K01SZ2</v>
          </cell>
          <cell r="C15080" t="str">
            <v>-</v>
          </cell>
          <cell r="D15080" t="str">
            <v>Kotak FMP Series 131 (1061 Days) - Growth</v>
          </cell>
          <cell r="E15080">
            <v>13.635167859999999</v>
          </cell>
        </row>
        <row r="15081">
          <cell r="B15081" t="str">
            <v>INF174K01TG0</v>
          </cell>
          <cell r="C15081" t="str">
            <v>-</v>
          </cell>
          <cell r="D15081" t="str">
            <v>Kotak FMP Series 132 (546 Days) - Direct Dividend</v>
          </cell>
          <cell r="E15081">
            <v>11.436448</v>
          </cell>
        </row>
        <row r="15082">
          <cell r="B15082" t="str">
            <v>INF174K01TF2</v>
          </cell>
          <cell r="C15082" t="str">
            <v>-</v>
          </cell>
          <cell r="D15082" t="str">
            <v>Kotak FMP Series 132 (546 Days) - Direct Growth</v>
          </cell>
          <cell r="E15082">
            <v>13.1022</v>
          </cell>
        </row>
        <row r="15083">
          <cell r="B15083" t="str">
            <v>INF174K01TE5</v>
          </cell>
          <cell r="C15083" t="str">
            <v>-</v>
          </cell>
          <cell r="D15083" t="str">
            <v>Kotak FMP Series 132 (546 Days) - Dividend</v>
          </cell>
          <cell r="E15083">
            <v>12.982116850000001</v>
          </cell>
        </row>
        <row r="15084">
          <cell r="B15084" t="str">
            <v>INF174K01TD7</v>
          </cell>
          <cell r="C15084" t="str">
            <v>-</v>
          </cell>
          <cell r="D15084" t="str">
            <v>Kotak FMP Series 132 (546 Days) - Growth</v>
          </cell>
          <cell r="E15084">
            <v>12.98210634</v>
          </cell>
        </row>
        <row r="15085">
          <cell r="B15085" t="str">
            <v>INF174K01TN6</v>
          </cell>
          <cell r="C15085" t="str">
            <v>-</v>
          </cell>
          <cell r="D15085" t="str">
            <v>Kotak FMP Series 133 (524 Days) - Direct Growth</v>
          </cell>
          <cell r="E15085">
            <v>13.0411</v>
          </cell>
        </row>
        <row r="15086">
          <cell r="B15086" t="str">
            <v>INF174K01TL0</v>
          </cell>
          <cell r="C15086" t="str">
            <v>-</v>
          </cell>
          <cell r="D15086" t="str">
            <v>Kotak FMP Series 133 (524 Days) - Growth</v>
          </cell>
          <cell r="E15086">
            <v>12.94254112</v>
          </cell>
        </row>
        <row r="15087">
          <cell r="B15087" t="str">
            <v>INF174K01P81</v>
          </cell>
          <cell r="C15087" t="str">
            <v>-</v>
          </cell>
          <cell r="D15087" t="str">
            <v>Kotak FMP Series 135 (455 Days) - Direct Growth</v>
          </cell>
          <cell r="E15087">
            <v>13.02230964</v>
          </cell>
        </row>
        <row r="15088">
          <cell r="B15088" t="str">
            <v>INF174K01P65</v>
          </cell>
          <cell r="C15088" t="str">
            <v>-</v>
          </cell>
          <cell r="D15088" t="str">
            <v>Kotak FMP Series 135 (455 Days) - Growth</v>
          </cell>
          <cell r="E15088">
            <v>12.944979330000001</v>
          </cell>
        </row>
        <row r="15089">
          <cell r="B15089" t="str">
            <v>INF174K01H81</v>
          </cell>
          <cell r="C15089" t="str">
            <v>-</v>
          </cell>
          <cell r="D15089" t="str">
            <v>Kotak FMP Series 136 (376 Days) - Direct Growth</v>
          </cell>
          <cell r="E15089">
            <v>13.1268279</v>
          </cell>
        </row>
        <row r="15090">
          <cell r="B15090" t="str">
            <v>INF174K01TY3</v>
          </cell>
          <cell r="C15090" t="str">
            <v>-</v>
          </cell>
          <cell r="D15090" t="str">
            <v>Kotak FMP Series 136 (376 Days) - Dividend</v>
          </cell>
          <cell r="E15090">
            <v>10.985590220000001</v>
          </cell>
        </row>
        <row r="15091">
          <cell r="B15091" t="str">
            <v>INF174K01H65</v>
          </cell>
          <cell r="C15091" t="str">
            <v>-</v>
          </cell>
          <cell r="D15091" t="str">
            <v>Kotak FMP Series 136 (376 Days) - Growth</v>
          </cell>
          <cell r="E15091">
            <v>13.074167839999999</v>
          </cell>
        </row>
        <row r="15092">
          <cell r="B15092" t="str">
            <v>INF174K01H40</v>
          </cell>
          <cell r="C15092" t="str">
            <v>-</v>
          </cell>
          <cell r="D15092" t="str">
            <v>Kotak FMP Series 137 (371 Days) -  Direct Growth</v>
          </cell>
          <cell r="E15092">
            <v>12.919112070000001</v>
          </cell>
        </row>
        <row r="15093">
          <cell r="B15093" t="str">
            <v>-</v>
          </cell>
          <cell r="C15093" t="str">
            <v>-</v>
          </cell>
          <cell r="D15093" t="str">
            <v>Kotak FMP Series 137 (371 Days) -  Dividend</v>
          </cell>
          <cell r="E15093">
            <v>10.987690199999999</v>
          </cell>
        </row>
        <row r="15094">
          <cell r="B15094" t="str">
            <v>-</v>
          </cell>
          <cell r="C15094" t="str">
            <v>-</v>
          </cell>
          <cell r="D15094" t="str">
            <v>Kotak FMP Series 137 (371 Days) - Direct Dividend</v>
          </cell>
          <cell r="E15094">
            <v>11.008229999999999</v>
          </cell>
        </row>
        <row r="15095">
          <cell r="B15095" t="str">
            <v>INF174K01H24</v>
          </cell>
          <cell r="C15095" t="str">
            <v>-</v>
          </cell>
          <cell r="D15095" t="str">
            <v>Kotak FMP Series 137 (371 Days) - Growth</v>
          </cell>
          <cell r="E15095">
            <v>12.892825480000001</v>
          </cell>
        </row>
        <row r="15096">
          <cell r="B15096" t="str">
            <v>INF174K01UQ7</v>
          </cell>
          <cell r="C15096" t="str">
            <v>-</v>
          </cell>
          <cell r="D15096" t="str">
            <v>Kotak FMP Series 140 (1095 Days) - Direct Dividend</v>
          </cell>
          <cell r="E15096">
            <v>13.259387439999999</v>
          </cell>
        </row>
        <row r="15097">
          <cell r="B15097" t="str">
            <v>INF174K01UP9</v>
          </cell>
          <cell r="C15097" t="str">
            <v>-</v>
          </cell>
          <cell r="D15097" t="str">
            <v>Kotak FMP Series 140 (1095 Days) - Direct Growth</v>
          </cell>
          <cell r="E15097">
            <v>13.46592974</v>
          </cell>
        </row>
        <row r="15098">
          <cell r="B15098" t="str">
            <v>INF174K01UO2</v>
          </cell>
          <cell r="C15098" t="str">
            <v>-</v>
          </cell>
          <cell r="D15098" t="str">
            <v>Kotak FMP Series 140 (1095 Days) - Dividend</v>
          </cell>
          <cell r="E15098">
            <v>13.04108916</v>
          </cell>
        </row>
        <row r="15099">
          <cell r="B15099" t="str">
            <v>INF174K01UN4</v>
          </cell>
          <cell r="C15099" t="str">
            <v>-</v>
          </cell>
          <cell r="D15099" t="str">
            <v>Kotak FMP Series 140 (1095 Days) - Growth</v>
          </cell>
          <cell r="E15099">
            <v>13.24117348</v>
          </cell>
        </row>
        <row r="15100">
          <cell r="B15100" t="str">
            <v>-</v>
          </cell>
          <cell r="C15100" t="str">
            <v>-</v>
          </cell>
          <cell r="D15100" t="str">
            <v>Kotak FMP Series 141 (454 Days) - Direct Dividend</v>
          </cell>
          <cell r="E15100">
            <v>11.22644472</v>
          </cell>
        </row>
        <row r="15101">
          <cell r="B15101" t="str">
            <v>INF174K01Q31</v>
          </cell>
          <cell r="C15101" t="str">
            <v>-</v>
          </cell>
          <cell r="D15101" t="str">
            <v>Kotak FMP Series 141 (454 Days) - Direct Growth</v>
          </cell>
          <cell r="E15101">
            <v>13.10564654</v>
          </cell>
        </row>
        <row r="15102">
          <cell r="B15102" t="str">
            <v>INF174K01Q23</v>
          </cell>
          <cell r="C15102" t="str">
            <v>-</v>
          </cell>
          <cell r="D15102" t="str">
            <v>Kotak FMP Series 141 (454 Days) - Dividend</v>
          </cell>
          <cell r="E15102">
            <v>12.745592</v>
          </cell>
        </row>
        <row r="15103">
          <cell r="B15103" t="str">
            <v>INF174K01Q07</v>
          </cell>
          <cell r="C15103" t="str">
            <v>-</v>
          </cell>
          <cell r="D15103" t="str">
            <v>Kotak FMP Series 141 (454 Days) - Growth</v>
          </cell>
          <cell r="E15103">
            <v>12.943296549999999</v>
          </cell>
        </row>
        <row r="15104">
          <cell r="B15104" t="str">
            <v>INF174K01L10</v>
          </cell>
          <cell r="C15104" t="str">
            <v>-</v>
          </cell>
          <cell r="D15104" t="str">
            <v>Kotak FMP Series 142 (420 Days) - Direct Growth</v>
          </cell>
          <cell r="E15104">
            <v>12.93659605</v>
          </cell>
        </row>
        <row r="15105">
          <cell r="B15105" t="str">
            <v>-</v>
          </cell>
          <cell r="C15105" t="str">
            <v>-</v>
          </cell>
          <cell r="D15105" t="str">
            <v>Kotak FMP Series 142 (420 Days) - Dividend</v>
          </cell>
          <cell r="E15105">
            <v>11.0881154</v>
          </cell>
        </row>
        <row r="15106">
          <cell r="B15106" t="str">
            <v>INF174K01K86</v>
          </cell>
          <cell r="C15106" t="str">
            <v>-</v>
          </cell>
          <cell r="D15106" t="str">
            <v>Kotak FMP Series 142 (420 Days) - Growth</v>
          </cell>
          <cell r="E15106">
            <v>12.85510725</v>
          </cell>
        </row>
        <row r="15107">
          <cell r="B15107" t="str">
            <v>INF174K01J22</v>
          </cell>
          <cell r="C15107" t="str">
            <v>-</v>
          </cell>
          <cell r="D15107" t="str">
            <v>Kotak FMP Series 143 (370 Days) - Direct Growth</v>
          </cell>
          <cell r="E15107">
            <v>12.869228830000001</v>
          </cell>
        </row>
        <row r="15108">
          <cell r="B15108" t="str">
            <v>INF174K01J14</v>
          </cell>
          <cell r="C15108" t="str">
            <v>-</v>
          </cell>
          <cell r="D15108" t="str">
            <v>Kotak FMP Series 143 (370 Days) - Dividend</v>
          </cell>
          <cell r="E15108">
            <v>12.83623775</v>
          </cell>
        </row>
        <row r="15109">
          <cell r="B15109" t="str">
            <v>INF174K01J06</v>
          </cell>
          <cell r="C15109" t="str">
            <v>-</v>
          </cell>
          <cell r="D15109" t="str">
            <v>Kotak FMP Series 143 (370 Days) - Growth</v>
          </cell>
          <cell r="E15109">
            <v>12.836237949999999</v>
          </cell>
        </row>
        <row r="15110">
          <cell r="B15110" t="str">
            <v>-</v>
          </cell>
          <cell r="C15110" t="str">
            <v>-</v>
          </cell>
          <cell r="D15110" t="str">
            <v>Kotak FMP Series 145 (390 Days) - Direct Dividend</v>
          </cell>
          <cell r="E15110">
            <v>11.030900000000001</v>
          </cell>
        </row>
        <row r="15111">
          <cell r="B15111" t="str">
            <v>INF174K01L93</v>
          </cell>
          <cell r="C15111" t="str">
            <v>-</v>
          </cell>
          <cell r="D15111" t="str">
            <v>Kotak FMP Series 145 (390 Days) - Direct Growth</v>
          </cell>
          <cell r="E15111">
            <v>13.998054399999999</v>
          </cell>
        </row>
        <row r="15112">
          <cell r="B15112" t="str">
            <v>INF174K01P16</v>
          </cell>
          <cell r="C15112" t="str">
            <v>-</v>
          </cell>
          <cell r="D15112" t="str">
            <v>Kotak FMP Series 145 (390 Days) - Dividend</v>
          </cell>
          <cell r="E15112">
            <v>13.926788</v>
          </cell>
        </row>
        <row r="15113">
          <cell r="B15113" t="str">
            <v>INF174K01L51</v>
          </cell>
          <cell r="C15113" t="str">
            <v>-</v>
          </cell>
          <cell r="D15113" t="str">
            <v>Kotak FMP Series 145 (390 Days) - Growth</v>
          </cell>
          <cell r="E15113">
            <v>13.92670727</v>
          </cell>
        </row>
        <row r="15114">
          <cell r="B15114" t="str">
            <v>INF174K01M35</v>
          </cell>
          <cell r="C15114" t="str">
            <v>-</v>
          </cell>
          <cell r="D15114" t="str">
            <v>Kotak FMP Series 146 (388 Days) - Direct Growth</v>
          </cell>
          <cell r="E15114">
            <v>13.97907359</v>
          </cell>
        </row>
        <row r="15115">
          <cell r="B15115" t="str">
            <v>-</v>
          </cell>
          <cell r="C15115" t="str">
            <v>-</v>
          </cell>
          <cell r="D15115" t="str">
            <v>Kotak FMP Series 146 (388 Days) - Dividend</v>
          </cell>
          <cell r="E15115">
            <v>10.991794000000001</v>
          </cell>
        </row>
        <row r="15116">
          <cell r="B15116" t="str">
            <v>INF174K01M19</v>
          </cell>
          <cell r="C15116" t="str">
            <v>-</v>
          </cell>
          <cell r="D15116" t="str">
            <v>Kotak FMP Series 146 (388 Days) - Growth</v>
          </cell>
          <cell r="E15116">
            <v>13.91344572</v>
          </cell>
        </row>
        <row r="15117">
          <cell r="B15117" t="str">
            <v>INF174K01M76</v>
          </cell>
          <cell r="C15117" t="str">
            <v>-</v>
          </cell>
          <cell r="D15117" t="str">
            <v>Kotak FMP Series 147 (384 Days) - Direct Growth</v>
          </cell>
          <cell r="E15117">
            <v>13.94105794</v>
          </cell>
        </row>
        <row r="15118">
          <cell r="B15118" t="str">
            <v>-</v>
          </cell>
          <cell r="C15118" t="str">
            <v>-</v>
          </cell>
          <cell r="D15118" t="str">
            <v>Kotak FMP Series 147 (384 Days) - Dividend</v>
          </cell>
          <cell r="E15118">
            <v>10.975490499999999</v>
          </cell>
        </row>
        <row r="15119">
          <cell r="B15119" t="str">
            <v>INF174K01M50</v>
          </cell>
          <cell r="C15119" t="str">
            <v>-</v>
          </cell>
          <cell r="D15119" t="str">
            <v>Kotak FMP Series 147 (384 Days) - Growth</v>
          </cell>
          <cell r="E15119">
            <v>13.81277193</v>
          </cell>
        </row>
        <row r="15120">
          <cell r="B15120" t="str">
            <v>INF174K01N18</v>
          </cell>
          <cell r="C15120" t="str">
            <v>-</v>
          </cell>
          <cell r="D15120" t="str">
            <v>Kotak FMP Series 148 (388 Days) - Direct Growth</v>
          </cell>
          <cell r="E15120">
            <v>12.801181270000001</v>
          </cell>
        </row>
        <row r="15121">
          <cell r="B15121" t="str">
            <v>-</v>
          </cell>
          <cell r="C15121" t="str">
            <v>-</v>
          </cell>
          <cell r="D15121" t="str">
            <v>Kotak FMP Series 148 (388 Days) - Dividend</v>
          </cell>
          <cell r="E15121">
            <v>10.972088319999999</v>
          </cell>
        </row>
        <row r="15122">
          <cell r="B15122" t="str">
            <v>INF174K01M92</v>
          </cell>
          <cell r="C15122" t="str">
            <v>-</v>
          </cell>
          <cell r="D15122" t="str">
            <v>Kotak FMP Series 148 (388 Days) - Growth</v>
          </cell>
          <cell r="E15122">
            <v>12.75601298</v>
          </cell>
        </row>
        <row r="15123">
          <cell r="B15123" t="str">
            <v>INF174K01N59</v>
          </cell>
          <cell r="C15123" t="str">
            <v>-</v>
          </cell>
          <cell r="D15123" t="str">
            <v>Kotak FMP Series 149 (386 Days) - Direct Growth</v>
          </cell>
          <cell r="E15123">
            <v>12.804</v>
          </cell>
        </row>
        <row r="15124">
          <cell r="B15124" t="str">
            <v>-</v>
          </cell>
          <cell r="C15124" t="str">
            <v>-</v>
          </cell>
          <cell r="D15124" t="str">
            <v>Kotak FMP Series 149 (386 Days) - Dividend</v>
          </cell>
          <cell r="E15124">
            <v>10.954179119999999</v>
          </cell>
        </row>
        <row r="15125">
          <cell r="B15125" t="str">
            <v>INF174K01N34</v>
          </cell>
          <cell r="C15125" t="str">
            <v>-</v>
          </cell>
          <cell r="D15125" t="str">
            <v>Kotak FMP Series 149 (386 Days) - Growth</v>
          </cell>
          <cell r="E15125">
            <v>12.74600336</v>
          </cell>
        </row>
        <row r="15126">
          <cell r="B15126" t="str">
            <v>INF174K01WK6</v>
          </cell>
          <cell r="C15126" t="str">
            <v>-</v>
          </cell>
          <cell r="D15126" t="str">
            <v>Kotak FMP Series 150 (1109 Days) - Direct Dividend</v>
          </cell>
          <cell r="E15126">
            <v>13.127451990000001</v>
          </cell>
        </row>
        <row r="15127">
          <cell r="B15127" t="str">
            <v>INF174K01WJ8</v>
          </cell>
          <cell r="C15127" t="str">
            <v>-</v>
          </cell>
          <cell r="D15127" t="str">
            <v>Kotak FMP Series 150 (1109 Days) - Direct Growth</v>
          </cell>
          <cell r="E15127">
            <v>13.127452099999999</v>
          </cell>
        </row>
        <row r="15128">
          <cell r="B15128" t="str">
            <v>INF174K01WI0</v>
          </cell>
          <cell r="C15128" t="str">
            <v>-</v>
          </cell>
          <cell r="D15128" t="str">
            <v>Kotak FMP Series 150 (1109 Days) - Dividend</v>
          </cell>
          <cell r="E15128">
            <v>13.040401040000001</v>
          </cell>
        </row>
        <row r="15129">
          <cell r="B15129" t="str">
            <v>INF174K01WH2</v>
          </cell>
          <cell r="C15129" t="str">
            <v>-</v>
          </cell>
          <cell r="D15129" t="str">
            <v>Kotak FMP Series 150 (1109 Days) - Growth</v>
          </cell>
          <cell r="E15129">
            <v>13.040401040000001</v>
          </cell>
        </row>
        <row r="15130">
          <cell r="B15130" t="str">
            <v>INF174K01N91</v>
          </cell>
          <cell r="C15130" t="str">
            <v>-</v>
          </cell>
          <cell r="D15130" t="str">
            <v>Kotak FMP Series 151 (388 Days) - Direct Growth</v>
          </cell>
          <cell r="E15130">
            <v>12.793841670000001</v>
          </cell>
        </row>
        <row r="15131">
          <cell r="B15131" t="str">
            <v>INF174K01N83</v>
          </cell>
          <cell r="C15131" t="str">
            <v>-</v>
          </cell>
          <cell r="D15131" t="str">
            <v>Kotak FMP Series 151 (388 Days) - Dividend</v>
          </cell>
          <cell r="E15131">
            <v>12.7396344</v>
          </cell>
        </row>
        <row r="15132">
          <cell r="B15132" t="str">
            <v>INF174K01N75</v>
          </cell>
          <cell r="C15132" t="str">
            <v>-</v>
          </cell>
          <cell r="D15132" t="str">
            <v>Kotak FMP Series 151 (388 Days) - Growth</v>
          </cell>
          <cell r="E15132">
            <v>12.73963475</v>
          </cell>
        </row>
        <row r="15133">
          <cell r="B15133" t="str">
            <v>INF174K01WZ4</v>
          </cell>
          <cell r="C15133" t="str">
            <v>-</v>
          </cell>
          <cell r="D15133" t="str">
            <v>Kotak FMP Series 153 (790 Days) - Direct Growth</v>
          </cell>
          <cell r="E15133">
            <v>13.16340155</v>
          </cell>
        </row>
        <row r="15134">
          <cell r="B15134" t="str">
            <v>INF174K01WY7</v>
          </cell>
          <cell r="C15134" t="str">
            <v>-</v>
          </cell>
          <cell r="D15134" t="str">
            <v>Kotak FMP Series 153 (790 Days) - Dividend</v>
          </cell>
          <cell r="E15134">
            <v>13.007522</v>
          </cell>
        </row>
        <row r="15135">
          <cell r="B15135" t="str">
            <v>INF174K01WX9</v>
          </cell>
          <cell r="C15135" t="str">
            <v>-</v>
          </cell>
          <cell r="D15135" t="str">
            <v>Kotak FMP Series 153 (790 Days) - Growth</v>
          </cell>
          <cell r="E15135">
            <v>13.007521880000001</v>
          </cell>
        </row>
        <row r="15136">
          <cell r="B15136" t="str">
            <v>-</v>
          </cell>
          <cell r="C15136" t="str">
            <v>-</v>
          </cell>
          <cell r="D15136" t="str">
            <v>Kotak FMP Series 154 (390 Days) - Direct Dividend</v>
          </cell>
          <cell r="E15136">
            <v>11.101645850000001</v>
          </cell>
        </row>
        <row r="15137">
          <cell r="B15137" t="str">
            <v>INF174K01O33</v>
          </cell>
          <cell r="C15137" t="str">
            <v>-</v>
          </cell>
          <cell r="D15137" t="str">
            <v>Kotak FMP Series 154 (390 Days) - Direct Growth</v>
          </cell>
          <cell r="E15137">
            <v>12.969799999999999</v>
          </cell>
        </row>
        <row r="15138">
          <cell r="B15138" t="str">
            <v>INF174K01O25</v>
          </cell>
          <cell r="C15138" t="str">
            <v>-</v>
          </cell>
          <cell r="D15138" t="str">
            <v>Kotak FMP Series 154 (390 Days) - Dividend</v>
          </cell>
          <cell r="E15138">
            <v>12.8355</v>
          </cell>
        </row>
        <row r="15139">
          <cell r="B15139" t="str">
            <v>INF174K01O17</v>
          </cell>
          <cell r="C15139" t="str">
            <v>-</v>
          </cell>
          <cell r="D15139" t="str">
            <v>Kotak FMP Series 154 (390 Days) - Growth</v>
          </cell>
          <cell r="E15139">
            <v>12.824400000000001</v>
          </cell>
        </row>
        <row r="15140">
          <cell r="B15140" t="str">
            <v>INF174K01K52</v>
          </cell>
          <cell r="C15140" t="str">
            <v>-</v>
          </cell>
          <cell r="D15140" t="str">
            <v>Kotak FMP Series 156 (370 Days) - Direct Dividend</v>
          </cell>
          <cell r="E15140">
            <v>12.79361175</v>
          </cell>
        </row>
        <row r="15141">
          <cell r="B15141" t="str">
            <v>INF174K01K45</v>
          </cell>
          <cell r="C15141" t="str">
            <v>-</v>
          </cell>
          <cell r="D15141" t="str">
            <v>Kotak FMP Series 156 (370 Days) - Direct Growth</v>
          </cell>
          <cell r="E15141">
            <v>12.793611090000001</v>
          </cell>
        </row>
        <row r="15142">
          <cell r="B15142" t="str">
            <v>INF174K01P08</v>
          </cell>
          <cell r="C15142" t="str">
            <v>-</v>
          </cell>
          <cell r="D15142" t="str">
            <v>Kotak FMP Series 156 (370 Days) - Dividend</v>
          </cell>
          <cell r="E15142">
            <v>12.74601114</v>
          </cell>
        </row>
        <row r="15143">
          <cell r="B15143" t="str">
            <v>INF174K01O90</v>
          </cell>
          <cell r="C15143" t="str">
            <v>-</v>
          </cell>
          <cell r="D15143" t="str">
            <v>Kotak FMP Series 156 (370 Days) - Growth</v>
          </cell>
          <cell r="E15143">
            <v>12.74601112</v>
          </cell>
        </row>
        <row r="15144">
          <cell r="B15144" t="str">
            <v>INF174K01L02</v>
          </cell>
          <cell r="C15144" t="str">
            <v>-</v>
          </cell>
          <cell r="D15144" t="str">
            <v>Kotak FMP Series 157 (370 Days) - Direct Growth</v>
          </cell>
          <cell r="E15144">
            <v>12.789876100000001</v>
          </cell>
        </row>
        <row r="15145">
          <cell r="B15145" t="str">
            <v>-</v>
          </cell>
          <cell r="C15145" t="str">
            <v>-</v>
          </cell>
          <cell r="D15145" t="str">
            <v>Kotak FMP Series 157 (370 Days) - Dividend</v>
          </cell>
          <cell r="E15145">
            <v>10.923768770000001</v>
          </cell>
        </row>
        <row r="15146">
          <cell r="B15146" t="str">
            <v>INF174K01K60</v>
          </cell>
          <cell r="C15146" t="str">
            <v>-</v>
          </cell>
          <cell r="D15146" t="str">
            <v>Kotak FMP Series 157 (370 Days) - Growth</v>
          </cell>
          <cell r="E15146">
            <v>12.759103400000001</v>
          </cell>
        </row>
        <row r="15147">
          <cell r="B15147" t="str">
            <v>-</v>
          </cell>
          <cell r="C15147" t="str">
            <v>-</v>
          </cell>
          <cell r="D15147" t="str">
            <v>Kotak FMP Series 158 (370 Days) - Direct Dividend</v>
          </cell>
          <cell r="E15147">
            <v>10.961835199999999</v>
          </cell>
        </row>
        <row r="15148">
          <cell r="B15148" t="str">
            <v>INF174K01L77</v>
          </cell>
          <cell r="C15148" t="str">
            <v>-</v>
          </cell>
          <cell r="D15148" t="str">
            <v>Kotak FMP Series 158 (370 Days) - Direct Growth</v>
          </cell>
          <cell r="E15148">
            <v>12.814780389999999</v>
          </cell>
        </row>
        <row r="15149">
          <cell r="B15149" t="str">
            <v>INF174K01L69</v>
          </cell>
          <cell r="C15149" t="str">
            <v>-</v>
          </cell>
          <cell r="D15149" t="str">
            <v>Kotak FMP Series 158 (370 Days) - Dividend</v>
          </cell>
          <cell r="E15149">
            <v>12.7821113</v>
          </cell>
        </row>
        <row r="15150">
          <cell r="B15150" t="str">
            <v>INF174K01L44</v>
          </cell>
          <cell r="C15150" t="str">
            <v>-</v>
          </cell>
          <cell r="D15150" t="str">
            <v>Kotak FMP Series 158 (370 Days) - Growth</v>
          </cell>
          <cell r="E15150">
            <v>12.782110830000001</v>
          </cell>
        </row>
        <row r="15151">
          <cell r="B15151" t="str">
            <v>INF174K01Q72</v>
          </cell>
          <cell r="C15151" t="str">
            <v>-</v>
          </cell>
          <cell r="D15151" t="str">
            <v>Kotak FMP Series 159 (370 Days) - Direct Growth</v>
          </cell>
          <cell r="E15151">
            <v>12.798834510000001</v>
          </cell>
        </row>
        <row r="15152">
          <cell r="B15152" t="str">
            <v>INF174K01Q64</v>
          </cell>
          <cell r="C15152" t="str">
            <v>-</v>
          </cell>
          <cell r="D15152" t="str">
            <v>Kotak FMP Series 159 (370 Days) - Dividend</v>
          </cell>
          <cell r="E15152">
            <v>12.769111199999999</v>
          </cell>
        </row>
        <row r="15153">
          <cell r="B15153" t="str">
            <v>INF174K01Q56</v>
          </cell>
          <cell r="C15153" t="str">
            <v>-</v>
          </cell>
          <cell r="D15153" t="str">
            <v>Kotak FMP Series 159 (370 Days) - Growth</v>
          </cell>
          <cell r="E15153">
            <v>12.769111110000001</v>
          </cell>
        </row>
        <row r="15154">
          <cell r="B15154" t="str">
            <v>INF174K01YC9</v>
          </cell>
          <cell r="C15154" t="str">
            <v>-</v>
          </cell>
          <cell r="D15154" t="str">
            <v>Kotak FMP Series 160 (1039 Days) - Direct Dividend</v>
          </cell>
          <cell r="E15154">
            <v>12.817912</v>
          </cell>
        </row>
        <row r="15155">
          <cell r="B15155" t="str">
            <v>INF174K01YB1</v>
          </cell>
          <cell r="C15155" t="str">
            <v>-</v>
          </cell>
          <cell r="D15155" t="str">
            <v>Kotak FMP Series 160 (1039 Days) - Direct Growth</v>
          </cell>
          <cell r="E15155">
            <v>13.020648100000001</v>
          </cell>
        </row>
        <row r="15156">
          <cell r="B15156" t="str">
            <v>INF174K01YA3</v>
          </cell>
          <cell r="C15156" t="str">
            <v>-</v>
          </cell>
          <cell r="D15156" t="str">
            <v>Kotak FMP Series 160 (1039 Days) - Dividend</v>
          </cell>
          <cell r="E15156">
            <v>12.883147960000001</v>
          </cell>
        </row>
        <row r="15157">
          <cell r="B15157" t="str">
            <v>INF174K01XZ2</v>
          </cell>
          <cell r="C15157" t="str">
            <v>-</v>
          </cell>
          <cell r="D15157" t="str">
            <v>Kotak FMP Series 160 (1039 Days) - Growth</v>
          </cell>
          <cell r="E15157">
            <v>12.883147960000001</v>
          </cell>
        </row>
        <row r="15158">
          <cell r="B15158" t="str">
            <v>INF174K01R22</v>
          </cell>
          <cell r="C15158" t="str">
            <v>-</v>
          </cell>
          <cell r="D15158" t="str">
            <v>Kotak FMP Series 161 (370 Days) - Direct Dividend</v>
          </cell>
          <cell r="E15158">
            <v>12.700968</v>
          </cell>
        </row>
        <row r="15159">
          <cell r="B15159" t="str">
            <v>INF174K01R14</v>
          </cell>
          <cell r="C15159" t="str">
            <v>-</v>
          </cell>
          <cell r="D15159" t="str">
            <v>Kotak FMP Series 161 (370 Days) - Direct Growth</v>
          </cell>
          <cell r="E15159">
            <v>12.70096773</v>
          </cell>
        </row>
        <row r="15160">
          <cell r="B15160" t="str">
            <v>INF174K01R06</v>
          </cell>
          <cell r="C15160" t="str">
            <v>-</v>
          </cell>
          <cell r="D15160" t="str">
            <v>Kotak FMP Series 161 (370 Days) - Dividend</v>
          </cell>
          <cell r="E15160">
            <v>12.698665999999999</v>
          </cell>
        </row>
        <row r="15161">
          <cell r="B15161" t="str">
            <v>INF174K01Q98</v>
          </cell>
          <cell r="C15161" t="str">
            <v>-</v>
          </cell>
          <cell r="D15161" t="str">
            <v>Kotak FMP Series 161 (370 Days) - Growth</v>
          </cell>
          <cell r="E15161">
            <v>12.698660609999999</v>
          </cell>
        </row>
        <row r="15162">
          <cell r="B15162" t="str">
            <v>INF174K01YK2</v>
          </cell>
          <cell r="C15162" t="str">
            <v>-</v>
          </cell>
          <cell r="D15162" t="str">
            <v>Kotak FMP Series 162 (370 Days) - Direct Dividend</v>
          </cell>
          <cell r="E15162">
            <v>10.938333</v>
          </cell>
        </row>
        <row r="15163">
          <cell r="B15163" t="str">
            <v>INF174K01R55</v>
          </cell>
          <cell r="C15163" t="str">
            <v>-</v>
          </cell>
          <cell r="D15163" t="str">
            <v>Kotak FMP Series 162 (370 Days) - Direct Growth</v>
          </cell>
          <cell r="E15163">
            <v>12.80531107</v>
          </cell>
        </row>
        <row r="15164">
          <cell r="B15164" t="str">
            <v>INF174K01R48</v>
          </cell>
          <cell r="C15164" t="str">
            <v>-</v>
          </cell>
          <cell r="D15164" t="str">
            <v>Kotak FMP Series 162 (370 Days) - Dividend</v>
          </cell>
          <cell r="E15164">
            <v>12.734132539999999</v>
          </cell>
        </row>
        <row r="15165">
          <cell r="B15165" t="str">
            <v>INF174K01R30</v>
          </cell>
          <cell r="C15165" t="str">
            <v>-</v>
          </cell>
          <cell r="D15165" t="str">
            <v>Kotak FMP Series 162 (370 Days) - Growth</v>
          </cell>
          <cell r="E15165">
            <v>12.73413246</v>
          </cell>
        </row>
        <row r="15166">
          <cell r="B15166" t="str">
            <v>INF174K01A13</v>
          </cell>
          <cell r="C15166" t="str">
            <v>-</v>
          </cell>
          <cell r="D15166" t="str">
            <v>Kotak FMP Series 163 (1100 Days) - Direct Growth</v>
          </cell>
          <cell r="E15166">
            <v>12.98012475</v>
          </cell>
        </row>
        <row r="15167">
          <cell r="B15167" t="str">
            <v>INF174K01A05</v>
          </cell>
          <cell r="C15167" t="str">
            <v>-</v>
          </cell>
          <cell r="D15167" t="str">
            <v>Kotak FMP Series 163 (1100 Days) - Dividend</v>
          </cell>
          <cell r="E15167">
            <v>12.908113800000001</v>
          </cell>
        </row>
        <row r="15168">
          <cell r="B15168" t="str">
            <v>INF174K01ZZ7</v>
          </cell>
          <cell r="C15168" t="str">
            <v>-</v>
          </cell>
          <cell r="D15168" t="str">
            <v>Kotak FMP Series 163 (1100 Days) - Growth</v>
          </cell>
          <cell r="E15168">
            <v>12.90811405</v>
          </cell>
        </row>
        <row r="15169">
          <cell r="B15169" t="str">
            <v>INF174K01H08</v>
          </cell>
          <cell r="C15169" t="str">
            <v>-</v>
          </cell>
          <cell r="D15169" t="str">
            <v>Kotak FMP Series 171 (1099 Days) - Direct Growth</v>
          </cell>
          <cell r="E15169">
            <v>12.719152100000001</v>
          </cell>
        </row>
        <row r="15170">
          <cell r="B15170" t="str">
            <v>INF174K01G82</v>
          </cell>
          <cell r="C15170" t="str">
            <v>-</v>
          </cell>
          <cell r="D15170" t="str">
            <v>Kotak FMP Series 171 (1099 Days) - Growth</v>
          </cell>
          <cell r="E15170">
            <v>12.6141521</v>
          </cell>
        </row>
        <row r="15171">
          <cell r="B15171" t="str">
            <v>INF174K01I56</v>
          </cell>
          <cell r="C15171" t="str">
            <v>-</v>
          </cell>
          <cell r="D15171" t="str">
            <v>Kotak FMP Series 172 - Direct Dividend</v>
          </cell>
          <cell r="E15171">
            <v>13.320754000000001</v>
          </cell>
        </row>
        <row r="15172">
          <cell r="B15172" t="str">
            <v>INF174K01I49</v>
          </cell>
          <cell r="C15172" t="str">
            <v>-</v>
          </cell>
          <cell r="D15172" t="str">
            <v>Kotak FMP Series 172 - Direct Growth</v>
          </cell>
          <cell r="E15172">
            <v>13.31714521</v>
          </cell>
        </row>
        <row r="15173">
          <cell r="B15173" t="str">
            <v>INF174K01I31</v>
          </cell>
          <cell r="C15173" t="str">
            <v>-</v>
          </cell>
          <cell r="D15173" t="str">
            <v>Kotak FMP Series 172 - Regular Dividend</v>
          </cell>
          <cell r="E15173">
            <v>13.20244224</v>
          </cell>
        </row>
        <row r="15174">
          <cell r="B15174" t="str">
            <v>INF174K01I23</v>
          </cell>
          <cell r="C15174" t="str">
            <v>-</v>
          </cell>
          <cell r="D15174" t="str">
            <v>Kotak FMP Series 172 - Regular Growth</v>
          </cell>
          <cell r="E15174">
            <v>13.2024393</v>
          </cell>
        </row>
        <row r="15175">
          <cell r="B15175" t="str">
            <v>INF174K01R97</v>
          </cell>
          <cell r="C15175" t="str">
            <v>-</v>
          </cell>
          <cell r="D15175" t="str">
            <v>Kotak FMP Series 175 (1100 Days) - Direct Growth</v>
          </cell>
          <cell r="E15175">
            <v>12.755078989999999</v>
          </cell>
        </row>
        <row r="15176">
          <cell r="B15176" t="str">
            <v>INF174K01R89</v>
          </cell>
          <cell r="C15176" t="str">
            <v>-</v>
          </cell>
          <cell r="D15176" t="str">
            <v>Kotak FMP Series 175 (1100 Days) - Regular Dividend</v>
          </cell>
          <cell r="E15176">
            <v>12.744988770000001</v>
          </cell>
        </row>
        <row r="15177">
          <cell r="B15177" t="str">
            <v>INF174K01R71</v>
          </cell>
          <cell r="C15177" t="str">
            <v>-</v>
          </cell>
          <cell r="D15177" t="str">
            <v>Kotak FMP Series 175 (1100 Days) - Regular Growth</v>
          </cell>
          <cell r="E15177">
            <v>12.744975849999999</v>
          </cell>
        </row>
        <row r="15178">
          <cell r="B15178" t="str">
            <v>INF174K01S96</v>
          </cell>
          <cell r="C15178" t="str">
            <v>-</v>
          </cell>
          <cell r="D15178" t="str">
            <v>Kotak FMP Series 176 - Direct Plan - Growth</v>
          </cell>
          <cell r="E15178">
            <v>12.745211019999999</v>
          </cell>
        </row>
        <row r="15179">
          <cell r="B15179" t="str">
            <v>INF174K01S88</v>
          </cell>
          <cell r="C15179" t="str">
            <v>-</v>
          </cell>
          <cell r="D15179" t="str">
            <v>Kotak FMP Series 176 - Regular Plan - Dividend</v>
          </cell>
          <cell r="E15179">
            <v>12.65420885</v>
          </cell>
        </row>
        <row r="15180">
          <cell r="B15180" t="str">
            <v>INF174K01S70</v>
          </cell>
          <cell r="C15180" t="str">
            <v>-</v>
          </cell>
          <cell r="D15180" t="str">
            <v>Kotak FMP Series 176 - Regular Plan - Growth</v>
          </cell>
          <cell r="E15180">
            <v>12.65420847</v>
          </cell>
        </row>
        <row r="15181">
          <cell r="B15181" t="str">
            <v>INF174K01U01</v>
          </cell>
          <cell r="C15181" t="str">
            <v>-</v>
          </cell>
          <cell r="D15181" t="str">
            <v>Kotak FMP Series 178 - Direct Growth</v>
          </cell>
          <cell r="E15181">
            <v>12.7289622</v>
          </cell>
        </row>
        <row r="15182">
          <cell r="B15182" t="str">
            <v>INF174K01T95</v>
          </cell>
          <cell r="C15182" t="str">
            <v>-</v>
          </cell>
          <cell r="D15182" t="str">
            <v>Kotak FMP Series 178 - Regular Dividend</v>
          </cell>
          <cell r="E15182">
            <v>12.65628768</v>
          </cell>
        </row>
        <row r="15183">
          <cell r="B15183" t="str">
            <v>INF174K01T87</v>
          </cell>
          <cell r="C15183" t="str">
            <v>-</v>
          </cell>
          <cell r="D15183" t="str">
            <v>Kotak FMP Series 178 - Regular Growth</v>
          </cell>
          <cell r="E15183">
            <v>12.65628705</v>
          </cell>
        </row>
        <row r="15184">
          <cell r="B15184" t="str">
            <v>INF174K01U92</v>
          </cell>
          <cell r="C15184" t="str">
            <v>-</v>
          </cell>
          <cell r="D15184" t="str">
            <v>Kotak FMP Series 179 - Direct Dividend</v>
          </cell>
          <cell r="E15184">
            <v>10.000000330000001</v>
          </cell>
        </row>
        <row r="15185">
          <cell r="B15185" t="str">
            <v>INF174K01U84</v>
          </cell>
          <cell r="C15185" t="str">
            <v>-</v>
          </cell>
          <cell r="D15185" t="str">
            <v>Kotak FMP Series 179 - Direct Growth</v>
          </cell>
          <cell r="E15185">
            <v>12.67559415</v>
          </cell>
        </row>
        <row r="15186">
          <cell r="B15186" t="str">
            <v>INF174K01U76</v>
          </cell>
          <cell r="C15186" t="str">
            <v>-</v>
          </cell>
          <cell r="D15186" t="str">
            <v>Kotak FMP Series 179 - Regular Dividend</v>
          </cell>
          <cell r="E15186">
            <v>10.000000030000001</v>
          </cell>
        </row>
        <row r="15187">
          <cell r="B15187" t="str">
            <v>INF174K01U68</v>
          </cell>
          <cell r="C15187" t="str">
            <v>-</v>
          </cell>
          <cell r="D15187" t="str">
            <v>Kotak FMP Series 179 - Regular Growth</v>
          </cell>
          <cell r="E15187">
            <v>12.60614788</v>
          </cell>
        </row>
        <row r="15188">
          <cell r="B15188" t="str">
            <v>INF174K01Y31</v>
          </cell>
          <cell r="C15188" t="str">
            <v>-</v>
          </cell>
          <cell r="D15188" t="str">
            <v>Kotak FMP Series 180 (1099 Days) - Direct Growth</v>
          </cell>
          <cell r="E15188">
            <v>12.62908974</v>
          </cell>
        </row>
        <row r="15189">
          <cell r="B15189" t="str">
            <v>INF174K01Y23</v>
          </cell>
          <cell r="C15189" t="str">
            <v>-</v>
          </cell>
          <cell r="D15189" t="str">
            <v>Kotak FMP Series 180 (1099 Days) - Regular Dividend</v>
          </cell>
          <cell r="E15189">
            <v>10.00001292</v>
          </cell>
        </row>
        <row r="15190">
          <cell r="B15190" t="str">
            <v>INF174K01Y15</v>
          </cell>
          <cell r="C15190" t="str">
            <v>-</v>
          </cell>
          <cell r="D15190" t="str">
            <v>Kotak FMP Series 180 (1099 Days) - Regular Growth</v>
          </cell>
          <cell r="E15190">
            <v>12.561527590000001</v>
          </cell>
        </row>
        <row r="15191">
          <cell r="B15191" t="str">
            <v>INF174K01Z55</v>
          </cell>
          <cell r="C15191" t="str">
            <v>-</v>
          </cell>
          <cell r="D15191" t="str">
            <v>Kotak FMP Series 181 - Direct Dividend</v>
          </cell>
          <cell r="E15191">
            <v>10</v>
          </cell>
        </row>
        <row r="15192">
          <cell r="B15192" t="str">
            <v>INF174K01Z48</v>
          </cell>
          <cell r="C15192" t="str">
            <v>-</v>
          </cell>
          <cell r="D15192" t="str">
            <v>Kotak FMP Series 181 - Direct Growth</v>
          </cell>
          <cell r="E15192">
            <v>12.9575</v>
          </cell>
        </row>
        <row r="15193">
          <cell r="B15193" t="str">
            <v>INF174K01Z63</v>
          </cell>
          <cell r="C15193" t="str">
            <v>-</v>
          </cell>
          <cell r="D15193" t="str">
            <v>Kotak FMP Series 181 - Regular Dividend</v>
          </cell>
          <cell r="E15193">
            <v>10</v>
          </cell>
        </row>
        <row r="15194">
          <cell r="B15194" t="str">
            <v>INF174K01Z30</v>
          </cell>
          <cell r="C15194" t="str">
            <v>-</v>
          </cell>
          <cell r="D15194" t="str">
            <v>Kotak FMP Series 181 - Regular Growth</v>
          </cell>
          <cell r="E15194">
            <v>12.867000000000001</v>
          </cell>
        </row>
        <row r="15195">
          <cell r="B15195" t="str">
            <v>INF174K015A5</v>
          </cell>
          <cell r="C15195" t="str">
            <v>-</v>
          </cell>
          <cell r="D15195" t="str">
            <v>Kotak FMP Series 182 - Direct Dividend</v>
          </cell>
          <cell r="E15195">
            <v>10.000022</v>
          </cell>
        </row>
        <row r="15196">
          <cell r="B15196" t="str">
            <v>INF174K014A8</v>
          </cell>
          <cell r="C15196" t="str">
            <v>-</v>
          </cell>
          <cell r="D15196" t="str">
            <v>Kotak FMP Series 182 - Direct Growth</v>
          </cell>
          <cell r="E15196">
            <v>12.60854245</v>
          </cell>
        </row>
        <row r="15197">
          <cell r="B15197" t="str">
            <v>INF174K013A0</v>
          </cell>
          <cell r="C15197" t="str">
            <v>-</v>
          </cell>
          <cell r="D15197" t="str">
            <v>Kotak FMP Series 182 - Regular Dividend</v>
          </cell>
          <cell r="E15197">
            <v>10.00000067</v>
          </cell>
        </row>
        <row r="15198">
          <cell r="B15198" t="str">
            <v>INF174K012A2</v>
          </cell>
          <cell r="C15198" t="str">
            <v>-</v>
          </cell>
          <cell r="D15198" t="str">
            <v>Kotak FMP Series 182 - Regular Growth</v>
          </cell>
          <cell r="E15198">
            <v>12.51956111</v>
          </cell>
        </row>
        <row r="15199">
          <cell r="B15199" t="str">
            <v>INF174K010C2</v>
          </cell>
          <cell r="C15199" t="str">
            <v>-</v>
          </cell>
          <cell r="D15199" t="str">
            <v>Kotak FMP Series 185 - Direct Growth</v>
          </cell>
          <cell r="E15199">
            <v>12.8591</v>
          </cell>
        </row>
        <row r="15200">
          <cell r="B15200" t="str">
            <v>INF174K019B5</v>
          </cell>
          <cell r="C15200" t="str">
            <v>-</v>
          </cell>
          <cell r="D15200" t="str">
            <v>Kotak FMP Series 185 - Regular Dividend</v>
          </cell>
          <cell r="E15200">
            <v>10</v>
          </cell>
        </row>
        <row r="15201">
          <cell r="B15201" t="str">
            <v>INF174K018B7</v>
          </cell>
          <cell r="C15201" t="str">
            <v>-</v>
          </cell>
          <cell r="D15201" t="str">
            <v>Kotak FMP Series 185 - Regular Growth</v>
          </cell>
          <cell r="E15201">
            <v>12.7644</v>
          </cell>
        </row>
        <row r="15202">
          <cell r="B15202" t="str">
            <v>INF174KA1DW0</v>
          </cell>
          <cell r="C15202" t="str">
            <v>-</v>
          </cell>
          <cell r="D15202" t="str">
            <v>Kotak FMP Series 186 - Direct Growth</v>
          </cell>
          <cell r="E15202">
            <v>13.540800000000001</v>
          </cell>
        </row>
        <row r="15203">
          <cell r="B15203" t="str">
            <v>INF174KA1DV2</v>
          </cell>
          <cell r="C15203" t="str">
            <v>-</v>
          </cell>
          <cell r="D15203" t="str">
            <v>Kotak FMP Series 186 - Regular Dividend</v>
          </cell>
          <cell r="E15203">
            <v>13.514243199999999</v>
          </cell>
        </row>
        <row r="15204">
          <cell r="B15204" t="str">
            <v>INF174KA1DU4</v>
          </cell>
          <cell r="C15204" t="str">
            <v>-</v>
          </cell>
          <cell r="D15204" t="str">
            <v>Kotak FMP Series 186 - Regular Growth</v>
          </cell>
          <cell r="E15204">
            <v>13.5184</v>
          </cell>
        </row>
        <row r="15205">
          <cell r="B15205" t="str">
            <v>INF174K015E7</v>
          </cell>
          <cell r="C15205" t="str">
            <v>-</v>
          </cell>
          <cell r="D15205" t="str">
            <v>Kotak FMp Series 190 - Direct - Dividend Payout</v>
          </cell>
          <cell r="E15205">
            <v>12.83786031</v>
          </cell>
        </row>
        <row r="15206">
          <cell r="B15206" t="str">
            <v>INF174K014E0</v>
          </cell>
          <cell r="C15206" t="str">
            <v>-</v>
          </cell>
          <cell r="D15206" t="str">
            <v>Kotak FMP Series 190 - Direct - Growth</v>
          </cell>
          <cell r="E15206">
            <v>12.83786022</v>
          </cell>
        </row>
        <row r="15207">
          <cell r="B15207" t="str">
            <v>INF174K013E2</v>
          </cell>
          <cell r="C15207" t="str">
            <v>-</v>
          </cell>
          <cell r="D15207" t="str">
            <v>Kotak FMP Series 190 - Regular - Dividend Payout</v>
          </cell>
          <cell r="E15207">
            <v>10.0000026</v>
          </cell>
        </row>
        <row r="15208">
          <cell r="B15208" t="str">
            <v>INF174K012E4</v>
          </cell>
          <cell r="C15208" t="str">
            <v>-</v>
          </cell>
          <cell r="D15208" t="str">
            <v>Kotak FMP Series 190 - Regular - Growth</v>
          </cell>
          <cell r="E15208">
            <v>12.748255500000001</v>
          </cell>
        </row>
        <row r="15209">
          <cell r="B15209" t="str">
            <v>INF174K018E1</v>
          </cell>
          <cell r="C15209" t="str">
            <v>-</v>
          </cell>
          <cell r="D15209" t="str">
            <v>Kotak FMP Series 191 - Direct - Growth</v>
          </cell>
          <cell r="E15209">
            <v>12.696377549999999</v>
          </cell>
        </row>
        <row r="15210">
          <cell r="B15210" t="str">
            <v>INF174K017E3</v>
          </cell>
          <cell r="C15210" t="str">
            <v>-</v>
          </cell>
          <cell r="D15210" t="str">
            <v>Kotak FMP Series 191 - Regular - Dividend Payout</v>
          </cell>
          <cell r="E15210">
            <v>10.000014</v>
          </cell>
        </row>
        <row r="15211">
          <cell r="B15211" t="str">
            <v>INF174K016E5</v>
          </cell>
          <cell r="C15211" t="str">
            <v>-</v>
          </cell>
          <cell r="D15211" t="str">
            <v>Kotak FMP Series 191 - Regular - Growth</v>
          </cell>
          <cell r="E15211">
            <v>12.62255773</v>
          </cell>
        </row>
        <row r="15212">
          <cell r="B15212" t="str">
            <v>INF174K012F1</v>
          </cell>
          <cell r="C15212" t="str">
            <v>-</v>
          </cell>
          <cell r="D15212" t="str">
            <v>Kotak FMP Series 192 - Direct - Growth</v>
          </cell>
          <cell r="E15212">
            <v>12.6723</v>
          </cell>
        </row>
        <row r="15213">
          <cell r="B15213" t="str">
            <v>INF174K011F3</v>
          </cell>
          <cell r="C15213" t="str">
            <v>-</v>
          </cell>
          <cell r="D15213" t="str">
            <v>Kotak FMP Series 192 - Regular - Dividend Payout</v>
          </cell>
          <cell r="E15213">
            <v>10</v>
          </cell>
        </row>
        <row r="15214">
          <cell r="B15214" t="str">
            <v>INF174K010F5</v>
          </cell>
          <cell r="C15214" t="str">
            <v>-</v>
          </cell>
          <cell r="D15214" t="str">
            <v>Kotak FMP Series 192 - Regular - Growth</v>
          </cell>
          <cell r="E15214">
            <v>12.598599999999999</v>
          </cell>
        </row>
        <row r="15215">
          <cell r="B15215" t="str">
            <v>INF174K016F2</v>
          </cell>
          <cell r="C15215" t="str">
            <v>-</v>
          </cell>
          <cell r="D15215" t="str">
            <v>Kotak FMP Series 193 - Direct - Growth</v>
          </cell>
          <cell r="E15215">
            <v>12.261043600000001</v>
          </cell>
        </row>
        <row r="15216">
          <cell r="B15216" t="str">
            <v>INF174K015F4</v>
          </cell>
          <cell r="C15216" t="str">
            <v>-</v>
          </cell>
          <cell r="D15216" t="str">
            <v>Kotak FMP Series 193 - Regular - Dividend Payout</v>
          </cell>
          <cell r="E15216">
            <v>11.29704707</v>
          </cell>
        </row>
        <row r="15217">
          <cell r="B15217" t="str">
            <v>INF174K014F7</v>
          </cell>
          <cell r="C15217" t="str">
            <v>-</v>
          </cell>
          <cell r="D15217" t="str">
            <v>Kotak FMP Series 193 - Regular - Growth</v>
          </cell>
          <cell r="E15217">
            <v>12.12913505</v>
          </cell>
        </row>
        <row r="15218">
          <cell r="B15218" t="str">
            <v>INF174K010G3</v>
          </cell>
          <cell r="C15218" t="str">
            <v>-</v>
          </cell>
          <cell r="D15218" t="str">
            <v>Kotak FMP Series 194 - Direct - Growth</v>
          </cell>
          <cell r="E15218">
            <v>11.783292879999999</v>
          </cell>
        </row>
        <row r="15219">
          <cell r="B15219" t="str">
            <v>INF174K019F6</v>
          </cell>
          <cell r="C15219" t="str">
            <v>-</v>
          </cell>
          <cell r="D15219" t="str">
            <v>Kotak FMP Series 194 - Regular - Dividend Payout</v>
          </cell>
          <cell r="E15219">
            <v>11.323420820000001</v>
          </cell>
        </row>
        <row r="15220">
          <cell r="B15220" t="str">
            <v>INF174K018F8</v>
          </cell>
          <cell r="C15220" t="str">
            <v>-</v>
          </cell>
          <cell r="D15220" t="str">
            <v>Kotak FMP Series 194 - Regular- Growth</v>
          </cell>
          <cell r="E15220">
            <v>11.679361159999999</v>
          </cell>
        </row>
        <row r="15221">
          <cell r="B15221" t="str">
            <v>INF174K015H0</v>
          </cell>
          <cell r="C15221" t="str">
            <v>-</v>
          </cell>
          <cell r="D15221" t="str">
            <v>Kotak FMP Series 196 - Direct - Growth</v>
          </cell>
          <cell r="E15221">
            <v>12.48885213</v>
          </cell>
        </row>
        <row r="15222">
          <cell r="B15222" t="str">
            <v>INF174K014H3</v>
          </cell>
          <cell r="C15222" t="str">
            <v>-</v>
          </cell>
          <cell r="D15222" t="str">
            <v>Kotak FMP Series 196 - Regular - Dividend Payout</v>
          </cell>
          <cell r="E15222">
            <v>10.000006409999999</v>
          </cell>
        </row>
        <row r="15223">
          <cell r="B15223" t="str">
            <v>INF174K013H5</v>
          </cell>
          <cell r="C15223" t="str">
            <v>-</v>
          </cell>
          <cell r="D15223" t="str">
            <v>Kotak FMP Series 196 - Regular - Growth</v>
          </cell>
          <cell r="E15223">
            <v>12.42780569</v>
          </cell>
        </row>
        <row r="15224">
          <cell r="B15224" t="str">
            <v>INF174K018K8</v>
          </cell>
          <cell r="C15224" t="str">
            <v>-</v>
          </cell>
          <cell r="D15224" t="str">
            <v>Kotak FMP Series 199 - Direct Plan - Growth Option</v>
          </cell>
          <cell r="E15224">
            <v>12.42189729</v>
          </cell>
        </row>
        <row r="15225">
          <cell r="B15225" t="str">
            <v>INF174K017K0</v>
          </cell>
          <cell r="C15225" t="str">
            <v>-</v>
          </cell>
          <cell r="D15225" t="str">
            <v>Kotak FMP Series 199 - Regular Plan - Dividend Payout Option</v>
          </cell>
          <cell r="E15225">
            <v>12.31038055</v>
          </cell>
        </row>
        <row r="15226">
          <cell r="B15226" t="str">
            <v>INF174K016K2</v>
          </cell>
          <cell r="C15226" t="str">
            <v>-</v>
          </cell>
          <cell r="D15226" t="str">
            <v>Kotak FMP Series 199 - Regular Plan - Growth Option</v>
          </cell>
          <cell r="E15226">
            <v>12.31038068</v>
          </cell>
        </row>
        <row r="15227">
          <cell r="B15227" t="str">
            <v>INF174K014M3</v>
          </cell>
          <cell r="C15227" t="str">
            <v>-</v>
          </cell>
          <cell r="D15227" t="str">
            <v>Kotak FMP Series 200-Direct Plan-Dividend Payout Option</v>
          </cell>
          <cell r="E15227">
            <v>12.46957982</v>
          </cell>
        </row>
        <row r="15228">
          <cell r="B15228" t="str">
            <v>INF174K013M5</v>
          </cell>
          <cell r="C15228" t="str">
            <v>-</v>
          </cell>
          <cell r="D15228" t="str">
            <v>Kotak FMP Series 200-Direct Plan-Growth Option</v>
          </cell>
          <cell r="E15228">
            <v>12.469588570000001</v>
          </cell>
        </row>
        <row r="15229">
          <cell r="B15229" t="str">
            <v>INF174K012M7</v>
          </cell>
          <cell r="C15229" t="str">
            <v>-</v>
          </cell>
          <cell r="D15229" t="str">
            <v>Kotak FMP Series 200-Regular Plan-Dividend Payout</v>
          </cell>
          <cell r="E15229">
            <v>12.3123377</v>
          </cell>
        </row>
        <row r="15230">
          <cell r="B15230" t="str">
            <v>INF174K011M9</v>
          </cell>
          <cell r="C15230" t="str">
            <v>-</v>
          </cell>
          <cell r="D15230" t="str">
            <v>Kotak FMP Series 200-Regular Plan-Growth Option</v>
          </cell>
          <cell r="E15230">
            <v>12.31234551</v>
          </cell>
        </row>
        <row r="15231">
          <cell r="B15231" t="str">
            <v>INF174K011N7</v>
          </cell>
          <cell r="C15231" t="str">
            <v>-</v>
          </cell>
          <cell r="D15231" t="str">
            <v>Kotak FMP Series 202-Direct Plan-Growth Option</v>
          </cell>
          <cell r="E15231">
            <v>12.425711870000001</v>
          </cell>
        </row>
        <row r="15232">
          <cell r="B15232" t="str">
            <v>INF174K012N5</v>
          </cell>
          <cell r="C15232" t="str">
            <v>-</v>
          </cell>
          <cell r="D15232" t="str">
            <v>Kotak FMP Series 202-DirectPLan-Dividend Payout Option</v>
          </cell>
          <cell r="E15232">
            <v>12.42569613</v>
          </cell>
        </row>
        <row r="15233">
          <cell r="B15233" t="str">
            <v>INF174K010N9</v>
          </cell>
          <cell r="C15233" t="str">
            <v>-</v>
          </cell>
          <cell r="D15233" t="str">
            <v>Kotak FMP Series 202-Regular Plan-Dividend Payout Option</v>
          </cell>
          <cell r="E15233">
            <v>12.301102</v>
          </cell>
        </row>
        <row r="15234">
          <cell r="B15234" t="str">
            <v>INF174K019M2</v>
          </cell>
          <cell r="C15234" t="str">
            <v>-</v>
          </cell>
          <cell r="D15234" t="str">
            <v>Kotak FMP Series 202-Regular Plan-Growth Option</v>
          </cell>
          <cell r="E15234">
            <v>12.301245590000001</v>
          </cell>
        </row>
        <row r="15235">
          <cell r="B15235" t="str">
            <v>INF174K019N0</v>
          </cell>
          <cell r="C15235" t="str">
            <v>-</v>
          </cell>
          <cell r="D15235" t="str">
            <v>Kotak FMP Series 203 - Direct Plan - Growth Option</v>
          </cell>
          <cell r="E15235">
            <v>12.318490000000001</v>
          </cell>
        </row>
        <row r="15236">
          <cell r="B15236" t="str">
            <v>INF174K018N2</v>
          </cell>
          <cell r="C15236" t="str">
            <v>-</v>
          </cell>
          <cell r="D15236" t="str">
            <v>Kotak FMP Series 203 - Regular Plan - Dividend Payout Option</v>
          </cell>
          <cell r="E15236">
            <v>12.189241620000001</v>
          </cell>
        </row>
        <row r="15237">
          <cell r="B15237" t="str">
            <v>INF174K010O7</v>
          </cell>
          <cell r="C15237" t="str">
            <v>-</v>
          </cell>
          <cell r="D15237" t="str">
            <v>Kotak FMP Series 203-Direct Plan-Dividend Payout Option</v>
          </cell>
          <cell r="E15237">
            <v>12.318477400000001</v>
          </cell>
        </row>
        <row r="15238">
          <cell r="B15238" t="str">
            <v>INF174K017N4</v>
          </cell>
          <cell r="C15238" t="str">
            <v>-</v>
          </cell>
          <cell r="D15238" t="str">
            <v>Kotak FMP Series 203-Regular Plan-Growth option</v>
          </cell>
          <cell r="E15238">
            <v>12.18923917</v>
          </cell>
        </row>
        <row r="15239">
          <cell r="B15239" t="str">
            <v>INF174K017O2</v>
          </cell>
          <cell r="C15239" t="str">
            <v>-</v>
          </cell>
          <cell r="D15239" t="str">
            <v>Kotak FMP Series 204-Direct Plan-Dividend Payout Option</v>
          </cell>
          <cell r="E15239">
            <v>12.412253140000001</v>
          </cell>
        </row>
        <row r="15240">
          <cell r="B15240" t="str">
            <v>INF174K016O4</v>
          </cell>
          <cell r="C15240" t="str">
            <v>-</v>
          </cell>
          <cell r="D15240" t="str">
            <v>Kotak FMP Series 204-Direct Plan-Growth Option</v>
          </cell>
          <cell r="E15240">
            <v>12.41235067</v>
          </cell>
        </row>
        <row r="15241">
          <cell r="B15241" t="str">
            <v>INF174K015O6</v>
          </cell>
          <cell r="C15241" t="str">
            <v>-</v>
          </cell>
          <cell r="D15241" t="str">
            <v>Kotak FMP Series 204-Regular Plan-Dividend Payout Option</v>
          </cell>
          <cell r="E15241">
            <v>12.35582924</v>
          </cell>
        </row>
        <row r="15242">
          <cell r="B15242" t="str">
            <v>INF174K014O9</v>
          </cell>
          <cell r="C15242" t="str">
            <v>-</v>
          </cell>
          <cell r="D15242" t="str">
            <v>Kotak FMP Series 204-Regular Plan-Growth Option</v>
          </cell>
          <cell r="E15242">
            <v>12.35582851</v>
          </cell>
        </row>
        <row r="15243">
          <cell r="B15243" t="str">
            <v>INF174K012Q8</v>
          </cell>
          <cell r="C15243" t="str">
            <v>-</v>
          </cell>
          <cell r="D15243" t="str">
            <v>Kotak FMP Series 210 - Direct Plan - Dividend Option</v>
          </cell>
          <cell r="E15243">
            <v>12.290966020000001</v>
          </cell>
        </row>
        <row r="15244">
          <cell r="B15244" t="str">
            <v>INF174K011Q0</v>
          </cell>
          <cell r="C15244" t="str">
            <v>-</v>
          </cell>
          <cell r="D15244" t="str">
            <v>Kotak FMP Series 210-Direct Plan-Growth Option</v>
          </cell>
          <cell r="E15244">
            <v>12.290962329999999</v>
          </cell>
        </row>
        <row r="15245">
          <cell r="B15245" t="str">
            <v>INF174K010Q2</v>
          </cell>
          <cell r="C15245" t="str">
            <v>-</v>
          </cell>
          <cell r="D15245" t="str">
            <v>Kotak FMP Series 210-Regular plan-Dividend Option</v>
          </cell>
          <cell r="E15245">
            <v>12.1964524</v>
          </cell>
        </row>
        <row r="15246">
          <cell r="B15246" t="str">
            <v>INF174K019P5</v>
          </cell>
          <cell r="C15246" t="str">
            <v>-</v>
          </cell>
          <cell r="D15246" t="str">
            <v>Kotak FMP Series 210-Regular Plan-Growth option</v>
          </cell>
          <cell r="E15246">
            <v>12.196452000000001</v>
          </cell>
        </row>
        <row r="15247">
          <cell r="B15247" t="str">
            <v>INF174K016Q9</v>
          </cell>
          <cell r="C15247" t="str">
            <v>-</v>
          </cell>
          <cell r="D15247" t="str">
            <v>Kotak FMP Series 211-Direct Plan-Dividend option</v>
          </cell>
          <cell r="E15247">
            <v>12.249910059999999</v>
          </cell>
        </row>
        <row r="15248">
          <cell r="B15248" t="str">
            <v>INF174K015Q1</v>
          </cell>
          <cell r="C15248" t="str">
            <v>-</v>
          </cell>
          <cell r="D15248" t="str">
            <v>Kotak FMP Series 211-Direct Plan-Growth Option</v>
          </cell>
          <cell r="E15248">
            <v>12.2499135</v>
          </cell>
        </row>
        <row r="15249">
          <cell r="B15249" t="str">
            <v>INF174K013Q6</v>
          </cell>
          <cell r="C15249" t="str">
            <v>-</v>
          </cell>
          <cell r="D15249" t="str">
            <v>Kotak FMP Series 211-Regular Plan -Growth option</v>
          </cell>
          <cell r="E15249">
            <v>12.153342110000001</v>
          </cell>
        </row>
        <row r="15250">
          <cell r="B15250" t="str">
            <v>INF174K014Q4</v>
          </cell>
          <cell r="C15250" t="str">
            <v>-</v>
          </cell>
          <cell r="D15250" t="str">
            <v>Kotak FMP Series 211-Regular Plan-Dividend Option</v>
          </cell>
          <cell r="E15250">
            <v>12.153340529999999</v>
          </cell>
        </row>
        <row r="15251">
          <cell r="B15251" t="str">
            <v>INF174K019Q3</v>
          </cell>
          <cell r="C15251" t="str">
            <v>-</v>
          </cell>
          <cell r="D15251" t="str">
            <v>Kotak FMP Series 212-Direct plan-Growth option</v>
          </cell>
          <cell r="E15251">
            <v>12.67795851</v>
          </cell>
        </row>
        <row r="15252">
          <cell r="B15252" t="str">
            <v>INF174K018Q5</v>
          </cell>
          <cell r="C15252" t="str">
            <v>-</v>
          </cell>
          <cell r="D15252" t="str">
            <v xml:space="preserve">Kotak FMP Series 212-Regular Plan - Payout of Income Distribution cum capital withdrawal option </v>
          </cell>
          <cell r="E15252">
            <v>12.547341510000001</v>
          </cell>
        </row>
        <row r="15253">
          <cell r="B15253" t="str">
            <v>INF174K017Q7</v>
          </cell>
          <cell r="C15253" t="str">
            <v>-</v>
          </cell>
          <cell r="D15253" t="str">
            <v>Kotak FMP Series 212-Regular Plan-Growth Option</v>
          </cell>
          <cell r="E15253">
            <v>12.54734186</v>
          </cell>
        </row>
        <row r="15254">
          <cell r="B15254" t="str">
            <v>INF174K010R0</v>
          </cell>
          <cell r="C15254" t="str">
            <v>-</v>
          </cell>
          <cell r="D15254" t="str">
            <v>Kotka FMP Series 212-Direct plan -Payout of Income Distribution cum capital withdrawal option</v>
          </cell>
          <cell r="E15254">
            <v>12.677952879999999</v>
          </cell>
        </row>
        <row r="15255">
          <cell r="B15255" t="str">
            <v>INF174K014R2</v>
          </cell>
          <cell r="C15255" t="str">
            <v>-</v>
          </cell>
          <cell r="D15255" t="str">
            <v xml:space="preserve">Kotak FMP Series 213-Direct Plan - Payout of Income Distribution cum capital withdrawal option </v>
          </cell>
          <cell r="E15255">
            <v>12.682885710000001</v>
          </cell>
        </row>
        <row r="15256">
          <cell r="B15256" t="str">
            <v>INF174K013R4</v>
          </cell>
          <cell r="C15256" t="str">
            <v>-</v>
          </cell>
          <cell r="D15256" t="str">
            <v>Kotak FMP Series 213-Direct Plan-Growth Option</v>
          </cell>
          <cell r="E15256">
            <v>12.682847819999999</v>
          </cell>
        </row>
        <row r="15257">
          <cell r="B15257" t="str">
            <v>INF174K012R6</v>
          </cell>
          <cell r="C15257" t="str">
            <v>-</v>
          </cell>
          <cell r="D15257" t="str">
            <v xml:space="preserve">Kotak FMP Series 213-Regular Plan - Payout of Income Distribution cum capital withdrawal option </v>
          </cell>
          <cell r="E15257">
            <v>12.55527623</v>
          </cell>
        </row>
        <row r="15258">
          <cell r="B15258" t="str">
            <v>INF174K011R8</v>
          </cell>
          <cell r="C15258" t="str">
            <v>-</v>
          </cell>
          <cell r="D15258" t="str">
            <v>Kotak FMP Series 213-Regular Plan-Growth Option</v>
          </cell>
          <cell r="E15258">
            <v>12.5552762</v>
          </cell>
        </row>
        <row r="15259">
          <cell r="B15259" t="str">
            <v>INF174K017R5</v>
          </cell>
          <cell r="C15259" t="str">
            <v>-</v>
          </cell>
          <cell r="D15259" t="str">
            <v>Kotak FMP Series 214-Direct Plan-Growth Option</v>
          </cell>
          <cell r="E15259">
            <v>12.74466728</v>
          </cell>
        </row>
        <row r="15260">
          <cell r="B15260" t="str">
            <v>INF174K018R3</v>
          </cell>
          <cell r="C15260" t="str">
            <v>-</v>
          </cell>
          <cell r="D15260" t="str">
            <v xml:space="preserve">Kotak FMP Series 214-Direct Plan-Payout of Income Distribution cum capital withdrawal option </v>
          </cell>
          <cell r="E15260">
            <v>12.7447792</v>
          </cell>
        </row>
        <row r="15261">
          <cell r="B15261" t="str">
            <v>INF174K016R7</v>
          </cell>
          <cell r="C15261" t="str">
            <v>-</v>
          </cell>
          <cell r="D15261" t="str">
            <v xml:space="preserve">Kotak FMP Series 214-Regular Plan-Payout of Income Distribution cum capital withdrawal option </v>
          </cell>
          <cell r="E15261">
            <v>12.60047267</v>
          </cell>
        </row>
        <row r="15262">
          <cell r="B15262" t="str">
            <v>INF174K015R9</v>
          </cell>
          <cell r="C15262" t="str">
            <v>-</v>
          </cell>
          <cell r="D15262" t="str">
            <v>Kotak FMP Series 214-RegularPlan-Growth Option</v>
          </cell>
          <cell r="E15262">
            <v>12.60047327</v>
          </cell>
        </row>
        <row r="15263">
          <cell r="B15263" t="str">
            <v>INF174K011S6</v>
          </cell>
          <cell r="C15263" t="str">
            <v>-</v>
          </cell>
          <cell r="D15263" t="str">
            <v>Kotak FMP Series 215-Direct Plan-Growth Option</v>
          </cell>
          <cell r="E15263">
            <v>12.79483364</v>
          </cell>
        </row>
        <row r="15264">
          <cell r="B15264" t="str">
            <v>INF174K012S4</v>
          </cell>
          <cell r="C15264" t="str">
            <v>-</v>
          </cell>
          <cell r="D15264" t="str">
            <v xml:space="preserve">Kotak FMP Series 215-Direct Plan-Payout of Income Distribution cum capital withdrawal option </v>
          </cell>
          <cell r="E15264">
            <v>12.7949605</v>
          </cell>
        </row>
        <row r="15265">
          <cell r="B15265" t="str">
            <v>INF174K010S8</v>
          </cell>
          <cell r="C15265" t="str">
            <v>-</v>
          </cell>
          <cell r="D15265" t="str">
            <v xml:space="preserve">Kotak FMP Series 215-Regular Plan - Payout of Income Distribution cum capital withdrawal option </v>
          </cell>
          <cell r="E15265">
            <v>12.73132</v>
          </cell>
        </row>
        <row r="15266">
          <cell r="B15266" t="str">
            <v>INF174K019R1</v>
          </cell>
          <cell r="C15266" t="str">
            <v>-</v>
          </cell>
          <cell r="D15266" t="str">
            <v>Kotka FMP Series 215-Regular Plan-Growth Option</v>
          </cell>
          <cell r="E15266">
            <v>12.731319450000001</v>
          </cell>
        </row>
        <row r="15267">
          <cell r="B15267" t="str">
            <v>INF174K016S5</v>
          </cell>
          <cell r="C15267" t="str">
            <v>-</v>
          </cell>
          <cell r="D15267" t="str">
            <v>Kotak FMP Series 216 - Direct Plan-Payout of Income Distribution cum capital withdrawal Option</v>
          </cell>
          <cell r="E15267">
            <v>12.876422</v>
          </cell>
        </row>
        <row r="15268">
          <cell r="B15268" t="str">
            <v>INF174K015S7</v>
          </cell>
          <cell r="C15268" t="str">
            <v>-</v>
          </cell>
          <cell r="D15268" t="str">
            <v>Kotak FMP Series 216-Direct Plan-Growth Option</v>
          </cell>
          <cell r="E15268">
            <v>12.876261059999999</v>
          </cell>
        </row>
        <row r="15269">
          <cell r="B15269" t="str">
            <v>INF174K014S0</v>
          </cell>
          <cell r="C15269" t="str">
            <v>-</v>
          </cell>
          <cell r="D15269" t="str">
            <v>Kotak FMP Series 216-Regular Plan- Payout of Income Distribution cum capital withdrawal Option</v>
          </cell>
          <cell r="E15269">
            <v>12.80911307</v>
          </cell>
        </row>
        <row r="15270">
          <cell r="B15270" t="str">
            <v>INF174K013S2</v>
          </cell>
          <cell r="C15270" t="str">
            <v>-</v>
          </cell>
          <cell r="D15270" t="str">
            <v>Kotak FMP Series 216-Regular Plan-Growth Option</v>
          </cell>
          <cell r="E15270">
            <v>12.80896244</v>
          </cell>
        </row>
        <row r="15271">
          <cell r="B15271" t="str">
            <v>INF174K018T9</v>
          </cell>
          <cell r="C15271" t="str">
            <v>-</v>
          </cell>
          <cell r="D15271" t="str">
            <v>Kotak FMP Series 217-Direct Plan-Growth Option</v>
          </cell>
          <cell r="E15271">
            <v>12.860432380000001</v>
          </cell>
        </row>
        <row r="15272">
          <cell r="B15272" t="str">
            <v>INF174K017T1</v>
          </cell>
          <cell r="C15272" t="str">
            <v>-</v>
          </cell>
          <cell r="D15272" t="str">
            <v>Kotak FMP Series 217-Direct Plan-Payout of Income Distribution cum capital withdrawal Option</v>
          </cell>
          <cell r="E15272">
            <v>12.863454000000001</v>
          </cell>
        </row>
        <row r="15273">
          <cell r="B15273" t="str">
            <v>INF174K015T5</v>
          </cell>
          <cell r="C15273" t="str">
            <v>-</v>
          </cell>
          <cell r="D15273" t="str">
            <v>Kotak FMP Series 217-Regular Plan-Growth Option</v>
          </cell>
          <cell r="E15273">
            <v>12.797349840000001</v>
          </cell>
        </row>
        <row r="15274">
          <cell r="B15274" t="str">
            <v>INF174K016T3</v>
          </cell>
          <cell r="C15274" t="str">
            <v>-</v>
          </cell>
          <cell r="D15274" t="str">
            <v>Kotak FMP Series 217-Regular Plan-Payout of Income Distribution cum capital withdrawal Option</v>
          </cell>
          <cell r="E15274">
            <v>12.797345249999999</v>
          </cell>
        </row>
        <row r="15275">
          <cell r="B15275" t="str">
            <v>INF174K012U0</v>
          </cell>
          <cell r="C15275" t="str">
            <v>-</v>
          </cell>
          <cell r="D15275" t="str">
            <v>Kotak FMP Series 218-Direct Plan-Dividend Option</v>
          </cell>
          <cell r="E15275">
            <v>10.2001709</v>
          </cell>
        </row>
        <row r="15276">
          <cell r="B15276" t="str">
            <v>INF174K011U2</v>
          </cell>
          <cell r="C15276" t="str">
            <v>-</v>
          </cell>
          <cell r="D15276" t="str">
            <v>Kotak FMP Series 218-Direct Plan-Growth option</v>
          </cell>
          <cell r="E15276">
            <v>10.200170910000001</v>
          </cell>
        </row>
        <row r="15277">
          <cell r="B15277" t="str">
            <v>INF174K010U4</v>
          </cell>
          <cell r="C15277" t="str">
            <v>-</v>
          </cell>
          <cell r="D15277" t="str">
            <v>Kotak FMP Series 218-Regular Plan-Dividend Option</v>
          </cell>
          <cell r="E15277">
            <v>10.19497438</v>
          </cell>
        </row>
        <row r="15278">
          <cell r="B15278" t="str">
            <v>INF174K019T7</v>
          </cell>
          <cell r="C15278" t="str">
            <v>-</v>
          </cell>
          <cell r="D15278" t="str">
            <v>Kotak FMP Series 218-Regular Plan-Growth Option</v>
          </cell>
          <cell r="E15278">
            <v>10.19497438</v>
          </cell>
        </row>
        <row r="15279">
          <cell r="B15279" t="str">
            <v>INF174K016U1</v>
          </cell>
          <cell r="C15279" t="str">
            <v>-</v>
          </cell>
          <cell r="D15279" t="str">
            <v>Kotak FMP Series 219-Direct Plan-Payout of Income Distribution cum capital withdrawal Option</v>
          </cell>
          <cell r="E15279">
            <v>12.636284679999999</v>
          </cell>
        </row>
        <row r="15280">
          <cell r="B15280" t="str">
            <v>INF174K013U8</v>
          </cell>
          <cell r="C15280" t="str">
            <v>-</v>
          </cell>
          <cell r="D15280" t="str">
            <v>Kotak FMP Series 219-Regular Plan-Growth Option</v>
          </cell>
          <cell r="E15280">
            <v>12.5373055</v>
          </cell>
        </row>
        <row r="15281">
          <cell r="B15281" t="str">
            <v>INF174K014U6</v>
          </cell>
          <cell r="C15281" t="str">
            <v>-</v>
          </cell>
          <cell r="D15281" t="str">
            <v>Kotak FMP Series 219-Regular Plan-Payout of Income Distribution cum capital withdrawal Option</v>
          </cell>
          <cell r="E15281">
            <v>12.537311819999999</v>
          </cell>
        </row>
        <row r="15282">
          <cell r="B15282" t="str">
            <v>INF174K015U3</v>
          </cell>
          <cell r="C15282" t="str">
            <v>-</v>
          </cell>
          <cell r="D15282" t="str">
            <v>Kotka FMP Series 219-Direct Plan-Growth Option</v>
          </cell>
          <cell r="E15282">
            <v>12.636326459999999</v>
          </cell>
        </row>
        <row r="15283">
          <cell r="B15283" t="str">
            <v>INF174K019U5</v>
          </cell>
          <cell r="C15283" t="str">
            <v>-</v>
          </cell>
          <cell r="D15283" t="str">
            <v>Kotak FMP Series 220-Direct Plan-Growth Option</v>
          </cell>
          <cell r="E15283">
            <v>12.825353870000001</v>
          </cell>
        </row>
        <row r="15284">
          <cell r="B15284" t="str">
            <v>INF174K010V2</v>
          </cell>
          <cell r="C15284" t="str">
            <v>-</v>
          </cell>
          <cell r="D15284" t="str">
            <v>Kotak FMP Series 220-Direct Plan-Payout of Income Distribution cum capital withdrawal Option</v>
          </cell>
          <cell r="E15284">
            <v>12.8255464</v>
          </cell>
        </row>
        <row r="15285">
          <cell r="B15285" t="str">
            <v>INF174K017U9</v>
          </cell>
          <cell r="C15285" t="str">
            <v>-</v>
          </cell>
          <cell r="D15285" t="str">
            <v>Kotak FMP Series 220-Regular Plan-Growth Option</v>
          </cell>
          <cell r="E15285">
            <v>12.731138919999999</v>
          </cell>
        </row>
        <row r="15286">
          <cell r="B15286" t="str">
            <v>INF174K018U7</v>
          </cell>
          <cell r="C15286" t="str">
            <v>-</v>
          </cell>
          <cell r="D15286" t="str">
            <v>Kotak FMP Series 220-Regular Plan-Payout of Income Distribution cum capital withdrawal Option</v>
          </cell>
          <cell r="E15286">
            <v>12.73113049</v>
          </cell>
        </row>
        <row r="15287">
          <cell r="B15287" t="str">
            <v>INF174K017V7</v>
          </cell>
          <cell r="C15287" t="str">
            <v>-</v>
          </cell>
          <cell r="D15287" t="str">
            <v>Kotak FMP Series 221-Direct plan-Growth Option</v>
          </cell>
          <cell r="E15287">
            <v>12.53119294</v>
          </cell>
        </row>
        <row r="15288">
          <cell r="B15288" t="str">
            <v>INF174K012W6</v>
          </cell>
          <cell r="C15288" t="str">
            <v>-</v>
          </cell>
          <cell r="D15288" t="str">
            <v>Kotak FMP Series 221-Regular Plan-Growth Option</v>
          </cell>
          <cell r="E15288">
            <v>12.43591539</v>
          </cell>
        </row>
        <row r="15289">
          <cell r="B15289" t="str">
            <v>INF174K016V9</v>
          </cell>
          <cell r="C15289" t="str">
            <v>-</v>
          </cell>
          <cell r="D15289" t="str">
            <v>Kotak FMP Series 221-Regular Plan-Payout of Income Distribution cum capital withdrawal Option</v>
          </cell>
          <cell r="E15289">
            <v>12.435923750000001</v>
          </cell>
        </row>
        <row r="15290">
          <cell r="B15290" t="str">
            <v>INF174K011W8</v>
          </cell>
          <cell r="C15290" t="str">
            <v>-</v>
          </cell>
          <cell r="D15290" t="str">
            <v>Kotak FMP Series 223-Direct Plan-Growth Option</v>
          </cell>
          <cell r="E15290">
            <v>12.77917038</v>
          </cell>
        </row>
        <row r="15291">
          <cell r="B15291" t="str">
            <v>INF174K015V1</v>
          </cell>
          <cell r="C15291" t="str">
            <v>-</v>
          </cell>
          <cell r="D15291" t="str">
            <v>Kotak FMP Series 223-Direct Plan-Payout of Income Distribution cum capital withdrawal Option</v>
          </cell>
          <cell r="E15291">
            <v>12.779170390000001</v>
          </cell>
        </row>
        <row r="15292">
          <cell r="B15292" t="str">
            <v>INF174K019V3</v>
          </cell>
          <cell r="C15292" t="str">
            <v>-</v>
          </cell>
          <cell r="D15292" t="str">
            <v>Kotak FMP Series 223-Regular Plan-Growth option</v>
          </cell>
          <cell r="E15292">
            <v>12.645096519999999</v>
          </cell>
        </row>
        <row r="15293">
          <cell r="B15293" t="str">
            <v>INF174K010W0</v>
          </cell>
          <cell r="C15293" t="str">
            <v>-</v>
          </cell>
          <cell r="D15293" t="str">
            <v>Kotak FMP Series 223-Regular Plan-Payout of Income Distribution cum capital withdrawal Option</v>
          </cell>
          <cell r="E15293">
            <v>12.6450827</v>
          </cell>
        </row>
        <row r="15294">
          <cell r="B15294" t="str">
            <v>INF174K014W2</v>
          </cell>
          <cell r="C15294" t="str">
            <v>-</v>
          </cell>
          <cell r="D15294" t="str">
            <v>Kotak FMP Series 224 - Regular Plan- Payout of Income Distribution cum capital withdrawal Option</v>
          </cell>
          <cell r="E15294">
            <v>12.47440668</v>
          </cell>
        </row>
        <row r="15295">
          <cell r="B15295" t="str">
            <v>INF174K015W9</v>
          </cell>
          <cell r="C15295" t="str">
            <v>-</v>
          </cell>
          <cell r="D15295" t="str">
            <v>Kotak FMP Series 224-Direct Plan-Growth Option</v>
          </cell>
          <cell r="E15295">
            <v>12.57066655</v>
          </cell>
        </row>
        <row r="15296">
          <cell r="B15296" t="str">
            <v>INF174K013W4</v>
          </cell>
          <cell r="C15296" t="str">
            <v>-</v>
          </cell>
          <cell r="D15296" t="str">
            <v>Kotak FMP Series 224-Regular Plan-Growth Option</v>
          </cell>
          <cell r="E15296">
            <v>12.47439853</v>
          </cell>
        </row>
        <row r="15297">
          <cell r="B15297" t="str">
            <v>INF174K019W1</v>
          </cell>
          <cell r="C15297" t="str">
            <v>-</v>
          </cell>
          <cell r="D15297" t="str">
            <v>Kotak FMP Series 225-Direct Plan-Growth Option</v>
          </cell>
          <cell r="E15297">
            <v>12.46310596</v>
          </cell>
        </row>
        <row r="15298">
          <cell r="B15298" t="str">
            <v>INF174K010X8</v>
          </cell>
          <cell r="C15298" t="str">
            <v>-</v>
          </cell>
          <cell r="D15298" t="str">
            <v>Kotak FMP Series 225-Direct Plan-Payout of Income Distribution cum capital withdrawal Option</v>
          </cell>
          <cell r="E15298">
            <v>12.46328857</v>
          </cell>
        </row>
        <row r="15299">
          <cell r="B15299" t="str">
            <v>INF174K017W5</v>
          </cell>
          <cell r="C15299" t="str">
            <v>-</v>
          </cell>
          <cell r="D15299" t="str">
            <v>Kotak FMP Series 225-Regular Plan -Growth Option</v>
          </cell>
          <cell r="E15299">
            <v>12.36985067</v>
          </cell>
        </row>
        <row r="15300">
          <cell r="B15300" t="str">
            <v>INF174K018W3</v>
          </cell>
          <cell r="C15300" t="str">
            <v>-</v>
          </cell>
          <cell r="D15300" t="str">
            <v>Kotak FMP Series 225-Regular Plan-Payout of Income Distribution cum capital withdrawal Option</v>
          </cell>
          <cell r="E15300">
            <v>12.36985</v>
          </cell>
        </row>
        <row r="15301">
          <cell r="B15301" t="str">
            <v>INF174K017X3</v>
          </cell>
          <cell r="C15301" t="str">
            <v>-</v>
          </cell>
          <cell r="D15301" t="str">
            <v>Kotak FMP Series 226 - Direct Plan- Growth Option</v>
          </cell>
          <cell r="E15301">
            <v>13.74506401</v>
          </cell>
        </row>
        <row r="15302">
          <cell r="B15302" t="str">
            <v>INF174K018X1</v>
          </cell>
          <cell r="C15302" t="str">
            <v>-</v>
          </cell>
          <cell r="D15302" t="str">
            <v>KOtak FMP Series 226 - Direct Plan- Payout of Income Distribution cum capital withdrawal Option</v>
          </cell>
          <cell r="E15302">
            <v>13.74502878</v>
          </cell>
        </row>
        <row r="15303">
          <cell r="B15303" t="str">
            <v>INF174K016X5</v>
          </cell>
          <cell r="C15303" t="str">
            <v>-</v>
          </cell>
          <cell r="D15303" t="str">
            <v>Kotak FMP Series 226 - Regular Plan - Payout of Income Distribution cum capital withdrawal Option</v>
          </cell>
          <cell r="E15303">
            <v>13.641072169999999</v>
          </cell>
        </row>
        <row r="15304">
          <cell r="B15304" t="str">
            <v>INF174K015X7</v>
          </cell>
          <cell r="C15304" t="str">
            <v>-</v>
          </cell>
          <cell r="D15304" t="str">
            <v>Kotak FMP Series 226 - Regular Plan- Growth Option</v>
          </cell>
          <cell r="E15304">
            <v>13.64107272</v>
          </cell>
        </row>
        <row r="15305">
          <cell r="B15305" t="str">
            <v>INF174K011Y4</v>
          </cell>
          <cell r="C15305" t="str">
            <v>-</v>
          </cell>
          <cell r="D15305" t="str">
            <v>Kotak FMP Series 227 - Direct Plan - Growth Option.</v>
          </cell>
          <cell r="E15305">
            <v>10.21444515</v>
          </cell>
        </row>
        <row r="15306">
          <cell r="B15306" t="str">
            <v>INF174K019X9</v>
          </cell>
          <cell r="C15306" t="str">
            <v>-</v>
          </cell>
          <cell r="D15306" t="str">
            <v>Kotak FMP Series 227 - Regular Plan -Growth Option.</v>
          </cell>
          <cell r="E15306">
            <v>10.20907352</v>
          </cell>
        </row>
        <row r="15307">
          <cell r="B15307" t="str">
            <v>INF174K010Y6</v>
          </cell>
          <cell r="C15307" t="str">
            <v>-</v>
          </cell>
          <cell r="D15307" t="str">
            <v>Kotak FMP Series 227 - Regular Plan- Dividend Option.</v>
          </cell>
          <cell r="E15307">
            <v>10.20907352</v>
          </cell>
        </row>
        <row r="15308">
          <cell r="B15308" t="str">
            <v>INF174K012Y2</v>
          </cell>
          <cell r="C15308" t="str">
            <v>-</v>
          </cell>
          <cell r="D15308" t="str">
            <v>Kotak FMP Series 227- Direct Plan - Dividend Option.</v>
          </cell>
          <cell r="E15308">
            <v>10.21444515</v>
          </cell>
        </row>
        <row r="15309">
          <cell r="B15309" t="str">
            <v>INF174K013Y0</v>
          </cell>
          <cell r="C15309" t="str">
            <v>-</v>
          </cell>
          <cell r="D15309" t="str">
            <v>Kotak FMP Series 228 - Regular Plan - Growth Option</v>
          </cell>
          <cell r="E15309">
            <v>12.70956588</v>
          </cell>
        </row>
        <row r="15310">
          <cell r="B15310" t="str">
            <v>INF174K014Y8</v>
          </cell>
          <cell r="C15310" t="str">
            <v>-</v>
          </cell>
          <cell r="D15310" t="str">
            <v>Kotak FMP Series 228- Regular Plan  -Payout of Income Distribution cum capital withdrawal Option</v>
          </cell>
          <cell r="E15310">
            <v>12.70956421</v>
          </cell>
        </row>
        <row r="15311">
          <cell r="B15311" t="str">
            <v>INF174K015Y5</v>
          </cell>
          <cell r="C15311" t="str">
            <v>-</v>
          </cell>
          <cell r="D15311" t="str">
            <v>Kotak FMP Series 228-Direct Plan - Growth Option</v>
          </cell>
          <cell r="E15311">
            <v>12.78522894</v>
          </cell>
        </row>
        <row r="15312">
          <cell r="B15312" t="str">
            <v>INF174K010Z3</v>
          </cell>
          <cell r="C15312" t="str">
            <v>-</v>
          </cell>
          <cell r="D15312" t="str">
            <v>Kotak FMP Series 229 - Direct Plan - Dividend Option</v>
          </cell>
          <cell r="E15312">
            <v>10.20746304</v>
          </cell>
        </row>
        <row r="15313">
          <cell r="B15313" t="str">
            <v>INF174K019Y7</v>
          </cell>
          <cell r="C15313" t="str">
            <v>-</v>
          </cell>
          <cell r="D15313" t="str">
            <v>Kotak FMP Series 229 - Direct Plan - Growth Option</v>
          </cell>
          <cell r="E15313">
            <v>10.20746304</v>
          </cell>
        </row>
        <row r="15314">
          <cell r="B15314" t="str">
            <v>INF174K018Y9</v>
          </cell>
          <cell r="C15314" t="str">
            <v>-</v>
          </cell>
          <cell r="D15314" t="str">
            <v>Kotak FMP Series 229 - Regular Plan - Dividend Option</v>
          </cell>
          <cell r="E15314">
            <v>10.20209509</v>
          </cell>
        </row>
        <row r="15315">
          <cell r="B15315" t="str">
            <v>INF174K017Y1</v>
          </cell>
          <cell r="C15315" t="str">
            <v>-</v>
          </cell>
          <cell r="D15315" t="str">
            <v>Kotak FMP Series 229- Regular Plan  -Growth Option</v>
          </cell>
          <cell r="E15315">
            <v>10.20209509</v>
          </cell>
        </row>
        <row r="15316">
          <cell r="B15316" t="str">
            <v>INF174K013Z7</v>
          </cell>
          <cell r="C15316" t="str">
            <v>-</v>
          </cell>
          <cell r="D15316" t="str">
            <v>Kotak FMP Series 230-Direct Plan-Growth Option</v>
          </cell>
          <cell r="E15316">
            <v>12.76020815</v>
          </cell>
        </row>
        <row r="15317">
          <cell r="B15317" t="str">
            <v>INF174K014Z5</v>
          </cell>
          <cell r="C15317" t="str">
            <v>-</v>
          </cell>
          <cell r="D15317" t="str">
            <v>Kotak FMP Series 230-Direct Plan-Payout of Income Distribution cum capital withdrawal Option</v>
          </cell>
          <cell r="E15317">
            <v>12.760194869999999</v>
          </cell>
        </row>
        <row r="15318">
          <cell r="B15318" t="str">
            <v>INF174K011Z1</v>
          </cell>
          <cell r="C15318" t="str">
            <v>-</v>
          </cell>
          <cell r="D15318" t="str">
            <v>Kotak FMP Series 230-Regular Plan-Growth Option</v>
          </cell>
          <cell r="E15318">
            <v>12.665205070000001</v>
          </cell>
        </row>
        <row r="15319">
          <cell r="B15319" t="str">
            <v>INF174K019Z4</v>
          </cell>
          <cell r="C15319" t="str">
            <v>-</v>
          </cell>
          <cell r="D15319" t="str">
            <v>Kotak FMP Series 232- Regular Plan- Growth Option</v>
          </cell>
          <cell r="E15319">
            <v>12.68978959</v>
          </cell>
        </row>
        <row r="15320">
          <cell r="B15320" t="str">
            <v>INF174KA1020</v>
          </cell>
          <cell r="C15320" t="str">
            <v>-</v>
          </cell>
          <cell r="D15320" t="str">
            <v>Kotak FMP Series 232-Direct Plan-Growth Option</v>
          </cell>
          <cell r="E15320">
            <v>12.800151939999999</v>
          </cell>
        </row>
        <row r="15321">
          <cell r="B15321" t="str">
            <v>INF174KA1012</v>
          </cell>
          <cell r="C15321" t="str">
            <v>-</v>
          </cell>
          <cell r="D15321" t="str">
            <v>Kotak FMP Series 232-Regular Plan-Payout of Income Distribution cum capital withdrawal Option</v>
          </cell>
          <cell r="E15321">
            <v>12.689791899999999</v>
          </cell>
        </row>
        <row r="15322">
          <cell r="B15322" t="str">
            <v>INF174KA1061</v>
          </cell>
          <cell r="C15322" t="str">
            <v>-</v>
          </cell>
          <cell r="D15322" t="str">
            <v>Kotak FMP Series 233 - Direct Plan - Growth Option</v>
          </cell>
          <cell r="E15322">
            <v>12.68434581</v>
          </cell>
        </row>
        <row r="15323">
          <cell r="B15323" t="str">
            <v>INF174KA1079</v>
          </cell>
          <cell r="C15323" t="str">
            <v>-</v>
          </cell>
          <cell r="D15323" t="str">
            <v>Kotak FMP Series 233 - Direct Plan - Payout of Income Distribution cum capital withdrawal Option</v>
          </cell>
          <cell r="E15323">
            <v>12.686633</v>
          </cell>
        </row>
        <row r="15324">
          <cell r="B15324" t="str">
            <v>INF174KA1046</v>
          </cell>
          <cell r="C15324" t="str">
            <v>-</v>
          </cell>
          <cell r="D15324" t="str">
            <v>Kotak FMP Series 233 - Regular Plan - Growth Option</v>
          </cell>
          <cell r="E15324">
            <v>12.57059862</v>
          </cell>
        </row>
        <row r="15325">
          <cell r="B15325" t="str">
            <v>INF174KA1103</v>
          </cell>
          <cell r="C15325" t="str">
            <v>-</v>
          </cell>
          <cell r="D15325" t="str">
            <v>Kotak FMP Series 234 - Direct Plan - Growth Option</v>
          </cell>
          <cell r="E15325">
            <v>13.00887157</v>
          </cell>
        </row>
        <row r="15326">
          <cell r="B15326" t="str">
            <v>INF174KA1087</v>
          </cell>
          <cell r="C15326" t="str">
            <v>-</v>
          </cell>
          <cell r="D15326" t="str">
            <v>Kotak FMP Series 234 - Regular Plan - Growth Option</v>
          </cell>
          <cell r="E15326">
            <v>12.91098148</v>
          </cell>
        </row>
        <row r="15327">
          <cell r="B15327" t="str">
            <v>INF174KA1095</v>
          </cell>
          <cell r="C15327" t="str">
            <v>-</v>
          </cell>
          <cell r="D15327" t="str">
            <v>Kotak FMP Series 234 -Regular Plan-Payout of Income Distribution cum capital withdrawal Option</v>
          </cell>
          <cell r="E15327">
            <v>12.911025240000001</v>
          </cell>
        </row>
        <row r="15328">
          <cell r="B15328" t="str">
            <v>INF174KA1145</v>
          </cell>
          <cell r="C15328" t="str">
            <v>-</v>
          </cell>
          <cell r="D15328" t="str">
            <v>Kotak FMP Series 235 - Direct Plan - Growth option</v>
          </cell>
          <cell r="E15328">
            <v>12.734418959999999</v>
          </cell>
        </row>
        <row r="15329">
          <cell r="B15329" t="str">
            <v>INF174KA1129</v>
          </cell>
          <cell r="C15329" t="str">
            <v>-</v>
          </cell>
          <cell r="D15329" t="str">
            <v>Kotak FMP Series 235 - Regular Plan - Growth Option</v>
          </cell>
          <cell r="E15329">
            <v>12.640487630000001</v>
          </cell>
        </row>
        <row r="15330">
          <cell r="B15330" t="str">
            <v>INF174KA1137</v>
          </cell>
          <cell r="C15330" t="str">
            <v>-</v>
          </cell>
          <cell r="D15330" t="str">
            <v>Kotak FMP Series 235 - Regular Plan - Payout of Income Distribution cum capital withdrawal Option</v>
          </cell>
          <cell r="E15330">
            <v>12.64101</v>
          </cell>
        </row>
        <row r="15331">
          <cell r="B15331" t="str">
            <v>INF174KA1285</v>
          </cell>
          <cell r="C15331" t="str">
            <v>-</v>
          </cell>
          <cell r="D15331" t="str">
            <v>Kotak FMP Series 237 - Direct Plan-Growth Option</v>
          </cell>
          <cell r="E15331">
            <v>12.839515670000001</v>
          </cell>
        </row>
        <row r="15332">
          <cell r="B15332" t="str">
            <v>INF174KA1277</v>
          </cell>
          <cell r="C15332" t="str">
            <v>-</v>
          </cell>
          <cell r="D15332" t="str">
            <v>Kotak FMP Series 237 - Regular Plan -Payout of Income Distribution cum capital withdrawal Option</v>
          </cell>
          <cell r="E15332">
            <v>12.742445</v>
          </cell>
        </row>
        <row r="15333">
          <cell r="B15333" t="str">
            <v>INF174KA1269</v>
          </cell>
          <cell r="C15333" t="str">
            <v>-</v>
          </cell>
          <cell r="D15333" t="str">
            <v>Kotak FMP Series 237- Regular Plan -Growth Option</v>
          </cell>
          <cell r="E15333">
            <v>12.74127942</v>
          </cell>
        </row>
        <row r="15334">
          <cell r="B15334" t="str">
            <v>INF174KA1368</v>
          </cell>
          <cell r="C15334" t="str">
            <v>-</v>
          </cell>
          <cell r="D15334" t="str">
            <v>Kotak FMP Series 239 - Direct Plan - Growth option</v>
          </cell>
          <cell r="E15334">
            <v>13.562952129999999</v>
          </cell>
        </row>
        <row r="15335">
          <cell r="B15335" t="str">
            <v>INF174KA1376</v>
          </cell>
          <cell r="C15335" t="str">
            <v>-</v>
          </cell>
          <cell r="D15335" t="str">
            <v>Kotak FMP Series 239 - Direct Plan - Payout of Income Distribution cum capital withdrawal Option</v>
          </cell>
          <cell r="E15335">
            <v>13.563117500000001</v>
          </cell>
        </row>
        <row r="15336">
          <cell r="B15336" t="str">
            <v>INF174KA1343</v>
          </cell>
          <cell r="C15336" t="str">
            <v>-</v>
          </cell>
          <cell r="D15336" t="str">
            <v>Kotak FMP Series 239 - Regular plan -Growth option</v>
          </cell>
          <cell r="E15336">
            <v>13.52129461</v>
          </cell>
        </row>
        <row r="15337">
          <cell r="B15337" t="str">
            <v>INF174KA1350</v>
          </cell>
          <cell r="C15337" t="str">
            <v>-</v>
          </cell>
          <cell r="D15337" t="str">
            <v>Kotak FMP Series 239 - Regular plan- Payout of Income Distribution cum capital withdrawal Option</v>
          </cell>
          <cell r="E15337">
            <v>13.521266000000001</v>
          </cell>
        </row>
        <row r="15338">
          <cell r="B15338" t="str">
            <v>INF174KA1400</v>
          </cell>
          <cell r="C15338" t="str">
            <v>-</v>
          </cell>
          <cell r="D15338" t="str">
            <v>Kotak FMP Series 240 - Direct Plan - Growth Option</v>
          </cell>
          <cell r="E15338">
            <v>12.79040526</v>
          </cell>
        </row>
        <row r="15339">
          <cell r="B15339" t="str">
            <v>INF174KA1384</v>
          </cell>
          <cell r="C15339" t="str">
            <v>-</v>
          </cell>
          <cell r="D15339" t="str">
            <v>Kotak FMP Series 240 - Regular Plan - Growth option</v>
          </cell>
          <cell r="E15339">
            <v>12.694965270000001</v>
          </cell>
        </row>
        <row r="15340">
          <cell r="B15340" t="str">
            <v>INF174KA1392</v>
          </cell>
          <cell r="C15340" t="str">
            <v>-</v>
          </cell>
          <cell r="D15340" t="str">
            <v>Kotak FMP Series 240-Regular Plan - Payout of Income Distribution cum capital withdrawal Option</v>
          </cell>
          <cell r="E15340">
            <v>12.69409067</v>
          </cell>
        </row>
        <row r="15341">
          <cell r="B15341" t="str">
            <v>INF174KA1483</v>
          </cell>
          <cell r="C15341" t="str">
            <v>-</v>
          </cell>
          <cell r="D15341" t="str">
            <v>Kotak FMP Series 242 - Direct Plan  -Growth Option</v>
          </cell>
          <cell r="E15341">
            <v>12.770571070000001</v>
          </cell>
        </row>
        <row r="15342">
          <cell r="B15342" t="str">
            <v>INF174KA1491</v>
          </cell>
          <cell r="C15342" t="str">
            <v>-</v>
          </cell>
          <cell r="D15342" t="str">
            <v>Kotak FMP Series 242 - Direct Plan - Payout of Income Distribution cum capital withdrawal Option</v>
          </cell>
          <cell r="E15342">
            <v>12.7704892</v>
          </cell>
        </row>
        <row r="15343">
          <cell r="B15343" t="str">
            <v>INF174KA1467</v>
          </cell>
          <cell r="C15343" t="str">
            <v>-</v>
          </cell>
          <cell r="D15343" t="str">
            <v>Kotak FMP Series 242 - Regular Growth</v>
          </cell>
          <cell r="E15343">
            <v>12.676234060000001</v>
          </cell>
        </row>
        <row r="15344">
          <cell r="B15344" t="str">
            <v>INF174KA1475</v>
          </cell>
          <cell r="C15344" t="str">
            <v>-</v>
          </cell>
          <cell r="D15344" t="str">
            <v>Kotak FMP Series 242 -Regular Plan -Payout of Income Distribution cum capital withdrawal Option</v>
          </cell>
          <cell r="E15344">
            <v>12.676227369999999</v>
          </cell>
        </row>
        <row r="15345">
          <cell r="B15345" t="str">
            <v>INF174KA1558</v>
          </cell>
          <cell r="C15345" t="str">
            <v>-</v>
          </cell>
          <cell r="D15345" t="str">
            <v>Kotak FMP Series 243 - Regular Plan -Payout of Income Distribution cum capital withdrawal Option</v>
          </cell>
          <cell r="E15345">
            <v>13.30003773</v>
          </cell>
        </row>
        <row r="15346">
          <cell r="B15346" t="str">
            <v>INF174KA1574</v>
          </cell>
          <cell r="C15346" t="str">
            <v>-</v>
          </cell>
          <cell r="D15346" t="str">
            <v>Kotak FMP Series 243-Direct Plan - Payout of Income Distribution cum capital withdrawal Option</v>
          </cell>
          <cell r="E15346">
            <v>13.437063330000001</v>
          </cell>
        </row>
        <row r="15347">
          <cell r="B15347" t="str">
            <v>INF174KA1566</v>
          </cell>
          <cell r="C15347" t="str">
            <v>-</v>
          </cell>
          <cell r="D15347" t="str">
            <v>Kotak FMP Series 243-Direct Plan -Growth Option</v>
          </cell>
          <cell r="E15347">
            <v>13.43717344</v>
          </cell>
        </row>
        <row r="15348">
          <cell r="B15348" t="str">
            <v>INF174KA1541</v>
          </cell>
          <cell r="C15348" t="str">
            <v>-</v>
          </cell>
          <cell r="D15348" t="str">
            <v>Kotak FMP Series 243-Regular Plan-Growth Option</v>
          </cell>
          <cell r="E15348">
            <v>13.30003554</v>
          </cell>
        </row>
        <row r="15349">
          <cell r="B15349" t="str">
            <v>INF174KA1632</v>
          </cell>
          <cell r="C15349" t="str">
            <v>-</v>
          </cell>
          <cell r="D15349" t="str">
            <v>Kotak FMP Series 245 -Regular Plan-Payout of Income Distribution cum capital withdrawal Option</v>
          </cell>
          <cell r="E15349">
            <v>12.59072787</v>
          </cell>
        </row>
        <row r="15350">
          <cell r="B15350" t="str">
            <v>INF174KA1640</v>
          </cell>
          <cell r="C15350" t="str">
            <v>-</v>
          </cell>
          <cell r="D15350" t="str">
            <v>Kotak FMP Series 245-Direct Plan-Growth Option</v>
          </cell>
          <cell r="E15350">
            <v>12.702981769999999</v>
          </cell>
        </row>
        <row r="15351">
          <cell r="B15351" t="str">
            <v>INF174KA1657</v>
          </cell>
          <cell r="C15351" t="str">
            <v>-</v>
          </cell>
          <cell r="D15351" t="str">
            <v>Kotak FMP Series 245-Direct Plan-Payout of Income Distribution cum capital withdrawal Option</v>
          </cell>
          <cell r="E15351">
            <v>12.702957059999999</v>
          </cell>
        </row>
        <row r="15352">
          <cell r="B15352" t="str">
            <v>INF174KA1624</v>
          </cell>
          <cell r="C15352" t="str">
            <v>-</v>
          </cell>
          <cell r="D15352" t="str">
            <v>Kotak FMP Series 245-Regular Plan-Growth Option</v>
          </cell>
          <cell r="E15352">
            <v>12.590734489999999</v>
          </cell>
        </row>
        <row r="15353">
          <cell r="B15353" t="str">
            <v>INF174KA1681</v>
          </cell>
          <cell r="C15353" t="str">
            <v>-</v>
          </cell>
          <cell r="D15353" t="str">
            <v>Kotak FMP Series 246 - Direct Plan - Growth Option</v>
          </cell>
          <cell r="E15353">
            <v>12.902733120000001</v>
          </cell>
        </row>
        <row r="15354">
          <cell r="B15354" t="str">
            <v>INF174KA1673</v>
          </cell>
          <cell r="C15354" t="str">
            <v>-</v>
          </cell>
          <cell r="D15354" t="str">
            <v>Kotak FMP Series 246 - Regular Plan - Payout of Income Distribution cum capital withdrawal Option</v>
          </cell>
          <cell r="E15354">
            <v>12.72832775</v>
          </cell>
        </row>
        <row r="15355">
          <cell r="B15355" t="str">
            <v>INF174KA1699</v>
          </cell>
          <cell r="C15355" t="str">
            <v>-</v>
          </cell>
          <cell r="D15355" t="str">
            <v>Kotak FMP Series 246 -Direct plan - Payout of Income Distribution cum capital withdrawal Option</v>
          </cell>
          <cell r="E15355">
            <v>12.90274338</v>
          </cell>
        </row>
        <row r="15356">
          <cell r="B15356" t="str">
            <v>INF174KA1665</v>
          </cell>
          <cell r="C15356" t="str">
            <v>-</v>
          </cell>
          <cell r="D15356" t="str">
            <v>Kotak FMP Series 246 -Regular Plan - Growth oPtion</v>
          </cell>
          <cell r="E15356">
            <v>12.728330100000001</v>
          </cell>
        </row>
        <row r="15357">
          <cell r="B15357" t="str">
            <v>INF174KA1715</v>
          </cell>
          <cell r="C15357" t="str">
            <v>-</v>
          </cell>
          <cell r="D15357" t="str">
            <v>Kotak FMP Series 247 - Regular Plan -Payout of Income Distribution cum capital withdrawal Option</v>
          </cell>
          <cell r="E15357">
            <v>13.31228831</v>
          </cell>
        </row>
        <row r="15358">
          <cell r="B15358" t="str">
            <v>INF174KA1723</v>
          </cell>
          <cell r="C15358" t="str">
            <v>-</v>
          </cell>
          <cell r="D15358" t="str">
            <v>Kotak FMP Series 247 -Direct Plan -Growth option</v>
          </cell>
          <cell r="E15358">
            <v>13.44935518</v>
          </cell>
        </row>
        <row r="15359">
          <cell r="B15359" t="str">
            <v>INF174KA1707</v>
          </cell>
          <cell r="C15359" t="str">
            <v>-</v>
          </cell>
          <cell r="D15359" t="str">
            <v>Kotak FMP Series 247 -Regular Plan - Growth option</v>
          </cell>
          <cell r="E15359">
            <v>13.312289910000001</v>
          </cell>
        </row>
        <row r="15360">
          <cell r="B15360" t="str">
            <v>INF174KA1764</v>
          </cell>
          <cell r="C15360" t="str">
            <v>-</v>
          </cell>
          <cell r="D15360" t="str">
            <v>Kotak FMP Series 248 - Direct Plan -Growth Option</v>
          </cell>
          <cell r="E15360">
            <v>13.38646144</v>
          </cell>
        </row>
        <row r="15361">
          <cell r="B15361" t="str">
            <v>INF174KA1772</v>
          </cell>
          <cell r="C15361" t="str">
            <v>-</v>
          </cell>
          <cell r="D15361" t="str">
            <v>Kotak FMP Series 248 - Direct Plan -Payout of Income Distribution cum capital withdrawal Option</v>
          </cell>
          <cell r="E15361">
            <v>13.38586533</v>
          </cell>
        </row>
        <row r="15362">
          <cell r="B15362" t="str">
            <v>INF174KA1749</v>
          </cell>
          <cell r="C15362" t="str">
            <v>-</v>
          </cell>
          <cell r="D15362" t="str">
            <v>Kotak FMP Series 248 -Regular Plan - Growth Option</v>
          </cell>
          <cell r="E15362">
            <v>13.22926017</v>
          </cell>
        </row>
        <row r="15363">
          <cell r="B15363" t="str">
            <v>INF174KA1756</v>
          </cell>
          <cell r="C15363" t="str">
            <v>-</v>
          </cell>
          <cell r="D15363" t="str">
            <v>Kotak FMP Series 248- Regular Plan - Payout of Income Distribution cum capital withdrawal Option</v>
          </cell>
          <cell r="E15363">
            <v>13.22925938</v>
          </cell>
        </row>
        <row r="15364">
          <cell r="B15364" t="str">
            <v>INF174KA1848</v>
          </cell>
          <cell r="C15364" t="str">
            <v>-</v>
          </cell>
          <cell r="D15364" t="str">
            <v>Kotak FMP Series 250-Direct Plan-Growth Option</v>
          </cell>
          <cell r="E15364">
            <v>13.347621739999999</v>
          </cell>
        </row>
        <row r="15365">
          <cell r="B15365" t="str">
            <v>INF174KA1822</v>
          </cell>
          <cell r="C15365" t="str">
            <v>-</v>
          </cell>
          <cell r="D15365" t="str">
            <v>Kotak FMP Series 250-Regular plan-growth option</v>
          </cell>
          <cell r="E15365">
            <v>13.204243910000001</v>
          </cell>
        </row>
        <row r="15366">
          <cell r="B15366" t="str">
            <v>INF174KA1830</v>
          </cell>
          <cell r="C15366" t="str">
            <v>-</v>
          </cell>
          <cell r="D15366" t="str">
            <v>Kotak FMP Series 250-regular plan-Payout of Income Distribution cum capital withdrawal Option</v>
          </cell>
          <cell r="E15366">
            <v>13.20424549</v>
          </cell>
        </row>
        <row r="15367">
          <cell r="B15367" t="str">
            <v>INF174KA1AA2</v>
          </cell>
          <cell r="C15367" t="str">
            <v>-</v>
          </cell>
          <cell r="D15367" t="str">
            <v>Kotak FMP Series 251-1265 days-Direct Paln-Gwoth option</v>
          </cell>
          <cell r="E15367">
            <v>13.121148529999999</v>
          </cell>
        </row>
        <row r="15368">
          <cell r="B15368" t="str">
            <v>INF174KA1AB0</v>
          </cell>
          <cell r="C15368" t="str">
            <v>-</v>
          </cell>
          <cell r="D15368" t="str">
            <v xml:space="preserve">Kotak Fmp series 251-1265 days-Direct Plan-Payout of Income Distribution cum capital withdrawal option </v>
          </cell>
          <cell r="E15368">
            <v>13.12116252</v>
          </cell>
        </row>
        <row r="15369">
          <cell r="B15369" t="str">
            <v>INF174KA1988</v>
          </cell>
          <cell r="C15369" t="str">
            <v>-</v>
          </cell>
          <cell r="D15369" t="str">
            <v>Kotak FMP Series 251-1265 days-Regular Plan-Growth Option</v>
          </cell>
          <cell r="E15369">
            <v>12.974863149999999</v>
          </cell>
        </row>
        <row r="15370">
          <cell r="B15370" t="str">
            <v>INF174KA1AE4</v>
          </cell>
          <cell r="C15370" t="str">
            <v>-</v>
          </cell>
          <cell r="D15370" t="str">
            <v>Kotak FMP Series 252-1261 days Direct plan-Growth option</v>
          </cell>
          <cell r="E15370">
            <v>13.116815920000001</v>
          </cell>
        </row>
        <row r="15371">
          <cell r="B15371" t="str">
            <v>INF174KA1AD6</v>
          </cell>
          <cell r="C15371" t="str">
            <v>-</v>
          </cell>
          <cell r="D15371" t="str">
            <v xml:space="preserve">Kotak FMP Series 252-1261 days-Regular Plan-Payout of Income Distribution cum capital withdrawal option </v>
          </cell>
          <cell r="E15371">
            <v>12.9815316</v>
          </cell>
        </row>
        <row r="15372">
          <cell r="B15372" t="str">
            <v>INF174KA1AC8</v>
          </cell>
          <cell r="C15372" t="str">
            <v>-</v>
          </cell>
          <cell r="D15372" t="str">
            <v>Kotak FMP Series 252-1261days-Regular Plan-Growth Option</v>
          </cell>
          <cell r="E15372">
            <v>12.98157108</v>
          </cell>
        </row>
        <row r="15373">
          <cell r="B15373" t="str">
            <v>INF174KA1AH7</v>
          </cell>
          <cell r="C15373" t="str">
            <v>-</v>
          </cell>
          <cell r="D15373" t="str">
            <v>Kotak FMP Series 253-1260 days -Regular paln-Payout of Income Distribution cum capital withdrawal option</v>
          </cell>
          <cell r="E15373">
            <v>12.989022719999999</v>
          </cell>
        </row>
        <row r="15374">
          <cell r="B15374" t="str">
            <v>INF174KA1AJ3</v>
          </cell>
          <cell r="C15374" t="str">
            <v>-</v>
          </cell>
          <cell r="D15374" t="str">
            <v>Kotak FMP Series 253-1260 days-direct paln-Payout of Income Distribution cum capital withdrawal option</v>
          </cell>
          <cell r="E15374">
            <v>13.03361067</v>
          </cell>
        </row>
        <row r="15375">
          <cell r="B15375" t="str">
            <v>INF174KA1AI5</v>
          </cell>
          <cell r="C15375" t="str">
            <v>-</v>
          </cell>
          <cell r="D15375" t="str">
            <v>Kotak FMP Series 253-1260 days-direct plan-growth option</v>
          </cell>
          <cell r="E15375">
            <v>13.03392081</v>
          </cell>
        </row>
        <row r="15376">
          <cell r="B15376" t="str">
            <v>INF174KA1AG9</v>
          </cell>
          <cell r="C15376" t="str">
            <v>-</v>
          </cell>
          <cell r="D15376" t="str">
            <v>Kotak FMP Series 253-1260 days-Regular plan-Growth option</v>
          </cell>
          <cell r="E15376">
            <v>12.98900473</v>
          </cell>
        </row>
        <row r="15377">
          <cell r="B15377" t="str">
            <v>INF174KA1AM7</v>
          </cell>
          <cell r="C15377" t="str">
            <v>-</v>
          </cell>
          <cell r="D15377" t="str">
            <v>Kotak FMP Series 254-Direct Plan-Growth Option</v>
          </cell>
          <cell r="E15377">
            <v>13.00183135</v>
          </cell>
        </row>
        <row r="15378">
          <cell r="B15378" t="str">
            <v>INF174KA1AK1</v>
          </cell>
          <cell r="C15378" t="str">
            <v>-</v>
          </cell>
          <cell r="D15378" t="str">
            <v>Kotak FMP Series 254-Regular Plan-Growth Option</v>
          </cell>
          <cell r="E15378">
            <v>12.913082380000001</v>
          </cell>
        </row>
        <row r="15379">
          <cell r="B15379" t="str">
            <v>INF174KA1AQ8</v>
          </cell>
          <cell r="C15379" t="str">
            <v>-</v>
          </cell>
          <cell r="D15379" t="str">
            <v>Kotak FMP Series 255-Direct Plan-Growth n</v>
          </cell>
          <cell r="E15379">
            <v>12.942481280000001</v>
          </cell>
        </row>
        <row r="15380">
          <cell r="B15380" t="str">
            <v>INF174KA1AO3</v>
          </cell>
          <cell r="C15380" t="str">
            <v>-</v>
          </cell>
          <cell r="D15380" t="str">
            <v>Kotak FMP Series 255-Regular Plan-Growth Option</v>
          </cell>
          <cell r="E15380">
            <v>12.836133289999999</v>
          </cell>
        </row>
        <row r="15381">
          <cell r="B15381" t="str">
            <v>INF174KA1AP0</v>
          </cell>
          <cell r="C15381" t="str">
            <v>-</v>
          </cell>
          <cell r="D15381" t="str">
            <v>Kotak FMP Series 255-Regular Plan-Payout of Income Distribution cum capital withdrawal option</v>
          </cell>
          <cell r="E15381">
            <v>12.8361331</v>
          </cell>
        </row>
        <row r="15382">
          <cell r="B15382" t="str">
            <v>INF174KA1AU0</v>
          </cell>
          <cell r="C15382" t="str">
            <v>-</v>
          </cell>
          <cell r="D15382" t="str">
            <v>Kotak FMP Series 256-Direct Plan-Growth Option</v>
          </cell>
          <cell r="E15382">
            <v>13.107599090000001</v>
          </cell>
        </row>
        <row r="15383">
          <cell r="B15383" t="str">
            <v>INF174KA1AV8</v>
          </cell>
          <cell r="C15383" t="str">
            <v>-</v>
          </cell>
          <cell r="D15383" t="str">
            <v>Kotak FMP Series 256-Direct Plan-Payout of Income Distribution cum capital withdrawal option</v>
          </cell>
          <cell r="E15383">
            <v>13.10760703</v>
          </cell>
        </row>
        <row r="15384">
          <cell r="B15384" t="str">
            <v>INF174KA1AS4</v>
          </cell>
          <cell r="C15384" t="str">
            <v>-</v>
          </cell>
          <cell r="D15384" t="str">
            <v>Kotak FMP Series 256-Regular Plan-Growth Option</v>
          </cell>
          <cell r="E15384">
            <v>12.88506434</v>
          </cell>
        </row>
        <row r="15385">
          <cell r="B15385" t="str">
            <v>INF174KA1AT2</v>
          </cell>
          <cell r="C15385" t="str">
            <v>-</v>
          </cell>
          <cell r="D15385" t="str">
            <v>Kotak FMP Series 256-Regular Plan-Payout of Income Distribution cum capital withdrawal option</v>
          </cell>
          <cell r="E15385">
            <v>12.885064699999999</v>
          </cell>
        </row>
        <row r="15386">
          <cell r="B15386" t="str">
            <v>INF174KA1AY2</v>
          </cell>
          <cell r="C15386" t="str">
            <v>-</v>
          </cell>
          <cell r="D15386" t="str">
            <v>Kotak FMP Series 257-Direct plan-Growth Option</v>
          </cell>
          <cell r="E15386">
            <v>12.965256760000001</v>
          </cell>
        </row>
        <row r="15387">
          <cell r="B15387" t="str">
            <v>INF174KA1AZ9</v>
          </cell>
          <cell r="C15387" t="str">
            <v>-</v>
          </cell>
          <cell r="D15387" t="str">
            <v>Kotak FMP Series 257-Direct Plan-Payout of Income Distribution cum capital withdrawal option</v>
          </cell>
          <cell r="E15387">
            <v>12.969282</v>
          </cell>
        </row>
        <row r="15388">
          <cell r="B15388" t="str">
            <v>INF174KA1AW6</v>
          </cell>
          <cell r="C15388" t="str">
            <v>-</v>
          </cell>
          <cell r="D15388" t="str">
            <v>Kotak FMP Series 257-Regular Plan-Growth Option</v>
          </cell>
          <cell r="E15388">
            <v>12.87555804</v>
          </cell>
        </row>
        <row r="15389">
          <cell r="B15389" t="str">
            <v>INF174KA1AX4</v>
          </cell>
          <cell r="C15389" t="str">
            <v>-</v>
          </cell>
          <cell r="D15389" t="str">
            <v xml:space="preserve">Kotak FMP Series 257-Regular Plan-Payout of Income Distribution cum capital withdrawal option </v>
          </cell>
          <cell r="E15389">
            <v>12.875558</v>
          </cell>
        </row>
        <row r="15390">
          <cell r="B15390" t="str">
            <v>INF174KA1BO1</v>
          </cell>
          <cell r="C15390" t="str">
            <v>-</v>
          </cell>
          <cell r="D15390" t="str">
            <v>kotak FMP Series 259 -Direct Plan-Growth Option</v>
          </cell>
          <cell r="E15390">
            <v>12.97860854</v>
          </cell>
        </row>
        <row r="15391">
          <cell r="B15391" t="str">
            <v>INF174KA1BM5</v>
          </cell>
          <cell r="C15391" t="str">
            <v>-</v>
          </cell>
          <cell r="D15391" t="str">
            <v>kotak FMP Series 259-Regular Plan-Growth Option</v>
          </cell>
          <cell r="E15391">
            <v>12.888817449999999</v>
          </cell>
        </row>
        <row r="15392">
          <cell r="B15392" t="str">
            <v>INF174KA1BN3</v>
          </cell>
          <cell r="C15392" t="str">
            <v>-</v>
          </cell>
          <cell r="D15392" t="str">
            <v>kotak FMP Series 259-Regular Plan-Payout of Income Distribution cum capital withdrawal option</v>
          </cell>
          <cell r="E15392">
            <v>12.888807330000001</v>
          </cell>
        </row>
        <row r="15393">
          <cell r="B15393" t="str">
            <v>INF174KA1BW4</v>
          </cell>
          <cell r="C15393" t="str">
            <v>-</v>
          </cell>
          <cell r="D15393" t="str">
            <v>kotak FMP Series 261-Direct Plan-Growth Option</v>
          </cell>
          <cell r="E15393">
            <v>12.96057774</v>
          </cell>
        </row>
        <row r="15394">
          <cell r="B15394" t="str">
            <v>INF174KA1BX2</v>
          </cell>
          <cell r="C15394" t="str">
            <v>-</v>
          </cell>
          <cell r="D15394" t="str">
            <v>kotak FMP Series 261-direct plan-Payout of Income Distribution cum capital withdrawal option</v>
          </cell>
          <cell r="E15394">
            <v>12.96058051</v>
          </cell>
        </row>
        <row r="15395">
          <cell r="B15395" t="str">
            <v>INF174KA1BU8</v>
          </cell>
          <cell r="C15395" t="str">
            <v>-</v>
          </cell>
          <cell r="D15395" t="str">
            <v>kotak FMP Series 261-Regular Plan-Growth Option</v>
          </cell>
          <cell r="E15395">
            <v>12.87105257</v>
          </cell>
        </row>
        <row r="15396">
          <cell r="B15396" t="str">
            <v>INF174KA1BV6</v>
          </cell>
          <cell r="C15396" t="str">
            <v>-</v>
          </cell>
          <cell r="D15396" t="str">
            <v>kotak FMP Series 261-Regular Plan-Payout of Income Distribution cum capital withdrawal option</v>
          </cell>
          <cell r="E15396">
            <v>12.87104727</v>
          </cell>
        </row>
        <row r="15397">
          <cell r="B15397" t="str">
            <v>INF174KA1CO9</v>
          </cell>
          <cell r="C15397" t="str">
            <v>-</v>
          </cell>
          <cell r="D15397" t="str">
            <v>Kotak FMP Series 263-1203 days- Direct Plan- Growth</v>
          </cell>
          <cell r="E15397">
            <v>12.6819527</v>
          </cell>
        </row>
        <row r="15398">
          <cell r="B15398" t="str">
            <v>INF174KA1CM3</v>
          </cell>
          <cell r="C15398" t="str">
            <v>-</v>
          </cell>
          <cell r="D15398" t="str">
            <v>Kotak FMP Series 263-1203 days- Regular plan- Growth</v>
          </cell>
          <cell r="E15398">
            <v>12.59863129</v>
          </cell>
        </row>
        <row r="15399">
          <cell r="B15399" t="str">
            <v>INF174KA1CN1</v>
          </cell>
          <cell r="C15399" t="str">
            <v>-</v>
          </cell>
          <cell r="D15399" t="str">
            <v xml:space="preserve">Kotak FMP Series 263-1203 days- Regular plan- Payout of Income Distribution cum capital withdrawal option </v>
          </cell>
          <cell r="E15399">
            <v>12.598550169999999</v>
          </cell>
        </row>
        <row r="15400">
          <cell r="B15400" t="str">
            <v>INF174KA1CW2</v>
          </cell>
          <cell r="C15400" t="str">
            <v>-</v>
          </cell>
          <cell r="D15400" t="str">
            <v>Kotak FMP Series 265-Direct Plan-Growth Option</v>
          </cell>
          <cell r="E15400">
            <v>12.696548310000001</v>
          </cell>
        </row>
        <row r="15401">
          <cell r="B15401" t="str">
            <v>INF174KA1CU6</v>
          </cell>
          <cell r="C15401" t="str">
            <v>-</v>
          </cell>
          <cell r="D15401" t="str">
            <v>Kotak FMP Series 265-Regular Plan-Growth Option</v>
          </cell>
          <cell r="E15401">
            <v>12.634401110000001</v>
          </cell>
        </row>
        <row r="15402">
          <cell r="B15402" t="str">
            <v>INF174KA1DK5</v>
          </cell>
          <cell r="C15402" t="str">
            <v>-</v>
          </cell>
          <cell r="D15402" t="str">
            <v>Kotak FMP Series 267-Direct PLan-Growth Option</v>
          </cell>
          <cell r="E15402">
            <v>12.59107946</v>
          </cell>
        </row>
        <row r="15403">
          <cell r="B15403" t="str">
            <v>INF174KA1DI9</v>
          </cell>
          <cell r="C15403" t="str">
            <v>-</v>
          </cell>
          <cell r="D15403" t="str">
            <v>Kotak FMP Series 267-Regular Plan-Growth Option</v>
          </cell>
          <cell r="E15403">
            <v>12.523226149999999</v>
          </cell>
        </row>
        <row r="15404">
          <cell r="B15404" t="str">
            <v>INF174KA1DJ7</v>
          </cell>
          <cell r="C15404" t="str">
            <v>-</v>
          </cell>
          <cell r="D15404" t="str">
            <v xml:space="preserve">Kotak FMP series 267-Regular Plan-Payout of Income Distribution cum capital withdrawal option </v>
          </cell>
          <cell r="E15404">
            <v>12.523230030000001</v>
          </cell>
        </row>
        <row r="15405">
          <cell r="B15405" t="str">
            <v>INF174KA1HM2</v>
          </cell>
          <cell r="C15405" t="str">
            <v>-</v>
          </cell>
          <cell r="D15405" t="str">
            <v>Kotak FMP Series 292 - Direct Plan - Growth</v>
          </cell>
          <cell r="E15405">
            <v>13.311500390000001</v>
          </cell>
        </row>
        <row r="15406">
          <cell r="B15406" t="str">
            <v>INF174KA1HN0</v>
          </cell>
          <cell r="C15406" t="str">
            <v>-</v>
          </cell>
          <cell r="D15406" t="str">
            <v>Kotak FMP Series 292 - Direct Plan - IDCW Payout</v>
          </cell>
          <cell r="E15406">
            <v>13.31144707</v>
          </cell>
        </row>
        <row r="15407">
          <cell r="B15407" t="str">
            <v>INF174KA1HK6</v>
          </cell>
          <cell r="C15407" t="str">
            <v>-</v>
          </cell>
          <cell r="D15407" t="str">
            <v>Kotak FMP Series 292 - Regular Plan - Growth</v>
          </cell>
          <cell r="E15407">
            <v>13.12301461</v>
          </cell>
        </row>
        <row r="15408">
          <cell r="B15408" t="str">
            <v>INF174KA1HL4</v>
          </cell>
          <cell r="C15408" t="str">
            <v>-</v>
          </cell>
          <cell r="D15408" t="str">
            <v>Kotak FMP Series 292 - Regular Plan - IDCW Payout</v>
          </cell>
          <cell r="E15408">
            <v>13.12301729</v>
          </cell>
        </row>
        <row r="15409">
          <cell r="B15409" t="str">
            <v>INF174KA1IV1</v>
          </cell>
          <cell r="C15409" t="str">
            <v>-</v>
          </cell>
          <cell r="D15409" t="str">
            <v>Kotak FMP Series 294-105 days - Regular Plan - IDCW Payout</v>
          </cell>
          <cell r="E15409">
            <v>10.117100000000001</v>
          </cell>
        </row>
        <row r="15410">
          <cell r="B15410" t="str">
            <v>INF174KA1IU3</v>
          </cell>
          <cell r="C15410" t="str">
            <v>-</v>
          </cell>
          <cell r="D15410" t="str">
            <v>Kotak FMP Series 294-105 days-Regular Plan-Growth</v>
          </cell>
          <cell r="E15410">
            <v>10.117000000000001</v>
          </cell>
        </row>
        <row r="15411">
          <cell r="B15411" t="str">
            <v>INF174KA1IX7</v>
          </cell>
          <cell r="C15411" t="str">
            <v>-</v>
          </cell>
          <cell r="D15411" t="str">
            <v>Kotak FMP Series 294-Direct Plan-IDCW Payout</v>
          </cell>
          <cell r="E15411">
            <v>10.1214</v>
          </cell>
        </row>
        <row r="15412">
          <cell r="B15412" t="str">
            <v>INF174KA1IW9</v>
          </cell>
          <cell r="C15412" t="str">
            <v>-</v>
          </cell>
          <cell r="D15412" t="str">
            <v>Kotak FMP Series-294-105 days-Direct Plan- Growth</v>
          </cell>
          <cell r="E15412">
            <v>10.1214</v>
          </cell>
        </row>
        <row r="15413">
          <cell r="B15413" t="str">
            <v>INF174KA1JI6</v>
          </cell>
          <cell r="C15413" t="str">
            <v>-</v>
          </cell>
          <cell r="D15413" t="str">
            <v>Kotak FMP Series 296-Direct Plan-Growth</v>
          </cell>
          <cell r="E15413">
            <v>10.162635209999999</v>
          </cell>
        </row>
        <row r="15414">
          <cell r="B15414" t="str">
            <v>INF174KA1JJ4</v>
          </cell>
          <cell r="C15414" t="str">
            <v>-</v>
          </cell>
          <cell r="D15414" t="str">
            <v>Kotak FMP Series 296-Direct Plan-IDCW Payout</v>
          </cell>
          <cell r="E15414">
            <v>10.16266929</v>
          </cell>
        </row>
        <row r="15415">
          <cell r="B15415" t="str">
            <v>INF174KA1JG0</v>
          </cell>
          <cell r="C15415" t="str">
            <v>-</v>
          </cell>
          <cell r="D15415" t="str">
            <v>Kotak FMP Series 296-Regular Plan-Growth</v>
          </cell>
          <cell r="E15415">
            <v>10.158542880000001</v>
          </cell>
        </row>
        <row r="15416">
          <cell r="B15416" t="str">
            <v>INF174KA1JH8</v>
          </cell>
          <cell r="C15416" t="str">
            <v>-</v>
          </cell>
          <cell r="D15416" t="str">
            <v>Kotak FMP Series 296-Regular Plan-IDCW Payout</v>
          </cell>
          <cell r="E15416">
            <v>10.15854161</v>
          </cell>
        </row>
        <row r="15417">
          <cell r="B15417" t="str">
            <v>INF174KA1KF0</v>
          </cell>
          <cell r="C15417" t="str">
            <v>-</v>
          </cell>
          <cell r="D15417" t="str">
            <v>Kotak FMP Series 297-Direct Plan- Payout of IDCW</v>
          </cell>
          <cell r="E15417">
            <v>10.305711649999999</v>
          </cell>
        </row>
        <row r="15418">
          <cell r="B15418" t="str">
            <v>INF174KA1KE3</v>
          </cell>
          <cell r="C15418" t="str">
            <v>-</v>
          </cell>
          <cell r="D15418" t="str">
            <v>Kotak FMP Series 297-Direct Plan-Growth</v>
          </cell>
          <cell r="E15418">
            <v>10.30571469</v>
          </cell>
        </row>
        <row r="15419">
          <cell r="B15419" t="str">
            <v>INF174KA1KD5</v>
          </cell>
          <cell r="C15419" t="str">
            <v>-</v>
          </cell>
          <cell r="D15419" t="str">
            <v>Kotak FMP Series 297-Regular Plan- Payout of IDCW</v>
          </cell>
          <cell r="E15419">
            <v>10.29459473</v>
          </cell>
        </row>
        <row r="15420">
          <cell r="B15420" t="str">
            <v>INF174KA1KC7</v>
          </cell>
          <cell r="C15420" t="str">
            <v>-</v>
          </cell>
          <cell r="D15420" t="str">
            <v>Kotak FMP Series 297-Regular Plan-Growth</v>
          </cell>
          <cell r="E15420">
            <v>10.294566379999999</v>
          </cell>
        </row>
        <row r="15421">
          <cell r="B15421" t="str">
            <v>INF174KA1KS3</v>
          </cell>
          <cell r="C15421" t="str">
            <v>-</v>
          </cell>
          <cell r="D15421" t="str">
            <v>Kotak FMP Series 299 - Direct Plan - Growth</v>
          </cell>
          <cell r="E15421">
            <v>10.21490534</v>
          </cell>
        </row>
        <row r="15422">
          <cell r="B15422" t="str">
            <v>INF174KA1KQ7</v>
          </cell>
          <cell r="C15422" t="str">
            <v>-</v>
          </cell>
          <cell r="D15422" t="str">
            <v>Kotak FMP Series 299 - Regular Plan - Growth</v>
          </cell>
          <cell r="E15422">
            <v>10.210330089999999</v>
          </cell>
        </row>
        <row r="15423">
          <cell r="B15423" t="str">
            <v>INF174KA1KR5</v>
          </cell>
          <cell r="C15423" t="str">
            <v>-</v>
          </cell>
          <cell r="D15423" t="str">
            <v>Kotak FMP Series 299 - Regular Plan - IDCW Payout</v>
          </cell>
          <cell r="E15423">
            <v>10.210263510000001</v>
          </cell>
        </row>
        <row r="15424">
          <cell r="B15424" t="str">
            <v>INF174KA1KX3</v>
          </cell>
          <cell r="C15424" t="str">
            <v>-</v>
          </cell>
          <cell r="D15424" t="str">
            <v>Kotak FMP Series 300 - Direct Plan - Growth</v>
          </cell>
          <cell r="E15424">
            <v>12.58071548</v>
          </cell>
        </row>
        <row r="15425">
          <cell r="B15425" t="str">
            <v>INF174KA1KY1</v>
          </cell>
          <cell r="C15425" t="str">
            <v>-</v>
          </cell>
          <cell r="D15425" t="str">
            <v>Kotak FMP Series 300 - Direct Plan - IDCW Payout</v>
          </cell>
          <cell r="E15425">
            <v>12.580899710000001</v>
          </cell>
        </row>
        <row r="15426">
          <cell r="B15426" t="str">
            <v>INF174KA1KV7</v>
          </cell>
          <cell r="C15426" t="str">
            <v>-</v>
          </cell>
          <cell r="D15426" t="str">
            <v>Kotak FMP Series 300 - Regular Plan - Growth</v>
          </cell>
          <cell r="E15426">
            <v>12.5386202</v>
          </cell>
        </row>
        <row r="15427">
          <cell r="B15427" t="str">
            <v>INF174KA1KW5</v>
          </cell>
          <cell r="C15427" t="str">
            <v>-</v>
          </cell>
          <cell r="D15427" t="str">
            <v>Kotak FMP Series 300 - Regular Plan - IDCW Payout</v>
          </cell>
          <cell r="E15427">
            <v>12.53905432</v>
          </cell>
        </row>
        <row r="15428">
          <cell r="B15428" t="str">
            <v>INF174KA1LH4</v>
          </cell>
          <cell r="C15428" t="str">
            <v>-</v>
          </cell>
          <cell r="D15428" t="str">
            <v>Kotak FMP Series 302 - Direct Plan - Growth</v>
          </cell>
          <cell r="E15428">
            <v>10.17723913</v>
          </cell>
        </row>
        <row r="15429">
          <cell r="B15429" t="str">
            <v>INF174KA1LI2</v>
          </cell>
          <cell r="C15429" t="str">
            <v>-</v>
          </cell>
          <cell r="D15429" t="str">
            <v>Kotak FMP Series 302 - Direct Plan - IDCW</v>
          </cell>
          <cell r="E15429">
            <v>10.17720868</v>
          </cell>
        </row>
        <row r="15430">
          <cell r="B15430" t="str">
            <v>INF174KA1LF8</v>
          </cell>
          <cell r="C15430" t="str">
            <v>-</v>
          </cell>
          <cell r="D15430" t="str">
            <v>Kotak FMP Series 302 - Regular Plan - Growth</v>
          </cell>
          <cell r="E15430">
            <v>10.17457357</v>
          </cell>
        </row>
        <row r="15431">
          <cell r="B15431" t="str">
            <v>INF174KA1LG6</v>
          </cell>
          <cell r="C15431" t="str">
            <v>-</v>
          </cell>
          <cell r="D15431" t="str">
            <v>Kotak FMP Series 302 - Regular Plan - IDCW</v>
          </cell>
          <cell r="E15431">
            <v>10.17457703</v>
          </cell>
        </row>
        <row r="15432">
          <cell r="B15432" t="str">
            <v>INF174KA1LL6</v>
          </cell>
          <cell r="C15432" t="str">
            <v>-</v>
          </cell>
          <cell r="D15432" t="str">
            <v>Kotak FMP Series 303 - Direct Plan - Growth</v>
          </cell>
          <cell r="E15432">
            <v>10.38038738</v>
          </cell>
        </row>
        <row r="15433">
          <cell r="B15433" t="str">
            <v>INF174KA1LM4</v>
          </cell>
          <cell r="C15433" t="str">
            <v>-</v>
          </cell>
          <cell r="D15433" t="str">
            <v>Kotak FMP Series 303 - Direct Plan - IDCW</v>
          </cell>
          <cell r="E15433">
            <v>10.381677079999999</v>
          </cell>
        </row>
        <row r="15434">
          <cell r="B15434" t="str">
            <v>INF174KA1LJ0</v>
          </cell>
          <cell r="C15434" t="str">
            <v>-</v>
          </cell>
          <cell r="D15434" t="str">
            <v>Kotak FMP Series 303 - Regular Plan - Growth</v>
          </cell>
          <cell r="E15434">
            <v>10.372380079999999</v>
          </cell>
        </row>
        <row r="15435">
          <cell r="B15435" t="str">
            <v>INF174KA1LK8</v>
          </cell>
          <cell r="C15435" t="str">
            <v>-</v>
          </cell>
          <cell r="D15435" t="str">
            <v>Kotak FMP Series 303 - Regular Plan - IDCW</v>
          </cell>
          <cell r="E15435">
            <v>10.372395819999999</v>
          </cell>
        </row>
        <row r="15436">
          <cell r="B15436" t="str">
            <v>INF174KA1LP7</v>
          </cell>
          <cell r="C15436" t="str">
            <v>-</v>
          </cell>
          <cell r="D15436" t="str">
            <v>Kotak FMP Series 304-Direct Plan-Growth Option</v>
          </cell>
          <cell r="E15436">
            <v>13.2874</v>
          </cell>
        </row>
        <row r="15437">
          <cell r="B15437" t="str">
            <v>INF174KA1LQ5</v>
          </cell>
          <cell r="C15437" t="str">
            <v>-</v>
          </cell>
          <cell r="D15437" t="str">
            <v>Kotak FMP Series 304-Direct Plan-Payout of IDCW</v>
          </cell>
          <cell r="E15437">
            <v>13.286199999999999</v>
          </cell>
        </row>
        <row r="15438">
          <cell r="B15438" t="str">
            <v>INF174KA1LN2</v>
          </cell>
          <cell r="C15438" t="str">
            <v>-</v>
          </cell>
          <cell r="D15438" t="str">
            <v>Kotak FMP Series 304-Regular Plan-Growth Option</v>
          </cell>
          <cell r="E15438">
            <v>13.2721</v>
          </cell>
        </row>
        <row r="15439">
          <cell r="B15439" t="str">
            <v>INF174KA1LO0</v>
          </cell>
          <cell r="C15439" t="str">
            <v>-</v>
          </cell>
          <cell r="D15439" t="str">
            <v>Kotak FMP Series 304-Regular Plan-Payout of IDCW</v>
          </cell>
          <cell r="E15439">
            <v>13.2722</v>
          </cell>
        </row>
        <row r="15440">
          <cell r="B15440" t="str">
            <v>INF174KA1LT9</v>
          </cell>
          <cell r="C15440" t="str">
            <v>-</v>
          </cell>
          <cell r="D15440" t="str">
            <v>Kotak FMP Series 305 - Direct Plan - Growth</v>
          </cell>
          <cell r="E15440">
            <v>12.530035939999999</v>
          </cell>
        </row>
        <row r="15441">
          <cell r="B15441" t="str">
            <v>INF174KA1LU7</v>
          </cell>
          <cell r="C15441" t="str">
            <v>-</v>
          </cell>
          <cell r="D15441" t="str">
            <v>Kotak FMP Series 305 - Direct Plan - IDCW</v>
          </cell>
          <cell r="E15441">
            <v>12.53000915</v>
          </cell>
        </row>
        <row r="15442">
          <cell r="B15442" t="str">
            <v>INF174KA1LR3</v>
          </cell>
          <cell r="C15442" t="str">
            <v>-</v>
          </cell>
          <cell r="D15442" t="str">
            <v>Kotak FMP Series 305 - Regular Plan - Growth</v>
          </cell>
          <cell r="E15442">
            <v>12.468364530000001</v>
          </cell>
        </row>
        <row r="15443">
          <cell r="B15443" t="str">
            <v>INF174KA1LS1</v>
          </cell>
          <cell r="C15443" t="str">
            <v>-</v>
          </cell>
          <cell r="D15443" t="str">
            <v>Kotak FMP Series 305 - Regular Plan - IDCW</v>
          </cell>
          <cell r="E15443">
            <v>12.468362859999999</v>
          </cell>
        </row>
        <row r="15444">
          <cell r="B15444" t="str">
            <v>INF174KA1LY9</v>
          </cell>
          <cell r="C15444" t="str">
            <v>-</v>
          </cell>
          <cell r="D15444" t="str">
            <v>Kotak FMP Series 306 - Direct Plan - Growth</v>
          </cell>
          <cell r="E15444">
            <v>10.18230576</v>
          </cell>
        </row>
        <row r="15445">
          <cell r="B15445" t="str">
            <v>INF174KA1LZ6</v>
          </cell>
          <cell r="C15445" t="str">
            <v>-</v>
          </cell>
          <cell r="D15445" t="str">
            <v>Kotak FMP Series 306 - Direct Plan - IDCW Payout</v>
          </cell>
          <cell r="E15445">
            <v>10.182969269999999</v>
          </cell>
        </row>
        <row r="15446">
          <cell r="B15446" t="str">
            <v>INF174KA1LW3</v>
          </cell>
          <cell r="C15446" t="str">
            <v>-</v>
          </cell>
          <cell r="D15446" t="str">
            <v>Kotak FMP Series 306 - Regular Plan - Growth</v>
          </cell>
          <cell r="E15446">
            <v>10.17967887</v>
          </cell>
        </row>
        <row r="15447">
          <cell r="B15447" t="str">
            <v>INF174KA1LX1</v>
          </cell>
          <cell r="C15447" t="str">
            <v>-</v>
          </cell>
          <cell r="D15447" t="str">
            <v>Kotak FMP Series 306 - Regular Plan - IDCW Payout</v>
          </cell>
          <cell r="E15447">
            <v>10.179619779999999</v>
          </cell>
        </row>
        <row r="15448">
          <cell r="B15448" t="str">
            <v>INF174KA1MO8</v>
          </cell>
          <cell r="C15448" t="str">
            <v>-</v>
          </cell>
          <cell r="D15448" t="str">
            <v>Kotak FMP Series 307 - Direct Plan - Growth</v>
          </cell>
          <cell r="E15448">
            <v>10.19244183</v>
          </cell>
        </row>
        <row r="15449">
          <cell r="B15449" t="str">
            <v>INF174KA1MP5</v>
          </cell>
          <cell r="C15449" t="str">
            <v>-</v>
          </cell>
          <cell r="D15449" t="str">
            <v>Kotak FMP Series 307 - Direct Plan - IDCW Payout</v>
          </cell>
          <cell r="E15449">
            <v>10.19244228</v>
          </cell>
        </row>
        <row r="15450">
          <cell r="B15450" t="str">
            <v>INF174KA1MM2</v>
          </cell>
          <cell r="C15450" t="str">
            <v>-</v>
          </cell>
          <cell r="D15450" t="str">
            <v>Kotak FMP Series 307 - Regular Plan - Growth</v>
          </cell>
          <cell r="E15450">
            <v>10.188637310000001</v>
          </cell>
        </row>
        <row r="15451">
          <cell r="B15451" t="str">
            <v>INF174KA1MN0</v>
          </cell>
          <cell r="C15451" t="str">
            <v>-</v>
          </cell>
          <cell r="D15451" t="str">
            <v>Kotak FMP Series 307 - Regular Plan - IDCW Payout</v>
          </cell>
          <cell r="E15451">
            <v>10.18863674</v>
          </cell>
        </row>
        <row r="15452">
          <cell r="B15452" t="str">
            <v>INF174KA1NG2</v>
          </cell>
          <cell r="C15452" t="str">
            <v>-</v>
          </cell>
          <cell r="D15452" t="str">
            <v>Kotak FMP Series 308 - Direct Plan - Growth</v>
          </cell>
          <cell r="E15452">
            <v>12.666735149999999</v>
          </cell>
        </row>
        <row r="15453">
          <cell r="B15453" t="str">
            <v>INF174KA1NH0</v>
          </cell>
          <cell r="C15453" t="str">
            <v>-</v>
          </cell>
          <cell r="D15453" t="str">
            <v>Kotak FMP Series 308 - Direct Plan - IDCW Payout</v>
          </cell>
          <cell r="E15453">
            <v>12.665573739999999</v>
          </cell>
        </row>
        <row r="15454">
          <cell r="B15454" t="str">
            <v>INF174KA1NE7</v>
          </cell>
          <cell r="C15454" t="str">
            <v>-</v>
          </cell>
          <cell r="D15454" t="str">
            <v>Kotak FMP Series 308 - Regular Plan - Growth</v>
          </cell>
          <cell r="E15454">
            <v>12.542919769999999</v>
          </cell>
        </row>
        <row r="15455">
          <cell r="B15455" t="str">
            <v>INF174KA1NF4</v>
          </cell>
          <cell r="C15455" t="str">
            <v>-</v>
          </cell>
          <cell r="D15455" t="str">
            <v>Kotak FMP Series 308 - Regular Plan - IDCW Payout</v>
          </cell>
          <cell r="E15455">
            <v>12.542921079999999</v>
          </cell>
        </row>
        <row r="15456">
          <cell r="B15456" t="str">
            <v>INF174KA1NK4</v>
          </cell>
          <cell r="C15456" t="str">
            <v>-</v>
          </cell>
          <cell r="D15456" t="str">
            <v>Kotak FMP Series 309 - Direct Plan - Growth</v>
          </cell>
          <cell r="E15456">
            <v>10.179859240000001</v>
          </cell>
        </row>
        <row r="15457">
          <cell r="B15457" t="str">
            <v>INF174KA1NI8</v>
          </cell>
          <cell r="C15457" t="str">
            <v>-</v>
          </cell>
          <cell r="D15457" t="str">
            <v>Kotak FMP Series 309 - Regular Plan - Growth</v>
          </cell>
          <cell r="E15457">
            <v>10.177230460000001</v>
          </cell>
        </row>
        <row r="15458">
          <cell r="B15458" t="str">
            <v>INF174KA1NJ6</v>
          </cell>
          <cell r="C15458" t="str">
            <v>-</v>
          </cell>
          <cell r="D15458" t="str">
            <v>Kotak FMP Series 309 - Regular Plan - IDCW Payout</v>
          </cell>
          <cell r="E15458">
            <v>10.177245109999999</v>
          </cell>
        </row>
        <row r="15459">
          <cell r="B15459" t="str">
            <v>INF174KA1NO6</v>
          </cell>
          <cell r="C15459" t="str">
            <v>-</v>
          </cell>
          <cell r="D15459" t="str">
            <v>Kotak FMP Series 310 - Direct Plan - Growth Option</v>
          </cell>
          <cell r="E15459">
            <v>12.39172215</v>
          </cell>
        </row>
        <row r="15460">
          <cell r="B15460" t="str">
            <v>INF174KA1NM0</v>
          </cell>
          <cell r="C15460" t="str">
            <v>-</v>
          </cell>
          <cell r="D15460" t="str">
            <v>Kotak FMP Series 310 - Regular Plan - Growth Option</v>
          </cell>
          <cell r="E15460">
            <v>12.294848050000001</v>
          </cell>
        </row>
        <row r="15461">
          <cell r="B15461" t="str">
            <v>INF174KA1NN8</v>
          </cell>
          <cell r="C15461" t="str">
            <v>-</v>
          </cell>
          <cell r="D15461" t="str">
            <v>Kotak FMP Series 310 - Regular Plan - IDCW Payout option</v>
          </cell>
          <cell r="E15461">
            <v>12.294440720000001</v>
          </cell>
        </row>
        <row r="15462">
          <cell r="B15462" t="str">
            <v>INF174KA1NS7</v>
          </cell>
          <cell r="C15462" t="str">
            <v>-</v>
          </cell>
          <cell r="D15462" t="str">
            <v>Kotak FMP Series 311 - Direct Plan - Growth Option</v>
          </cell>
          <cell r="E15462">
            <v>10.2674597</v>
          </cell>
        </row>
        <row r="15463">
          <cell r="B15463" t="str">
            <v>INF174KA1NT5</v>
          </cell>
          <cell r="C15463" t="str">
            <v>-</v>
          </cell>
          <cell r="D15463" t="str">
            <v>Kotak FMP Series 311 - Direct Plan - IDCW Option</v>
          </cell>
          <cell r="E15463">
            <v>10.26741517</v>
          </cell>
        </row>
        <row r="15464">
          <cell r="B15464" t="str">
            <v>INF174KA1NQ1</v>
          </cell>
          <cell r="C15464" t="str">
            <v>-</v>
          </cell>
          <cell r="D15464" t="str">
            <v>Kotak FMP Series 311 - Regular Plan - Growth Option</v>
          </cell>
          <cell r="E15464">
            <v>10.263591910000001</v>
          </cell>
        </row>
        <row r="15465">
          <cell r="B15465" t="str">
            <v>INF174KA1NR9</v>
          </cell>
          <cell r="C15465" t="str">
            <v>-</v>
          </cell>
          <cell r="D15465" t="str">
            <v>Kotak FMP Series 311 - Regular Plan - IDCW Option</v>
          </cell>
          <cell r="E15465">
            <v>10.26359162</v>
          </cell>
        </row>
        <row r="15466">
          <cell r="B15466" t="str">
            <v>INF174KA1PU8</v>
          </cell>
          <cell r="C15466" t="str">
            <v>-</v>
          </cell>
          <cell r="D15466" t="str">
            <v>Kotak FMP Series 323 - Direct Plan - Growth Option</v>
          </cell>
          <cell r="E15466">
            <v>10.184511280000001</v>
          </cell>
        </row>
        <row r="15467">
          <cell r="B15467" t="str">
            <v>INF174KA1PV6</v>
          </cell>
          <cell r="C15467" t="str">
            <v>-</v>
          </cell>
          <cell r="D15467" t="str">
            <v>Kotak FMP Series 323 - Direct Plan - IDCW Option</v>
          </cell>
          <cell r="E15467">
            <v>10.18897602</v>
          </cell>
        </row>
        <row r="15468">
          <cell r="B15468" t="str">
            <v>INF174KA1PS2</v>
          </cell>
          <cell r="C15468" t="str">
            <v>-</v>
          </cell>
          <cell r="D15468" t="str">
            <v>Kotak FMP Series 323 - Regular Plan - Growth Option</v>
          </cell>
          <cell r="E15468">
            <v>10.1806597</v>
          </cell>
        </row>
        <row r="15469">
          <cell r="B15469" t="str">
            <v>INF174KA1PT0</v>
          </cell>
          <cell r="C15469" t="str">
            <v>-</v>
          </cell>
          <cell r="D15469" t="str">
            <v>Kotak FMP Series 323 - Regular Plan - IDCW Option</v>
          </cell>
          <cell r="E15469">
            <v>10.180660270000001</v>
          </cell>
        </row>
        <row r="15470">
          <cell r="B15470" t="str">
            <v>INF174KA1QE0</v>
          </cell>
          <cell r="C15470" t="str">
            <v>-</v>
          </cell>
          <cell r="D15470" t="str">
            <v>Kotak FMP Series 324 - Direct Plan - Growth Option</v>
          </cell>
          <cell r="E15470">
            <v>10.22677217</v>
          </cell>
        </row>
        <row r="15471">
          <cell r="B15471" t="str">
            <v>INF174KA1QF7</v>
          </cell>
          <cell r="C15471" t="str">
            <v>-</v>
          </cell>
          <cell r="D15471" t="str">
            <v>Kotak FMP Series 324 - Direct Plan - IDCW Option</v>
          </cell>
          <cell r="E15471">
            <v>10.226749610000001</v>
          </cell>
        </row>
        <row r="15472">
          <cell r="B15472" t="str">
            <v>INF174KA1QC4</v>
          </cell>
          <cell r="C15472" t="str">
            <v>-</v>
          </cell>
          <cell r="D15472" t="str">
            <v>Kotak FMP Series 324 - Regular Plan - Growth Option</v>
          </cell>
          <cell r="E15472">
            <v>10.222097339999999</v>
          </cell>
        </row>
        <row r="15473">
          <cell r="B15473" t="str">
            <v>INF174KA1QD2</v>
          </cell>
          <cell r="C15473" t="str">
            <v>-</v>
          </cell>
          <cell r="D15473" t="str">
            <v>Kotak FMP Series 324 - Regular Plan - IDCW Option</v>
          </cell>
          <cell r="E15473">
            <v>10.22182181</v>
          </cell>
        </row>
        <row r="15474">
          <cell r="B15474" t="str">
            <v>INF174KA1QI1</v>
          </cell>
          <cell r="C15474" t="str">
            <v>-</v>
          </cell>
          <cell r="D15474" t="str">
            <v>Kotak FMP Series 325 - Direct Plan - Growth Option</v>
          </cell>
          <cell r="E15474">
            <v>10.18941792</v>
          </cell>
        </row>
        <row r="15475">
          <cell r="B15475" t="str">
            <v>INF174KA1QJ9</v>
          </cell>
          <cell r="C15475" t="str">
            <v>-</v>
          </cell>
          <cell r="D15475" t="str">
            <v>Kotak FMP Series 325 - Direct Plan - IDCW Option</v>
          </cell>
          <cell r="E15475">
            <v>10.189524929999999</v>
          </cell>
        </row>
        <row r="15476">
          <cell r="B15476" t="str">
            <v>INF174KA1QG5</v>
          </cell>
          <cell r="C15476" t="str">
            <v>-</v>
          </cell>
          <cell r="D15476" t="str">
            <v>Kotak FMP Series 325 - Regular Plan - Growth Option</v>
          </cell>
          <cell r="E15476">
            <v>10.18561798</v>
          </cell>
        </row>
        <row r="15477">
          <cell r="B15477" t="str">
            <v>INF174KA1QH3</v>
          </cell>
          <cell r="C15477" t="str">
            <v>-</v>
          </cell>
          <cell r="D15477" t="str">
            <v>Kotak FMP Series 325 - Regular Plan - IDCW Option</v>
          </cell>
          <cell r="E15477">
            <v>10.18561815</v>
          </cell>
        </row>
        <row r="15478">
          <cell r="B15478" t="str">
            <v>INF174KA1QM3</v>
          </cell>
          <cell r="C15478" t="str">
            <v>-</v>
          </cell>
          <cell r="D15478" t="str">
            <v>Kotak FMP Series 326 - Direct Plan - Growth Option</v>
          </cell>
          <cell r="E15478">
            <v>10.385810940000001</v>
          </cell>
        </row>
        <row r="15479">
          <cell r="B15479" t="str">
            <v>INF174KA1QN1</v>
          </cell>
          <cell r="C15479" t="str">
            <v>-</v>
          </cell>
          <cell r="D15479" t="str">
            <v>Kotak FMP Series 326 - Direct Plan - IDCW Payout Option</v>
          </cell>
          <cell r="E15479">
            <v>10.387081090000001</v>
          </cell>
        </row>
        <row r="15480">
          <cell r="B15480" t="str">
            <v>INF174KA1QK7</v>
          </cell>
          <cell r="C15480" t="str">
            <v>-</v>
          </cell>
          <cell r="D15480" t="str">
            <v>Kotak FMP Series 326 - Regular Plan - Growth Option</v>
          </cell>
          <cell r="E15480">
            <v>10.378142070000001</v>
          </cell>
        </row>
        <row r="15481">
          <cell r="B15481" t="str">
            <v>INF174KA1QL5</v>
          </cell>
          <cell r="C15481" t="str">
            <v>-</v>
          </cell>
          <cell r="D15481" t="str">
            <v>Kotak FMP Series 326 - Regular Plan - IDCW Payout Option</v>
          </cell>
          <cell r="E15481">
            <v>10.37814054</v>
          </cell>
        </row>
        <row r="15482">
          <cell r="B15482" t="str">
            <v>INF174KA1QQ4</v>
          </cell>
          <cell r="C15482" t="str">
            <v>-</v>
          </cell>
          <cell r="D15482" t="str">
            <v>Kotak FMP Series 327 - Direct Plan - Growth Option</v>
          </cell>
          <cell r="E15482">
            <v>10.21846184</v>
          </cell>
        </row>
        <row r="15483">
          <cell r="B15483" t="str">
            <v>INF174KA1QR2</v>
          </cell>
          <cell r="C15483" t="str">
            <v>-</v>
          </cell>
          <cell r="D15483" t="str">
            <v>Kotak FMP Series 327 - Direct Plan - IDCW Option</v>
          </cell>
          <cell r="E15483">
            <v>10.219407370000001</v>
          </cell>
        </row>
        <row r="15484">
          <cell r="B15484" t="str">
            <v>INF174KA1QO9</v>
          </cell>
          <cell r="C15484" t="str">
            <v>-</v>
          </cell>
          <cell r="D15484" t="str">
            <v>Kotak FMP Series 327 - Regular Plan - Growth Option</v>
          </cell>
          <cell r="E15484">
            <v>10.214164029999999</v>
          </cell>
        </row>
        <row r="15485">
          <cell r="B15485" t="str">
            <v>INF174KA1QP6</v>
          </cell>
          <cell r="C15485" t="str">
            <v>-</v>
          </cell>
          <cell r="D15485" t="str">
            <v>Kotak FMP Series 327 - Regular Plan - IDCW Option</v>
          </cell>
          <cell r="E15485">
            <v>10.214164029999999</v>
          </cell>
        </row>
        <row r="15486">
          <cell r="B15486" t="str">
            <v>INF174K01TK2</v>
          </cell>
          <cell r="C15486" t="str">
            <v>-</v>
          </cell>
          <cell r="D15486" t="str">
            <v>Kotak Hybrid Fixed Term Plan Series 2 - Direct Plan - Diviedend</v>
          </cell>
          <cell r="E15486">
            <v>12.9476344</v>
          </cell>
        </row>
        <row r="15487">
          <cell r="B15487" t="str">
            <v>INF174K01TJ4</v>
          </cell>
          <cell r="C15487" t="str">
            <v>-</v>
          </cell>
          <cell r="D15487" t="str">
            <v>Kotak Hybrid Fixed Term Plan Series 2 - Direct Plan - Growth</v>
          </cell>
          <cell r="E15487">
            <v>12.947876539999999</v>
          </cell>
        </row>
        <row r="15488">
          <cell r="B15488" t="str">
            <v>INF174K01TI6</v>
          </cell>
          <cell r="C15488" t="str">
            <v>-</v>
          </cell>
          <cell r="D15488" t="str">
            <v>Kotak Hybrid Fixed Term Plan Series 2 - Regular Plan - Dividend</v>
          </cell>
          <cell r="E15488">
            <v>12.56256952</v>
          </cell>
        </row>
        <row r="15489">
          <cell r="B15489" t="str">
            <v>INF174K01TH8</v>
          </cell>
          <cell r="C15489" t="str">
            <v>-</v>
          </cell>
          <cell r="D15489" t="str">
            <v>Kotak Hybrid Fixed Term Plan Series 2 - Regular Plan - Growth</v>
          </cell>
          <cell r="E15489">
            <v>12.56256853</v>
          </cell>
        </row>
        <row r="15490">
          <cell r="B15490" t="str">
            <v/>
          </cell>
          <cell r="C15490" t="str">
            <v/>
          </cell>
          <cell r="D15490" t="str">
            <v/>
          </cell>
        </row>
        <row r="15491">
          <cell r="B15491" t="str">
            <v/>
          </cell>
          <cell r="C15491" t="str">
            <v/>
          </cell>
          <cell r="D15491" t="str">
            <v/>
          </cell>
        </row>
        <row r="15492">
          <cell r="B15492" t="str">
            <v/>
          </cell>
          <cell r="C15492" t="str">
            <v/>
          </cell>
          <cell r="D15492" t="str">
            <v/>
          </cell>
        </row>
        <row r="15493">
          <cell r="B15493" t="str">
            <v>INF204KB1403</v>
          </cell>
          <cell r="C15493" t="str">
            <v>-</v>
          </cell>
          <cell r="D15493" t="str">
            <v>Nippon India Dual Advantage Fixed Tenure Fund IX- Plan D- Direct Plan-Dividend Payout Option</v>
          </cell>
          <cell r="E15493">
            <v>10</v>
          </cell>
        </row>
        <row r="15494">
          <cell r="B15494" t="str">
            <v>INF204KB1411</v>
          </cell>
          <cell r="C15494" t="str">
            <v>-</v>
          </cell>
          <cell r="D15494" t="str">
            <v>Nippon India Dual Advantage Fixed Tenure Fund IX- Plan D- Direct Plan-Growth Option</v>
          </cell>
          <cell r="E15494">
            <v>13.475300000000001</v>
          </cell>
        </row>
        <row r="15495">
          <cell r="B15495" t="str">
            <v>INF204KB1429</v>
          </cell>
          <cell r="C15495" t="str">
            <v>-</v>
          </cell>
          <cell r="D15495" t="str">
            <v>Nippon India Dual Advantage Fixed Tenure Fund IX- Plan D- Dividend Payout Option</v>
          </cell>
          <cell r="E15495">
            <v>10</v>
          </cell>
        </row>
        <row r="15496">
          <cell r="B15496" t="str">
            <v>INF204KB1437</v>
          </cell>
          <cell r="C15496" t="str">
            <v>-</v>
          </cell>
          <cell r="D15496" t="str">
            <v>Nippon India Dual Advantage Fixed Tenure Fund IX- Plan D- Growth Option</v>
          </cell>
          <cell r="E15496">
            <v>12.917299999999999</v>
          </cell>
        </row>
        <row r="15497">
          <cell r="B15497" t="str">
            <v>INF204KB1AJ6</v>
          </cell>
          <cell r="C15497" t="str">
            <v>-</v>
          </cell>
          <cell r="D15497" t="str">
            <v>Nippon India Dual Advantage Fixed Tenure Fund IX- Plan E- Direct Plan-Dividend Payout Option</v>
          </cell>
          <cell r="E15497">
            <v>10</v>
          </cell>
        </row>
        <row r="15498">
          <cell r="B15498" t="str">
            <v>INF204KB1AK4</v>
          </cell>
          <cell r="C15498" t="str">
            <v>-</v>
          </cell>
          <cell r="D15498" t="str">
            <v>Nippon India Dual Advantage Fixed Tenure Fund IX- Plan E- Direct Plan-Growth Option</v>
          </cell>
          <cell r="E15498">
            <v>13.0307</v>
          </cell>
        </row>
        <row r="15499">
          <cell r="B15499" t="str">
            <v>INF204KB1AL2</v>
          </cell>
          <cell r="C15499" t="str">
            <v>-</v>
          </cell>
          <cell r="D15499" t="str">
            <v>Nippon India Dual Advantage Fixed Tenure Fund IX- Plan E- Dividend Payout Option</v>
          </cell>
          <cell r="E15499">
            <v>10</v>
          </cell>
        </row>
        <row r="15500">
          <cell r="B15500" t="str">
            <v>INF204KB1AM0</v>
          </cell>
          <cell r="C15500" t="str">
            <v>-</v>
          </cell>
          <cell r="D15500" t="str">
            <v>Nippon India Dual Advantage Fixed Tenure Fund IX- Plan E- Growth Option</v>
          </cell>
          <cell r="E15500">
            <v>12.621499999999999</v>
          </cell>
        </row>
        <row r="15501">
          <cell r="B15501" t="str">
            <v>INF204KB1AR9</v>
          </cell>
          <cell r="C15501" t="str">
            <v>-</v>
          </cell>
          <cell r="D15501" t="str">
            <v>Nippon India Dual Advantage Fixed Tenure Fund IX- Plan F-Direct Plan-Dividend Payout Option</v>
          </cell>
          <cell r="E15501">
            <v>10</v>
          </cell>
        </row>
        <row r="15502">
          <cell r="B15502" t="str">
            <v>INF204KB1AS7</v>
          </cell>
          <cell r="C15502" t="str">
            <v>-</v>
          </cell>
          <cell r="D15502" t="str">
            <v>Nippon India Dual Advantage Fixed Tenure Fund IX- Plan F-Direct Plan-Growth Option</v>
          </cell>
          <cell r="E15502">
            <v>12.4918</v>
          </cell>
        </row>
        <row r="15503">
          <cell r="B15503" t="str">
            <v>INF204KB1AT5</v>
          </cell>
          <cell r="C15503" t="str">
            <v>-</v>
          </cell>
          <cell r="D15503" t="str">
            <v>Nippon India Dual Advantage Fixed Tenure Fund IX- Plan F-Dividend Payout Option</v>
          </cell>
          <cell r="E15503">
            <v>10</v>
          </cell>
        </row>
        <row r="15504">
          <cell r="B15504" t="str">
            <v>INF204KB1AU3</v>
          </cell>
          <cell r="C15504" t="str">
            <v>-</v>
          </cell>
          <cell r="D15504" t="str">
            <v>Nippon India Dual Advantage Fixed Tenure Fund IX- Plan F-Growth Option</v>
          </cell>
          <cell r="E15504">
            <v>12.142899999999999</v>
          </cell>
        </row>
        <row r="15505">
          <cell r="B15505" t="str">
            <v>INF204KB1FA4</v>
          </cell>
          <cell r="C15505" t="str">
            <v>-</v>
          </cell>
          <cell r="D15505" t="str">
            <v>Nippon India Dual Advantage Fixed Tenure Fund X- Plan A- Direct Plan- Growth Option</v>
          </cell>
          <cell r="E15505">
            <v>12.432700000000001</v>
          </cell>
        </row>
        <row r="15506">
          <cell r="B15506" t="str">
            <v>INF204KB1EZ4</v>
          </cell>
          <cell r="C15506" t="str">
            <v>-</v>
          </cell>
          <cell r="D15506" t="str">
            <v>Nippon India Dual Advantage Fixed Tenure Fund X- Plan A- Direct Plan-Dividend Payout Option</v>
          </cell>
          <cell r="E15506">
            <v>10</v>
          </cell>
        </row>
        <row r="15507">
          <cell r="B15507" t="str">
            <v>INF204KB1FB2</v>
          </cell>
          <cell r="C15507" t="str">
            <v>-</v>
          </cell>
          <cell r="D15507" t="str">
            <v>Nippon India Dual Advantage Fixed Tenure Fund X- Plan A- Dividend Payout Option</v>
          </cell>
          <cell r="E15507">
            <v>10</v>
          </cell>
        </row>
        <row r="15508">
          <cell r="B15508" t="str">
            <v>INF204KB1FC0</v>
          </cell>
          <cell r="C15508" t="str">
            <v>-</v>
          </cell>
          <cell r="D15508" t="str">
            <v>Nippon India Dual Advantage Fixed Tenure Fund X- Plan A- Growth Option</v>
          </cell>
          <cell r="E15508">
            <v>12.0793</v>
          </cell>
        </row>
        <row r="15509">
          <cell r="B15509" t="str">
            <v>INF204KB1FE6</v>
          </cell>
          <cell r="C15509" t="str">
            <v>-</v>
          </cell>
          <cell r="D15509" t="str">
            <v>Nippon India Dual Advantage Fixed Tenure Fund X- Plan B- Direct Plan- Dividend Payout Option</v>
          </cell>
          <cell r="E15509">
            <v>10</v>
          </cell>
        </row>
        <row r="15510">
          <cell r="B15510" t="str">
            <v>INF204KB1FF3</v>
          </cell>
          <cell r="C15510" t="str">
            <v>-</v>
          </cell>
          <cell r="D15510" t="str">
            <v>Nippon India Dual Advantage Fixed Tenure Fund X- Plan B- Direct Plan-Growth Option</v>
          </cell>
          <cell r="E15510">
            <v>12.532500000000001</v>
          </cell>
        </row>
        <row r="15511">
          <cell r="B15511" t="str">
            <v>INF204KB1FG1</v>
          </cell>
          <cell r="C15511" t="str">
            <v>-</v>
          </cell>
          <cell r="D15511" t="str">
            <v>Nippon India Dual Advantage Fixed Tenure Fund X- Plan B- Dividend Payout Option</v>
          </cell>
          <cell r="E15511">
            <v>10</v>
          </cell>
        </row>
        <row r="15512">
          <cell r="B15512" t="str">
            <v>INF204KB1FH9</v>
          </cell>
          <cell r="C15512" t="str">
            <v>-</v>
          </cell>
          <cell r="D15512" t="str">
            <v>Nippon India Dual Advantage Fixed Tenure Fund X- Plan B- Growth Option</v>
          </cell>
          <cell r="E15512">
            <v>12.152699999999999</v>
          </cell>
        </row>
        <row r="15513">
          <cell r="B15513" t="str">
            <v>INF204KB1GC8</v>
          </cell>
          <cell r="C15513" t="str">
            <v>-</v>
          </cell>
          <cell r="D15513" t="str">
            <v>Nippon India Dual Advantage Fixed Tenure Fund - X - Plan C - Direct Plan - Dividend Payout Option</v>
          </cell>
          <cell r="E15513">
            <v>10</v>
          </cell>
        </row>
        <row r="15514">
          <cell r="B15514" t="str">
            <v>INF204KB1GD6</v>
          </cell>
          <cell r="C15514" t="str">
            <v>-</v>
          </cell>
          <cell r="D15514" t="str">
            <v>Nippon India Dual Advantage Fixed Tenure Fund - X - Plan C - Direct Plan - Growth Option</v>
          </cell>
          <cell r="E15514">
            <v>12.450799999999999</v>
          </cell>
        </row>
        <row r="15515">
          <cell r="B15515" t="str">
            <v>INF204KB1GE4</v>
          </cell>
          <cell r="C15515" t="str">
            <v>-</v>
          </cell>
          <cell r="D15515" t="str">
            <v>Nippon India Dual Advantage Fixed Tenure Fund - X - Plan C - Dividend Payout Option</v>
          </cell>
          <cell r="E15515">
            <v>10</v>
          </cell>
        </row>
        <row r="15516">
          <cell r="B15516" t="str">
            <v>INF204KB1GF1</v>
          </cell>
          <cell r="C15516" t="str">
            <v>-</v>
          </cell>
          <cell r="D15516" t="str">
            <v>Nippon India Dual Advantage Fixed Tenure Fund - X - Plan C - Growth Option</v>
          </cell>
          <cell r="E15516">
            <v>12.135899999999999</v>
          </cell>
        </row>
        <row r="15517">
          <cell r="B15517" t="str">
            <v>INF204KB1GK1</v>
          </cell>
          <cell r="C15517" t="str">
            <v>-</v>
          </cell>
          <cell r="D15517" t="str">
            <v>Nippon India Dual Advantage Fixed Tenure Fund X- Plan D- Direct Plan-Dividend Payout Option</v>
          </cell>
          <cell r="E15517">
            <v>10</v>
          </cell>
        </row>
        <row r="15518">
          <cell r="B15518" t="str">
            <v>INF204KB1GL9</v>
          </cell>
          <cell r="C15518" t="str">
            <v>-</v>
          </cell>
          <cell r="D15518" t="str">
            <v>Nippon India Dual Advantage Fixed Tenure Fund X- Plan D- Direct Plan-Growth Option</v>
          </cell>
          <cell r="E15518">
            <v>12.3935</v>
          </cell>
        </row>
        <row r="15519">
          <cell r="B15519" t="str">
            <v>INF204KB1GM7</v>
          </cell>
          <cell r="C15519" t="str">
            <v>-</v>
          </cell>
          <cell r="D15519" t="str">
            <v>Nippon India Dual Advantage Fixed Tenure Fund X- Plan D- Dividend Payout Option</v>
          </cell>
          <cell r="E15519">
            <v>10</v>
          </cell>
        </row>
        <row r="15520">
          <cell r="B15520" t="str">
            <v>INF204KB1GN5</v>
          </cell>
          <cell r="C15520" t="str">
            <v>-</v>
          </cell>
          <cell r="D15520" t="str">
            <v>Nippon India Dual Advantage Fixed Tenure Fund X- Plan D- Growth Option</v>
          </cell>
          <cell r="E15520">
            <v>12.057700000000001</v>
          </cell>
        </row>
        <row r="15521">
          <cell r="B15521" t="str">
            <v>INF204KB1GP0</v>
          </cell>
          <cell r="C15521" t="str">
            <v>-</v>
          </cell>
          <cell r="D15521" t="str">
            <v>Nippon India Dual Advantage Fixed Tenure Fund X- Plan E- Direct Plan - Growth Option</v>
          </cell>
          <cell r="E15521">
            <v>12.4535</v>
          </cell>
        </row>
        <row r="15522">
          <cell r="B15522" t="str">
            <v>INF204KB1GO3</v>
          </cell>
          <cell r="C15522" t="str">
            <v>-</v>
          </cell>
          <cell r="D15522" t="str">
            <v>Nippon India Dual Advantage Fixed Tenure Fund X- Plan E- Direct Plan- Dividend Payout Option</v>
          </cell>
          <cell r="E15522">
            <v>10</v>
          </cell>
        </row>
        <row r="15523">
          <cell r="B15523" t="str">
            <v>INF204KB1GQ8</v>
          </cell>
          <cell r="C15523" t="str">
            <v>-</v>
          </cell>
          <cell r="D15523" t="str">
            <v>Nippon India Dual Advantage Fixed Tenure Fund X- Plan E- Dividend Payout Option</v>
          </cell>
          <cell r="E15523">
            <v>10</v>
          </cell>
        </row>
        <row r="15524">
          <cell r="B15524" t="str">
            <v>INF204KB1GR6</v>
          </cell>
          <cell r="C15524" t="str">
            <v>-</v>
          </cell>
          <cell r="D15524" t="str">
            <v>Nippon India Dual Advantage Fixed Tenure Fund X- Plan E- Growth Option</v>
          </cell>
          <cell r="E15524">
            <v>12.1021</v>
          </cell>
        </row>
        <row r="15525">
          <cell r="B15525" t="str">
            <v>INF204KB1GW6</v>
          </cell>
          <cell r="C15525" t="str">
            <v>-</v>
          </cell>
          <cell r="D15525" t="str">
            <v>Nippon India Dual Advantage Fixed Tenure Fund X- Plan F- Direct Plan-Dividend Payout Option</v>
          </cell>
          <cell r="E15525">
            <v>10</v>
          </cell>
        </row>
        <row r="15526">
          <cell r="B15526" t="str">
            <v>INF204KB1GX4</v>
          </cell>
          <cell r="C15526" t="str">
            <v>-</v>
          </cell>
          <cell r="D15526" t="str">
            <v>Nippon India Dual Advantage Fixed Tenure Fund X- Plan F- Direct Plan-Growth Option</v>
          </cell>
          <cell r="E15526">
            <v>12.324</v>
          </cell>
        </row>
        <row r="15527">
          <cell r="B15527" t="str">
            <v>INF204KB1GY2</v>
          </cell>
          <cell r="C15527" t="str">
            <v>-</v>
          </cell>
          <cell r="D15527" t="str">
            <v>Nippon India Dual Advantage Fixed Tenure Fund X- Plan F- Dividend Payout Option</v>
          </cell>
          <cell r="E15527">
            <v>10</v>
          </cell>
        </row>
        <row r="15528">
          <cell r="B15528" t="str">
            <v>INF204KB1GZ9</v>
          </cell>
          <cell r="C15528" t="str">
            <v>-</v>
          </cell>
          <cell r="D15528" t="str">
            <v>Nippon India Dual Advantage Fixed Tenure Fund X- Plan F- Growth Option</v>
          </cell>
          <cell r="E15528">
            <v>11.9817</v>
          </cell>
        </row>
        <row r="15529">
          <cell r="B15529" t="str">
            <v>INF204KB1JU4</v>
          </cell>
          <cell r="C15529" t="str">
            <v>-</v>
          </cell>
          <cell r="D15529" t="str">
            <v>Nippon India Dual Advantage Fixed Tenure Fund XI- Plan A- Direct Plan - Dividend Payout Option</v>
          </cell>
          <cell r="E15529">
            <v>10</v>
          </cell>
        </row>
        <row r="15530">
          <cell r="B15530" t="str">
            <v>INF204KB1JV2</v>
          </cell>
          <cell r="C15530" t="str">
            <v>-</v>
          </cell>
          <cell r="D15530" t="str">
            <v>Nippon India Dual Advantage Fixed Tenure Fund XI- Plan A- Direct Plan- Growth Option</v>
          </cell>
          <cell r="E15530">
            <v>11.775700000000001</v>
          </cell>
        </row>
        <row r="15531">
          <cell r="B15531" t="str">
            <v>INF204KB1JW0</v>
          </cell>
          <cell r="C15531" t="str">
            <v>-</v>
          </cell>
          <cell r="D15531" t="str">
            <v>Nippon India Dual Advantage Fixed Tenure Fund XI- Plan A- Dividend Payout Option</v>
          </cell>
          <cell r="E15531">
            <v>10</v>
          </cell>
        </row>
        <row r="15532">
          <cell r="B15532" t="str">
            <v>INF204KB1JX8</v>
          </cell>
          <cell r="C15532" t="str">
            <v>-</v>
          </cell>
          <cell r="D15532" t="str">
            <v>Nippon India Dual Advantage Fixed Tenure Fund XI- Plan A- Growth Option</v>
          </cell>
          <cell r="E15532">
            <v>11.502700000000001</v>
          </cell>
        </row>
        <row r="15533">
          <cell r="B15533" t="str">
            <v>INF204KB1NI1</v>
          </cell>
          <cell r="C15533" t="str">
            <v>-</v>
          </cell>
          <cell r="D15533" t="str">
            <v>Nippon India Dual Advantage Fixed Tenure Fund XI- Plan B- Direct Plan - Dividend Payout Option</v>
          </cell>
          <cell r="E15533">
            <v>10</v>
          </cell>
        </row>
        <row r="15534">
          <cell r="B15534" t="str">
            <v>INF204KB1NJ9</v>
          </cell>
          <cell r="C15534" t="str">
            <v>-</v>
          </cell>
          <cell r="D15534" t="str">
            <v>Nippon India Dual Advantage Fixed Tenure Fund XI- Plan B- Direct Plan- Growth Option</v>
          </cell>
          <cell r="E15534">
            <v>11.7067</v>
          </cell>
        </row>
        <row r="15535">
          <cell r="B15535" t="str">
            <v>INF204KB1NK7</v>
          </cell>
          <cell r="C15535" t="str">
            <v>-</v>
          </cell>
          <cell r="D15535" t="str">
            <v>Nippon India Dual Advantage Fixed Tenure Fund XI- Plan B- Dividend Payout Option</v>
          </cell>
          <cell r="E15535">
            <v>10</v>
          </cell>
        </row>
        <row r="15536">
          <cell r="B15536" t="str">
            <v>INF204KB1NL5</v>
          </cell>
          <cell r="C15536" t="str">
            <v>-</v>
          </cell>
          <cell r="D15536" t="str">
            <v>Nippon India Dual Advantage Fixed Tenure Fund XI- Plan B- Growth Option</v>
          </cell>
          <cell r="E15536">
            <v>11.3772</v>
          </cell>
        </row>
        <row r="15537">
          <cell r="B15537" t="str">
            <v>INF204KB1PU1</v>
          </cell>
          <cell r="C15537" t="str">
            <v>-</v>
          </cell>
          <cell r="D15537" t="str">
            <v>NIPPON INDIA DUAL ADVANTAGE FIXED TENURE FUND XI - PLAN C - DIRECT Plan - IDCW Option</v>
          </cell>
          <cell r="E15537">
            <v>10</v>
          </cell>
        </row>
        <row r="15538">
          <cell r="B15538" t="str">
            <v>INF204KB1PW7</v>
          </cell>
          <cell r="C15538" t="str">
            <v>-</v>
          </cell>
          <cell r="D15538" t="str">
            <v>NIPPON INDIA DUAL ADVANTAGE FIXED TENURE FUND XI - PLAN C - IDCW Option</v>
          </cell>
          <cell r="E15538">
            <v>10</v>
          </cell>
        </row>
        <row r="15539">
          <cell r="B15539" t="str">
            <v>INF204KB1PV9</v>
          </cell>
          <cell r="C15539" t="str">
            <v>-</v>
          </cell>
          <cell r="D15539" t="str">
            <v>Nippon India Dual Advantage Fixed Tenure Fund XI- Plan C- Direct Plan- Growth Option</v>
          </cell>
          <cell r="E15539">
            <v>12.7773</v>
          </cell>
        </row>
        <row r="15540">
          <cell r="B15540" t="str">
            <v>INF204KB1PX5</v>
          </cell>
          <cell r="C15540" t="str">
            <v>-</v>
          </cell>
          <cell r="D15540" t="str">
            <v>Nippon India Dual Advantage Fixed Tenure Fund XI- Plan C- Growth Option</v>
          </cell>
          <cell r="E15540">
            <v>12.3543</v>
          </cell>
        </row>
        <row r="15541">
          <cell r="B15541" t="str">
            <v>INF204KB1QT1</v>
          </cell>
          <cell r="C15541" t="str">
            <v>-</v>
          </cell>
          <cell r="D15541" t="str">
            <v>NIPPON INDIA DUAL ADVANTAGE FIXED TENURE FUND XI - PLAN D - DIRECT Plan - IDCW Option</v>
          </cell>
          <cell r="E15541">
            <v>10</v>
          </cell>
        </row>
        <row r="15542">
          <cell r="B15542" t="str">
            <v>INF204KB1QV7</v>
          </cell>
          <cell r="C15542" t="str">
            <v>-</v>
          </cell>
          <cell r="D15542" t="str">
            <v>NIPPON INDIA DUAL ADVANTAGE FIXED TENURE FUND XI - PLAN D - IDCW Option</v>
          </cell>
          <cell r="E15542">
            <v>10</v>
          </cell>
        </row>
        <row r="15543">
          <cell r="B15543" t="str">
            <v>INF204KB1QU9</v>
          </cell>
          <cell r="C15543" t="str">
            <v>-</v>
          </cell>
          <cell r="D15543" t="str">
            <v>Nippon India Dual Advantage Fixed Tenure Fund XI- Plan D- Direct Plan- Growth Option</v>
          </cell>
          <cell r="E15543">
            <v>12.787800000000001</v>
          </cell>
        </row>
        <row r="15544">
          <cell r="B15544" t="str">
            <v>INF204KB1QW5</v>
          </cell>
          <cell r="C15544" t="str">
            <v>-</v>
          </cell>
          <cell r="D15544" t="str">
            <v>Nippon India Dual Advantage Fixed Tenure Fund XI- Plan D- Growth Option</v>
          </cell>
          <cell r="E15544">
            <v>12.388400000000001</v>
          </cell>
        </row>
        <row r="15545">
          <cell r="B15545" t="str">
            <v>INF204KB1RK8</v>
          </cell>
          <cell r="C15545" t="str">
            <v>-</v>
          </cell>
          <cell r="D15545" t="str">
            <v>NIPPON INDIA DUAL ADVANTAGE FIXED TENURE FUND XI - PLAN E - DIRECT Plan - IDCW Option</v>
          </cell>
          <cell r="E15545">
            <v>10</v>
          </cell>
        </row>
        <row r="15546">
          <cell r="B15546" t="str">
            <v>INF204KB1RM4</v>
          </cell>
          <cell r="C15546" t="str">
            <v>-</v>
          </cell>
          <cell r="D15546" t="str">
            <v>NIPPON INDIA DUAL ADVANTAGE FIXED TENURE FUND XI - PLAN E - IDCW Option</v>
          </cell>
          <cell r="E15546">
            <v>10</v>
          </cell>
        </row>
        <row r="15547">
          <cell r="B15547" t="str">
            <v>INF204KB1RL6</v>
          </cell>
          <cell r="C15547" t="str">
            <v>-</v>
          </cell>
          <cell r="D15547" t="str">
            <v>Nippon India Dual Advantage Fixed Tenure Fund XI- Plan E- Direct Plan- Growth Option</v>
          </cell>
          <cell r="E15547">
            <v>12.676500000000001</v>
          </cell>
        </row>
        <row r="15548">
          <cell r="B15548" t="str">
            <v>INF204KB1RN2</v>
          </cell>
          <cell r="C15548" t="str">
            <v>-</v>
          </cell>
          <cell r="D15548" t="str">
            <v>Nippon India Dual Advantage Fixed Tenure Fund XI- Plan E- Growth Option</v>
          </cell>
          <cell r="E15548">
            <v>12.358000000000001</v>
          </cell>
        </row>
        <row r="15549">
          <cell r="B15549" t="str">
            <v>INF204KB1TK4</v>
          </cell>
          <cell r="C15549" t="str">
            <v>-</v>
          </cell>
          <cell r="D15549" t="str">
            <v>NIPPON INDIA DUAL ADVANTAGE FIXED TENURE FUND XII - PLAN A - DIRECT Plan - IDCW Option</v>
          </cell>
          <cell r="E15549">
            <v>10</v>
          </cell>
        </row>
        <row r="15550">
          <cell r="B15550" t="str">
            <v>INF204KB1TM0</v>
          </cell>
          <cell r="C15550" t="str">
            <v>-</v>
          </cell>
          <cell r="D15550" t="str">
            <v>NIPPON INDIA DUAL ADVANTAGE FIXED TENURE FUND XII - PLAN A - IDCW Option</v>
          </cell>
          <cell r="E15550">
            <v>10</v>
          </cell>
        </row>
        <row r="15551">
          <cell r="B15551" t="str">
            <v>INF204KB1TL2</v>
          </cell>
          <cell r="C15551" t="str">
            <v>-</v>
          </cell>
          <cell r="D15551" t="str">
            <v>Nippon India Dual Advantage Fixed Tenure Fund XII- Plan A- Direct Plan-Growth Option</v>
          </cell>
          <cell r="E15551">
            <v>12.4048</v>
          </cell>
        </row>
        <row r="15552">
          <cell r="B15552" t="str">
            <v>INF204KB1TN8</v>
          </cell>
          <cell r="C15552" t="str">
            <v>-</v>
          </cell>
          <cell r="D15552" t="str">
            <v>Nippon India Dual Advantage Fixed Tenure Fund XII- Plan A- Growth Option</v>
          </cell>
          <cell r="E15552">
            <v>12.1211</v>
          </cell>
        </row>
        <row r="15553">
          <cell r="B15553" t="str">
            <v>INF204KB1Z07</v>
          </cell>
          <cell r="C15553" t="str">
            <v>-</v>
          </cell>
          <cell r="D15553" t="str">
            <v>NIPPON INDIA FIXED HORIZON FUND - XLI - SERIES 1 - DIRECT Plan - IDCW Option</v>
          </cell>
          <cell r="E15553">
            <v>12.5867</v>
          </cell>
        </row>
        <row r="15554">
          <cell r="B15554" t="str">
            <v>INF204KB1Y99</v>
          </cell>
          <cell r="C15554" t="str">
            <v>-</v>
          </cell>
          <cell r="D15554" t="str">
            <v>Nippon India Fixed Horizon Fund XLI - Series 1 - Direct Plan - Growth Option</v>
          </cell>
          <cell r="E15554">
            <v>12.5867</v>
          </cell>
        </row>
        <row r="15555">
          <cell r="B15555" t="str">
            <v>INF204KB1Y73</v>
          </cell>
          <cell r="C15555" t="str">
            <v>-</v>
          </cell>
          <cell r="D15555" t="str">
            <v>Nippon India Fixed Horizon Fund XLI - Series 1 - Growth Option</v>
          </cell>
          <cell r="E15555">
            <v>12.5474</v>
          </cell>
        </row>
        <row r="15556">
          <cell r="B15556" t="str">
            <v>INF204KB16C0</v>
          </cell>
          <cell r="C15556" t="str">
            <v>-</v>
          </cell>
          <cell r="D15556" t="str">
            <v>NIPPON INDIA FIXED HORIZON FUND - XLI - SERIES 10 - DIRECT Plan - IDCW Option</v>
          </cell>
          <cell r="E15556">
            <v>12.9724</v>
          </cell>
        </row>
        <row r="15557">
          <cell r="B15557" t="str">
            <v>INF204KB14C5</v>
          </cell>
          <cell r="C15557" t="str">
            <v>-</v>
          </cell>
          <cell r="D15557" t="str">
            <v>NIPPON INDIA FIXED HORIZON FUND - XLI - SERIES 10 - IDCW Option</v>
          </cell>
          <cell r="E15557">
            <v>12.757</v>
          </cell>
        </row>
        <row r="15558">
          <cell r="B15558" t="str">
            <v>INF204KB15C2</v>
          </cell>
          <cell r="C15558" t="str">
            <v>-</v>
          </cell>
          <cell r="D15558" t="str">
            <v>Nippon India Fixed Horizon Fund XLI - Series 10 - Direct Plan - Growth Option</v>
          </cell>
          <cell r="E15558">
            <v>12.9724</v>
          </cell>
        </row>
        <row r="15559">
          <cell r="B15559" t="str">
            <v>INF204KB13C7</v>
          </cell>
          <cell r="C15559" t="str">
            <v>-</v>
          </cell>
          <cell r="D15559" t="str">
            <v>Nippon India Fixed Horizon Fund XLI - Series 10 - Growth Option</v>
          </cell>
          <cell r="E15559">
            <v>12.757</v>
          </cell>
        </row>
        <row r="15560">
          <cell r="B15560" t="str">
            <v>INF204KB10D1</v>
          </cell>
          <cell r="C15560" t="str">
            <v>-</v>
          </cell>
          <cell r="D15560" t="str">
            <v>NIPPON INDIA FIXED HORIZON FUND - XLI - SERIES 11 - DIRECT Plan - IDCW Option</v>
          </cell>
          <cell r="E15560">
            <v>12.4664</v>
          </cell>
        </row>
        <row r="15561">
          <cell r="B15561" t="str">
            <v>INF204KB18C6</v>
          </cell>
          <cell r="C15561" t="str">
            <v>-</v>
          </cell>
          <cell r="D15561" t="str">
            <v>NIPPON INDIA FIXED HORIZON FUND - XLI - SERIES 11 - IDCW Option</v>
          </cell>
          <cell r="E15561">
            <v>12.3645</v>
          </cell>
        </row>
        <row r="15562">
          <cell r="B15562" t="str">
            <v>INF204KB19C4</v>
          </cell>
          <cell r="C15562" t="str">
            <v>-</v>
          </cell>
          <cell r="D15562" t="str">
            <v>Nippon India Fixed Horizon Fund XLI - Series 11 - Direct Plan - Growth Option</v>
          </cell>
          <cell r="E15562">
            <v>12.4664</v>
          </cell>
        </row>
        <row r="15563">
          <cell r="B15563" t="str">
            <v>INF204KB17C8</v>
          </cell>
          <cell r="C15563" t="str">
            <v>-</v>
          </cell>
          <cell r="D15563" t="str">
            <v>Nippon India Fixed Horizon Fund XLI - Series 11 - Growth Option</v>
          </cell>
          <cell r="E15563">
            <v>12.3645</v>
          </cell>
        </row>
        <row r="15564">
          <cell r="B15564" t="str">
            <v>INF204KB14D3</v>
          </cell>
          <cell r="C15564" t="str">
            <v>-</v>
          </cell>
          <cell r="D15564" t="str">
            <v>NIPPON INDIA FIXED HORIZON FUND - XLI - SERIES 12 - DIRECT Plan - IDCW Option</v>
          </cell>
          <cell r="E15564">
            <v>12.9474</v>
          </cell>
        </row>
        <row r="15565">
          <cell r="B15565" t="str">
            <v>INF204KB12D7</v>
          </cell>
          <cell r="C15565" t="str">
            <v>-</v>
          </cell>
          <cell r="D15565" t="str">
            <v>NIPPON INDIA FIXED HORIZON FUND - XLI - SERIES 12 - IDCW Option</v>
          </cell>
          <cell r="E15565">
            <v>12.7315</v>
          </cell>
        </row>
        <row r="15566">
          <cell r="B15566" t="str">
            <v>INF204KB13D5</v>
          </cell>
          <cell r="C15566" t="str">
            <v>-</v>
          </cell>
          <cell r="D15566" t="str">
            <v>Nippon India Fixed Horizon Fund XLI - Series 12 - Direct Plan - Growth Option</v>
          </cell>
          <cell r="E15566">
            <v>12.9474</v>
          </cell>
        </row>
        <row r="15567">
          <cell r="B15567" t="str">
            <v>INF204KB11D9</v>
          </cell>
          <cell r="C15567" t="str">
            <v>-</v>
          </cell>
          <cell r="D15567" t="str">
            <v>Nippon India Fixed Horizon Fund XLI - Series 12 - Growth Option</v>
          </cell>
          <cell r="E15567">
            <v>12.7315</v>
          </cell>
        </row>
        <row r="15568">
          <cell r="B15568" t="str">
            <v>INF204KB12A3</v>
          </cell>
          <cell r="C15568" t="str">
            <v>-</v>
          </cell>
          <cell r="D15568" t="str">
            <v>NIPPON INDIA FIXED HORIZON FUND - XLI - SERIES 4 - DIRECT Plan - IDCW Option</v>
          </cell>
          <cell r="E15568">
            <v>13.102600000000001</v>
          </cell>
        </row>
        <row r="15569">
          <cell r="B15569" t="str">
            <v>INF204KB10A7</v>
          </cell>
          <cell r="C15569" t="str">
            <v>-</v>
          </cell>
          <cell r="D15569" t="str">
            <v>NIPPON INDIA FIXED HORIZON FUND - XLI - SERIES 4 - IDCW Option</v>
          </cell>
          <cell r="E15569">
            <v>12.851900000000001</v>
          </cell>
        </row>
        <row r="15570">
          <cell r="B15570" t="str">
            <v>INF204KB11A5</v>
          </cell>
          <cell r="C15570" t="str">
            <v>-</v>
          </cell>
          <cell r="D15570" t="str">
            <v>Nippon India Fixed Horizon Fund XLI - Series 4 - Direct Plan - Growth Option</v>
          </cell>
          <cell r="E15570">
            <v>13.102600000000001</v>
          </cell>
        </row>
        <row r="15571">
          <cell r="B15571" t="str">
            <v>INF204KB1Z98</v>
          </cell>
          <cell r="C15571" t="str">
            <v>-</v>
          </cell>
          <cell r="D15571" t="str">
            <v>Nippon India Fixed Horizon Fund XLI - Series 4 - Growth Option</v>
          </cell>
          <cell r="E15571">
            <v>12.852</v>
          </cell>
        </row>
        <row r="15572">
          <cell r="B15572" t="str">
            <v>INF204KB1A14</v>
          </cell>
          <cell r="C15572" t="str">
            <v>-</v>
          </cell>
          <cell r="D15572" t="str">
            <v>Nippon India Fixed Horizon Fund - XXV - Series 15 - Direct Plan - Dividend Payout Option</v>
          </cell>
          <cell r="E15572">
            <v>10</v>
          </cell>
        </row>
        <row r="15573">
          <cell r="B15573" t="str">
            <v>INF204KB1A06</v>
          </cell>
          <cell r="C15573" t="str">
            <v>-</v>
          </cell>
          <cell r="D15573" t="str">
            <v>Nippon India Fixed Horizon Fund - XXV - Series 15 - Direct Plan - Growth Option</v>
          </cell>
          <cell r="E15573">
            <v>18.1935</v>
          </cell>
        </row>
        <row r="15574">
          <cell r="B15574" t="str">
            <v>INF204KB1ZZ9</v>
          </cell>
          <cell r="C15574" t="str">
            <v>-</v>
          </cell>
          <cell r="D15574" t="str">
            <v>Nippon India Fixed Horizon Fund - XXV - Series 15 - Dividend Payout Option</v>
          </cell>
          <cell r="E15574">
            <v>10</v>
          </cell>
        </row>
        <row r="15575">
          <cell r="B15575" t="str">
            <v>INF204KB1ZY2</v>
          </cell>
          <cell r="C15575" t="str">
            <v>-</v>
          </cell>
          <cell r="D15575" t="str">
            <v>Nippon India Fixed Horizon Fund - XXV - Series 15 - Growth Option</v>
          </cell>
          <cell r="E15575">
            <v>17.719000000000001</v>
          </cell>
        </row>
        <row r="15576">
          <cell r="B15576" t="str">
            <v>INF204KB1N50</v>
          </cell>
          <cell r="C15576" t="str">
            <v>-</v>
          </cell>
          <cell r="D15576" t="str">
            <v>NIPPON INDIA FIXED HORIZON FUND - XXXIX - SERIES 15 - IDCW Option</v>
          </cell>
          <cell r="E15576">
            <v>13.0954</v>
          </cell>
        </row>
        <row r="15577">
          <cell r="B15577" t="str">
            <v>INF204KB1N43</v>
          </cell>
          <cell r="C15577" t="str">
            <v>-</v>
          </cell>
          <cell r="D15577" t="str">
            <v>Nippon India Fixed Horizon Fund XXXIX - Series 15 Growth option</v>
          </cell>
          <cell r="E15577">
            <v>13.0954</v>
          </cell>
        </row>
        <row r="15578">
          <cell r="B15578" t="str">
            <v>INF204KB1N68</v>
          </cell>
          <cell r="C15578" t="str">
            <v>-</v>
          </cell>
          <cell r="D15578" t="str">
            <v>Nippon India Fixed Horizon Fund XXXIX- Series15- Direct Plan - Growth option</v>
          </cell>
          <cell r="E15578">
            <v>13.207599999999999</v>
          </cell>
        </row>
        <row r="15579">
          <cell r="B15579" t="str">
            <v>INF204KB1O18</v>
          </cell>
          <cell r="C15579" t="str">
            <v>-</v>
          </cell>
          <cell r="D15579" t="str">
            <v>NIPPON INDIA FIXED HORIZON FUND - XXXX - SERIES 1 - DIRECT Plan - IDCW Option</v>
          </cell>
          <cell r="E15579">
            <v>13.1755</v>
          </cell>
        </row>
        <row r="15580">
          <cell r="B15580" t="str">
            <v>INF204KB1N92</v>
          </cell>
          <cell r="C15580" t="str">
            <v>-</v>
          </cell>
          <cell r="D15580" t="str">
            <v>NIPPON INDIA FIXED HORIZON FUND - XXXX - SERIES 1 - IDCW Option</v>
          </cell>
          <cell r="E15580">
            <v>13.063000000000001</v>
          </cell>
        </row>
        <row r="15581">
          <cell r="B15581" t="str">
            <v>INF204KB1O00</v>
          </cell>
          <cell r="C15581" t="str">
            <v>-</v>
          </cell>
          <cell r="D15581" t="str">
            <v>Nippon India Fixed Horizon Fund XXXX - Series 1 - Direct Plan - Growth Option</v>
          </cell>
          <cell r="E15581">
            <v>13.1755</v>
          </cell>
        </row>
        <row r="15582">
          <cell r="B15582" t="str">
            <v>INF204KB1N84</v>
          </cell>
          <cell r="C15582" t="str">
            <v>-</v>
          </cell>
          <cell r="D15582" t="str">
            <v>Nippon India Fixed Horizon Fund XXXX - Series 1 - Growth Option</v>
          </cell>
          <cell r="E15582">
            <v>13.063000000000001</v>
          </cell>
        </row>
        <row r="15583">
          <cell r="B15583" t="str">
            <v>INF204KB1U10</v>
          </cell>
          <cell r="C15583" t="str">
            <v>-</v>
          </cell>
          <cell r="D15583" t="str">
            <v>NIPPON INDIA FIXED HORIZON FUND - XXXX - SERIES 11 - IDCW Option</v>
          </cell>
          <cell r="E15583">
            <v>12.733000000000001</v>
          </cell>
        </row>
        <row r="15584">
          <cell r="B15584" t="str">
            <v>INF204KB1U28</v>
          </cell>
          <cell r="C15584" t="str">
            <v>-</v>
          </cell>
          <cell r="D15584" t="str">
            <v>Nippon India Fixed Horizon Fund XXXX - Series 11 - Direct Plan - Growth Plan</v>
          </cell>
          <cell r="E15584">
            <v>12.8378</v>
          </cell>
        </row>
        <row r="15585">
          <cell r="B15585" t="str">
            <v>INF204KB1U02</v>
          </cell>
          <cell r="C15585" t="str">
            <v>-</v>
          </cell>
          <cell r="D15585" t="str">
            <v>Nippon India Fixed Horizon Fund XXXX - Series 11 - Growth Option</v>
          </cell>
          <cell r="E15585">
            <v>12.733000000000001</v>
          </cell>
        </row>
        <row r="15586">
          <cell r="B15586" t="str">
            <v>INF204KB1U77</v>
          </cell>
          <cell r="C15586" t="str">
            <v>-</v>
          </cell>
          <cell r="D15586" t="str">
            <v>NIPPON INDIA FIXED HORIZON FUND - XXXX - SERIES 12 - DIRECT Plan - IDCW Option</v>
          </cell>
          <cell r="E15586">
            <v>13.238200000000001</v>
          </cell>
        </row>
        <row r="15587">
          <cell r="B15587" t="str">
            <v>INF204KB1U51</v>
          </cell>
          <cell r="C15587" t="str">
            <v>-</v>
          </cell>
          <cell r="D15587" t="str">
            <v>NIPPON INDIA FIXED HORIZON FUND - XXXX - SERIES 12 - IDCW Option</v>
          </cell>
          <cell r="E15587">
            <v>12.9764</v>
          </cell>
        </row>
        <row r="15588">
          <cell r="B15588" t="str">
            <v>INF204KB1U69</v>
          </cell>
          <cell r="C15588" t="str">
            <v>-</v>
          </cell>
          <cell r="D15588" t="str">
            <v>Nippon India Fixed Horizon Fund XXXX - Series 12 - Direct Plan - Growth Option</v>
          </cell>
          <cell r="E15588">
            <v>13.238200000000001</v>
          </cell>
        </row>
        <row r="15589">
          <cell r="B15589" t="str">
            <v>INF204KB1U44</v>
          </cell>
          <cell r="C15589" t="str">
            <v>-</v>
          </cell>
          <cell r="D15589" t="str">
            <v>Nippon India Fixed Horizon Fund XXXX - Series 12 - Growth Option</v>
          </cell>
          <cell r="E15589">
            <v>12.9764</v>
          </cell>
        </row>
        <row r="15590">
          <cell r="B15590" t="str">
            <v>INF204KB1V50</v>
          </cell>
          <cell r="C15590" t="str">
            <v>-</v>
          </cell>
          <cell r="D15590" t="str">
            <v>NIPPON INDIA FIXED HORIZON FUND - XXXX - SERIES 14 - DIRECT Plan - IDCW Option</v>
          </cell>
          <cell r="E15590">
            <v>10.774900000000001</v>
          </cell>
        </row>
        <row r="15591">
          <cell r="B15591" t="str">
            <v>INF204KB1V35</v>
          </cell>
          <cell r="C15591" t="str">
            <v>-</v>
          </cell>
          <cell r="D15591" t="str">
            <v>NIPPON INDIA FIXED HORIZON FUND - XXXX - SERIES 14 - IDCW Option</v>
          </cell>
          <cell r="E15591">
            <v>12.7453</v>
          </cell>
        </row>
        <row r="15592">
          <cell r="B15592" t="str">
            <v>INF204KB1V43</v>
          </cell>
          <cell r="C15592" t="str">
            <v>-</v>
          </cell>
          <cell r="D15592" t="str">
            <v>Nippon India Fixed Horizon Fund XXXX - Series 14 - Direct Plan - Growth Option</v>
          </cell>
          <cell r="E15592">
            <v>12.8605</v>
          </cell>
        </row>
        <row r="15593">
          <cell r="B15593" t="str">
            <v>INF204KB1V27</v>
          </cell>
          <cell r="C15593" t="str">
            <v>-</v>
          </cell>
          <cell r="D15593" t="str">
            <v>Nippon India Fixed Horizon Fund XXXX - Series 14 - Growth Option</v>
          </cell>
          <cell r="E15593">
            <v>12.7453</v>
          </cell>
        </row>
        <row r="15594">
          <cell r="B15594" t="str">
            <v>INF204KB1V84</v>
          </cell>
          <cell r="C15594" t="str">
            <v>-</v>
          </cell>
          <cell r="D15594" t="str">
            <v>NIPPON INDIA FIXED HORIZON FUND - XXXX - SERIES 15 - IDCW Option</v>
          </cell>
          <cell r="E15594">
            <v>12.6745</v>
          </cell>
        </row>
        <row r="15595">
          <cell r="B15595" t="str">
            <v>INF204KB1V92</v>
          </cell>
          <cell r="C15595" t="str">
            <v>-</v>
          </cell>
          <cell r="D15595" t="str">
            <v>Nippon India Fixed Horizon Fund XXXX - Series 15 - Direct Plan - Growth Option</v>
          </cell>
          <cell r="E15595">
            <v>12.7814</v>
          </cell>
        </row>
        <row r="15596">
          <cell r="B15596" t="str">
            <v>INF204KB1V76</v>
          </cell>
          <cell r="C15596" t="str">
            <v>-</v>
          </cell>
          <cell r="D15596" t="str">
            <v>Nippon India Fixed Horizon Fund XXXX - Series 15 - Growth Option</v>
          </cell>
          <cell r="E15596">
            <v>12.6745</v>
          </cell>
        </row>
        <row r="15597">
          <cell r="B15597" t="str">
            <v>INF204KB1W42</v>
          </cell>
          <cell r="C15597" t="str">
            <v>-</v>
          </cell>
          <cell r="D15597" t="str">
            <v>NIPPON INDIA FIXED HORIZON FUND - XXXX - SERIES 16 - DIRECT Plan - IDCW Option</v>
          </cell>
          <cell r="E15597">
            <v>13.3025</v>
          </cell>
        </row>
        <row r="15598">
          <cell r="B15598" t="str">
            <v>INF204KB1W26</v>
          </cell>
          <cell r="C15598" t="str">
            <v>-</v>
          </cell>
          <cell r="D15598" t="str">
            <v>NIPPON INDIA FIXED HORIZON FUND - XXXX - SERIES 16 - IDCW Option</v>
          </cell>
          <cell r="E15598">
            <v>13.0405</v>
          </cell>
        </row>
        <row r="15599">
          <cell r="B15599" t="str">
            <v>INF204KB1W34</v>
          </cell>
          <cell r="C15599" t="str">
            <v>-</v>
          </cell>
          <cell r="D15599" t="str">
            <v>Nippon India Fixed Horizon Fund XXXX - Series 16 - Direct Plan - Growth Option</v>
          </cell>
          <cell r="E15599">
            <v>13.3025</v>
          </cell>
        </row>
        <row r="15600">
          <cell r="B15600" t="str">
            <v>INF204KB1W18</v>
          </cell>
          <cell r="C15600" t="str">
            <v>-</v>
          </cell>
          <cell r="D15600" t="str">
            <v>Nippon India Fixed Horizon Fund XXXX - Series 16 - Growth Option</v>
          </cell>
          <cell r="E15600">
            <v>13.0405</v>
          </cell>
        </row>
        <row r="15601">
          <cell r="B15601" t="str">
            <v>INF204KB1W83</v>
          </cell>
          <cell r="C15601" t="str">
            <v>-</v>
          </cell>
          <cell r="D15601" t="str">
            <v>NIPPON INDIA FIXED HORIZON FUND - XXXX - SERIES 17 - DIRECT Plan - IDCW Option</v>
          </cell>
          <cell r="E15601">
            <v>10.696400000000001</v>
          </cell>
        </row>
        <row r="15602">
          <cell r="B15602" t="str">
            <v>INF204KB1W75</v>
          </cell>
          <cell r="C15602" t="str">
            <v>-</v>
          </cell>
          <cell r="D15602" t="str">
            <v>Nippon India Fixed Horizon Fund XXXX - Series 17 - Direct Plan - Growth Option</v>
          </cell>
          <cell r="E15602">
            <v>12.709300000000001</v>
          </cell>
        </row>
        <row r="15603">
          <cell r="B15603" t="str">
            <v>INF204KB1W59</v>
          </cell>
          <cell r="C15603" t="str">
            <v>-</v>
          </cell>
          <cell r="D15603" t="str">
            <v>Nippon India Fixed Horizon Fund XXXX - Series 17 - Growth Option</v>
          </cell>
          <cell r="E15603">
            <v>12.6081</v>
          </cell>
        </row>
        <row r="15604">
          <cell r="B15604" t="str">
            <v>INF204KB1Y24</v>
          </cell>
          <cell r="C15604" t="str">
            <v>-</v>
          </cell>
          <cell r="D15604" t="str">
            <v>NIPPON INDIA FIXED HORIZON FUND - XXXX - SERIES 19 - DIRECT Plan - IDCW Option</v>
          </cell>
          <cell r="E15604">
            <v>13.1486</v>
          </cell>
        </row>
        <row r="15605">
          <cell r="B15605" t="str">
            <v>INF204KB1Y08</v>
          </cell>
          <cell r="C15605" t="str">
            <v>-</v>
          </cell>
          <cell r="D15605" t="str">
            <v>NIPPON INDIA FIXED HORIZON FUND - XXXX - SERIES 19 - IDCW Option</v>
          </cell>
          <cell r="E15605">
            <v>12.8949</v>
          </cell>
        </row>
        <row r="15606">
          <cell r="B15606" t="str">
            <v>INF204KB1Y16</v>
          </cell>
          <cell r="C15606" t="str">
            <v>-</v>
          </cell>
          <cell r="D15606" t="str">
            <v>Nippon India Fixed Horizon Fund XXXX - Series 19 - Direct Plan - Growth Option</v>
          </cell>
          <cell r="E15606">
            <v>13.1486</v>
          </cell>
        </row>
        <row r="15607">
          <cell r="B15607" t="str">
            <v>INF204KB1X90</v>
          </cell>
          <cell r="C15607" t="str">
            <v>-</v>
          </cell>
          <cell r="D15607" t="str">
            <v>Nippon India Fixed Horizon Fund XXXX - Series 19 - Growth Option</v>
          </cell>
          <cell r="E15607">
            <v>12.8949</v>
          </cell>
        </row>
        <row r="15608">
          <cell r="B15608" t="str">
            <v>INF204KB1O59</v>
          </cell>
          <cell r="C15608" t="str">
            <v>-</v>
          </cell>
          <cell r="D15608" t="str">
            <v>NIPPON INDIA FIXED HORIZON FUND - XXXX - SERIES 2 - DIRECT Plan - IDCW Option</v>
          </cell>
          <cell r="E15608">
            <v>13.1128</v>
          </cell>
        </row>
        <row r="15609">
          <cell r="B15609" t="str">
            <v>INF204KB1O34</v>
          </cell>
          <cell r="C15609" t="str">
            <v>-</v>
          </cell>
          <cell r="D15609" t="str">
            <v>NIPPON INDIA FIXED HORIZON FUND - XXXX - SERIES 2 - IDCW Option</v>
          </cell>
          <cell r="E15609">
            <v>13.0014</v>
          </cell>
        </row>
        <row r="15610">
          <cell r="B15610" t="str">
            <v>INF204KB1O42</v>
          </cell>
          <cell r="C15610" t="str">
            <v>-</v>
          </cell>
          <cell r="D15610" t="str">
            <v>Nippon India Fixed Horizon Fund XXXX - Series 2 - Direct Plan - Growth Option</v>
          </cell>
          <cell r="E15610">
            <v>13.1128</v>
          </cell>
        </row>
        <row r="15611">
          <cell r="B15611" t="str">
            <v>INF204KB1O26</v>
          </cell>
          <cell r="C15611" t="str">
            <v>-</v>
          </cell>
          <cell r="D15611" t="str">
            <v>Nippon India Fixed Horizon Fund XXXX - Series 2 - Growth Option</v>
          </cell>
          <cell r="E15611">
            <v>13.0014</v>
          </cell>
        </row>
        <row r="15612">
          <cell r="B15612" t="str">
            <v>INF204KB1O91</v>
          </cell>
          <cell r="C15612" t="str">
            <v>-</v>
          </cell>
          <cell r="D15612" t="str">
            <v>NIPPON INDIA FIXED HORIZON FUND - XXXX - SERIES 3 - DIRECT Plan - IDCW Option</v>
          </cell>
          <cell r="E15612">
            <v>13.029299999999999</v>
          </cell>
        </row>
        <row r="15613">
          <cell r="B15613" t="str">
            <v>INF204KB1O75</v>
          </cell>
          <cell r="C15613" t="str">
            <v>-</v>
          </cell>
          <cell r="D15613" t="str">
            <v>NIPPON INDIA FIXED HORIZON FUND - XXXX - SERIES 3 - IDCW Option</v>
          </cell>
          <cell r="E15613">
            <v>12.761200000000001</v>
          </cell>
        </row>
        <row r="15614">
          <cell r="B15614" t="str">
            <v>INF204KB1O83</v>
          </cell>
          <cell r="C15614" t="str">
            <v>-</v>
          </cell>
          <cell r="D15614" t="str">
            <v>Nippon India Fixed Horizon Fund XXXX - Series 3 - Direct Plan - Growth Option</v>
          </cell>
          <cell r="E15614">
            <v>13.029299999999999</v>
          </cell>
        </row>
        <row r="15615">
          <cell r="B15615" t="str">
            <v>INF204KB1O67</v>
          </cell>
          <cell r="C15615" t="str">
            <v>-</v>
          </cell>
          <cell r="D15615" t="str">
            <v>Nippon India Fixed Horizon Fund XXXX - Series 3 - Growth Option</v>
          </cell>
          <cell r="E15615">
            <v>12.761200000000001</v>
          </cell>
        </row>
        <row r="15616">
          <cell r="B15616" t="str">
            <v>INF204KB1P33</v>
          </cell>
          <cell r="C15616" t="str">
            <v>-</v>
          </cell>
          <cell r="D15616" t="str">
            <v>NIPPON INDIA FIXED HORIZON FUND - XXXX - SERIES 4 - DIRECT Plan - IDCW Option</v>
          </cell>
          <cell r="E15616">
            <v>13.068899999999999</v>
          </cell>
        </row>
        <row r="15617">
          <cell r="B15617" t="str">
            <v>INF204KB1P17</v>
          </cell>
          <cell r="C15617" t="str">
            <v>-</v>
          </cell>
          <cell r="D15617" t="str">
            <v>NIPPON INDIA FIXED HORIZON FUND - XXXX - SERIES 4 - IDCW Option</v>
          </cell>
          <cell r="E15617">
            <v>10.9407</v>
          </cell>
        </row>
        <row r="15618">
          <cell r="B15618" t="str">
            <v>INF204KB1P25</v>
          </cell>
          <cell r="C15618" t="str">
            <v>-</v>
          </cell>
          <cell r="D15618" t="str">
            <v>Nippon India Fixed Horizon Fund XXXX - Series 4 - Direct Plan - Growth Option</v>
          </cell>
          <cell r="E15618">
            <v>13.068899999999999</v>
          </cell>
        </row>
        <row r="15619">
          <cell r="B15619" t="str">
            <v>INF204KB1P09</v>
          </cell>
          <cell r="C15619" t="str">
            <v>-</v>
          </cell>
          <cell r="D15619" t="str">
            <v>Nippon India Fixed Horizon Fund XXXX - Series 4 - Growth Option</v>
          </cell>
          <cell r="E15619">
            <v>12.9588</v>
          </cell>
        </row>
        <row r="15620">
          <cell r="B15620" t="str">
            <v>INF204KB1Q57</v>
          </cell>
          <cell r="C15620" t="str">
            <v>-</v>
          </cell>
          <cell r="D15620" t="str">
            <v>NIPPON INDIA FIXED HORIZON FUND - XXXX - SERIES 5 - DIRECT Plan - IDCW Option</v>
          </cell>
          <cell r="E15620">
            <v>13.038600000000001</v>
          </cell>
        </row>
        <row r="15621">
          <cell r="B15621" t="str">
            <v>INF204KB1Q32</v>
          </cell>
          <cell r="C15621" t="str">
            <v>-</v>
          </cell>
          <cell r="D15621" t="str">
            <v>NIPPON INDIA FIXED HORIZON FUND - XXXX - SERIES 5 - IDCW Option</v>
          </cell>
          <cell r="E15621">
            <v>12.9292</v>
          </cell>
        </row>
        <row r="15622">
          <cell r="B15622" t="str">
            <v>INF204KB1Q40</v>
          </cell>
          <cell r="C15622" t="str">
            <v>-</v>
          </cell>
          <cell r="D15622" t="str">
            <v>Nippon India Fixed Horizon Fund XXXX - Series 5 - Direct Plan - Growth Option</v>
          </cell>
          <cell r="E15622">
            <v>13.038500000000001</v>
          </cell>
        </row>
        <row r="15623">
          <cell r="B15623" t="str">
            <v>INF204KB1Q24</v>
          </cell>
          <cell r="C15623" t="str">
            <v>-</v>
          </cell>
          <cell r="D15623" t="str">
            <v>Nippon India Fixed Horizon Fund XXXX - Series 5 - Growth Option</v>
          </cell>
          <cell r="E15623">
            <v>12.9292</v>
          </cell>
        </row>
        <row r="15624">
          <cell r="B15624" t="str">
            <v>INF204KB1S30</v>
          </cell>
          <cell r="C15624" t="str">
            <v>-</v>
          </cell>
          <cell r="D15624" t="str">
            <v>NIPPON INDIA FIXED HORIZON FUND - XXXX - SERIES 6 - DIRECT Plan - IDCW Option</v>
          </cell>
          <cell r="E15624">
            <v>12.943199999999999</v>
          </cell>
        </row>
        <row r="15625">
          <cell r="B15625" t="str">
            <v>INF204KB1S14</v>
          </cell>
          <cell r="C15625" t="str">
            <v>-</v>
          </cell>
          <cell r="D15625" t="str">
            <v>NIPPON INDIA FIXED HORIZON FUND - XXXX - SERIES 6 - IDCW Option</v>
          </cell>
          <cell r="E15625">
            <v>12.835100000000001</v>
          </cell>
        </row>
        <row r="15626">
          <cell r="B15626" t="str">
            <v>INF204KB1S22</v>
          </cell>
          <cell r="C15626" t="str">
            <v>-</v>
          </cell>
          <cell r="D15626" t="str">
            <v>Nippon India Fixed Horizon Fund XXXX - Series 6 - Direct Plan - Growth Option</v>
          </cell>
          <cell r="E15626">
            <v>12.943199999999999</v>
          </cell>
        </row>
        <row r="15627">
          <cell r="B15627" t="str">
            <v>INF204KB1S06</v>
          </cell>
          <cell r="C15627" t="str">
            <v>-</v>
          </cell>
          <cell r="D15627" t="str">
            <v>Nippon India Fixed Horizon Fund XXXX - Series 6 - Growth Option</v>
          </cell>
          <cell r="E15627">
            <v>12.835100000000001</v>
          </cell>
        </row>
        <row r="15628">
          <cell r="B15628" t="str">
            <v>INF204KB1S63</v>
          </cell>
          <cell r="C15628" t="str">
            <v>-</v>
          </cell>
          <cell r="D15628" t="str">
            <v>Nippon India Fixed Horizon Fund XXXX - Series 7 - Direct Plan - Growth Option</v>
          </cell>
          <cell r="E15628">
            <v>12.941800000000001</v>
          </cell>
        </row>
        <row r="15629">
          <cell r="B15629" t="str">
            <v>INF204KB1S48</v>
          </cell>
          <cell r="C15629" t="str">
            <v>-</v>
          </cell>
          <cell r="D15629" t="str">
            <v>Nippon India Fixed Horizon Fund XXXX - Series 7 - Growth Option</v>
          </cell>
          <cell r="E15629">
            <v>12.8344</v>
          </cell>
        </row>
        <row r="15630">
          <cell r="B15630" t="str">
            <v>INF204KB1T13</v>
          </cell>
          <cell r="C15630" t="str">
            <v>-</v>
          </cell>
          <cell r="D15630" t="str">
            <v>NIPPON INDIA FIXED HORIZON FUND - XXXX - SERIES 8 - DIRECT Plan - IDCW Option</v>
          </cell>
          <cell r="E15630">
            <v>13.1698</v>
          </cell>
        </row>
        <row r="15631">
          <cell r="B15631" t="str">
            <v>INF204KB1S97</v>
          </cell>
          <cell r="C15631" t="str">
            <v>-</v>
          </cell>
          <cell r="D15631" t="str">
            <v>NIPPON INDIA FIXED HORIZON FUND - XXXX - SERIES 8 - IDCW Option</v>
          </cell>
          <cell r="E15631">
            <v>12.9422</v>
          </cell>
        </row>
        <row r="15632">
          <cell r="B15632" t="str">
            <v>INF204KB1T05</v>
          </cell>
          <cell r="C15632" t="str">
            <v>-</v>
          </cell>
          <cell r="D15632" t="str">
            <v>Nippon India Fixed Horizon Fund XXXX - Series 8 - Direct Plan - Growth Option</v>
          </cell>
          <cell r="E15632">
            <v>13.1698</v>
          </cell>
        </row>
        <row r="15633">
          <cell r="B15633" t="str">
            <v>INF204KB1S89</v>
          </cell>
          <cell r="C15633" t="str">
            <v>-</v>
          </cell>
          <cell r="D15633" t="str">
            <v>Nippon India Fixed Horizon Fund XXXX - Series 8 - Growth Option</v>
          </cell>
          <cell r="E15633">
            <v>12.9422</v>
          </cell>
        </row>
        <row r="15634">
          <cell r="B15634" t="str">
            <v>INF204KB1BW7</v>
          </cell>
          <cell r="C15634" t="str">
            <v>-</v>
          </cell>
          <cell r="D15634" t="str">
            <v>Nippon India Fixed Horizon Fund XXXI Series 9 - Direct Plan - Dividend Payout Option</v>
          </cell>
          <cell r="E15634">
            <v>10</v>
          </cell>
        </row>
        <row r="15635">
          <cell r="B15635" t="str">
            <v>INF204KB1BV9</v>
          </cell>
          <cell r="C15635" t="str">
            <v>-</v>
          </cell>
          <cell r="D15635" t="str">
            <v>Nippon India Fixed Horizon Fund XXXI Series 9 - Direct Plan - Growth Option</v>
          </cell>
          <cell r="E15635">
            <v>12.52</v>
          </cell>
        </row>
        <row r="15636">
          <cell r="B15636" t="str">
            <v>INF204KB1BU1</v>
          </cell>
          <cell r="C15636" t="str">
            <v>-</v>
          </cell>
          <cell r="D15636" t="str">
            <v>Nippon India Fixed Horizon Fund XXXI Series 9 - Dividend Payout Option</v>
          </cell>
          <cell r="E15636">
            <v>10</v>
          </cell>
        </row>
        <row r="15637">
          <cell r="B15637" t="str">
            <v>INF204KB1BT3</v>
          </cell>
          <cell r="C15637" t="str">
            <v>-</v>
          </cell>
          <cell r="D15637" t="str">
            <v>Nippon India Fixed Horizon Fund XXXI Series 9 - Growth Option</v>
          </cell>
          <cell r="E15637">
            <v>12.323499999999999</v>
          </cell>
        </row>
        <row r="15638">
          <cell r="B15638" t="str">
            <v>INF204KB1DG6</v>
          </cell>
          <cell r="C15638" t="str">
            <v>-</v>
          </cell>
          <cell r="D15638" t="str">
            <v>Nippon India Fixed Horizon Fund XXXI- Series 13- Direct Plan-Dividend Payout Option</v>
          </cell>
          <cell r="E15638">
            <v>10</v>
          </cell>
        </row>
        <row r="15639">
          <cell r="B15639" t="str">
            <v>INF204KB1DF8</v>
          </cell>
          <cell r="C15639" t="str">
            <v>-</v>
          </cell>
          <cell r="D15639" t="str">
            <v>Nippon India Fixed Horizon Fund XXXI- Series 13- Direct Plan-Growth Option</v>
          </cell>
          <cell r="E15639">
            <v>12.448600000000001</v>
          </cell>
        </row>
        <row r="15640">
          <cell r="B15640" t="str">
            <v>INF204KB1DE1</v>
          </cell>
          <cell r="C15640" t="str">
            <v>-</v>
          </cell>
          <cell r="D15640" t="str">
            <v>Nippon India Fixed Horizon Fund XXXI- Series 13- Dividend Payout Option</v>
          </cell>
          <cell r="E15640">
            <v>10</v>
          </cell>
        </row>
        <row r="15641">
          <cell r="B15641" t="str">
            <v>INF204KB1DD3</v>
          </cell>
          <cell r="C15641" t="str">
            <v>-</v>
          </cell>
          <cell r="D15641" t="str">
            <v>Nippon India Fixed Horizon Fund XXXI- Series 13- Growth Option</v>
          </cell>
          <cell r="E15641">
            <v>12.3484</v>
          </cell>
        </row>
        <row r="15642">
          <cell r="B15642" t="str">
            <v>INF204KB1EE9</v>
          </cell>
          <cell r="C15642" t="str">
            <v>-</v>
          </cell>
          <cell r="D15642" t="str">
            <v>Nippon India Fixed Horizon Fund XXXI- Series 15- Direct Plan-Dividend Payout Option</v>
          </cell>
          <cell r="E15642">
            <v>10</v>
          </cell>
        </row>
        <row r="15643">
          <cell r="B15643" t="str">
            <v>INF204KB1ED1</v>
          </cell>
          <cell r="C15643" t="str">
            <v>-</v>
          </cell>
          <cell r="D15643" t="str">
            <v>Nippon India Fixed Horizon Fund XXXI- Series 15- Direct Plan-Growth Option</v>
          </cell>
          <cell r="E15643">
            <v>13.0663</v>
          </cell>
        </row>
        <row r="15644">
          <cell r="B15644" t="str">
            <v>INF204KB1EC3</v>
          </cell>
          <cell r="C15644" t="str">
            <v>-</v>
          </cell>
          <cell r="D15644" t="str">
            <v>Nippon India Fixed Horizon Fund XXXI- Series 15- Dividend Payout Option</v>
          </cell>
          <cell r="E15644">
            <v>10</v>
          </cell>
        </row>
        <row r="15645">
          <cell r="B15645" t="str">
            <v>INF204KB1EB5</v>
          </cell>
          <cell r="C15645" t="str">
            <v>-</v>
          </cell>
          <cell r="D15645" t="str">
            <v>Nippon India Fixed Horizon Fund XXXI- Series 15-Growth Option</v>
          </cell>
          <cell r="E15645">
            <v>12.9186</v>
          </cell>
        </row>
        <row r="15646">
          <cell r="B15646" t="str">
            <v>INF204KB1BB1</v>
          </cell>
          <cell r="C15646" t="str">
            <v>-</v>
          </cell>
          <cell r="D15646" t="str">
            <v>Nippon India Fixed Horizon Fund XXXI- Series 8- Direct Plan - Growth Option</v>
          </cell>
          <cell r="E15646">
            <v>13.2895</v>
          </cell>
        </row>
        <row r="15647">
          <cell r="B15647" t="str">
            <v>INF204KB1BC9</v>
          </cell>
          <cell r="C15647" t="str">
            <v>-</v>
          </cell>
          <cell r="D15647" t="str">
            <v>Nippon India Fixed Horizon Fund XXXI- Series 8- Direct Plan-Dividend Payout Option</v>
          </cell>
          <cell r="E15647">
            <v>10</v>
          </cell>
        </row>
        <row r="15648">
          <cell r="B15648" t="str">
            <v>INF204KB1BA3</v>
          </cell>
          <cell r="C15648" t="str">
            <v>-</v>
          </cell>
          <cell r="D15648" t="str">
            <v>Nippon India Fixed Horizon Fund XXXI- Series 8- Dividend Payout Option</v>
          </cell>
          <cell r="E15648">
            <v>10</v>
          </cell>
        </row>
        <row r="15649">
          <cell r="B15649" t="str">
            <v>INF204KB1AZ2</v>
          </cell>
          <cell r="C15649" t="str">
            <v>-</v>
          </cell>
          <cell r="D15649" t="str">
            <v>Nippon India Fixed Horizon Fund XXXI- Series 8- Growth Option</v>
          </cell>
          <cell r="E15649">
            <v>13.020200000000001</v>
          </cell>
        </row>
        <row r="15650">
          <cell r="B15650" t="str">
            <v>INF204KB1FP2</v>
          </cell>
          <cell r="C15650" t="str">
            <v>-</v>
          </cell>
          <cell r="D15650" t="str">
            <v>Nippon India Fixed Horizon Fund XXXII- Series 1- Direct Plan- Dividend Payout Option</v>
          </cell>
          <cell r="E15650">
            <v>10</v>
          </cell>
        </row>
        <row r="15651">
          <cell r="B15651" t="str">
            <v>INF204KB1FO5</v>
          </cell>
          <cell r="C15651" t="str">
            <v>-</v>
          </cell>
          <cell r="D15651" t="str">
            <v>Nippon India Fixed Horizon Fund XXXII- Series 1- Direct Plan-Growth Option</v>
          </cell>
          <cell r="E15651">
            <v>12.685499999999999</v>
          </cell>
        </row>
        <row r="15652">
          <cell r="B15652" t="str">
            <v>INF204KB1FN7</v>
          </cell>
          <cell r="C15652" t="str">
            <v>-</v>
          </cell>
          <cell r="D15652" t="str">
            <v>Nippon India Fixed Horizon Fund XXXII- Series 1- Dividend Payout Option</v>
          </cell>
          <cell r="E15652">
            <v>10</v>
          </cell>
        </row>
        <row r="15653">
          <cell r="B15653" t="str">
            <v>INF204KB1FM9</v>
          </cell>
          <cell r="C15653" t="str">
            <v>-</v>
          </cell>
          <cell r="D15653" t="str">
            <v>Nippon India Fixed Horizon Fund XXXII- Series 1- Growth Option</v>
          </cell>
          <cell r="E15653">
            <v>12.493399999999999</v>
          </cell>
        </row>
        <row r="15654">
          <cell r="B15654" t="str">
            <v>INF204KB1HL7</v>
          </cell>
          <cell r="C15654" t="str">
            <v>-</v>
          </cell>
          <cell r="D15654" t="str">
            <v>Nippon India Fixed Horizon Fund XXXII- Series 10- Direct Plan- Dividend Payout Option</v>
          </cell>
          <cell r="E15654">
            <v>10.5548</v>
          </cell>
        </row>
        <row r="15655">
          <cell r="B15655" t="str">
            <v>INF204KB1HK9</v>
          </cell>
          <cell r="C15655" t="str">
            <v>-</v>
          </cell>
          <cell r="D15655" t="str">
            <v>Nippon India Fixed Horizon Fund XXXII- Series 10- Direct Plan- Growth Option</v>
          </cell>
          <cell r="E15655">
            <v>10.5549</v>
          </cell>
        </row>
        <row r="15656">
          <cell r="B15656" t="str">
            <v>INF204KB1HJ1</v>
          </cell>
          <cell r="C15656" t="str">
            <v>-</v>
          </cell>
          <cell r="D15656" t="str">
            <v>Nippon India Fixed Horizon Fund XXXII- Series 10- Dividend Payout Option</v>
          </cell>
          <cell r="E15656">
            <v>10.430199999999999</v>
          </cell>
        </row>
        <row r="15657">
          <cell r="B15657" t="str">
            <v>INF204KB1HI3</v>
          </cell>
          <cell r="C15657" t="str">
            <v>-</v>
          </cell>
          <cell r="D15657" t="str">
            <v>Nippon India Fixed Horizon Fund XXXII- Series 10- Growth Option</v>
          </cell>
          <cell r="E15657">
            <v>10.430199999999999</v>
          </cell>
        </row>
        <row r="15658">
          <cell r="B15658" t="str">
            <v>INF204KB1FT4</v>
          </cell>
          <cell r="C15658" t="str">
            <v>-</v>
          </cell>
          <cell r="D15658" t="str">
            <v>Nippon India Fixed Horizon Fund XXXII- Series 2- Direct Plan- Dividend Payout Option</v>
          </cell>
          <cell r="E15658">
            <v>10</v>
          </cell>
        </row>
        <row r="15659">
          <cell r="B15659" t="str">
            <v>INF204KB1FS6</v>
          </cell>
          <cell r="C15659" t="str">
            <v>-</v>
          </cell>
          <cell r="D15659" t="str">
            <v>Nippon India Fixed Horizon Fund XXXII- Series 2- Direct Plan-Growth Option</v>
          </cell>
          <cell r="E15659">
            <v>12.7182</v>
          </cell>
        </row>
        <row r="15660">
          <cell r="B15660" t="str">
            <v>INF204KB1FR8</v>
          </cell>
          <cell r="C15660" t="str">
            <v>-</v>
          </cell>
          <cell r="D15660" t="str">
            <v>Nippon India Fixed Horizon Fund XXXII- Series 2- Dividend Payout Option</v>
          </cell>
          <cell r="E15660">
            <v>10</v>
          </cell>
        </row>
        <row r="15661">
          <cell r="B15661" t="str">
            <v>INF204KB1FQ0</v>
          </cell>
          <cell r="C15661" t="str">
            <v>-</v>
          </cell>
          <cell r="D15661" t="str">
            <v>Nippon India Fixed Horizon Fund XXXII- Series 2- Growth Option</v>
          </cell>
          <cell r="E15661">
            <v>12.553599999999999</v>
          </cell>
        </row>
        <row r="15662">
          <cell r="B15662" t="str">
            <v>INF204KB1GB0</v>
          </cell>
          <cell r="C15662" t="str">
            <v>-</v>
          </cell>
          <cell r="D15662" t="str">
            <v>Nippon India Fixed Horizon Fund XXXII- Series 4- Direct Plan- Dividend Payout Option</v>
          </cell>
          <cell r="E15662">
            <v>10</v>
          </cell>
        </row>
        <row r="15663">
          <cell r="B15663" t="str">
            <v>INF204KB1GA2</v>
          </cell>
          <cell r="C15663" t="str">
            <v>-</v>
          </cell>
          <cell r="D15663" t="str">
            <v>Nippon India Fixed Horizon Fund XXXII- Series 4- Direct Plan-Growth Option</v>
          </cell>
          <cell r="E15663">
            <v>13.200900000000001</v>
          </cell>
        </row>
        <row r="15664">
          <cell r="B15664" t="str">
            <v>INF204KB1FZ1</v>
          </cell>
          <cell r="C15664" t="str">
            <v>-</v>
          </cell>
          <cell r="D15664" t="str">
            <v>Nippon India Fixed Horizon Fund XXXII- Series 4- Dividend Payout Option</v>
          </cell>
          <cell r="E15664">
            <v>10</v>
          </cell>
        </row>
        <row r="15665">
          <cell r="B15665" t="str">
            <v>INF204KB1FY4</v>
          </cell>
          <cell r="C15665" t="str">
            <v>-</v>
          </cell>
          <cell r="D15665" t="str">
            <v>Nippon India Fixed Horizon Fund XXXII- Series 4- Growth Option</v>
          </cell>
          <cell r="E15665">
            <v>13.0669</v>
          </cell>
        </row>
        <row r="15666">
          <cell r="B15666" t="str">
            <v>INF204KB1GJ3</v>
          </cell>
          <cell r="C15666" t="str">
            <v>-</v>
          </cell>
          <cell r="D15666" t="str">
            <v>Nippon India Fixed Horizon Fund XXXII- Series 5- Direct Plan-Dividend Payout Option</v>
          </cell>
          <cell r="E15666">
            <v>10</v>
          </cell>
        </row>
        <row r="15667">
          <cell r="B15667" t="str">
            <v>INF204KB1GI5</v>
          </cell>
          <cell r="C15667" t="str">
            <v>-</v>
          </cell>
          <cell r="D15667" t="str">
            <v>Nippon India Fixed Horizon Fund XXXII- Series 5- Direct Plan-Growth Option</v>
          </cell>
          <cell r="E15667">
            <v>12.8698</v>
          </cell>
        </row>
        <row r="15668">
          <cell r="B15668" t="str">
            <v>INF204KB1GH7</v>
          </cell>
          <cell r="C15668" t="str">
            <v>-</v>
          </cell>
          <cell r="D15668" t="str">
            <v>Nippon India Fixed Horizon Fund XXXII- Series 5- Dividend Payout Option</v>
          </cell>
          <cell r="E15668">
            <v>10</v>
          </cell>
        </row>
        <row r="15669">
          <cell r="B15669" t="str">
            <v>INF204KB1GG9</v>
          </cell>
          <cell r="C15669" t="str">
            <v>-</v>
          </cell>
          <cell r="D15669" t="str">
            <v>Nippon India Fixed Horizon Fund XXXII- Series 5- Growth Option</v>
          </cell>
          <cell r="E15669">
            <v>12.832100000000001</v>
          </cell>
        </row>
        <row r="15670">
          <cell r="B15670" t="str">
            <v>INF204KB1HD4</v>
          </cell>
          <cell r="C15670" t="str">
            <v>-</v>
          </cell>
          <cell r="D15670" t="str">
            <v>Nippon India Fixed Horizon Fund XXXII- Series 7- Direct Plan-Dividend Payout Option</v>
          </cell>
          <cell r="E15670">
            <v>10</v>
          </cell>
        </row>
        <row r="15671">
          <cell r="B15671" t="str">
            <v>INF204KB1HC6</v>
          </cell>
          <cell r="C15671" t="str">
            <v>-</v>
          </cell>
          <cell r="D15671" t="str">
            <v>Nippon India Fixed Horizon Fund XXXII- Series 7- Direct Plan-Growth Option</v>
          </cell>
          <cell r="E15671">
            <v>12.1896</v>
          </cell>
        </row>
        <row r="15672">
          <cell r="B15672" t="str">
            <v>INF204KB1HB8</v>
          </cell>
          <cell r="C15672" t="str">
            <v>-</v>
          </cell>
          <cell r="D15672" t="str">
            <v>Nippon India Fixed Horizon Fund XXXII- Series 7- Dividend Payout Option</v>
          </cell>
          <cell r="E15672">
            <v>10</v>
          </cell>
        </row>
        <row r="15673">
          <cell r="B15673" t="str">
            <v>INF204KB1HA0</v>
          </cell>
          <cell r="C15673" t="str">
            <v>-</v>
          </cell>
          <cell r="D15673" t="str">
            <v>Nippon India Fixed Horizon Fund XXXII- Series 7- Growth Option</v>
          </cell>
          <cell r="E15673">
            <v>12.042899999999999</v>
          </cell>
        </row>
        <row r="15674">
          <cell r="B15674" t="str">
            <v>INF204KB1HG7</v>
          </cell>
          <cell r="C15674" t="str">
            <v>-</v>
          </cell>
          <cell r="D15674" t="str">
            <v>Nippon India Fixed Horizon Fund XXXII- Series 8- Direct Plan-Growth Option</v>
          </cell>
          <cell r="E15674">
            <v>12.7172</v>
          </cell>
        </row>
        <row r="15675">
          <cell r="B15675" t="str">
            <v>INF204KB1HF9</v>
          </cell>
          <cell r="C15675" t="str">
            <v>-</v>
          </cell>
          <cell r="D15675" t="str">
            <v>Nippon India Fixed Horizon Fund XXXII- Series 8- Dividend Payout Option</v>
          </cell>
          <cell r="E15675">
            <v>10</v>
          </cell>
        </row>
        <row r="15676">
          <cell r="B15676" t="str">
            <v>INF204KB1HE2</v>
          </cell>
          <cell r="C15676" t="str">
            <v>-</v>
          </cell>
          <cell r="D15676" t="str">
            <v>Nippon India Fixed Horizon Fund XXXII- Series 8- Growth Option</v>
          </cell>
          <cell r="E15676">
            <v>12.694599999999999</v>
          </cell>
        </row>
        <row r="15677">
          <cell r="B15677" t="str">
            <v>INF204KB1HP8</v>
          </cell>
          <cell r="C15677" t="str">
            <v>-</v>
          </cell>
          <cell r="D15677" t="str">
            <v>Nippon India Fixed Horizon Fund - XXXII - Series 9 - Direct Plan - Dividend Payout Option</v>
          </cell>
          <cell r="E15677">
            <v>10</v>
          </cell>
        </row>
        <row r="15678">
          <cell r="B15678" t="str">
            <v>INF204KB1HO1</v>
          </cell>
          <cell r="C15678" t="str">
            <v>-</v>
          </cell>
          <cell r="D15678" t="str">
            <v>Nippon India Fixed Horizon Fund - XXXII - Series 9 - Direct Plan - Growth Option</v>
          </cell>
          <cell r="E15678">
            <v>12.748200000000001</v>
          </cell>
        </row>
        <row r="15679">
          <cell r="B15679" t="str">
            <v>INF204KB1HN3</v>
          </cell>
          <cell r="C15679" t="str">
            <v>-</v>
          </cell>
          <cell r="D15679" t="str">
            <v>Nippon India Fixed Horizon Fund - XXXII - Series 9 - Dividend Payout Option</v>
          </cell>
          <cell r="E15679">
            <v>10</v>
          </cell>
        </row>
        <row r="15680">
          <cell r="B15680" t="str">
            <v>INF204KB1HM5</v>
          </cell>
          <cell r="C15680" t="str">
            <v>-</v>
          </cell>
          <cell r="D15680" t="str">
            <v>Nippon India Fixed Horizon Fund - XXXII - Series 9 - Growth Option</v>
          </cell>
          <cell r="E15680">
            <v>12.7273</v>
          </cell>
        </row>
        <row r="15681">
          <cell r="B15681" t="str">
            <v>INF204KB1IB6</v>
          </cell>
          <cell r="C15681" t="str">
            <v>-</v>
          </cell>
          <cell r="D15681" t="str">
            <v>Nippon India Fixed Horizon Fund XXXIII- Series 1- Direct Plan- Dividend Payout Option</v>
          </cell>
          <cell r="E15681">
            <v>10</v>
          </cell>
        </row>
        <row r="15682">
          <cell r="B15682" t="str">
            <v>INF204KB1IA8</v>
          </cell>
          <cell r="C15682" t="str">
            <v>-</v>
          </cell>
          <cell r="D15682" t="str">
            <v>Nippon India Fixed Horizon Fund XXXIII- Series 1- Direct Plan- Growth Option</v>
          </cell>
          <cell r="E15682">
            <v>12.671099999999999</v>
          </cell>
        </row>
        <row r="15683">
          <cell r="B15683" t="str">
            <v>INF204KB1HY0</v>
          </cell>
          <cell r="C15683" t="str">
            <v>-</v>
          </cell>
          <cell r="D15683" t="str">
            <v>Nippon India Fixed Horizon Fund XXXIII- Series 1- Growth Option</v>
          </cell>
          <cell r="E15683">
            <v>12.648899999999999</v>
          </cell>
        </row>
        <row r="15684">
          <cell r="B15684" t="str">
            <v>INF204KB1KF3</v>
          </cell>
          <cell r="C15684" t="str">
            <v>-</v>
          </cell>
          <cell r="D15684" t="str">
            <v>Nippon India Fixed Horizon Fund XXXIII- Series 10- Direct Plan - Dividend Payout Option</v>
          </cell>
          <cell r="E15684">
            <v>10</v>
          </cell>
        </row>
        <row r="15685">
          <cell r="B15685" t="str">
            <v>INF204KB1KE6</v>
          </cell>
          <cell r="C15685" t="str">
            <v>-</v>
          </cell>
          <cell r="D15685" t="str">
            <v>Nippon India Fixed Horizon Fund XXXIII- Series 10- Direct Plan - Growth Option</v>
          </cell>
          <cell r="E15685">
            <v>12.5115</v>
          </cell>
        </row>
        <row r="15686">
          <cell r="B15686" t="str">
            <v>INF204KB1KD8</v>
          </cell>
          <cell r="C15686" t="str">
            <v>-</v>
          </cell>
          <cell r="D15686" t="str">
            <v>Nippon India Fixed Horizon Fund XXXIII- Series 10- Dividend Payout Option</v>
          </cell>
          <cell r="E15686">
            <v>10</v>
          </cell>
        </row>
        <row r="15687">
          <cell r="B15687" t="str">
            <v>INF204KB1KC0</v>
          </cell>
          <cell r="C15687" t="str">
            <v>-</v>
          </cell>
          <cell r="D15687" t="str">
            <v>Nippon India Fixed Horizon Fund XXXIII- Series 10- Growth Option</v>
          </cell>
          <cell r="E15687">
            <v>12.417</v>
          </cell>
        </row>
        <row r="15688">
          <cell r="B15688" t="str">
            <v>INF204KB1IF7</v>
          </cell>
          <cell r="C15688" t="str">
            <v>-</v>
          </cell>
          <cell r="D15688" t="str">
            <v>Nippon India Fixed Horizon Fund XXXIII- Series 2- Direct Plan- Dividend Payout Option</v>
          </cell>
          <cell r="E15688">
            <v>10</v>
          </cell>
        </row>
        <row r="15689">
          <cell r="B15689" t="str">
            <v>INF204KB1IE0</v>
          </cell>
          <cell r="C15689" t="str">
            <v>-</v>
          </cell>
          <cell r="D15689" t="str">
            <v>Nippon India Fixed Horizon Fund XXXIII- Series 2- Direct Plan- Growth Option</v>
          </cell>
          <cell r="E15689">
            <v>12.098699999999999</v>
          </cell>
        </row>
        <row r="15690">
          <cell r="B15690" t="str">
            <v>INF204KB1ID2</v>
          </cell>
          <cell r="C15690" t="str">
            <v>-</v>
          </cell>
          <cell r="D15690" t="str">
            <v>Nippon India Fixed Horizon Fund XXXIII- Series 2- Dividend Payout Option</v>
          </cell>
          <cell r="E15690">
            <v>10</v>
          </cell>
        </row>
        <row r="15691">
          <cell r="B15691" t="str">
            <v>INF204KB1IC4</v>
          </cell>
          <cell r="C15691" t="str">
            <v>-</v>
          </cell>
          <cell r="D15691" t="str">
            <v>Nippon India Fixed Horizon Fund XXXIII- Series 2- Growth Option</v>
          </cell>
          <cell r="E15691">
            <v>11.9298</v>
          </cell>
        </row>
        <row r="15692">
          <cell r="B15692" t="str">
            <v>INF204KB1IH3</v>
          </cell>
          <cell r="C15692" t="str">
            <v>-</v>
          </cell>
          <cell r="D15692" t="str">
            <v>Nippon India Fixed Horizon Fund XXXIII- Series 3 - Dividend Payout Option</v>
          </cell>
          <cell r="E15692">
            <v>10</v>
          </cell>
        </row>
        <row r="15693">
          <cell r="B15693" t="str">
            <v>INF204KB1IG5</v>
          </cell>
          <cell r="C15693" t="str">
            <v>-</v>
          </cell>
          <cell r="D15693" t="str">
            <v>Nippon India Fixed Horizon Fund XXXIII- Series 3- Growth Option</v>
          </cell>
          <cell r="E15693">
            <v>12.6256</v>
          </cell>
        </row>
        <row r="15694">
          <cell r="B15694" t="str">
            <v>INF204KB1II1</v>
          </cell>
          <cell r="C15694" t="str">
            <v>-</v>
          </cell>
          <cell r="D15694" t="str">
            <v>Nippon India Fixed Horizon Fund XXXIII- Series 3-Direct Plan- Growth Option</v>
          </cell>
          <cell r="E15694">
            <v>12.648300000000001</v>
          </cell>
        </row>
        <row r="15695">
          <cell r="B15695" t="str">
            <v>INF204KB1IU6</v>
          </cell>
          <cell r="C15695" t="str">
            <v>-</v>
          </cell>
          <cell r="D15695" t="str">
            <v>Nippon India Fixed Horizon Fund XXXIII- Series 4- Direct Plan-Growth Option</v>
          </cell>
          <cell r="E15695">
            <v>12.6602</v>
          </cell>
        </row>
        <row r="15696">
          <cell r="B15696" t="str">
            <v>INF204KB1IS0</v>
          </cell>
          <cell r="C15696" t="str">
            <v>-</v>
          </cell>
          <cell r="D15696" t="str">
            <v>Nippon India Fixed Horizon Fund XXXIII- Series 4- Growth Option</v>
          </cell>
          <cell r="E15696">
            <v>12.6373</v>
          </cell>
        </row>
        <row r="15697">
          <cell r="B15697" t="str">
            <v>INF204KB1IX0</v>
          </cell>
          <cell r="C15697" t="str">
            <v>-</v>
          </cell>
          <cell r="D15697" t="str">
            <v>Nippon India Fixed Horizon Fund XXXIII- Series 5- Dividend Payout Option</v>
          </cell>
          <cell r="E15697">
            <v>10</v>
          </cell>
        </row>
        <row r="15698">
          <cell r="B15698" t="str">
            <v>INF204KB1IW2</v>
          </cell>
          <cell r="C15698" t="str">
            <v>-</v>
          </cell>
          <cell r="D15698" t="str">
            <v>Nippon India Fixed Horizon Fund XXXIII- Series 5- Growth Option</v>
          </cell>
          <cell r="E15698">
            <v>12.0198</v>
          </cell>
        </row>
        <row r="15699">
          <cell r="B15699" t="str">
            <v>INF204KB1IZ5</v>
          </cell>
          <cell r="C15699" t="str">
            <v>-</v>
          </cell>
          <cell r="D15699" t="str">
            <v>Nippon India Fixed Horizon Fund XXXIII- Series 5-Direct Plan- Dividend Payout Option</v>
          </cell>
          <cell r="E15699">
            <v>10</v>
          </cell>
        </row>
        <row r="15700">
          <cell r="B15700" t="str">
            <v>INF204KB1IY8</v>
          </cell>
          <cell r="C15700" t="str">
            <v>-</v>
          </cell>
          <cell r="D15700" t="str">
            <v>Nippon India Fixed Horizon Fund XXXIII- Series 5-Direct Plan- Growth Option</v>
          </cell>
          <cell r="E15700">
            <v>12.1798</v>
          </cell>
        </row>
        <row r="15701">
          <cell r="B15701" t="str">
            <v>INF204KB1JD0</v>
          </cell>
          <cell r="C15701" t="str">
            <v>-</v>
          </cell>
          <cell r="D15701" t="str">
            <v>Nippon India Fixed Horizon Fund XXXIII- Series 6- Direct Plan- Dividend Payout Option</v>
          </cell>
          <cell r="E15701">
            <v>10</v>
          </cell>
        </row>
        <row r="15702">
          <cell r="B15702" t="str">
            <v>INF204KB1JB4</v>
          </cell>
          <cell r="C15702" t="str">
            <v>-</v>
          </cell>
          <cell r="D15702" t="str">
            <v>Nippon India Fixed Horizon Fund XXXIII- Series 6- Dividend Payout Option</v>
          </cell>
          <cell r="E15702">
            <v>10</v>
          </cell>
        </row>
        <row r="15703">
          <cell r="B15703" t="str">
            <v>INF204KB1JA6</v>
          </cell>
          <cell r="C15703" t="str">
            <v>-</v>
          </cell>
          <cell r="D15703" t="str">
            <v>Nippon India Fixed Horizon Fund XXXIII- Series 6- Growth Option</v>
          </cell>
          <cell r="E15703">
            <v>12.573600000000001</v>
          </cell>
        </row>
        <row r="15704">
          <cell r="B15704" t="str">
            <v>INF204KB1JC2</v>
          </cell>
          <cell r="C15704" t="str">
            <v>-</v>
          </cell>
          <cell r="D15704" t="str">
            <v>Nippon India Fixed Horizon Fund XXXIII- Series 6-Direct Plan- Growth Option</v>
          </cell>
          <cell r="E15704">
            <v>12.5991</v>
          </cell>
        </row>
        <row r="15705">
          <cell r="B15705" t="str">
            <v>INF204KB1JL3</v>
          </cell>
          <cell r="C15705" t="str">
            <v>-</v>
          </cell>
          <cell r="D15705" t="str">
            <v>Nippon India Fixed Horizon Fund XXXIII- Series 7- Direct Plan-Dividend Payout Option</v>
          </cell>
          <cell r="E15705">
            <v>10</v>
          </cell>
        </row>
        <row r="15706">
          <cell r="B15706" t="str">
            <v>INF204KB1JK5</v>
          </cell>
          <cell r="C15706" t="str">
            <v>-</v>
          </cell>
          <cell r="D15706" t="str">
            <v>Nippon India Fixed Horizon Fund XXXIII- Series 7- Direct Plan-Growth Option</v>
          </cell>
          <cell r="E15706">
            <v>12.569699999999999</v>
          </cell>
        </row>
        <row r="15707">
          <cell r="B15707" t="str">
            <v>INF204KB1JI9</v>
          </cell>
          <cell r="C15707" t="str">
            <v>-</v>
          </cell>
          <cell r="D15707" t="str">
            <v>Nippon India Fixed Horizon Fund XXXIII- Series 7- Growth Option</v>
          </cell>
          <cell r="E15707">
            <v>12.5473</v>
          </cell>
        </row>
        <row r="15708">
          <cell r="B15708" t="str">
            <v>INF204KB1JT6</v>
          </cell>
          <cell r="C15708" t="str">
            <v>-</v>
          </cell>
          <cell r="D15708" t="str">
            <v>Nippon India Fixed Horizon Fund XXXIII- Series 8- Direct Plan-Dividend Payout Option</v>
          </cell>
          <cell r="E15708">
            <v>10</v>
          </cell>
        </row>
        <row r="15709">
          <cell r="B15709" t="str">
            <v>INF204KB1JR0</v>
          </cell>
          <cell r="C15709" t="str">
            <v>-</v>
          </cell>
          <cell r="D15709" t="str">
            <v>Nippon India Fixed Horizon Fund XXXIII- Series 8- Dividend Payout Option</v>
          </cell>
          <cell r="E15709">
            <v>10</v>
          </cell>
        </row>
        <row r="15710">
          <cell r="B15710" t="str">
            <v>INF204KB1JQ2</v>
          </cell>
          <cell r="C15710" t="str">
            <v>-</v>
          </cell>
          <cell r="D15710" t="str">
            <v>Nippon India Fixed Horizon Fund XXXIII- Series 8- Growth Option</v>
          </cell>
          <cell r="E15710">
            <v>12.532999999999999</v>
          </cell>
        </row>
        <row r="15711">
          <cell r="B15711" t="str">
            <v>INF204KB1JS8</v>
          </cell>
          <cell r="C15711" t="str">
            <v>-</v>
          </cell>
          <cell r="D15711" t="str">
            <v>Nippon India Fixed Horizon Fund XXXIII- Series 8-Direct Plan- Growth Option</v>
          </cell>
          <cell r="E15711">
            <v>12.5558</v>
          </cell>
        </row>
        <row r="15712">
          <cell r="B15712" t="str">
            <v>INF204KB1KB2</v>
          </cell>
          <cell r="C15712" t="str">
            <v>-</v>
          </cell>
          <cell r="D15712" t="str">
            <v>Nippon India Fixed Horizon Fund XXXIII- Series 9- Direct Plan - Dividend Payout Option</v>
          </cell>
          <cell r="E15712">
            <v>10</v>
          </cell>
        </row>
        <row r="15713">
          <cell r="B15713" t="str">
            <v>INF204KB1KA4</v>
          </cell>
          <cell r="C15713" t="str">
            <v>-</v>
          </cell>
          <cell r="D15713" t="str">
            <v>Nippon India Fixed Horizon Fund XXXIII- Series 9- Direct Plan - Growth Option</v>
          </cell>
          <cell r="E15713">
            <v>11.823700000000001</v>
          </cell>
        </row>
        <row r="15714">
          <cell r="B15714" t="str">
            <v>INF204KB1JZ3</v>
          </cell>
          <cell r="C15714" t="str">
            <v>-</v>
          </cell>
          <cell r="D15714" t="str">
            <v>Nippon India Fixed Horizon Fund XXXIII- Series 9- Dividend Payout Option</v>
          </cell>
          <cell r="E15714">
            <v>10</v>
          </cell>
        </row>
        <row r="15715">
          <cell r="B15715" t="str">
            <v>INF204KB1JY6</v>
          </cell>
          <cell r="C15715" t="str">
            <v>-</v>
          </cell>
          <cell r="D15715" t="str">
            <v>Nippon India Fixed Horizon Fund XXXIII- Series 9- Growth Option</v>
          </cell>
          <cell r="E15715">
            <v>11.6782</v>
          </cell>
        </row>
        <row r="15716">
          <cell r="B15716" t="str">
            <v>INF204KB1NP6</v>
          </cell>
          <cell r="C15716" t="str">
            <v>-</v>
          </cell>
          <cell r="D15716" t="str">
            <v>Nippon India Fixed Horizon Fund XXXIV- Series 1 - Direct Plan- Dividend Payout Option</v>
          </cell>
          <cell r="E15716">
            <v>10</v>
          </cell>
        </row>
        <row r="15717">
          <cell r="B15717" t="str">
            <v>INF204KB1NO9</v>
          </cell>
          <cell r="C15717" t="str">
            <v>-</v>
          </cell>
          <cell r="D15717" t="str">
            <v>Nippon India Fixed Horizon Fund XXXIV- Series 1 - Direct Plan- Growth Option</v>
          </cell>
          <cell r="E15717">
            <v>11.879300000000001</v>
          </cell>
        </row>
        <row r="15718">
          <cell r="B15718" t="str">
            <v>INF204KB1NN1</v>
          </cell>
          <cell r="C15718" t="str">
            <v>-</v>
          </cell>
          <cell r="D15718" t="str">
            <v>Nippon India Fixed Horizon Fund XXXIV- Series 1 - Dividend Payout Option</v>
          </cell>
          <cell r="E15718">
            <v>10</v>
          </cell>
        </row>
        <row r="15719">
          <cell r="B15719" t="str">
            <v>INF204KB1NM3</v>
          </cell>
          <cell r="C15719" t="str">
            <v>-</v>
          </cell>
          <cell r="D15719" t="str">
            <v>Nippon India Fixed Horizon Fund XXXIV- Series 1 - Growth Option</v>
          </cell>
          <cell r="E15719">
            <v>11.743499999999999</v>
          </cell>
        </row>
        <row r="15720">
          <cell r="B15720" t="str">
            <v>INF204KB1QK0</v>
          </cell>
          <cell r="C15720" t="str">
            <v>-</v>
          </cell>
          <cell r="D15720" t="str">
            <v>Nippon India Fixed Horizon Fund XXXIV- Series 10- Direct Plan-Dividend Payout Option</v>
          </cell>
          <cell r="E15720">
            <v>10</v>
          </cell>
        </row>
        <row r="15721">
          <cell r="B15721" t="str">
            <v>INF204KB1QJ2</v>
          </cell>
          <cell r="C15721" t="str">
            <v>-</v>
          </cell>
          <cell r="D15721" t="str">
            <v>Nippon India Fixed Horizon Fund XXXIV- Series 10- Direct Plan-Growth Option</v>
          </cell>
          <cell r="E15721">
            <v>11.5433</v>
          </cell>
        </row>
        <row r="15722">
          <cell r="B15722" t="str">
            <v>INF204KB1QI4</v>
          </cell>
          <cell r="C15722" t="str">
            <v>-</v>
          </cell>
          <cell r="D15722" t="str">
            <v>Nippon India Fixed Horizon Fund XXXIV- Series 10- Dividend Payout Option</v>
          </cell>
          <cell r="E15722">
            <v>10</v>
          </cell>
        </row>
        <row r="15723">
          <cell r="B15723" t="str">
            <v>INF204KB1QH6</v>
          </cell>
          <cell r="C15723" t="str">
            <v>-</v>
          </cell>
          <cell r="D15723" t="str">
            <v>Nippon India Fixed Horizon Fund XXXIV- Series 10- Growth Option</v>
          </cell>
          <cell r="E15723">
            <v>11.4009</v>
          </cell>
        </row>
        <row r="15724">
          <cell r="B15724" t="str">
            <v>INF204KB1NT8</v>
          </cell>
          <cell r="C15724" t="str">
            <v>-</v>
          </cell>
          <cell r="D15724" t="str">
            <v>Nippon India Fixed Horizon Fund XXXIV- Series 2 - Direct Plan- Dividend Payout Option</v>
          </cell>
          <cell r="E15724">
            <v>10</v>
          </cell>
        </row>
        <row r="15725">
          <cell r="B15725" t="str">
            <v>INF204KB1NS0</v>
          </cell>
          <cell r="C15725" t="str">
            <v>-</v>
          </cell>
          <cell r="D15725" t="str">
            <v>Nippon India Fixed Horizon Fund XXXIV- Series 2 - Direct Plan- Growth Option</v>
          </cell>
          <cell r="E15725">
            <v>12.4953</v>
          </cell>
        </row>
        <row r="15726">
          <cell r="B15726" t="str">
            <v>INF204KB1NR2</v>
          </cell>
          <cell r="C15726" t="str">
            <v>-</v>
          </cell>
          <cell r="D15726" t="str">
            <v>Nippon India Fixed Horizon Fund XXXIV- Series 2 - Dividend Payout Option</v>
          </cell>
          <cell r="E15726">
            <v>10</v>
          </cell>
        </row>
        <row r="15727">
          <cell r="B15727" t="str">
            <v>INF204KB1NQ4</v>
          </cell>
          <cell r="C15727" t="str">
            <v>-</v>
          </cell>
          <cell r="D15727" t="str">
            <v>Nippon India Fixed Horizon Fund XXXIV- Series 2 - Growth Option</v>
          </cell>
          <cell r="E15727">
            <v>12.3201</v>
          </cell>
        </row>
        <row r="15728">
          <cell r="B15728" t="str">
            <v>INF204KB1NV4</v>
          </cell>
          <cell r="C15728" t="str">
            <v>-</v>
          </cell>
          <cell r="D15728" t="str">
            <v>Nippon India Fixed Horizon Fund XXXIV- Series 3- Direct Plan-Dividend Payout Option</v>
          </cell>
          <cell r="E15728">
            <v>10</v>
          </cell>
        </row>
        <row r="15729">
          <cell r="B15729" t="str">
            <v>INF204KB1NX0</v>
          </cell>
          <cell r="C15729" t="str">
            <v>-</v>
          </cell>
          <cell r="D15729" t="str">
            <v>Nippon India Fixed Horizon Fund XXXIV- Series 3- Dividend Payout Option</v>
          </cell>
          <cell r="E15729">
            <v>10</v>
          </cell>
        </row>
        <row r="15730">
          <cell r="B15730" t="str">
            <v>INF204KB1NW2</v>
          </cell>
          <cell r="C15730" t="str">
            <v>-</v>
          </cell>
          <cell r="D15730" t="str">
            <v>Nippon India Fixed Horizon Fund XXXIV- Series 3- Growth Option</v>
          </cell>
          <cell r="E15730">
            <v>12.3104</v>
          </cell>
        </row>
        <row r="15731">
          <cell r="B15731" t="str">
            <v>INF204KB1NU6</v>
          </cell>
          <cell r="C15731" t="str">
            <v>-</v>
          </cell>
          <cell r="D15731" t="str">
            <v>Nippon India Fixed Horizon Fund XXXIV- Series 3-Direct Plan- Growth Option</v>
          </cell>
          <cell r="E15731">
            <v>12.4918</v>
          </cell>
        </row>
        <row r="15732">
          <cell r="B15732" t="str">
            <v>INF204KB1OB4</v>
          </cell>
          <cell r="C15732" t="str">
            <v>-</v>
          </cell>
          <cell r="D15732" t="str">
            <v>Nippon India Fixed Horizon Fund XXXIV- Series 4- Direct Plan-Dividend Payout Option</v>
          </cell>
          <cell r="E15732">
            <v>10</v>
          </cell>
        </row>
        <row r="15733">
          <cell r="B15733" t="str">
            <v>INF204KB1NZ5</v>
          </cell>
          <cell r="C15733" t="str">
            <v>-</v>
          </cell>
          <cell r="D15733" t="str">
            <v>Nippon India Fixed Horizon Fund XXXIV- Series 4- Dividend Payout Option</v>
          </cell>
          <cell r="E15733">
            <v>10</v>
          </cell>
        </row>
        <row r="15734">
          <cell r="B15734" t="str">
            <v>INF204KB1NY8</v>
          </cell>
          <cell r="C15734" t="str">
            <v>-</v>
          </cell>
          <cell r="D15734" t="str">
            <v>Nippon India Fixed Horizon Fund XXXIV- Series 4- Growth Option</v>
          </cell>
          <cell r="E15734">
            <v>12.2879</v>
          </cell>
        </row>
        <row r="15735">
          <cell r="B15735" t="str">
            <v>INF204KB1OA6</v>
          </cell>
          <cell r="C15735" t="str">
            <v>-</v>
          </cell>
          <cell r="D15735" t="str">
            <v>Nippon India Fixed Horizon Fund XXXIV- Series 4-Direct Plan- Growth Option</v>
          </cell>
          <cell r="E15735">
            <v>12.4283</v>
          </cell>
        </row>
        <row r="15736">
          <cell r="B15736" t="str">
            <v>INF204KB1PL0</v>
          </cell>
          <cell r="C15736" t="str">
            <v>-</v>
          </cell>
          <cell r="D15736" t="str">
            <v>Nippon India Fixed Horizon Fund XXXIV- Series 6- Direct Plan- Dividend Payout Option</v>
          </cell>
          <cell r="E15736">
            <v>10</v>
          </cell>
        </row>
        <row r="15737">
          <cell r="B15737" t="str">
            <v>INF204KB1PK2</v>
          </cell>
          <cell r="C15737" t="str">
            <v>-</v>
          </cell>
          <cell r="D15737" t="str">
            <v>Nippon India Fixed Horizon Fund XXXIV- Series 6- Direct Plan-Growth Option</v>
          </cell>
          <cell r="E15737">
            <v>11.758599999999999</v>
          </cell>
        </row>
        <row r="15738">
          <cell r="B15738" t="str">
            <v>INF204KB1PJ4</v>
          </cell>
          <cell r="C15738" t="str">
            <v>-</v>
          </cell>
          <cell r="D15738" t="str">
            <v>Nippon India Fixed Horizon Fund XXXIV- Series 6- Dividend Payout Option</v>
          </cell>
          <cell r="E15738">
            <v>10</v>
          </cell>
        </row>
        <row r="15739">
          <cell r="B15739" t="str">
            <v>INF204KB1PI6</v>
          </cell>
          <cell r="C15739" t="str">
            <v>-</v>
          </cell>
          <cell r="D15739" t="str">
            <v>Nippon India Fixed Horizon Fund XXXIV- Series 6- Growth Option</v>
          </cell>
          <cell r="E15739">
            <v>11.6083</v>
          </cell>
        </row>
        <row r="15740">
          <cell r="B15740" t="str">
            <v>INF204KB1PP1</v>
          </cell>
          <cell r="C15740" t="str">
            <v>-</v>
          </cell>
          <cell r="D15740" t="str">
            <v>Nippon India Fixed Horizon Fund XXXIV- Series 7- Direct Plan- Dividend Payout Option</v>
          </cell>
          <cell r="E15740">
            <v>10</v>
          </cell>
        </row>
        <row r="15741">
          <cell r="B15741" t="str">
            <v>INF204KB1PO4</v>
          </cell>
          <cell r="C15741" t="str">
            <v>-</v>
          </cell>
          <cell r="D15741" t="str">
            <v>Nippon India Fixed Horizon Fund XXXIV- Series 7- Direct Plan-Growth Option</v>
          </cell>
          <cell r="E15741">
            <v>12.303800000000001</v>
          </cell>
        </row>
        <row r="15742">
          <cell r="B15742" t="str">
            <v>INF204KB1PN6</v>
          </cell>
          <cell r="C15742" t="str">
            <v>-</v>
          </cell>
          <cell r="D15742" t="str">
            <v>Nippon India Fixed Horizon Fund XXXIV- Series 7- Dividend Payout Option</v>
          </cell>
          <cell r="E15742">
            <v>10</v>
          </cell>
        </row>
        <row r="15743">
          <cell r="B15743" t="str">
            <v>INF204KB1PM8</v>
          </cell>
          <cell r="C15743" t="str">
            <v>-</v>
          </cell>
          <cell r="D15743" t="str">
            <v>Nippon India Fixed Horizon Fund XXXIV- Series 7- Growth Option</v>
          </cell>
          <cell r="E15743">
            <v>12.2111</v>
          </cell>
        </row>
        <row r="15744">
          <cell r="B15744" t="str">
            <v>INF204KB1PT3</v>
          </cell>
          <cell r="C15744" t="str">
            <v>-</v>
          </cell>
          <cell r="D15744" t="str">
            <v>Nippon India Fixed Horizon Fund XXXIV- Series 8- Direct Plan- Dividend Payout Option</v>
          </cell>
          <cell r="E15744">
            <v>10</v>
          </cell>
        </row>
        <row r="15745">
          <cell r="B15745" t="str">
            <v>INF204KB1PS5</v>
          </cell>
          <cell r="C15745" t="str">
            <v>-</v>
          </cell>
          <cell r="D15745" t="str">
            <v>Nippon India Fixed Horizon Fund XXXIV- Series 8- Direct Plan-Growth Option</v>
          </cell>
          <cell r="E15745">
            <v>11.5168</v>
          </cell>
        </row>
        <row r="15746">
          <cell r="B15746" t="str">
            <v>INF204KB1PR7</v>
          </cell>
          <cell r="C15746" t="str">
            <v>-</v>
          </cell>
          <cell r="D15746" t="str">
            <v>Nippon India Fixed Horizon Fund XXXIV- Series 8- Dividend Payout Option</v>
          </cell>
          <cell r="E15746">
            <v>10</v>
          </cell>
        </row>
        <row r="15747">
          <cell r="B15747" t="str">
            <v>INF204KB1PQ9</v>
          </cell>
          <cell r="C15747" t="str">
            <v>-</v>
          </cell>
          <cell r="D15747" t="str">
            <v>Nippon India Fixed Horizon Fund XXXIV- Series 8- Growth Option</v>
          </cell>
          <cell r="E15747">
            <v>11.442600000000001</v>
          </cell>
        </row>
        <row r="15748">
          <cell r="B15748" t="str">
            <v>INF204KB1QG8</v>
          </cell>
          <cell r="C15748" t="str">
            <v>-</v>
          </cell>
          <cell r="D15748" t="str">
            <v>Nippon India Fixed Horizon Fund XXXIV - Series 9 - Direct Plan - Dividend Payout Option</v>
          </cell>
          <cell r="E15748">
            <v>10</v>
          </cell>
        </row>
        <row r="15749">
          <cell r="B15749" t="str">
            <v>INF204KB1QF0</v>
          </cell>
          <cell r="C15749" t="str">
            <v>-</v>
          </cell>
          <cell r="D15749" t="str">
            <v>Nippon India Fixed Horizon Fund XXXIV - Series 9 - Direct Plan - Growth Option</v>
          </cell>
          <cell r="E15749">
            <v>12.3264</v>
          </cell>
        </row>
        <row r="15750">
          <cell r="B15750" t="str">
            <v>INF204KB1QE3</v>
          </cell>
          <cell r="C15750" t="str">
            <v>-</v>
          </cell>
          <cell r="D15750" t="str">
            <v>Nippon India Fixed Horizon Fund XXXIV - Series 9 - Dividend Payout Option</v>
          </cell>
          <cell r="E15750">
            <v>10</v>
          </cell>
        </row>
        <row r="15751">
          <cell r="B15751" t="str">
            <v>INF204KB1QD5</v>
          </cell>
          <cell r="C15751" t="str">
            <v>-</v>
          </cell>
          <cell r="D15751" t="str">
            <v>Nippon India Fixed Horizon Fund XXXIV - Series 9 - Growth Option</v>
          </cell>
          <cell r="E15751">
            <v>12.2859</v>
          </cell>
        </row>
        <row r="15752">
          <cell r="B15752" t="str">
            <v>INF204KB1N35</v>
          </cell>
          <cell r="C15752" t="str">
            <v>-</v>
          </cell>
          <cell r="D15752" t="str">
            <v>NIPPON INDIA FIXED HORIZON FUND - XXXIX - SERIES 14 - DIRECT Plan - IDCW Option</v>
          </cell>
          <cell r="E15752">
            <v>13.1959</v>
          </cell>
        </row>
        <row r="15753">
          <cell r="B15753" t="str">
            <v>INF204KB1N19</v>
          </cell>
          <cell r="C15753" t="str">
            <v>-</v>
          </cell>
          <cell r="D15753" t="str">
            <v>NIPPON INDIA FIXED HORIZON FUND - XXXIX - SERIES 14 - IDCW Option</v>
          </cell>
          <cell r="E15753">
            <v>13.0825</v>
          </cell>
        </row>
        <row r="15754">
          <cell r="B15754" t="str">
            <v>INF204KB1N01</v>
          </cell>
          <cell r="C15754" t="str">
            <v>-</v>
          </cell>
          <cell r="D15754" t="str">
            <v>Nippon India Fixed Horizon Fund XXXIX -  Series 14 -Growth Option</v>
          </cell>
          <cell r="E15754">
            <v>13.0824</v>
          </cell>
        </row>
        <row r="15755">
          <cell r="B15755" t="str">
            <v>INF204KB1N27</v>
          </cell>
          <cell r="C15755" t="str">
            <v>-</v>
          </cell>
          <cell r="D15755" t="str">
            <v>Nippon India Fixed Horizon Fund XXXIX - Series 14 - Direct Plan - Growth Option</v>
          </cell>
          <cell r="E15755">
            <v>13.1959</v>
          </cell>
        </row>
        <row r="15756">
          <cell r="B15756" t="str">
            <v>INF204KB1G59</v>
          </cell>
          <cell r="C15756" t="str">
            <v>-</v>
          </cell>
          <cell r="D15756" t="str">
            <v>NIPPON INDIA FIXED HORIZON FUND - XXXIX - SERIES 1 - DIRECT Plan - IDCW Option</v>
          </cell>
          <cell r="E15756">
            <v>12.856199999999999</v>
          </cell>
        </row>
        <row r="15757">
          <cell r="B15757" t="str">
            <v>INF204KB1G34</v>
          </cell>
          <cell r="C15757" t="str">
            <v>-</v>
          </cell>
          <cell r="D15757" t="str">
            <v>NIPPON INDIA FIXED HORIZON FUND - XXXIX - SERIES 1 - IDCW Option</v>
          </cell>
          <cell r="E15757">
            <v>12.755599999999999</v>
          </cell>
        </row>
        <row r="15758">
          <cell r="B15758" t="str">
            <v>INF204KB1G42</v>
          </cell>
          <cell r="C15758" t="str">
            <v>-</v>
          </cell>
          <cell r="D15758" t="str">
            <v>Nippon India Fixed Horizon Fund XXXIX- Series 1- Direct Plan- Growth Option</v>
          </cell>
          <cell r="E15758">
            <v>12.856199999999999</v>
          </cell>
        </row>
        <row r="15759">
          <cell r="B15759" t="str">
            <v>INF204KB1G26</v>
          </cell>
          <cell r="C15759" t="str">
            <v>-</v>
          </cell>
          <cell r="D15759" t="str">
            <v>Nippon India Fixed Horizon Fund XXXIX- Series 1- Growth Plan</v>
          </cell>
          <cell r="E15759">
            <v>12.755599999999999</v>
          </cell>
        </row>
        <row r="15760">
          <cell r="B15760" t="str">
            <v>INF204KB1L78</v>
          </cell>
          <cell r="C15760" t="str">
            <v>-</v>
          </cell>
          <cell r="D15760" t="str">
            <v>NIPPON INDIA FIXED HORIZON FUND - XXXIX - SERIES 11 - DIRECT Plan - IDCW Option</v>
          </cell>
          <cell r="E15760">
            <v>13.188499999999999</v>
          </cell>
        </row>
        <row r="15761">
          <cell r="B15761" t="str">
            <v>INF204KB1L52</v>
          </cell>
          <cell r="C15761" t="str">
            <v>-</v>
          </cell>
          <cell r="D15761" t="str">
            <v>NIPPON INDIA FIXED HORIZON FUND - XXXIX - SERIES 11 - IDCW Option</v>
          </cell>
          <cell r="E15761">
            <v>12.9534</v>
          </cell>
        </row>
        <row r="15762">
          <cell r="B15762" t="str">
            <v>INF204KB1L60</v>
          </cell>
          <cell r="C15762" t="str">
            <v>-</v>
          </cell>
          <cell r="D15762" t="str">
            <v>Nippon India Fixed Horizon Fund XXXIX- Series 11- Direct Plan- Growth Option</v>
          </cell>
          <cell r="E15762">
            <v>13.188499999999999</v>
          </cell>
        </row>
        <row r="15763">
          <cell r="B15763" t="str">
            <v>INF204KB1L45</v>
          </cell>
          <cell r="C15763" t="str">
            <v>-</v>
          </cell>
          <cell r="D15763" t="str">
            <v>Nippon India Fixed Horizon Fund XXXIX- Series 11- Growth Option</v>
          </cell>
          <cell r="E15763">
            <v>12.9534</v>
          </cell>
        </row>
        <row r="15764">
          <cell r="B15764" t="str">
            <v>INF204KB1H74</v>
          </cell>
          <cell r="C15764" t="str">
            <v>-</v>
          </cell>
          <cell r="D15764" t="str">
            <v>NIPPON INDIA FIXED HORIZON FUND - XXXIX - SERIES 2 - DIRECT Plan - IDCW Option</v>
          </cell>
          <cell r="E15764">
            <v>13.475300000000001</v>
          </cell>
        </row>
        <row r="15765">
          <cell r="B15765" t="str">
            <v>INF204KB1H58</v>
          </cell>
          <cell r="C15765" t="str">
            <v>-</v>
          </cell>
          <cell r="D15765" t="str">
            <v>NIPPON INDIA FIXED HORIZON FUND - XXXIX - SERIES 2 - IDCW Option</v>
          </cell>
          <cell r="E15765">
            <v>13.3703</v>
          </cell>
        </row>
        <row r="15766">
          <cell r="B15766" t="str">
            <v>INF204KB1H66</v>
          </cell>
          <cell r="C15766" t="str">
            <v>-</v>
          </cell>
          <cell r="D15766" t="str">
            <v>Nippon India Fixed Horizon Fund XXXIX- Series 2- Direct Plan- Growth Option</v>
          </cell>
          <cell r="E15766">
            <v>13.475300000000001</v>
          </cell>
        </row>
        <row r="15767">
          <cell r="B15767" t="str">
            <v>INF204KB1H41</v>
          </cell>
          <cell r="C15767" t="str">
            <v>-</v>
          </cell>
          <cell r="D15767" t="str">
            <v>Nippon India Fixed Horizon Fund XXXIX- Series 2- Growth Option</v>
          </cell>
          <cell r="E15767">
            <v>13.3703</v>
          </cell>
        </row>
        <row r="15768">
          <cell r="B15768" t="str">
            <v>INF204KB1I99</v>
          </cell>
          <cell r="C15768" t="str">
            <v>-</v>
          </cell>
          <cell r="D15768" t="str">
            <v>NIPPON INDIA FIXED HORIZON FUND - XXXIX - SERIES 4 - DIRECT Plan - IDCW Option</v>
          </cell>
          <cell r="E15768">
            <v>13.5281</v>
          </cell>
        </row>
        <row r="15769">
          <cell r="B15769" t="str">
            <v>INF204KB1I73</v>
          </cell>
          <cell r="C15769" t="str">
            <v>-</v>
          </cell>
          <cell r="D15769" t="str">
            <v>NIPPON INDIA FIXED HORIZON FUND - XXXIX - SERIES 4 - IDCW Option</v>
          </cell>
          <cell r="E15769">
            <v>13.4061</v>
          </cell>
        </row>
        <row r="15770">
          <cell r="B15770" t="str">
            <v>INF204KB1I81</v>
          </cell>
          <cell r="C15770" t="str">
            <v>-</v>
          </cell>
          <cell r="D15770" t="str">
            <v>Nippon India Fixed Horizon Fund XXXIX- Series 4- Direct Plan- Growth Option</v>
          </cell>
          <cell r="E15770">
            <v>13.5281</v>
          </cell>
        </row>
        <row r="15771">
          <cell r="B15771" t="str">
            <v>INF204KB1I65</v>
          </cell>
          <cell r="C15771" t="str">
            <v>-</v>
          </cell>
          <cell r="D15771" t="str">
            <v>Nippon India Fixed Horizon Fund XXXIX- Series 4- Growth Option</v>
          </cell>
          <cell r="E15771">
            <v>13.4061</v>
          </cell>
        </row>
        <row r="15772">
          <cell r="B15772" t="str">
            <v>INF204KB1J31</v>
          </cell>
          <cell r="C15772" t="str">
            <v>-</v>
          </cell>
          <cell r="D15772" t="str">
            <v>NIPPON INDIA FIXED HORIZON FUND - XXXIX - SERIES 5 - DIRECT Plan - IDCW Option</v>
          </cell>
          <cell r="E15772">
            <v>13.320600000000001</v>
          </cell>
        </row>
        <row r="15773">
          <cell r="B15773" t="str">
            <v>INF204KB1J15</v>
          </cell>
          <cell r="C15773" t="str">
            <v>-</v>
          </cell>
          <cell r="D15773" t="str">
            <v>NIPPON INDIA FIXED HORIZON FUND - XXXIX - SERIES 5 - IDCW Option</v>
          </cell>
          <cell r="E15773">
            <v>13.174200000000001</v>
          </cell>
        </row>
        <row r="15774">
          <cell r="B15774" t="str">
            <v>INF204KB1J23</v>
          </cell>
          <cell r="C15774" t="str">
            <v>-</v>
          </cell>
          <cell r="D15774" t="str">
            <v>Nippon India Fixed Horizon Fund XXXIX- Series 5- Direct Plan- Growth Option</v>
          </cell>
          <cell r="E15774">
            <v>13.320600000000001</v>
          </cell>
        </row>
        <row r="15775">
          <cell r="B15775" t="str">
            <v>INF204KB1J07</v>
          </cell>
          <cell r="C15775" t="str">
            <v>-</v>
          </cell>
          <cell r="D15775" t="str">
            <v>Nippon India Fixed Horizon Fund XXXIX- Series 5- Growth Option</v>
          </cell>
          <cell r="E15775">
            <v>13.174200000000001</v>
          </cell>
        </row>
        <row r="15776">
          <cell r="B15776" t="str">
            <v>INF204KB1J64</v>
          </cell>
          <cell r="C15776" t="str">
            <v>-</v>
          </cell>
          <cell r="D15776" t="str">
            <v>Nippon India Fixed Horizon Fund XXXIX- Series 6- Direct Plan- Growth Option</v>
          </cell>
          <cell r="E15776">
            <v>13.460800000000001</v>
          </cell>
        </row>
        <row r="15777">
          <cell r="B15777" t="str">
            <v>INF204KB1J49</v>
          </cell>
          <cell r="C15777" t="str">
            <v>-</v>
          </cell>
          <cell r="D15777" t="str">
            <v>Nippon India Fixed Horizon Fund XXXIX- Series 6- Growth Plan</v>
          </cell>
          <cell r="E15777">
            <v>13.356199999999999</v>
          </cell>
        </row>
        <row r="15778">
          <cell r="B15778" t="str">
            <v>INF204KB1K53</v>
          </cell>
          <cell r="C15778" t="str">
            <v>-</v>
          </cell>
          <cell r="D15778" t="str">
            <v>NIPPON INDIA FIXED HORIZON FUND - XXXIX - SERIES 8 - DIRECT Plan - IDCW Option</v>
          </cell>
          <cell r="E15778">
            <v>13.3926</v>
          </cell>
        </row>
        <row r="15779">
          <cell r="B15779" t="str">
            <v>INF204KB1K38</v>
          </cell>
          <cell r="C15779" t="str">
            <v>-</v>
          </cell>
          <cell r="D15779" t="str">
            <v>NIPPON INDIA FIXED HORIZON FUND - XXXIX - SERIES 8 - IDCW Option</v>
          </cell>
          <cell r="E15779">
            <v>13.273099999999999</v>
          </cell>
        </row>
        <row r="15780">
          <cell r="B15780" t="str">
            <v>INF204KB1K46</v>
          </cell>
          <cell r="C15780" t="str">
            <v>-</v>
          </cell>
          <cell r="D15780" t="str">
            <v>Nippon India Fixed Horizon Fund XXXIX- Series 8- Direct Plan- Growth Option</v>
          </cell>
          <cell r="E15780">
            <v>13.3926</v>
          </cell>
        </row>
        <row r="15781">
          <cell r="B15781" t="str">
            <v>INF204KB1K20</v>
          </cell>
          <cell r="C15781" t="str">
            <v>-</v>
          </cell>
          <cell r="D15781" t="str">
            <v>Nippon India Fixed Horizon Fund XXXIX- Series 8- Growth Option</v>
          </cell>
          <cell r="E15781">
            <v>13.273099999999999</v>
          </cell>
        </row>
        <row r="15782">
          <cell r="B15782" t="str">
            <v>INF204KB1K95</v>
          </cell>
          <cell r="C15782" t="str">
            <v>-</v>
          </cell>
          <cell r="D15782" t="str">
            <v>NIPPON INDIA FIXED HORIZON FUND - XXXIX - SERIES 9 - DIRECT Plan - IDCW Option</v>
          </cell>
          <cell r="E15782">
            <v>13.333399999999999</v>
          </cell>
        </row>
        <row r="15783">
          <cell r="B15783" t="str">
            <v>INF204KB1K79</v>
          </cell>
          <cell r="C15783" t="str">
            <v>-</v>
          </cell>
          <cell r="D15783" t="str">
            <v>NIPPON INDIA FIXED HORIZON FUND - XXXIX - SERIES 9 - IDCW Option</v>
          </cell>
          <cell r="E15783">
            <v>13.2156</v>
          </cell>
        </row>
        <row r="15784">
          <cell r="B15784" t="str">
            <v>INF204KB1K87</v>
          </cell>
          <cell r="C15784" t="str">
            <v>-</v>
          </cell>
          <cell r="D15784" t="str">
            <v>Nippon India Fixed Horizon Fund XXXIX- Series 9- Direct Plan- Growth Option</v>
          </cell>
          <cell r="E15784">
            <v>13.333399999999999</v>
          </cell>
        </row>
        <row r="15785">
          <cell r="B15785" t="str">
            <v>INF204KB1K61</v>
          </cell>
          <cell r="C15785" t="str">
            <v>-</v>
          </cell>
          <cell r="D15785" t="str">
            <v>Nippon India Fixed Horizon Fund XXXIX- Series 9- Growth Option</v>
          </cell>
          <cell r="E15785">
            <v>13.2156</v>
          </cell>
        </row>
        <row r="15786">
          <cell r="B15786" t="str">
            <v>INF204KB1SX9</v>
          </cell>
          <cell r="C15786" t="str">
            <v>-</v>
          </cell>
          <cell r="D15786" t="str">
            <v>NIPPON INDIA FIXED HORIZON FUND - XXXV - SERIES 11 - DIRECT Plan - IDCW Option</v>
          </cell>
          <cell r="E15786">
            <v>10</v>
          </cell>
        </row>
        <row r="15787">
          <cell r="B15787" t="str">
            <v>INF204KB1SV3</v>
          </cell>
          <cell r="C15787" t="str">
            <v>-</v>
          </cell>
          <cell r="D15787" t="str">
            <v>NIPPON INDIA FIXED HORIZON FUND - XXXV - SERIES 11 - IDCW Option</v>
          </cell>
          <cell r="E15787">
            <v>10</v>
          </cell>
        </row>
        <row r="15788">
          <cell r="B15788" t="str">
            <v>INF204KB1SW1</v>
          </cell>
          <cell r="C15788" t="str">
            <v>-</v>
          </cell>
          <cell r="D15788" t="str">
            <v>Nippon India Fixed Horizon Fund XXXV- Series 11- Direct Plan-Growth Option</v>
          </cell>
          <cell r="E15788">
            <v>12.735799999999999</v>
          </cell>
        </row>
        <row r="15789">
          <cell r="B15789" t="str">
            <v>INF204KB1SU5</v>
          </cell>
          <cell r="C15789" t="str">
            <v>-</v>
          </cell>
          <cell r="D15789" t="str">
            <v>Nippon India Fixed Horizon Fund XXXV- Series 11- Growth Option</v>
          </cell>
          <cell r="E15789">
            <v>12.699199999999999</v>
          </cell>
        </row>
        <row r="15790">
          <cell r="B15790" t="str">
            <v>INF204KB1TB3</v>
          </cell>
          <cell r="C15790" t="str">
            <v>-</v>
          </cell>
          <cell r="D15790" t="str">
            <v>NIPPON INDIA FIXED HORIZON FUND - XXXV - SERIES 12 - DIRECT Plan - IDCW Option</v>
          </cell>
          <cell r="E15790">
            <v>10</v>
          </cell>
        </row>
        <row r="15791">
          <cell r="B15791" t="str">
            <v>INF204KB1TA5</v>
          </cell>
          <cell r="C15791" t="str">
            <v>-</v>
          </cell>
          <cell r="D15791" t="str">
            <v>Nippon India Fixed Horizon Fund XXXV- Series 12- Direct Plan-Growth Option</v>
          </cell>
          <cell r="E15791">
            <v>12.746499999999999</v>
          </cell>
        </row>
        <row r="15792">
          <cell r="B15792" t="str">
            <v>INF204KB1SY7</v>
          </cell>
          <cell r="C15792" t="str">
            <v>-</v>
          </cell>
          <cell r="D15792" t="str">
            <v>Nippon India Fixed Horizon Fund XXXV- Series 12- Growth Option</v>
          </cell>
          <cell r="E15792">
            <v>12.708500000000001</v>
          </cell>
        </row>
        <row r="15793">
          <cell r="B15793" t="str">
            <v>INF204KB1TF4</v>
          </cell>
          <cell r="C15793" t="str">
            <v>-</v>
          </cell>
          <cell r="D15793" t="str">
            <v>NIPPON INDIA FIXED HORIZON FUND - XXXV - SERIES 13 - DIRECT Plan - IDCW Option</v>
          </cell>
          <cell r="E15793">
            <v>10</v>
          </cell>
        </row>
        <row r="15794">
          <cell r="B15794" t="str">
            <v>INF204KB1TD9</v>
          </cell>
          <cell r="C15794" t="str">
            <v>-</v>
          </cell>
          <cell r="D15794" t="str">
            <v>NIPPON INDIA FIXED HORIZON FUND - XXXV - SERIES 13 - IDCW Option</v>
          </cell>
          <cell r="E15794">
            <v>10</v>
          </cell>
        </row>
        <row r="15795">
          <cell r="B15795" t="str">
            <v>INF204KB1TE7</v>
          </cell>
          <cell r="C15795" t="str">
            <v>-</v>
          </cell>
          <cell r="D15795" t="str">
            <v>Nippon India Fixed Horizon Fund XXXV- Series 13- Direct Plan-Growth Option</v>
          </cell>
          <cell r="E15795">
            <v>12.7233</v>
          </cell>
        </row>
        <row r="15796">
          <cell r="B15796" t="str">
            <v>INF204KB1TC1</v>
          </cell>
          <cell r="C15796" t="str">
            <v>-</v>
          </cell>
          <cell r="D15796" t="str">
            <v>Nippon India Fixed Horizon Fund XXXV- Series 13- Growth Option</v>
          </cell>
          <cell r="E15796">
            <v>12.6875</v>
          </cell>
        </row>
        <row r="15797">
          <cell r="B15797" t="str">
            <v>INF204KB1TR9</v>
          </cell>
          <cell r="C15797" t="str">
            <v>-</v>
          </cell>
          <cell r="D15797" t="str">
            <v>NIPPON INDIA FIXED HORIZON FUND - XXXV - SERIES 14 - DIRECT Plan - IDCW Option</v>
          </cell>
          <cell r="E15797">
            <v>10</v>
          </cell>
        </row>
        <row r="15798">
          <cell r="B15798" t="str">
            <v>INF204KB1TP3</v>
          </cell>
          <cell r="C15798" t="str">
            <v>-</v>
          </cell>
          <cell r="D15798" t="str">
            <v>NIPPON INDIA FIXED HORIZON FUND - XXXV - SERIES 14 - IDCW Option</v>
          </cell>
          <cell r="E15798">
            <v>10</v>
          </cell>
        </row>
        <row r="15799">
          <cell r="B15799" t="str">
            <v>INF204KB1TQ1</v>
          </cell>
          <cell r="C15799" t="str">
            <v>-</v>
          </cell>
          <cell r="D15799" t="str">
            <v>Nippon India Fixed Horizon Fund XXXV- Series 14- Direct Plan-Growth Option</v>
          </cell>
          <cell r="E15799">
            <v>12.7242</v>
          </cell>
        </row>
        <row r="15800">
          <cell r="B15800" t="str">
            <v>INF204KB1TO6</v>
          </cell>
          <cell r="C15800" t="str">
            <v>-</v>
          </cell>
          <cell r="D15800" t="str">
            <v>Nippon India Fixed Horizon Fund XXXV- Series 14- Growth Option</v>
          </cell>
          <cell r="E15800">
            <v>12.686400000000001</v>
          </cell>
        </row>
        <row r="15801">
          <cell r="B15801" t="str">
            <v>INF204KB1TV1</v>
          </cell>
          <cell r="C15801" t="str">
            <v>-</v>
          </cell>
          <cell r="D15801" t="str">
            <v>NIPPON INDIA FIXED HORIZON FUND - XXXV - SERIES 15 - DIRECT Plan - IDCW Option</v>
          </cell>
          <cell r="E15801">
            <v>10</v>
          </cell>
        </row>
        <row r="15802">
          <cell r="B15802" t="str">
            <v>INF204KB1TT5</v>
          </cell>
          <cell r="C15802" t="str">
            <v>-</v>
          </cell>
          <cell r="D15802" t="str">
            <v>NIPPON INDIA FIXED HORIZON FUND - XXXV - SERIES 15 - IDCW Option</v>
          </cell>
          <cell r="E15802">
            <v>10</v>
          </cell>
        </row>
        <row r="15803">
          <cell r="B15803" t="str">
            <v>INF204KB1TU3</v>
          </cell>
          <cell r="C15803" t="str">
            <v>-</v>
          </cell>
          <cell r="D15803" t="str">
            <v>Nippon India Fixed Horizon Fund XXXV- Series 15- Direct Plan-Growth Option</v>
          </cell>
          <cell r="E15803">
            <v>12.731</v>
          </cell>
        </row>
        <row r="15804">
          <cell r="B15804" t="str">
            <v>INF204KB1TS7</v>
          </cell>
          <cell r="C15804" t="str">
            <v>-</v>
          </cell>
          <cell r="D15804" t="str">
            <v>Nippon India Fixed Horizon Fund XXXV- Series 15- Growth Option</v>
          </cell>
          <cell r="E15804">
            <v>12.6919</v>
          </cell>
        </row>
        <row r="15805">
          <cell r="B15805" t="str">
            <v>INF204KB1TZ2</v>
          </cell>
          <cell r="C15805" t="str">
            <v>-</v>
          </cell>
          <cell r="D15805" t="str">
            <v>NIPPON INDIA FIXED HORIZON FUND - XXXV - SERIES 16 - DIRECT Plan - IDCW Option</v>
          </cell>
          <cell r="E15805">
            <v>10</v>
          </cell>
        </row>
        <row r="15806">
          <cell r="B15806" t="str">
            <v>INF204KB1TX7</v>
          </cell>
          <cell r="C15806" t="str">
            <v>-</v>
          </cell>
          <cell r="D15806" t="str">
            <v>NIPPON INDIA FIXED HORIZON FUND - XXXV - SERIES 16 - IDCW Option</v>
          </cell>
          <cell r="E15806">
            <v>10</v>
          </cell>
        </row>
        <row r="15807">
          <cell r="B15807" t="str">
            <v>INF204KB1TY5</v>
          </cell>
          <cell r="C15807" t="str">
            <v>-</v>
          </cell>
          <cell r="D15807" t="str">
            <v>Nippon India Fixed Horizon Fund XXXV- Series 16- Direct Plan-Growth Option</v>
          </cell>
          <cell r="E15807">
            <v>12.179500000000001</v>
          </cell>
        </row>
        <row r="15808">
          <cell r="B15808" t="str">
            <v>INF204KB1TW9</v>
          </cell>
          <cell r="C15808" t="str">
            <v>-</v>
          </cell>
          <cell r="D15808" t="str">
            <v>Nippon India Fixed Horizon Fund XXXV- Series 16- Growth Option</v>
          </cell>
          <cell r="E15808">
            <v>12.0351</v>
          </cell>
        </row>
        <row r="15809">
          <cell r="B15809" t="str">
            <v>INF204KB1RJ0</v>
          </cell>
          <cell r="C15809" t="str">
            <v>-</v>
          </cell>
          <cell r="D15809" t="str">
            <v>Nippon India Fixed Horizon Fund XXXV- Series 5- Direct Plan- Dividend Payout Option</v>
          </cell>
          <cell r="E15809">
            <v>10</v>
          </cell>
        </row>
        <row r="15810">
          <cell r="B15810" t="str">
            <v>INF204KB1RI2</v>
          </cell>
          <cell r="C15810" t="str">
            <v>-</v>
          </cell>
          <cell r="D15810" t="str">
            <v>Nippon India Fixed Horizon Fund XXXV- Series 5- Direct Plan-Growth Option</v>
          </cell>
          <cell r="E15810">
            <v>11.674799999999999</v>
          </cell>
        </row>
        <row r="15811">
          <cell r="B15811" t="str">
            <v>INF204KB1RH4</v>
          </cell>
          <cell r="C15811" t="str">
            <v>-</v>
          </cell>
          <cell r="D15811" t="str">
            <v>Nippon India Fixed Horizon Fund XXXV- Series 5- Dividend Payout Option</v>
          </cell>
          <cell r="E15811">
            <v>10</v>
          </cell>
        </row>
        <row r="15812">
          <cell r="B15812" t="str">
            <v>INF204KB1RG6</v>
          </cell>
          <cell r="C15812" t="str">
            <v>-</v>
          </cell>
          <cell r="D15812" t="str">
            <v>Nippon India Fixed Horizon Fund XXXV- Series 5- Growth Option</v>
          </cell>
          <cell r="E15812">
            <v>11.539300000000001</v>
          </cell>
        </row>
        <row r="15813">
          <cell r="B15813" t="str">
            <v>INF204KB1RZ6</v>
          </cell>
          <cell r="C15813" t="str">
            <v>-</v>
          </cell>
          <cell r="D15813" t="str">
            <v>NIPPON INDIA FIXED HORIZON FUND - XXXV - SERIES 6 - DIRECT Plan - IDCW Option</v>
          </cell>
          <cell r="E15813">
            <v>10</v>
          </cell>
        </row>
        <row r="15814">
          <cell r="B15814" t="str">
            <v>INF204KB1RX1</v>
          </cell>
          <cell r="C15814" t="str">
            <v>-</v>
          </cell>
          <cell r="D15814" t="str">
            <v>NIPPON INDIA FIXED HORIZON FUND - XXXV - SERIES 6 - IDCW Option</v>
          </cell>
          <cell r="E15814">
            <v>10</v>
          </cell>
        </row>
        <row r="15815">
          <cell r="B15815" t="str">
            <v>INF204KB1RY9</v>
          </cell>
          <cell r="C15815" t="str">
            <v>-</v>
          </cell>
          <cell r="D15815" t="str">
            <v>Nippon India Fixed Horizon Fund XXXV- Series 6- Direct Plan-Growth Option</v>
          </cell>
          <cell r="E15815">
            <v>12.706799999999999</v>
          </cell>
        </row>
        <row r="15816">
          <cell r="B15816" t="str">
            <v>INF204KB1RW3</v>
          </cell>
          <cell r="C15816" t="str">
            <v>-</v>
          </cell>
          <cell r="D15816" t="str">
            <v>Nippon India Fixed Horizon Fund XXXV- Series 6- Growth Option</v>
          </cell>
          <cell r="E15816">
            <v>12.6676</v>
          </cell>
        </row>
        <row r="15817">
          <cell r="B15817" t="str">
            <v>INF204KB1SC3</v>
          </cell>
          <cell r="C15817" t="str">
            <v>-</v>
          </cell>
          <cell r="D15817" t="str">
            <v>Nippon India Fixed Horizon Fund XXXV- Series 7- Direct Plan-Growth Option</v>
          </cell>
          <cell r="E15817">
            <v>12.7272</v>
          </cell>
        </row>
        <row r="15818">
          <cell r="B15818" t="str">
            <v>INF204KB1SA7</v>
          </cell>
          <cell r="C15818" t="str">
            <v>-</v>
          </cell>
          <cell r="D15818" t="str">
            <v>Nippon India Fixed Horizon Fund XXXV- Series 7- Growth Option</v>
          </cell>
          <cell r="E15818">
            <v>12.688800000000001</v>
          </cell>
        </row>
        <row r="15819">
          <cell r="B15819" t="str">
            <v>INF204KB1SL4</v>
          </cell>
          <cell r="C15819" t="str">
            <v>-</v>
          </cell>
          <cell r="D15819" t="str">
            <v>NIPPON INDIA FIXED HORIZON FUND - XXXV - SERIES 9 - DIRECT Plan - IDCW Option</v>
          </cell>
          <cell r="E15819">
            <v>10</v>
          </cell>
        </row>
        <row r="15820">
          <cell r="B15820" t="str">
            <v>INF204KB1SJ8</v>
          </cell>
          <cell r="C15820" t="str">
            <v>-</v>
          </cell>
          <cell r="D15820" t="str">
            <v>NIPPON INDIA FIXED HORIZON FUND - XXXV - SERIES 9 - IDCW Option</v>
          </cell>
          <cell r="E15820">
            <v>10</v>
          </cell>
        </row>
        <row r="15821">
          <cell r="B15821" t="str">
            <v>INF204KB1SK6</v>
          </cell>
          <cell r="C15821" t="str">
            <v>-</v>
          </cell>
          <cell r="D15821" t="str">
            <v>Nippon India Fixed Horizon Fund XXXV- Series 9- Direct Plan-Growth Option</v>
          </cell>
          <cell r="E15821">
            <v>11.9679</v>
          </cell>
        </row>
        <row r="15822">
          <cell r="B15822" t="str">
            <v>INF204KB1SI0</v>
          </cell>
          <cell r="C15822" t="str">
            <v>-</v>
          </cell>
          <cell r="D15822" t="str">
            <v>Nippon India Fixed Horizon Fund XXXV- Series 9- Growth Option</v>
          </cell>
          <cell r="E15822">
            <v>11.752800000000001</v>
          </cell>
        </row>
        <row r="15823">
          <cell r="B15823" t="str">
            <v>INF204KB1UL0</v>
          </cell>
          <cell r="C15823" t="str">
            <v>-</v>
          </cell>
          <cell r="D15823" t="str">
            <v>NIPPON INDIA FIXED HORIZON FUND - XXXVI - SERIES 2 - DIRECT Plan - IDCW Option</v>
          </cell>
          <cell r="E15823">
            <v>12.8202</v>
          </cell>
        </row>
        <row r="15824">
          <cell r="B15824" t="str">
            <v>INF204KB1UJ4</v>
          </cell>
          <cell r="C15824" t="str">
            <v>-</v>
          </cell>
          <cell r="D15824" t="str">
            <v>NIPPON INDIA FIXED HORIZON FUND - XXXVI - SERIES 2 - IDCW Option</v>
          </cell>
          <cell r="E15824">
            <v>12.7148</v>
          </cell>
        </row>
        <row r="15825">
          <cell r="B15825" t="str">
            <v>INF204KB1UK2</v>
          </cell>
          <cell r="C15825" t="str">
            <v>-</v>
          </cell>
          <cell r="D15825" t="str">
            <v>Nippon India Fixed Horizon Fund XXXVI- Series 2- Direct Plan-Growth Option</v>
          </cell>
          <cell r="E15825">
            <v>12.8202</v>
          </cell>
        </row>
        <row r="15826">
          <cell r="B15826" t="str">
            <v>INF204KB1UI6</v>
          </cell>
          <cell r="C15826" t="str">
            <v>-</v>
          </cell>
          <cell r="D15826" t="str">
            <v>Nippon India Fixed Horizon Fund XXXVI- Series 2- Growth Option</v>
          </cell>
          <cell r="E15826">
            <v>12.7148</v>
          </cell>
        </row>
        <row r="15827">
          <cell r="B15827" t="str">
            <v>INF204KB1UP1</v>
          </cell>
          <cell r="C15827" t="str">
            <v>-</v>
          </cell>
          <cell r="D15827" t="str">
            <v>NIPPON INDIA FIXED HORIZON FUND - XXXVI - SERIES 3 - DIRECT Plan - IDCW Option</v>
          </cell>
          <cell r="E15827">
            <v>10</v>
          </cell>
        </row>
        <row r="15828">
          <cell r="B15828" t="str">
            <v>INF204KB1UN6</v>
          </cell>
          <cell r="C15828" t="str">
            <v>-</v>
          </cell>
          <cell r="D15828" t="str">
            <v>NIPPON INDIA FIXED HORIZON FUND - XXXVI - SERIES 3 - IDCW Option</v>
          </cell>
          <cell r="E15828">
            <v>10</v>
          </cell>
        </row>
        <row r="15829">
          <cell r="B15829" t="str">
            <v>INF204KB1UO4</v>
          </cell>
          <cell r="C15829" t="str">
            <v>-</v>
          </cell>
          <cell r="D15829" t="str">
            <v>Nippon India Fixed Horizon Fund XXXVI- Series 3- Direct Plan-Growth Option</v>
          </cell>
          <cell r="E15829">
            <v>12.659700000000001</v>
          </cell>
        </row>
        <row r="15830">
          <cell r="B15830" t="str">
            <v>INF204KB1UM8</v>
          </cell>
          <cell r="C15830" t="str">
            <v>-</v>
          </cell>
          <cell r="D15830" t="str">
            <v>Nippon India Fixed Horizon Fund XXXVI- Series 3- Growth Option</v>
          </cell>
          <cell r="E15830">
            <v>12.5572</v>
          </cell>
        </row>
        <row r="15831">
          <cell r="B15831" t="str">
            <v>INF204KB1UX5</v>
          </cell>
          <cell r="C15831" t="str">
            <v>-</v>
          </cell>
          <cell r="D15831" t="str">
            <v>NIPPON INDIA FIXED HORIZON FUND - XXXVI - SERIES 5 - DIRECT Plan - IDCW Option</v>
          </cell>
          <cell r="E15831">
            <v>13.275399999999999</v>
          </cell>
        </row>
        <row r="15832">
          <cell r="B15832" t="str">
            <v>INF204KB1UV9</v>
          </cell>
          <cell r="C15832" t="str">
            <v>-</v>
          </cell>
          <cell r="D15832" t="str">
            <v>NIPPON INDIA FIXED HORIZON FUND - XXXVI - SERIES 5 - IDCW Option</v>
          </cell>
          <cell r="E15832">
            <v>13.1595</v>
          </cell>
        </row>
        <row r="15833">
          <cell r="B15833" t="str">
            <v>INF204KB1UW7</v>
          </cell>
          <cell r="C15833" t="str">
            <v>-</v>
          </cell>
          <cell r="D15833" t="str">
            <v>Nippon India Fixed Horizon Fund XXXVI- Series 5- Direct Plan-Growth Option</v>
          </cell>
          <cell r="E15833">
            <v>13.275399999999999</v>
          </cell>
        </row>
        <row r="15834">
          <cell r="B15834" t="str">
            <v>INF204KB1UU1</v>
          </cell>
          <cell r="C15834" t="str">
            <v>-</v>
          </cell>
          <cell r="D15834" t="str">
            <v>Nippon India Fixed Horizon Fund XXXVI- Series 5- Growth Option</v>
          </cell>
          <cell r="E15834">
            <v>13.1595</v>
          </cell>
        </row>
        <row r="15835">
          <cell r="B15835" t="str">
            <v>INF204KB1VB9</v>
          </cell>
          <cell r="C15835" t="str">
            <v>-</v>
          </cell>
          <cell r="D15835" t="str">
            <v>NIPPON INDIA FIXED HORIZON FUND - XXXVI - SERIES 6 - DIRECT Plan - IDCW Option</v>
          </cell>
          <cell r="E15835">
            <v>10</v>
          </cell>
        </row>
        <row r="15836">
          <cell r="B15836" t="str">
            <v>INF204KB1UZ0</v>
          </cell>
          <cell r="C15836" t="str">
            <v>-</v>
          </cell>
          <cell r="D15836" t="str">
            <v>NIPPON INDIA FIXED HORIZON FUND - XXXVI - SERIES 6 - IDCW Option</v>
          </cell>
          <cell r="E15836">
            <v>10</v>
          </cell>
        </row>
        <row r="15837">
          <cell r="B15837" t="str">
            <v>INF204KB1VA1</v>
          </cell>
          <cell r="C15837" t="str">
            <v>-</v>
          </cell>
          <cell r="D15837" t="str">
            <v>Nippon India Fixed Horizon Fund XXXVI- Series 6- Direct Plan-Growth Option</v>
          </cell>
          <cell r="E15837">
            <v>12.6645</v>
          </cell>
        </row>
        <row r="15838">
          <cell r="B15838" t="str">
            <v>INF204KB1UY3</v>
          </cell>
          <cell r="C15838" t="str">
            <v>-</v>
          </cell>
          <cell r="D15838" t="str">
            <v>Nippon India Fixed Horizon Fund XXXVI- Series 6- Growth Option</v>
          </cell>
          <cell r="E15838">
            <v>12.5581</v>
          </cell>
        </row>
        <row r="15839">
          <cell r="B15839" t="str">
            <v>INF204KB1VJ2</v>
          </cell>
          <cell r="C15839" t="str">
            <v>-</v>
          </cell>
          <cell r="D15839" t="str">
            <v>NIPPON INDIA FIXED HORIZON FUND - XXXVI - SERIES 7 - DIRECT Plan - IDCW Option</v>
          </cell>
          <cell r="E15839">
            <v>10</v>
          </cell>
        </row>
        <row r="15840">
          <cell r="B15840" t="str">
            <v>INF204KB1VH6</v>
          </cell>
          <cell r="C15840" t="str">
            <v>-</v>
          </cell>
          <cell r="D15840" t="str">
            <v>NIPPON INDIA FIXED HORIZON FUND - XXXVI - SERIES 7 - IDCW Option</v>
          </cell>
          <cell r="E15840">
            <v>10</v>
          </cell>
        </row>
        <row r="15841">
          <cell r="B15841" t="str">
            <v>INF204KB1VI4</v>
          </cell>
          <cell r="C15841" t="str">
            <v>-</v>
          </cell>
          <cell r="D15841" t="str">
            <v>Nippon India Fixed Horizon Fund XXXVI- Series 7- Direct Plan-Growth Option</v>
          </cell>
          <cell r="E15841">
            <v>12.626799999999999</v>
          </cell>
        </row>
        <row r="15842">
          <cell r="B15842" t="str">
            <v>INF204KB1VG8</v>
          </cell>
          <cell r="C15842" t="str">
            <v>-</v>
          </cell>
          <cell r="D15842" t="str">
            <v>Nippon India Fixed Horizon Fund XXXVI- Series 7- Growth Option</v>
          </cell>
          <cell r="E15842">
            <v>12.5869</v>
          </cell>
        </row>
        <row r="15843">
          <cell r="B15843" t="str">
            <v>INF204KB1VN4</v>
          </cell>
          <cell r="C15843" t="str">
            <v>-</v>
          </cell>
          <cell r="D15843" t="str">
            <v>NIPPON INDIA FIXED HORIZON FUND - XXXVI - SERIES 8 - DIRECT Plan - IDCW Option</v>
          </cell>
          <cell r="E15843">
            <v>13.4617</v>
          </cell>
        </row>
        <row r="15844">
          <cell r="B15844" t="str">
            <v>INF204KB1VL8</v>
          </cell>
          <cell r="C15844" t="str">
            <v>-</v>
          </cell>
          <cell r="D15844" t="str">
            <v>NIPPON INDIA FIXED HORIZON FUND - XXXVI - SERIES 8 - IDCW Option</v>
          </cell>
          <cell r="E15844">
            <v>13.3132</v>
          </cell>
        </row>
        <row r="15845">
          <cell r="B15845" t="str">
            <v>INF204KB1VM6</v>
          </cell>
          <cell r="C15845" t="str">
            <v>-</v>
          </cell>
          <cell r="D15845" t="str">
            <v>Nippon India Fixed Horizon Fund XXXVI- Series 8- Direct Plan-Growth Option</v>
          </cell>
          <cell r="E15845">
            <v>13.4617</v>
          </cell>
        </row>
        <row r="15846">
          <cell r="B15846" t="str">
            <v>INF204KB1VK0</v>
          </cell>
          <cell r="C15846" t="str">
            <v>-</v>
          </cell>
          <cell r="D15846" t="str">
            <v>Nippon India Fixed Horizon Fund XXXVI- Series 8- Growth Option</v>
          </cell>
          <cell r="E15846">
            <v>13.3132</v>
          </cell>
        </row>
        <row r="15847">
          <cell r="B15847" t="str">
            <v>INF204KB1XN0</v>
          </cell>
          <cell r="C15847" t="str">
            <v>-</v>
          </cell>
          <cell r="D15847" t="str">
            <v>NIPPON INDIA FIXED HORIZON FUND - XXXVI - SERIES 9 - DIRECT Plan - IDCW Option</v>
          </cell>
          <cell r="E15847">
            <v>10</v>
          </cell>
        </row>
        <row r="15848">
          <cell r="B15848" t="str">
            <v>INF204KB1VU9</v>
          </cell>
          <cell r="C15848" t="str">
            <v>-</v>
          </cell>
          <cell r="D15848" t="str">
            <v>Nippon India Fixed Horizon Fund XXXVI- Series 9- Direct Plan-Growth Option</v>
          </cell>
          <cell r="E15848">
            <v>12.559699999999999</v>
          </cell>
        </row>
        <row r="15849">
          <cell r="B15849" t="str">
            <v>INF204KB1XK6</v>
          </cell>
          <cell r="C15849" t="str">
            <v>-</v>
          </cell>
          <cell r="D15849" t="str">
            <v>Nippon India Fixed Horizon Fund XXXVI- Series 9- Growth Option</v>
          </cell>
          <cell r="E15849">
            <v>12.4655</v>
          </cell>
        </row>
        <row r="15850">
          <cell r="B15850" t="str">
            <v>INF204KB1WD3</v>
          </cell>
          <cell r="C15850" t="str">
            <v>-</v>
          </cell>
          <cell r="D15850" t="str">
            <v>NIPPON INDIA FIXED HORIZON FUND - XXXVII - SERIES 01 - DIRECT Plan - IDCW Option</v>
          </cell>
          <cell r="E15850">
            <v>10</v>
          </cell>
        </row>
        <row r="15851">
          <cell r="B15851" t="str">
            <v>INF204KB1WB7</v>
          </cell>
          <cell r="C15851" t="str">
            <v>-</v>
          </cell>
          <cell r="D15851" t="str">
            <v>NIPPON INDIA FIXED HORIZON FUND - XXXVII - SERIES 01 - IDCW Option</v>
          </cell>
          <cell r="E15851">
            <v>10</v>
          </cell>
        </row>
        <row r="15852">
          <cell r="B15852" t="str">
            <v>INF204KB1WC5</v>
          </cell>
          <cell r="C15852" t="str">
            <v>-</v>
          </cell>
          <cell r="D15852" t="str">
            <v>Nippon India Fixed Horizon Fund XXXVII- Series 1- Direct Plan- Growth Option</v>
          </cell>
          <cell r="E15852">
            <v>12.5822</v>
          </cell>
        </row>
        <row r="15853">
          <cell r="B15853" t="str">
            <v>INF204KB1WA9</v>
          </cell>
          <cell r="C15853" t="str">
            <v>-</v>
          </cell>
          <cell r="D15853" t="str">
            <v>Nippon India Fixed Horizon Fund XXXVII- Series 1- Growth Option</v>
          </cell>
          <cell r="E15853">
            <v>12.513199999999999</v>
          </cell>
        </row>
        <row r="15854">
          <cell r="B15854" t="str">
            <v>INF204KB1XR1</v>
          </cell>
          <cell r="C15854" t="str">
            <v>-</v>
          </cell>
          <cell r="D15854" t="str">
            <v>NIPPON INDIA FIXED HORIZON FUND - XXXVII - SERIES 10 - DIRECT Plan - IDCW Option</v>
          </cell>
          <cell r="E15854">
            <v>10</v>
          </cell>
        </row>
        <row r="15855">
          <cell r="B15855" t="str">
            <v>INF204KB1XQ3</v>
          </cell>
          <cell r="C15855" t="str">
            <v>-</v>
          </cell>
          <cell r="D15855" t="str">
            <v>Nippon India Fixed Horizon Fund XXXVII- Series 10- Direct Plan- Growth Option</v>
          </cell>
          <cell r="E15855">
            <v>12.8216</v>
          </cell>
        </row>
        <row r="15856">
          <cell r="B15856" t="str">
            <v>INF204KB1XO8</v>
          </cell>
          <cell r="C15856" t="str">
            <v>-</v>
          </cell>
          <cell r="D15856" t="str">
            <v>Nippon India Fixed Horizon Fund XXXVII- Series 10- Growth Option</v>
          </cell>
          <cell r="E15856">
            <v>12.731299999999999</v>
          </cell>
        </row>
        <row r="15857">
          <cell r="B15857" t="str">
            <v>INF204KB1XX9</v>
          </cell>
          <cell r="C15857" t="str">
            <v>-</v>
          </cell>
          <cell r="D15857" t="str">
            <v>NIPPON INDIA FIXED HORIZON FUND - XXXVII - SERIES 12 - IDCW Option</v>
          </cell>
          <cell r="E15857">
            <v>10</v>
          </cell>
        </row>
        <row r="15858">
          <cell r="B15858" t="str">
            <v>INF204KB1XY7</v>
          </cell>
          <cell r="C15858" t="str">
            <v>-</v>
          </cell>
          <cell r="D15858" t="str">
            <v>Nippon India Fixed Horizon Fund XXXVII- Series 12- Direct Plan- Growth Option</v>
          </cell>
          <cell r="E15858">
            <v>12.757</v>
          </cell>
        </row>
        <row r="15859">
          <cell r="B15859" t="str">
            <v>INF204KB1XW1</v>
          </cell>
          <cell r="C15859" t="str">
            <v>-</v>
          </cell>
          <cell r="D15859" t="str">
            <v>Nippon India Fixed Horizon Fund XXXVII- Series 12- Growth Option</v>
          </cell>
          <cell r="E15859">
            <v>12.693300000000001</v>
          </cell>
        </row>
        <row r="15860">
          <cell r="B15860" t="str">
            <v>INF204KB1YN8</v>
          </cell>
          <cell r="C15860" t="str">
            <v>-</v>
          </cell>
          <cell r="D15860" t="str">
            <v>NIPPON INDIA FIXED HORIZON FUND - XXXVII - SERIES 15 - IDCW Option</v>
          </cell>
          <cell r="E15860">
            <v>10</v>
          </cell>
        </row>
        <row r="15861">
          <cell r="B15861" t="str">
            <v>INF204KB1YO6</v>
          </cell>
          <cell r="C15861" t="str">
            <v>-</v>
          </cell>
          <cell r="D15861" t="str">
            <v>Nippon India Fixed Horizon Fund XXXVII- Series 15- Direct Plan- Growth Option</v>
          </cell>
          <cell r="E15861">
            <v>12.6957</v>
          </cell>
        </row>
        <row r="15862">
          <cell r="B15862" t="str">
            <v>INF204KB1YM0</v>
          </cell>
          <cell r="C15862" t="str">
            <v>-</v>
          </cell>
          <cell r="D15862" t="str">
            <v>Nippon India Fixed Horizon Fund XXXVII- Series 15- Growth Option</v>
          </cell>
          <cell r="E15862">
            <v>12.5991</v>
          </cell>
        </row>
        <row r="15863">
          <cell r="B15863" t="str">
            <v>INF204KB1WL6</v>
          </cell>
          <cell r="C15863" t="str">
            <v>-</v>
          </cell>
          <cell r="D15863" t="str">
            <v>NIPPON INDIA FIXED HORIZON FUND - XXXVII - SERIES 03 - DIRECT Plan - IDCW Option</v>
          </cell>
          <cell r="E15863">
            <v>13.1816</v>
          </cell>
        </row>
        <row r="15864">
          <cell r="B15864" t="str">
            <v>INF204KB1WJ0</v>
          </cell>
          <cell r="C15864" t="str">
            <v>-</v>
          </cell>
          <cell r="D15864" t="str">
            <v>NIPPON INDIA FIXED HORIZON FUND - XXXVII - SERIES 03 - IDCW Option</v>
          </cell>
          <cell r="E15864">
            <v>13.0496</v>
          </cell>
        </row>
        <row r="15865">
          <cell r="B15865" t="str">
            <v>INF204KB1WK8</v>
          </cell>
          <cell r="C15865" t="str">
            <v>-</v>
          </cell>
          <cell r="D15865" t="str">
            <v>Nippon India Fixed Horizon Fund XXXVII- Series 3- Direct Plan- Growth Option</v>
          </cell>
          <cell r="E15865">
            <v>13.1816</v>
          </cell>
        </row>
        <row r="15866">
          <cell r="B15866" t="str">
            <v>INF204KB1WI2</v>
          </cell>
          <cell r="C15866" t="str">
            <v>-</v>
          </cell>
          <cell r="D15866" t="str">
            <v>Nippon India Fixed Horizon Fund XXXVII- Series 3- Growth Option</v>
          </cell>
          <cell r="E15866">
            <v>13.0496</v>
          </cell>
        </row>
        <row r="15867">
          <cell r="B15867" t="str">
            <v>INF204KB1WN2</v>
          </cell>
          <cell r="C15867" t="str">
            <v>-</v>
          </cell>
          <cell r="D15867" t="str">
            <v>NIPPON INDIA FIXED HORIZON FUND - XXXVII - SERIES 04 - IDCW Option</v>
          </cell>
          <cell r="E15867">
            <v>13.397</v>
          </cell>
        </row>
        <row r="15868">
          <cell r="B15868" t="str">
            <v>INF204KB1WO0</v>
          </cell>
          <cell r="C15868" t="str">
            <v>-</v>
          </cell>
          <cell r="D15868" t="str">
            <v>Nippon India Fixed Horizon Fund XXXVII- Series 4- Direct Plan- Growth Option</v>
          </cell>
          <cell r="E15868">
            <v>13.557</v>
          </cell>
        </row>
        <row r="15869">
          <cell r="B15869" t="str">
            <v>INF204KB1WM4</v>
          </cell>
          <cell r="C15869" t="str">
            <v>-</v>
          </cell>
          <cell r="D15869" t="str">
            <v>Nippon India Fixed Horizon Fund XXXVII- Series 4- Growth Option</v>
          </cell>
          <cell r="E15869">
            <v>13.397</v>
          </cell>
        </row>
        <row r="15870">
          <cell r="B15870" t="str">
            <v>INF204KB1WX1</v>
          </cell>
          <cell r="C15870" t="str">
            <v>-</v>
          </cell>
          <cell r="D15870" t="str">
            <v>NIPPON INDIA FIXED HORIZON FUND - XXXVII - SERIES 05 - DIRECT Plan - IDCW Option</v>
          </cell>
          <cell r="E15870">
            <v>10</v>
          </cell>
        </row>
        <row r="15871">
          <cell r="B15871" t="str">
            <v>INF204KB1WV5</v>
          </cell>
          <cell r="C15871" t="str">
            <v>-</v>
          </cell>
          <cell r="D15871" t="str">
            <v>NIPPON INDIA FIXED HORIZON FUND - XXXVII - SERIES 05 - IDCW Option</v>
          </cell>
          <cell r="E15871">
            <v>10</v>
          </cell>
        </row>
        <row r="15872">
          <cell r="B15872" t="str">
            <v>INF204KB1WW3</v>
          </cell>
          <cell r="C15872" t="str">
            <v>-</v>
          </cell>
          <cell r="D15872" t="str">
            <v>Nippon India Fixed Horizon Fund XXXVII- Series 5- Direct Plan- Growth Option</v>
          </cell>
          <cell r="E15872">
            <v>12.5809</v>
          </cell>
        </row>
        <row r="15873">
          <cell r="B15873" t="str">
            <v>INF204KB1WU7</v>
          </cell>
          <cell r="C15873" t="str">
            <v>-</v>
          </cell>
          <cell r="D15873" t="str">
            <v>Nippon India Fixed Horizon Fund XXXVII- Series 5- Growth Option</v>
          </cell>
          <cell r="E15873">
            <v>12.5</v>
          </cell>
        </row>
        <row r="15874">
          <cell r="B15874" t="str">
            <v>INF204KB1XB5</v>
          </cell>
          <cell r="C15874" t="str">
            <v>-</v>
          </cell>
          <cell r="D15874" t="str">
            <v>NIPPON INDIA FIXED HORIZON FUND - XXXVII - SERIES 06 - DIRECT Plan - IDCW Option</v>
          </cell>
          <cell r="E15874">
            <v>13.6889</v>
          </cell>
        </row>
        <row r="15875">
          <cell r="B15875" t="str">
            <v>INF204KB1WZ6</v>
          </cell>
          <cell r="C15875" t="str">
            <v>-</v>
          </cell>
          <cell r="D15875" t="str">
            <v>NIPPON INDIA FIXED HORIZON FUND - XXXVII - SERIES 06 - IDCW Option</v>
          </cell>
          <cell r="E15875">
            <v>13.5183</v>
          </cell>
        </row>
        <row r="15876">
          <cell r="B15876" t="str">
            <v>INF204KB1XA7</v>
          </cell>
          <cell r="C15876" t="str">
            <v>-</v>
          </cell>
          <cell r="D15876" t="str">
            <v>Nippon India Fixed Horizon Fund XXXVII- Series 6- Direct Plan- Growth Option</v>
          </cell>
          <cell r="E15876">
            <v>13.6889</v>
          </cell>
        </row>
        <row r="15877">
          <cell r="B15877" t="str">
            <v>INF204KB1WY9</v>
          </cell>
          <cell r="C15877" t="str">
            <v>-</v>
          </cell>
          <cell r="D15877" t="str">
            <v>Nippon India Fixed Horizon Fund XXXVII- Series 6- Growth Option</v>
          </cell>
          <cell r="E15877">
            <v>13.5183</v>
          </cell>
        </row>
        <row r="15878">
          <cell r="B15878" t="str">
            <v>INF204KB1XN0</v>
          </cell>
          <cell r="C15878" t="str">
            <v>-</v>
          </cell>
          <cell r="D15878" t="str">
            <v>NIPPON INDIA FIXED HORIZON FUND - XXXVII - SERIES 09 - DIRECT Plan - IDCW Option</v>
          </cell>
          <cell r="E15878">
            <v>13.585900000000001</v>
          </cell>
        </row>
        <row r="15879">
          <cell r="B15879" t="str">
            <v>INF204KB1XL4</v>
          </cell>
          <cell r="C15879" t="str">
            <v>-</v>
          </cell>
          <cell r="D15879" t="str">
            <v>NIPPON INDIA FIXED HORIZON FUND - XXXVII - SERIES 09 - IDCW Option</v>
          </cell>
          <cell r="E15879">
            <v>13.437200000000001</v>
          </cell>
        </row>
        <row r="15880">
          <cell r="B15880" t="str">
            <v>INF204KB1XM2</v>
          </cell>
          <cell r="C15880" t="str">
            <v>-</v>
          </cell>
          <cell r="D15880" t="str">
            <v>Nippon India Fixed Horizon Fund XXXVII- Series 9- Direct Plan- Growth Option</v>
          </cell>
          <cell r="E15880">
            <v>13.585900000000001</v>
          </cell>
        </row>
        <row r="15881">
          <cell r="B15881" t="str">
            <v>INF204KB1XK6</v>
          </cell>
          <cell r="C15881" t="str">
            <v>-</v>
          </cell>
          <cell r="D15881" t="str">
            <v>Nippon India Fixed Horizon Fund XXXVII- Series 9- Growth Option</v>
          </cell>
          <cell r="E15881">
            <v>13.437200000000001</v>
          </cell>
        </row>
        <row r="15882">
          <cell r="B15882" t="str">
            <v>INF204KB1A97</v>
          </cell>
          <cell r="C15882" t="str">
            <v>-</v>
          </cell>
          <cell r="D15882" t="str">
            <v>NIPPON INDIA FIXED HORIZON FUND - XXXVIII - SERIES 01 - DIRECT Plan - IDCW Option</v>
          </cell>
          <cell r="E15882">
            <v>10</v>
          </cell>
        </row>
        <row r="15883">
          <cell r="B15883" t="str">
            <v>INF204KB1A89</v>
          </cell>
          <cell r="C15883" t="str">
            <v>-</v>
          </cell>
          <cell r="D15883" t="str">
            <v>Nippon India Fixed Horizon Fund XXXVIII- Series 1- Direct Plan- Growth Option</v>
          </cell>
          <cell r="E15883">
            <v>12.682600000000001</v>
          </cell>
        </row>
        <row r="15884">
          <cell r="B15884" t="str">
            <v>INF204KB1A63</v>
          </cell>
          <cell r="C15884" t="str">
            <v>-</v>
          </cell>
          <cell r="D15884" t="str">
            <v>Nippon India Fixed Horizon Fund XXXVIII- Series 1- Growth Option</v>
          </cell>
          <cell r="E15884">
            <v>12.585900000000001</v>
          </cell>
        </row>
        <row r="15885">
          <cell r="B15885" t="str">
            <v>INF204KB1E51</v>
          </cell>
          <cell r="C15885" t="str">
            <v>-</v>
          </cell>
          <cell r="D15885" t="str">
            <v>NIPPON INDIA FIXED HORIZON FUND - XXXVIII - SERIES 10 - DIRECT Plan - IDCW Option</v>
          </cell>
          <cell r="E15885">
            <v>13.763999999999999</v>
          </cell>
        </row>
        <row r="15886">
          <cell r="B15886" t="str">
            <v>INF204KB1E36</v>
          </cell>
          <cell r="C15886" t="str">
            <v>-</v>
          </cell>
          <cell r="D15886" t="str">
            <v>NIPPON INDIA FIXED HORIZON FUND - XXXVIII - SERIES 10 - IDCW Option</v>
          </cell>
          <cell r="E15886">
            <v>13.6005</v>
          </cell>
        </row>
        <row r="15887">
          <cell r="B15887" t="str">
            <v>INF204KB1E44</v>
          </cell>
          <cell r="C15887" t="str">
            <v>-</v>
          </cell>
          <cell r="D15887" t="str">
            <v>Nippon India Fixed Horizon Fund XXXVIII- Series 10- Direct Plan- Growth Option</v>
          </cell>
          <cell r="E15887">
            <v>13.763999999999999</v>
          </cell>
        </row>
        <row r="15888">
          <cell r="B15888" t="str">
            <v>INF204KB1E28</v>
          </cell>
          <cell r="C15888" t="str">
            <v>-</v>
          </cell>
          <cell r="D15888" t="str">
            <v>Nippon India Fixed Horizon Fund XXXVIII- Series 10- Growth Option</v>
          </cell>
          <cell r="E15888">
            <v>13.6005</v>
          </cell>
        </row>
        <row r="15889">
          <cell r="B15889" t="str">
            <v>INF204KB1E93</v>
          </cell>
          <cell r="C15889" t="str">
            <v>-</v>
          </cell>
          <cell r="D15889" t="str">
            <v>NIPPON INDIA FIXED HORIZON FUND - XXXVIII - SERIES 11 - DIRECT Plan - IDCW Option</v>
          </cell>
          <cell r="E15889">
            <v>12.9696</v>
          </cell>
        </row>
        <row r="15890">
          <cell r="B15890" t="str">
            <v>INF204KB1E77</v>
          </cell>
          <cell r="C15890" t="str">
            <v>-</v>
          </cell>
          <cell r="D15890" t="str">
            <v>NIPPON INDIA FIXED HORIZON FUND - XXXVIII - SERIES 11 - IDCW Option</v>
          </cell>
          <cell r="E15890">
            <v>12.919499999999999</v>
          </cell>
        </row>
        <row r="15891">
          <cell r="B15891" t="str">
            <v>INF204KB1E85</v>
          </cell>
          <cell r="C15891" t="str">
            <v>-</v>
          </cell>
          <cell r="D15891" t="str">
            <v>Nippon India Fixed Horizon Fund XXXVIII- Series 11- Direct Plan- Growth Option</v>
          </cell>
          <cell r="E15891">
            <v>12.9696</v>
          </cell>
        </row>
        <row r="15892">
          <cell r="B15892" t="str">
            <v>INF204KB1E69</v>
          </cell>
          <cell r="C15892" t="str">
            <v>-</v>
          </cell>
          <cell r="D15892" t="str">
            <v>Nippon India Fixed Horizon Fund XXXVIII- Series 11- Growth Option</v>
          </cell>
          <cell r="E15892">
            <v>12.919499999999999</v>
          </cell>
        </row>
        <row r="15893">
          <cell r="B15893" t="str">
            <v>INF204KB1F35</v>
          </cell>
          <cell r="C15893" t="str">
            <v>-</v>
          </cell>
          <cell r="D15893" t="str">
            <v>NIPPON INDIA FIXED HORIZON FUND - XXXVIII - SERIES 12 - DIRECT Plan - IDCW Option</v>
          </cell>
          <cell r="E15893">
            <v>12.8127</v>
          </cell>
        </row>
        <row r="15894">
          <cell r="B15894" t="str">
            <v>INF204KB1F19</v>
          </cell>
          <cell r="C15894" t="str">
            <v>-</v>
          </cell>
          <cell r="D15894" t="str">
            <v>NIPPON INDIA FIXED HORIZON FUND - XXXVIII - SERIES 12 - IDCW Option</v>
          </cell>
          <cell r="E15894">
            <v>12.711399999999999</v>
          </cell>
        </row>
        <row r="15895">
          <cell r="B15895" t="str">
            <v>INF204KB1F27</v>
          </cell>
          <cell r="C15895" t="str">
            <v>-</v>
          </cell>
          <cell r="D15895" t="str">
            <v>Nippon India Fixed Horizon Fund XXXVIII- Series 12- Direct Plan- Growth Option</v>
          </cell>
          <cell r="E15895">
            <v>12.8127</v>
          </cell>
        </row>
        <row r="15896">
          <cell r="B15896" t="str">
            <v>INF204KB1F01</v>
          </cell>
          <cell r="C15896" t="str">
            <v>-</v>
          </cell>
          <cell r="D15896" t="str">
            <v>Nippon India Fixed Horizon Fund XXXVIII- Series 12- Growth Option</v>
          </cell>
          <cell r="E15896">
            <v>12.711399999999999</v>
          </cell>
        </row>
        <row r="15897">
          <cell r="B15897" t="str">
            <v>INF204KB1G18</v>
          </cell>
          <cell r="C15897" t="str">
            <v>-</v>
          </cell>
          <cell r="D15897" t="str">
            <v>NIPPON INDIA FIXED HORIZON FUND - XXXVIII - SERIES 14 - DIRECT Plan - IDCW Option</v>
          </cell>
          <cell r="E15897">
            <v>12.885300000000001</v>
          </cell>
        </row>
        <row r="15898">
          <cell r="B15898" t="str">
            <v>INF204KB1F92</v>
          </cell>
          <cell r="C15898" t="str">
            <v>-</v>
          </cell>
          <cell r="D15898" t="str">
            <v>NIPPON INDIA FIXED HORIZON FUND - XXXVIII - SERIES 14 - IDCW Option</v>
          </cell>
          <cell r="E15898">
            <v>12.7843</v>
          </cell>
        </row>
        <row r="15899">
          <cell r="B15899" t="str">
            <v>INF204KB1G00</v>
          </cell>
          <cell r="C15899" t="str">
            <v>-</v>
          </cell>
          <cell r="D15899" t="str">
            <v>Nippon India Fixed Horizon Fund XXXVIII- Series 14- Direct Plan- Growth Option</v>
          </cell>
          <cell r="E15899">
            <v>12.885400000000001</v>
          </cell>
        </row>
        <row r="15900">
          <cell r="B15900" t="str">
            <v>INF204KB1F84</v>
          </cell>
          <cell r="C15900" t="str">
            <v>-</v>
          </cell>
          <cell r="D15900" t="str">
            <v>Nippon India Fixed Horizon Fund XXXVIII- Series 14- Growth Option</v>
          </cell>
          <cell r="E15900">
            <v>12.7843</v>
          </cell>
        </row>
        <row r="15901">
          <cell r="B15901" t="str">
            <v>INF204KB1B39</v>
          </cell>
          <cell r="C15901" t="str">
            <v>-</v>
          </cell>
          <cell r="D15901" t="str">
            <v>NIPPON INDIA FIXED HORIZON FUND - XXXVIII - SERIES 02 - DIRECT Plan - IDCW Option</v>
          </cell>
          <cell r="E15901">
            <v>13.6408</v>
          </cell>
        </row>
        <row r="15902">
          <cell r="B15902" t="str">
            <v>INF204KB1B13</v>
          </cell>
          <cell r="C15902" t="str">
            <v>-</v>
          </cell>
          <cell r="D15902" t="str">
            <v>NIPPON INDIA FIXED HORIZON FUND - XXXVIII - SERIES 02 - IDCW Option</v>
          </cell>
          <cell r="E15902">
            <v>13.496499999999999</v>
          </cell>
        </row>
        <row r="15903">
          <cell r="B15903" t="str">
            <v>INF204KB1B21</v>
          </cell>
          <cell r="C15903" t="str">
            <v>-</v>
          </cell>
          <cell r="D15903" t="str">
            <v>Nippon India Fixed Horizon Fund XXXVIII- Series 2- Direct Plan- Growth Option</v>
          </cell>
          <cell r="E15903">
            <v>13.6408</v>
          </cell>
        </row>
        <row r="15904">
          <cell r="B15904" t="str">
            <v>INF204KB1B05</v>
          </cell>
          <cell r="C15904" t="str">
            <v>-</v>
          </cell>
          <cell r="D15904" t="str">
            <v>Nippon India Fixed Horizon Fund XXXVIII- Series 2- Growth Option</v>
          </cell>
          <cell r="E15904">
            <v>13.496600000000001</v>
          </cell>
        </row>
        <row r="15905">
          <cell r="B15905" t="str">
            <v>INF204KB1B70</v>
          </cell>
          <cell r="C15905" t="str">
            <v>-</v>
          </cell>
          <cell r="D15905" t="str">
            <v>NIPPON INDIA FIXED HORIZON FUND - XXXVIII - SERIES 03 - DIRECT Plan - IDCW Option</v>
          </cell>
          <cell r="E15905">
            <v>10</v>
          </cell>
        </row>
        <row r="15906">
          <cell r="B15906" t="str">
            <v>INF204KB1B54</v>
          </cell>
          <cell r="C15906" t="str">
            <v>-</v>
          </cell>
          <cell r="D15906" t="str">
            <v>NIPPON INDIA FIXED HORIZON FUND - XXXVIII - SERIES 03 - IDCW Option</v>
          </cell>
          <cell r="E15906">
            <v>10</v>
          </cell>
        </row>
        <row r="15907">
          <cell r="B15907" t="str">
            <v>INF204KB1B62</v>
          </cell>
          <cell r="C15907" t="str">
            <v>-</v>
          </cell>
          <cell r="D15907" t="str">
            <v>Nippon India Fixed Horizon Fund XXXVIII- Series 3- Direct Plan- Growth Option</v>
          </cell>
          <cell r="E15907">
            <v>12.661899999999999</v>
          </cell>
        </row>
        <row r="15908">
          <cell r="B15908" t="str">
            <v>INF204KB1B47</v>
          </cell>
          <cell r="C15908" t="str">
            <v>-</v>
          </cell>
          <cell r="D15908" t="str">
            <v>Nippon India Fixed Horizon Fund XXXVIII- Series 3- Growth Option</v>
          </cell>
          <cell r="E15908">
            <v>12.5665</v>
          </cell>
        </row>
        <row r="15909">
          <cell r="B15909" t="str">
            <v>INF204KB1C53</v>
          </cell>
          <cell r="C15909" t="str">
            <v>-</v>
          </cell>
          <cell r="D15909" t="str">
            <v>NIPPON INDIA FIXED HORIZON FUND - XXXVIII - SERIES 05 - DIRECT Plan - IDCW Option</v>
          </cell>
          <cell r="E15909">
            <v>10</v>
          </cell>
        </row>
        <row r="15910">
          <cell r="B15910" t="str">
            <v>INF204KB1C38</v>
          </cell>
          <cell r="C15910" t="str">
            <v>-</v>
          </cell>
          <cell r="D15910" t="str">
            <v>NIPPON INDIA FIXED HORIZON FUND - XXXVIII - SERIES 05 - IDCW Option</v>
          </cell>
          <cell r="E15910">
            <v>10</v>
          </cell>
        </row>
        <row r="15911">
          <cell r="B15911" t="str">
            <v>INF204KB1C46</v>
          </cell>
          <cell r="C15911" t="str">
            <v>-</v>
          </cell>
          <cell r="D15911" t="str">
            <v>Nippon India Fixed Horizon Fund XXXVIII- Series 5- Direct Plan - Growth Option</v>
          </cell>
          <cell r="E15911">
            <v>12.7477</v>
          </cell>
        </row>
        <row r="15912">
          <cell r="B15912" t="str">
            <v>INF204KB1C20</v>
          </cell>
          <cell r="C15912" t="str">
            <v>-</v>
          </cell>
          <cell r="D15912" t="str">
            <v>Nippon India Fixed Horizon Fund XXXVIII- Series 5- Growth Option</v>
          </cell>
          <cell r="E15912">
            <v>12.649900000000001</v>
          </cell>
        </row>
        <row r="15913">
          <cell r="B15913" t="str">
            <v>INF204KB1C95</v>
          </cell>
          <cell r="C15913" t="str">
            <v>-</v>
          </cell>
          <cell r="D15913" t="str">
            <v>NIPPON INDIA FIXED HORIZON FUND - XXXVIII - SERIES 06 - DIRECT Plan - IDCW Option</v>
          </cell>
          <cell r="E15913">
            <v>10</v>
          </cell>
        </row>
        <row r="15914">
          <cell r="B15914" t="str">
            <v>INF204KB1C79</v>
          </cell>
          <cell r="C15914" t="str">
            <v>-</v>
          </cell>
          <cell r="D15914" t="str">
            <v>NIPPON INDIA FIXED HORIZON FUND - XXXVIII - SERIES 06 - IDCW Option</v>
          </cell>
          <cell r="E15914">
            <v>10</v>
          </cell>
        </row>
        <row r="15915">
          <cell r="B15915" t="str">
            <v>INF204KB1C87</v>
          </cell>
          <cell r="C15915" t="str">
            <v>-</v>
          </cell>
          <cell r="D15915" t="str">
            <v>Nippon India Fixed Horizon Fund XXXVIII- Series 6- Direct Plan -Growth Option</v>
          </cell>
          <cell r="E15915">
            <v>12.705500000000001</v>
          </cell>
        </row>
        <row r="15916">
          <cell r="B15916" t="str">
            <v>INF204KB1C61</v>
          </cell>
          <cell r="C15916" t="str">
            <v>-</v>
          </cell>
          <cell r="D15916" t="str">
            <v>Nippon India Fixed Horizon Fund XXXVIII- Series 6- Growth Option</v>
          </cell>
          <cell r="E15916">
            <v>12.611499999999999</v>
          </cell>
        </row>
        <row r="15917">
          <cell r="B15917" t="str">
            <v>INF204KB1D37</v>
          </cell>
          <cell r="C15917" t="str">
            <v>-</v>
          </cell>
          <cell r="D15917" t="str">
            <v>NIPPON INDIA FIXED HORIZON FUND - XXXVIII - SERIES 07 - DIRECT Plan - IDCW Option</v>
          </cell>
          <cell r="E15917">
            <v>10</v>
          </cell>
        </row>
        <row r="15918">
          <cell r="B15918" t="str">
            <v>INF204KB1D11</v>
          </cell>
          <cell r="C15918" t="str">
            <v>-</v>
          </cell>
          <cell r="D15918" t="str">
            <v>NIPPON INDIA FIXED HORIZON FUND - XXXVIII - SERIES 07 - IDCW Option</v>
          </cell>
          <cell r="E15918">
            <v>10</v>
          </cell>
        </row>
        <row r="15919">
          <cell r="B15919" t="str">
            <v>INF204KB1D29</v>
          </cell>
          <cell r="C15919" t="str">
            <v>-</v>
          </cell>
          <cell r="D15919" t="str">
            <v>Nippon India Fixed Horizon Fund XXXVIII- Series 7- Direct Plan- Growth Option</v>
          </cell>
          <cell r="E15919">
            <v>12.7462</v>
          </cell>
        </row>
        <row r="15920">
          <cell r="B15920" t="str">
            <v>INF204KB1D03</v>
          </cell>
          <cell r="C15920" t="str">
            <v>-</v>
          </cell>
          <cell r="D15920" t="str">
            <v>Nippon India Fixed Horizon Fund XXXVIII- Series 7- Growth Option</v>
          </cell>
          <cell r="E15920">
            <v>12.6492</v>
          </cell>
        </row>
        <row r="15921">
          <cell r="B15921" t="str">
            <v>INF204KB18B8</v>
          </cell>
          <cell r="C15921" t="str">
            <v>-</v>
          </cell>
          <cell r="D15921" t="str">
            <v>NIPPON INDIA FIXED MATURITY  PLAN - XLI - SERIES 8 - DIRECT Plan - IDCW Option</v>
          </cell>
          <cell r="E15921">
            <v>17.729299999999999</v>
          </cell>
        </row>
        <row r="15922">
          <cell r="B15922" t="str">
            <v>INF204KB16B2</v>
          </cell>
          <cell r="C15922" t="str">
            <v>-</v>
          </cell>
          <cell r="D15922" t="str">
            <v>NIPPON INDIA FIXED MATURITY PLAN  - XLI - SERIES 8 - IDCW Option</v>
          </cell>
          <cell r="E15922">
            <v>17.3507</v>
          </cell>
        </row>
        <row r="15923">
          <cell r="B15923" t="str">
            <v>INF204KB17B0</v>
          </cell>
          <cell r="C15923" t="str">
            <v>-</v>
          </cell>
          <cell r="D15923" t="str">
            <v>Nippon India Fixed Maturity Plan XLI - Series 8 - Direct Plan - Growth Option</v>
          </cell>
          <cell r="E15923">
            <v>17.729299999999999</v>
          </cell>
        </row>
        <row r="15924">
          <cell r="B15924" t="str">
            <v>INF204KB15B4</v>
          </cell>
          <cell r="C15924" t="str">
            <v>-</v>
          </cell>
          <cell r="D15924" t="str">
            <v>Nippon India Fixed Maturity Plan XLI - Series 8 - Growth Option</v>
          </cell>
          <cell r="E15924">
            <v>17.3507</v>
          </cell>
        </row>
        <row r="15925">
          <cell r="B15925" t="str">
            <v>INF204KC1188</v>
          </cell>
          <cell r="C15925" t="str">
            <v>-</v>
          </cell>
          <cell r="D15925" t="str">
            <v>Nippon India Fixed Maturity Plan - XLIII - Series 1 - Direct Plan - Income Distribution Cum Capital Withdrawal Plan</v>
          </cell>
          <cell r="E15925">
            <v>13.407500000000001</v>
          </cell>
        </row>
        <row r="15926">
          <cell r="B15926" t="str">
            <v>INF204KC1154</v>
          </cell>
          <cell r="C15926" t="str">
            <v>-</v>
          </cell>
          <cell r="D15926" t="str">
            <v>Nippon India Fixed Maturity Plan - XLIII - Series 1 - Regular Plan - Growth Option</v>
          </cell>
          <cell r="E15926">
            <v>13.249000000000001</v>
          </cell>
        </row>
        <row r="15927">
          <cell r="B15927" t="str">
            <v>INF204KC1162</v>
          </cell>
          <cell r="C15927" t="str">
            <v>-</v>
          </cell>
          <cell r="D15927" t="str">
            <v>Nippon India Fixed Maturity Plan - XLIII - Series 1 - Regular Plan - Income Distribution cum Capital Withdrawal Plan</v>
          </cell>
          <cell r="E15927">
            <v>13.249000000000001</v>
          </cell>
        </row>
        <row r="15928">
          <cell r="B15928" t="str">
            <v>INF204KC1170</v>
          </cell>
          <cell r="C15928" t="str">
            <v>-</v>
          </cell>
          <cell r="D15928" t="str">
            <v>Nippon India Fixed Maturity Plan - XLIII - Series 1- Direct Plan - Growth Option</v>
          </cell>
          <cell r="E15928">
            <v>13.407500000000001</v>
          </cell>
        </row>
        <row r="15929">
          <cell r="B15929" t="str">
            <v>INF204KC1477</v>
          </cell>
          <cell r="C15929" t="str">
            <v>-</v>
          </cell>
          <cell r="D15929" t="str">
            <v>Nippon India Fixed Maturity Plan-XLIII-Series 5- Direct Plan-Growth Option</v>
          </cell>
          <cell r="E15929">
            <v>13.472200000000001</v>
          </cell>
        </row>
        <row r="15930">
          <cell r="B15930" t="str">
            <v>INF204KC1485</v>
          </cell>
          <cell r="C15930" t="str">
            <v>-</v>
          </cell>
          <cell r="D15930" t="str">
            <v>Nippon India Fixed Maturity Plan-XLIII-Series 5- Direct Plan-Payout of IDCW</v>
          </cell>
          <cell r="E15930">
            <v>13.472200000000001</v>
          </cell>
        </row>
        <row r="15931">
          <cell r="B15931" t="str">
            <v>INF204KC1451</v>
          </cell>
          <cell r="C15931" t="str">
            <v>-</v>
          </cell>
          <cell r="D15931" t="str">
            <v>Nippon India Fixed Maturity Plan-XLIII-Series 5- Regular Plan-Growth Option</v>
          </cell>
          <cell r="E15931">
            <v>13.3546</v>
          </cell>
        </row>
        <row r="15932">
          <cell r="B15932" t="str">
            <v>INF204KC1469</v>
          </cell>
          <cell r="C15932" t="str">
            <v>-</v>
          </cell>
          <cell r="D15932" t="str">
            <v>Nippon India Fixed Maturity Plan-XLIII-Series 5- Regular Plan-Payout of IDCW</v>
          </cell>
          <cell r="E15932">
            <v>13.3546</v>
          </cell>
        </row>
        <row r="15933">
          <cell r="B15933" t="str">
            <v>INF204KC1634</v>
          </cell>
          <cell r="C15933" t="str">
            <v>-</v>
          </cell>
          <cell r="D15933" t="str">
            <v>Nippon India Fixed Maturity Plan-XLIV-Series 1-Direct Plan-Growth Option</v>
          </cell>
          <cell r="E15933">
            <v>13.3292</v>
          </cell>
        </row>
        <row r="15934">
          <cell r="B15934" t="str">
            <v>INF204KC1642</v>
          </cell>
          <cell r="C15934" t="str">
            <v>-</v>
          </cell>
          <cell r="D15934" t="str">
            <v>Nippon India Fixed Maturity Plan-XLIV-Series 1-Direct Plan-Payout of IDCW</v>
          </cell>
          <cell r="E15934">
            <v>13.3293</v>
          </cell>
        </row>
        <row r="15935">
          <cell r="B15935" t="str">
            <v>INF204KC1618</v>
          </cell>
          <cell r="C15935" t="str">
            <v>-</v>
          </cell>
          <cell r="D15935" t="str">
            <v>Nippon India Fixed Maturity Plan-XLIV-Series 1-Regular Plan-Growth Option</v>
          </cell>
          <cell r="E15935">
            <v>13.227399999999999</v>
          </cell>
        </row>
        <row r="15936">
          <cell r="B15936" t="str">
            <v>INF204KC1626</v>
          </cell>
          <cell r="C15936" t="str">
            <v>-</v>
          </cell>
          <cell r="D15936" t="str">
            <v>Nippon India Fixed Maturity Plan-XLIV-Series 1-Regular Plan-Payout of IDCW</v>
          </cell>
          <cell r="E15936">
            <v>13.227399999999999</v>
          </cell>
        </row>
        <row r="15937">
          <cell r="B15937" t="str">
            <v>INF204KC1BJ3</v>
          </cell>
          <cell r="C15937" t="str">
            <v>-</v>
          </cell>
          <cell r="D15937" t="str">
            <v>Nippon India Fixed Maturity Plan-XLV-Series 5-Direct Plan-Growth Option</v>
          </cell>
          <cell r="E15937">
            <v>13.222799999999999</v>
          </cell>
        </row>
        <row r="15938">
          <cell r="B15938" t="str">
            <v>INF204KC1BH7</v>
          </cell>
          <cell r="C15938" t="str">
            <v>-</v>
          </cell>
          <cell r="D15938" t="str">
            <v>Nippon India Fixed Maturity Plan-XLV-Series 5-Regular Plan-Growth Option</v>
          </cell>
          <cell r="E15938">
            <v>13.0969</v>
          </cell>
        </row>
        <row r="15939">
          <cell r="B15939" t="str">
            <v>INF204KC1BI5</v>
          </cell>
          <cell r="C15939" t="str">
            <v>-</v>
          </cell>
          <cell r="D15939" t="str">
            <v>Nippon India Fixed Maturity Plan-XLV-Series 5-Regular Plan-Payout of IDCW</v>
          </cell>
          <cell r="E15939">
            <v>12.898400000000001</v>
          </cell>
        </row>
        <row r="15940">
          <cell r="B15940" t="str">
            <v>INF204KA1H68</v>
          </cell>
          <cell r="C15940" t="str">
            <v>-</v>
          </cell>
          <cell r="D15940" t="str">
            <v>Reliance Dual Advantage Fixed Tenure Fund - II - Plan A - Dividend Payout Option</v>
          </cell>
          <cell r="E15940">
            <v>14.9686</v>
          </cell>
        </row>
        <row r="15941">
          <cell r="B15941" t="str">
            <v>INF204KA1H50</v>
          </cell>
          <cell r="C15941" t="str">
            <v>-</v>
          </cell>
          <cell r="D15941" t="str">
            <v>Reliance Dual Advantage Fixed Tenure Fund - II - Plan A - Growth Option</v>
          </cell>
          <cell r="E15941">
            <v>15.1699</v>
          </cell>
        </row>
        <row r="15942">
          <cell r="B15942" t="str">
            <v>INF204K01RS4</v>
          </cell>
          <cell r="C15942" t="str">
            <v>-</v>
          </cell>
          <cell r="D15942" t="str">
            <v>Reliance Dual Advantage Fixed Tenure Fund II - Plan B - Dividend Payout Option</v>
          </cell>
          <cell r="E15942">
            <v>15.055400000000001</v>
          </cell>
        </row>
        <row r="15943">
          <cell r="B15943" t="str">
            <v>INF204K01RR6</v>
          </cell>
          <cell r="C15943" t="str">
            <v>-</v>
          </cell>
          <cell r="D15943" t="str">
            <v>Reliance Dual Advantge Fixed Tenure Fund II - Plan B - Growth Option</v>
          </cell>
          <cell r="E15943">
            <v>15.255699999999999</v>
          </cell>
        </row>
        <row r="15944">
          <cell r="B15944" t="str">
            <v>INF204KA1X68</v>
          </cell>
          <cell r="C15944" t="str">
            <v>-</v>
          </cell>
          <cell r="D15944" t="str">
            <v>Reliance Dual Advantage Fixed Tenure Fund II - Plan C - Dividend Payout Option</v>
          </cell>
          <cell r="E15944">
            <v>15.751200000000001</v>
          </cell>
        </row>
        <row r="15945">
          <cell r="B15945" t="str">
            <v>INF204KA1X50</v>
          </cell>
          <cell r="C15945" t="str">
            <v>-</v>
          </cell>
          <cell r="D15945" t="str">
            <v>Reliance Dual Advantage Fixed Tenure Fund II - Plan C - Growth Option</v>
          </cell>
          <cell r="E15945">
            <v>15.9518</v>
          </cell>
        </row>
        <row r="15946">
          <cell r="B15946" t="str">
            <v>INF204K01RW6</v>
          </cell>
          <cell r="C15946" t="str">
            <v>-</v>
          </cell>
          <cell r="D15946" t="str">
            <v>Reliance Dual Advantage Fixed Tenure Fund II - Plan D - Dividend Payout Option</v>
          </cell>
          <cell r="E15946">
            <v>14.381399999999999</v>
          </cell>
        </row>
        <row r="15947">
          <cell r="B15947" t="str">
            <v>INF204K01RV8</v>
          </cell>
          <cell r="C15947" t="str">
            <v>-</v>
          </cell>
          <cell r="D15947" t="str">
            <v>Reliance Dual Advantage Fixed Tenure Fund II - Plan D - Growth Option</v>
          </cell>
          <cell r="E15947">
            <v>14.581899999999999</v>
          </cell>
        </row>
        <row r="15948">
          <cell r="B15948" t="str">
            <v>INF204K01RY2</v>
          </cell>
          <cell r="C15948" t="str">
            <v>-</v>
          </cell>
          <cell r="D15948" t="str">
            <v>Reliance Dual Advantage Fixed Tenure Fund II - Plan E - Dividend Payout Option</v>
          </cell>
          <cell r="E15948">
            <v>14.3834</v>
          </cell>
        </row>
        <row r="15949">
          <cell r="B15949" t="str">
            <v>INF204K01RX4</v>
          </cell>
          <cell r="C15949" t="str">
            <v>-</v>
          </cell>
          <cell r="D15949" t="str">
            <v>Reliance Dual Advantage Fixed Tenure Fund II - Plan E - Growth Option</v>
          </cell>
          <cell r="E15949">
            <v>14.5839</v>
          </cell>
        </row>
        <row r="15950">
          <cell r="B15950" t="str">
            <v>INF204K01SC6</v>
          </cell>
          <cell r="C15950" t="str">
            <v>-</v>
          </cell>
          <cell r="D15950" t="str">
            <v>Reliance Dual Advantage Fixed Tenure Fund II - Plan G - Dividend Payout Option</v>
          </cell>
          <cell r="E15950">
            <v>16.0502</v>
          </cell>
        </row>
        <row r="15951">
          <cell r="B15951" t="str">
            <v>INF204K01SB8</v>
          </cell>
          <cell r="C15951" t="str">
            <v>-</v>
          </cell>
          <cell r="D15951" t="str">
            <v>Reliance Dual Advantage Fixed Tenure Fund II - Plan G - Growth Option</v>
          </cell>
          <cell r="E15951">
            <v>16.060199999999998</v>
          </cell>
        </row>
        <row r="15952">
          <cell r="B15952" t="str">
            <v>INF204K01SE2</v>
          </cell>
          <cell r="C15952" t="str">
            <v>-</v>
          </cell>
          <cell r="D15952" t="str">
            <v>Reliance Dual Advantage Fixed Tenure Fund II - Plan H - Dividend Payout Option</v>
          </cell>
          <cell r="E15952">
            <v>15.5512</v>
          </cell>
        </row>
        <row r="15953">
          <cell r="B15953" t="str">
            <v>INF204K01SD4</v>
          </cell>
          <cell r="C15953" t="str">
            <v>-</v>
          </cell>
          <cell r="D15953" t="str">
            <v>Reliance Dual Advantage Fixed Tenure Fund II - Plan H - Growth Option</v>
          </cell>
          <cell r="E15953">
            <v>15.561199999999999</v>
          </cell>
        </row>
        <row r="15954">
          <cell r="B15954" t="str">
            <v>INF204K01M96</v>
          </cell>
          <cell r="C15954" t="str">
            <v>-</v>
          </cell>
          <cell r="D15954" t="str">
            <v>Reliance Dual Advantage Fixed Tenure Fund III - Plan A - Direct Plan - Dividend Payout Option</v>
          </cell>
          <cell r="E15954">
            <v>13.1471</v>
          </cell>
        </row>
        <row r="15955">
          <cell r="B15955" t="str">
            <v>INF204K01M88</v>
          </cell>
          <cell r="C15955" t="str">
            <v>-</v>
          </cell>
          <cell r="D15955" t="str">
            <v>Reliance Dual Advantage Fixed Tenure Fund III - Plan A - Direct Plan - Growth Option</v>
          </cell>
          <cell r="E15955">
            <v>13.5024</v>
          </cell>
        </row>
        <row r="15956">
          <cell r="B15956" t="str">
            <v>INF204K01M70</v>
          </cell>
          <cell r="C15956" t="str">
            <v>-</v>
          </cell>
          <cell r="D15956" t="str">
            <v>Reliance Dual Advantage Fixed Tenure Fund III - Plan A - Dividend Payout Option</v>
          </cell>
          <cell r="E15956">
            <v>12.901</v>
          </cell>
        </row>
        <row r="15957">
          <cell r="B15957" t="str">
            <v>INF204K01M62</v>
          </cell>
          <cell r="C15957" t="str">
            <v>-</v>
          </cell>
          <cell r="D15957" t="str">
            <v>Reliance Dual Advantage Fixed Tenure Fund III - Plan A - Growth Option</v>
          </cell>
          <cell r="E15957">
            <v>13.1028</v>
          </cell>
        </row>
        <row r="15958">
          <cell r="B15958" t="str">
            <v>INF204K01N38</v>
          </cell>
          <cell r="C15958" t="str">
            <v>-</v>
          </cell>
          <cell r="D15958" t="str">
            <v>Reliance Dual Advantage Fixed Tenure Fund III - Plan B - Direct Plan - Dividend Payout Option</v>
          </cell>
          <cell r="E15958">
            <v>14.400600000000001</v>
          </cell>
        </row>
        <row r="15959">
          <cell r="B15959" t="str">
            <v>INF204K01N20</v>
          </cell>
          <cell r="C15959" t="str">
            <v>-</v>
          </cell>
          <cell r="D15959" t="str">
            <v>Reliance Dual Advantage Fixed Tenure Fund III - Plan B - Direct Plan - Growth Option</v>
          </cell>
          <cell r="E15959">
            <v>14.5006</v>
          </cell>
        </row>
        <row r="15960">
          <cell r="B15960" t="str">
            <v>INF204K01N12</v>
          </cell>
          <cell r="C15960" t="str">
            <v>-</v>
          </cell>
          <cell r="D15960" t="str">
            <v>Reliance Dual Advantage Fixed Tenure Fund III - Plan B - Dividend Payout Option</v>
          </cell>
          <cell r="E15960">
            <v>13.9369</v>
          </cell>
        </row>
        <row r="15961">
          <cell r="B15961" t="str">
            <v>INF204K01N04</v>
          </cell>
          <cell r="C15961" t="str">
            <v>-</v>
          </cell>
          <cell r="D15961" t="str">
            <v>Reliance Dual Advantage Fixed Tenure Fund III - Plan B - Growth Option</v>
          </cell>
          <cell r="E15961">
            <v>14.036899999999999</v>
          </cell>
        </row>
        <row r="15962">
          <cell r="B15962" t="str">
            <v>INF204K01N79</v>
          </cell>
          <cell r="C15962" t="str">
            <v>-</v>
          </cell>
          <cell r="D15962" t="str">
            <v>Reliance Dual Advantage Fixed Tenure Fund III - Plan C - Direct Plan - Dividend Option</v>
          </cell>
          <cell r="E15962">
            <v>10</v>
          </cell>
        </row>
        <row r="15963">
          <cell r="B15963" t="str">
            <v>INF204K01N53</v>
          </cell>
          <cell r="C15963" t="str">
            <v>-</v>
          </cell>
          <cell r="D15963" t="str">
            <v>Reliance Dual Advantage Fixed Tenure Fund III - Plan C - Dividend Option</v>
          </cell>
          <cell r="E15963">
            <v>10</v>
          </cell>
        </row>
        <row r="15964">
          <cell r="B15964" t="str">
            <v>INF204K01N46</v>
          </cell>
          <cell r="C15964" t="str">
            <v>-</v>
          </cell>
          <cell r="D15964" t="str">
            <v>Reliance Dual Advantage Fixed Tenure Fund III - Plan C - Growth Option</v>
          </cell>
          <cell r="E15964">
            <v>15.781700000000001</v>
          </cell>
        </row>
        <row r="15965">
          <cell r="B15965" t="str">
            <v>INF204K01N61</v>
          </cell>
          <cell r="C15965" t="str">
            <v>-</v>
          </cell>
          <cell r="D15965" t="str">
            <v>Reliance Dual Advantage Fixed Tenure Fund III -Plan C- Direct Plan - Growth Option</v>
          </cell>
          <cell r="E15965">
            <v>16.753699999999998</v>
          </cell>
        </row>
        <row r="15966">
          <cell r="B15966" t="str">
            <v>INF204K01O11</v>
          </cell>
          <cell r="C15966" t="str">
            <v>-</v>
          </cell>
          <cell r="D15966" t="str">
            <v>Reliance Dual Advantage Fixed Tenure Fund III - Plan D - Direct Plan - Dividend Payout Option</v>
          </cell>
          <cell r="E15966">
            <v>13.385199999999999</v>
          </cell>
        </row>
        <row r="15967">
          <cell r="B15967" t="str">
            <v>INF204K01O03</v>
          </cell>
          <cell r="C15967" t="str">
            <v>-</v>
          </cell>
          <cell r="D15967" t="str">
            <v>Reliance Dual Advantage Fixed Tenure Fund III - Plan D - Direct Plan - Growth Option</v>
          </cell>
          <cell r="E15967">
            <v>13.585699999999999</v>
          </cell>
        </row>
        <row r="15968">
          <cell r="B15968" t="str">
            <v>INF204K01N95</v>
          </cell>
          <cell r="C15968" t="str">
            <v>-</v>
          </cell>
          <cell r="D15968" t="str">
            <v>Reliance Dual Advantage Fixed Tenure Fund III - Plan D - Dividend Payout Option</v>
          </cell>
          <cell r="E15968">
            <v>12.936199999999999</v>
          </cell>
        </row>
        <row r="15969">
          <cell r="B15969" t="str">
            <v>INF204K01N87</v>
          </cell>
          <cell r="C15969" t="str">
            <v>-</v>
          </cell>
          <cell r="D15969" t="str">
            <v>Reliance Dual Advantage Fixed Tenure Fund III - Plan D - Growth Option</v>
          </cell>
          <cell r="E15969">
            <v>13.136699999999999</v>
          </cell>
        </row>
        <row r="15970">
          <cell r="B15970" t="str">
            <v>INF204KA1669</v>
          </cell>
          <cell r="C15970" t="str">
            <v>-</v>
          </cell>
          <cell r="D15970" t="str">
            <v>Reliance Dual Advantage Fixed Tenure Fund IV - Plan A - Direct Plan -Growth Option</v>
          </cell>
          <cell r="E15970">
            <v>16.859000000000002</v>
          </cell>
        </row>
        <row r="15971">
          <cell r="B15971" t="str">
            <v>INF204KA1677</v>
          </cell>
          <cell r="C15971" t="str">
            <v>-</v>
          </cell>
          <cell r="D15971" t="str">
            <v>Reliance Dual Advantage Fixed Tenure Fund IV - Plan A - Direct Plan- Dividend Payout option</v>
          </cell>
          <cell r="E15971">
            <v>13.7684</v>
          </cell>
        </row>
        <row r="15972">
          <cell r="B15972" t="str">
            <v>INF204KA1651</v>
          </cell>
          <cell r="C15972" t="str">
            <v>-</v>
          </cell>
          <cell r="D15972" t="str">
            <v>Reliance Dual Advantage Fixed Tenure Fund IV - Plan A - Dividend Option</v>
          </cell>
          <cell r="E15972">
            <v>13.32</v>
          </cell>
        </row>
        <row r="15973">
          <cell r="B15973" t="str">
            <v>INF204KA1644</v>
          </cell>
          <cell r="C15973" t="str">
            <v>-</v>
          </cell>
          <cell r="D15973" t="str">
            <v>Reliance Dual Advantage Fixed Tenure Fund IV - Plan A - Growth Option</v>
          </cell>
          <cell r="E15973">
            <v>15.9063</v>
          </cell>
        </row>
        <row r="15974">
          <cell r="B15974" t="str">
            <v>INF204KA1701</v>
          </cell>
          <cell r="C15974" t="str">
            <v>-</v>
          </cell>
          <cell r="D15974" t="str">
            <v>Reliance Dual Advantage Fixed Tenure Fund IV - Plan B - Direct Plan - Growth Option</v>
          </cell>
          <cell r="E15974">
            <v>13.5494</v>
          </cell>
        </row>
        <row r="15975">
          <cell r="B15975" t="str">
            <v>INF204KA1693</v>
          </cell>
          <cell r="C15975" t="str">
            <v>-</v>
          </cell>
          <cell r="D15975" t="str">
            <v>Reliance Dual Advantage Fixed Tenure Fund IV - Plan B - Dividend Payout Option</v>
          </cell>
          <cell r="E15975">
            <v>13.0206</v>
          </cell>
        </row>
        <row r="15976">
          <cell r="B15976" t="str">
            <v>INF204KA1685</v>
          </cell>
          <cell r="C15976" t="str">
            <v>-</v>
          </cell>
          <cell r="D15976" t="str">
            <v>Reliance Dual Advantage Fixed Tenure Fund IV - Plan B - Growth Option</v>
          </cell>
          <cell r="E15976">
            <v>13.1206</v>
          </cell>
        </row>
        <row r="15977">
          <cell r="B15977" t="str">
            <v>INF204KA1750</v>
          </cell>
          <cell r="C15977" t="str">
            <v>-</v>
          </cell>
          <cell r="D15977" t="str">
            <v>Reliance Dual Advantage Fixed Tenure Fund IV - Plan C - Direct Plan - Dividend Payout Option</v>
          </cell>
          <cell r="E15977">
            <v>10</v>
          </cell>
        </row>
        <row r="15978">
          <cell r="B15978" t="str">
            <v>INF204KA1743</v>
          </cell>
          <cell r="C15978" t="str">
            <v>-</v>
          </cell>
          <cell r="D15978" t="str">
            <v>Reliance Dual Advantage Fixed Tenure Fund IV - Plan C - Direct Plan - Growth Option</v>
          </cell>
          <cell r="E15978">
            <v>13.8573</v>
          </cell>
        </row>
        <row r="15979">
          <cell r="B15979" t="str">
            <v>INF204KA1735</v>
          </cell>
          <cell r="C15979" t="str">
            <v>-</v>
          </cell>
          <cell r="D15979" t="str">
            <v>Reliance Dual Advantage Fixed Tenure Fund IV - Plan C - Dividend Payout Option</v>
          </cell>
          <cell r="E15979">
            <v>10</v>
          </cell>
        </row>
        <row r="15980">
          <cell r="B15980" t="str">
            <v>INF204KA1727</v>
          </cell>
          <cell r="C15980" t="str">
            <v>-</v>
          </cell>
          <cell r="D15980" t="str">
            <v>Reliance Dual Advantage Fixed Tenure Fund IV - Plan C - Growth Option</v>
          </cell>
          <cell r="E15980">
            <v>13.3865</v>
          </cell>
        </row>
        <row r="15981">
          <cell r="B15981" t="str">
            <v>INF204KA1792</v>
          </cell>
          <cell r="C15981" t="str">
            <v>-</v>
          </cell>
          <cell r="D15981" t="str">
            <v>Reliance Dual Advantage Fixed Tenure Fund IV - Plan D - Direct Plan - Dividend Payout Option</v>
          </cell>
          <cell r="E15981">
            <v>10</v>
          </cell>
        </row>
        <row r="15982">
          <cell r="B15982" t="str">
            <v>INF204KA1784</v>
          </cell>
          <cell r="C15982" t="str">
            <v>-</v>
          </cell>
          <cell r="D15982" t="str">
            <v>Reliance Dual Advantage Fixed Tenure Fund IV - Plan D - Direct Plan - Growth Option</v>
          </cell>
          <cell r="E15982">
            <v>13.431100000000001</v>
          </cell>
        </row>
        <row r="15983">
          <cell r="B15983" t="str">
            <v>INF204KA1776</v>
          </cell>
          <cell r="C15983" t="str">
            <v>-</v>
          </cell>
          <cell r="D15983" t="str">
            <v>Reliance Dual Advantage Fixed Tenure Fund IV - Plan D - Dividend Payout Option</v>
          </cell>
          <cell r="E15983">
            <v>10</v>
          </cell>
        </row>
        <row r="15984">
          <cell r="B15984" t="str">
            <v>INF204KA1768</v>
          </cell>
          <cell r="C15984" t="str">
            <v>-</v>
          </cell>
          <cell r="D15984" t="str">
            <v>Reliance Dual Advantage Fixed Tenure Fund IV - Plan D - Growth Option</v>
          </cell>
          <cell r="E15984">
            <v>12.980700000000001</v>
          </cell>
        </row>
        <row r="15985">
          <cell r="B15985" t="str">
            <v>INF204KA1834</v>
          </cell>
          <cell r="C15985" t="str">
            <v>-</v>
          </cell>
          <cell r="D15985" t="str">
            <v>Reliance Dual Advantage Fixed Tenure Fund IV - Plan E - Direct Plan - Dividend Payout Option</v>
          </cell>
          <cell r="E15985">
            <v>10</v>
          </cell>
        </row>
        <row r="15986">
          <cell r="B15986" t="str">
            <v>INF204KA1826</v>
          </cell>
          <cell r="C15986" t="str">
            <v>-</v>
          </cell>
          <cell r="D15986" t="str">
            <v>Reliance Dual Advantage Fixed Tenure Fund IV - Plan E - Direct Plan - Growth Option</v>
          </cell>
          <cell r="E15986">
            <v>12.922800000000001</v>
          </cell>
        </row>
        <row r="15987">
          <cell r="B15987" t="str">
            <v>INF204KA1818</v>
          </cell>
          <cell r="C15987" t="str">
            <v>-</v>
          </cell>
          <cell r="D15987" t="str">
            <v>Reliance Dual Advantage Fixed Tenure Fund IV - Plan E - Dividend Payout Option</v>
          </cell>
          <cell r="E15987">
            <v>10</v>
          </cell>
        </row>
        <row r="15988">
          <cell r="B15988" t="str">
            <v>INF204KA1800</v>
          </cell>
          <cell r="C15988" t="str">
            <v>-</v>
          </cell>
          <cell r="D15988" t="str">
            <v>Reliance Dual Advantage Fixed Tenure Fund IV - Plan E - Growth Option</v>
          </cell>
          <cell r="E15988">
            <v>12.4216</v>
          </cell>
        </row>
        <row r="15989">
          <cell r="B15989" t="str">
            <v>INF204KA17W8</v>
          </cell>
          <cell r="C15989" t="str">
            <v>-</v>
          </cell>
          <cell r="D15989" t="str">
            <v>Reliance Dual Advantage Fixed Tenure Fund IX- Plan A- Direct Plan-Dividend Payout Option</v>
          </cell>
          <cell r="E15989">
            <v>10</v>
          </cell>
        </row>
        <row r="15990">
          <cell r="B15990" t="str">
            <v>INF204KA18W6</v>
          </cell>
          <cell r="C15990" t="str">
            <v>-</v>
          </cell>
          <cell r="D15990" t="str">
            <v>Reliance Dual Advantage Fixed Tenure Fund IX- Plan A- Direct Plan-Growth Option</v>
          </cell>
          <cell r="E15990">
            <v>13.5077</v>
          </cell>
        </row>
        <row r="15991">
          <cell r="B15991" t="str">
            <v>INF204KA19W4</v>
          </cell>
          <cell r="C15991" t="str">
            <v>-</v>
          </cell>
          <cell r="D15991" t="str">
            <v>Reliance Dual Advantage Fixed Tenure Fund IX- Plan A- Dividend Payout Option</v>
          </cell>
          <cell r="E15991">
            <v>10</v>
          </cell>
        </row>
        <row r="15992">
          <cell r="B15992" t="str">
            <v>INF204KA10X1</v>
          </cell>
          <cell r="C15992" t="str">
            <v>-</v>
          </cell>
          <cell r="D15992" t="str">
            <v>Reliance Dual Advantage Fixed Tenure Fund IX- Plan A- Growth Option</v>
          </cell>
          <cell r="E15992">
            <v>12.9895</v>
          </cell>
        </row>
        <row r="15993">
          <cell r="B15993" t="str">
            <v>INF204KA15Z5</v>
          </cell>
          <cell r="C15993" t="str">
            <v>-</v>
          </cell>
          <cell r="D15993" t="str">
            <v>Reliance Dual Advantage Fixed Tenure Fund IX- Plan B- Direct Plan-Dividend Payout Option</v>
          </cell>
          <cell r="E15993">
            <v>10</v>
          </cell>
        </row>
        <row r="15994">
          <cell r="B15994" t="str">
            <v>INF204KA16Z3</v>
          </cell>
          <cell r="C15994" t="str">
            <v>-</v>
          </cell>
          <cell r="D15994" t="str">
            <v>Reliance Dual Advantage Fixed Tenure Fund IX- Plan B- Direct Plan-Growth Option</v>
          </cell>
          <cell r="E15994">
            <v>13.110799999999999</v>
          </cell>
        </row>
        <row r="15995">
          <cell r="B15995" t="str">
            <v>INF204KA17Z1</v>
          </cell>
          <cell r="C15995" t="str">
            <v>-</v>
          </cell>
          <cell r="D15995" t="str">
            <v>Reliance Dual Advantage Fixed Tenure Fund IX- Plan B- Dividend Payout Option</v>
          </cell>
          <cell r="E15995">
            <v>10</v>
          </cell>
        </row>
        <row r="15996">
          <cell r="B15996" t="str">
            <v>INF204KA18Z9</v>
          </cell>
          <cell r="C15996" t="str">
            <v>-</v>
          </cell>
          <cell r="D15996" t="str">
            <v>Reliance Dual Advantage Fixed Tenure Fund IX- Plan B- Growth Option</v>
          </cell>
          <cell r="E15996">
            <v>12.6755</v>
          </cell>
        </row>
        <row r="15997">
          <cell r="B15997" t="str">
            <v>INF204KB1304</v>
          </cell>
          <cell r="C15997" t="str">
            <v>-</v>
          </cell>
          <cell r="D15997" t="str">
            <v>Reliance Dual Advantage Fixed Tenure Fund IX- Plan C- Direct Plan-Dividend Payout Option</v>
          </cell>
          <cell r="E15997">
            <v>10</v>
          </cell>
        </row>
        <row r="15998">
          <cell r="B15998" t="str">
            <v>INF204KB1296</v>
          </cell>
          <cell r="C15998" t="str">
            <v>-</v>
          </cell>
          <cell r="D15998" t="str">
            <v>Reliance Dual Advantage Fixed Tenure Fund IX- Plan C- Direct Plan-Growth Option</v>
          </cell>
          <cell r="E15998">
            <v>13.142799999999999</v>
          </cell>
        </row>
        <row r="15999">
          <cell r="B15999" t="str">
            <v>INF204KB1304</v>
          </cell>
          <cell r="C15999" t="str">
            <v>-</v>
          </cell>
          <cell r="D15999" t="str">
            <v>Reliance Dual Advantage Fixed Tenure Fund IX- Plan C- Dividend Payout Option</v>
          </cell>
          <cell r="E15999">
            <v>10</v>
          </cell>
        </row>
        <row r="16000">
          <cell r="B16000" t="str">
            <v>INF204KB1312</v>
          </cell>
          <cell r="C16000" t="str">
            <v>-</v>
          </cell>
          <cell r="D16000" t="str">
            <v>Reliance Dual Advantage Fixed Tenure Fund IX- Plan C- Growth Option</v>
          </cell>
          <cell r="E16000">
            <v>12.718500000000001</v>
          </cell>
        </row>
        <row r="16001">
          <cell r="B16001" t="str">
            <v>INF204KA1HW5</v>
          </cell>
          <cell r="C16001" t="str">
            <v>-</v>
          </cell>
          <cell r="D16001" t="str">
            <v>Reliance Dual Advantage Fixed Tenure Fund V - Plan A - Direct Plan - Dividend Payout Option</v>
          </cell>
          <cell r="E16001">
            <v>10</v>
          </cell>
        </row>
        <row r="16002">
          <cell r="B16002" t="str">
            <v>INF204KA1HV7</v>
          </cell>
          <cell r="C16002" t="str">
            <v>-</v>
          </cell>
          <cell r="D16002" t="str">
            <v>Reliance Dual Advantage Fixed Tenure Fund V - Plan A - Direct Plan - Growth Option</v>
          </cell>
          <cell r="E16002">
            <v>13.553599999999999</v>
          </cell>
        </row>
        <row r="16003">
          <cell r="B16003" t="str">
            <v>INF204KA1HU9</v>
          </cell>
          <cell r="C16003" t="str">
            <v>-</v>
          </cell>
          <cell r="D16003" t="str">
            <v>Reliance Dual Advantage Fixed Tenure Fund V - Plan A - Dividend Payout Option</v>
          </cell>
          <cell r="E16003">
            <v>10</v>
          </cell>
        </row>
        <row r="16004">
          <cell r="B16004" t="str">
            <v>INF204KA1HT1</v>
          </cell>
          <cell r="C16004" t="str">
            <v>-</v>
          </cell>
          <cell r="D16004" t="str">
            <v>Reliance Dual Advantage Fixed Tenure Fund V - Plan A - Growth Option</v>
          </cell>
          <cell r="E16004">
            <v>13.0044</v>
          </cell>
        </row>
        <row r="16005">
          <cell r="B16005" t="str">
            <v>INF204KA1IU7</v>
          </cell>
          <cell r="C16005" t="str">
            <v>-</v>
          </cell>
          <cell r="D16005" t="str">
            <v>Reliance Dual Advantage Fixed Tenure Fund V - Plan B - Direct Plan - Dividend Payout Option</v>
          </cell>
          <cell r="E16005">
            <v>10</v>
          </cell>
        </row>
        <row r="16006">
          <cell r="B16006" t="str">
            <v>INF204KA1IT9</v>
          </cell>
          <cell r="C16006" t="str">
            <v>-</v>
          </cell>
          <cell r="D16006" t="str">
            <v>Reliance Dual Advantage Fixed Tenure Fund V - Plan B - Direct Plan - Growth Option</v>
          </cell>
          <cell r="E16006">
            <v>12.5002</v>
          </cell>
        </row>
        <row r="16007">
          <cell r="B16007" t="str">
            <v>INF204KA1IS1</v>
          </cell>
          <cell r="C16007" t="str">
            <v>-</v>
          </cell>
          <cell r="D16007" t="str">
            <v>Reliance Dual Advantage Fixed Tenure Fund V - Plan B - Dividend Payout Option</v>
          </cell>
          <cell r="E16007">
            <v>10</v>
          </cell>
        </row>
        <row r="16008">
          <cell r="B16008" t="str">
            <v>INF204KA1IR3</v>
          </cell>
          <cell r="C16008" t="str">
            <v>-</v>
          </cell>
          <cell r="D16008" t="str">
            <v>Reliance Dual Advantage Fixed Tenure Fund V - Plan B - Growth Option</v>
          </cell>
          <cell r="E16008">
            <v>11.943899999999999</v>
          </cell>
        </row>
        <row r="16009">
          <cell r="B16009" t="str">
            <v>INF204KA1IX1</v>
          </cell>
          <cell r="C16009" t="str">
            <v>-</v>
          </cell>
          <cell r="D16009" t="str">
            <v>Reliance Dual Advantage Fixed Tenure Fund V - Plan C -Direct Plan -Growth Option</v>
          </cell>
          <cell r="E16009">
            <v>12.632400000000001</v>
          </cell>
        </row>
        <row r="16010">
          <cell r="B16010" t="str">
            <v>INF204KA1IW3</v>
          </cell>
          <cell r="C16010" t="str">
            <v>-</v>
          </cell>
          <cell r="D16010" t="str">
            <v>Reliance Dual Advantage Fixed Tenure Fund V - Plan C -Dividend Payout Option</v>
          </cell>
          <cell r="E16010">
            <v>10</v>
          </cell>
        </row>
        <row r="16011">
          <cell r="B16011" t="str">
            <v>INF204KA1IV5</v>
          </cell>
          <cell r="C16011" t="str">
            <v>-</v>
          </cell>
          <cell r="D16011" t="str">
            <v>Reliance Dual Advantage Fixed Tenure Fund V - Plan C -Growth Option</v>
          </cell>
          <cell r="E16011">
            <v>12.1172</v>
          </cell>
        </row>
        <row r="16012">
          <cell r="B16012" t="str">
            <v>INF204KA1KU3</v>
          </cell>
          <cell r="C16012" t="str">
            <v>-</v>
          </cell>
          <cell r="D16012" t="str">
            <v>Reliance Dual Advantage Fixed Tenure Fund V - Plan E - Direct Plan - Dividend Payout Option</v>
          </cell>
          <cell r="E16012">
            <v>10</v>
          </cell>
        </row>
        <row r="16013">
          <cell r="B16013" t="str">
            <v>INF204KA1KT5</v>
          </cell>
          <cell r="C16013" t="str">
            <v>-</v>
          </cell>
          <cell r="D16013" t="str">
            <v>Reliance Dual Advantage Fixed Tenure Fund V - Plan E - Direct Plan - Growth Option</v>
          </cell>
          <cell r="E16013">
            <v>12.0101</v>
          </cell>
        </row>
        <row r="16014">
          <cell r="B16014" t="str">
            <v>INF204KA1KS7</v>
          </cell>
          <cell r="C16014" t="str">
            <v>-</v>
          </cell>
          <cell r="D16014" t="str">
            <v>Reliance Dual Advantage Fixed Tenure Fund V - Plan E - Dividend Payout Option</v>
          </cell>
          <cell r="E16014">
            <v>10</v>
          </cell>
        </row>
        <row r="16015">
          <cell r="B16015" t="str">
            <v>INF204KA1KR9</v>
          </cell>
          <cell r="C16015" t="str">
            <v>-</v>
          </cell>
          <cell r="D16015" t="str">
            <v>Reliance Dual Advantage Fixed Tenure Fund V - Plan E - Growth Option</v>
          </cell>
          <cell r="E16015">
            <v>11.4985</v>
          </cell>
        </row>
        <row r="16016">
          <cell r="B16016" t="str">
            <v>INF204KA1MB9</v>
          </cell>
          <cell r="C16016" t="str">
            <v>-</v>
          </cell>
          <cell r="D16016" t="str">
            <v>Reliance Dual Advantage Fixed Tenure Fund V - Plan F- Direct Plan - Dividend Payout Option</v>
          </cell>
          <cell r="E16016">
            <v>10</v>
          </cell>
        </row>
        <row r="16017">
          <cell r="B16017" t="str">
            <v>INF204KA1MA1</v>
          </cell>
          <cell r="C16017" t="str">
            <v>-</v>
          </cell>
          <cell r="D16017" t="str">
            <v>Reliance Dual Advantage Fixed Tenure Fund V - Plan F- Direct Plan - Growth Option</v>
          </cell>
          <cell r="E16017">
            <v>12.4429</v>
          </cell>
        </row>
        <row r="16018">
          <cell r="B16018" t="str">
            <v>INF204KA1LZ0</v>
          </cell>
          <cell r="C16018" t="str">
            <v>-</v>
          </cell>
          <cell r="D16018" t="str">
            <v>Reliance Dual Advantage Fixed Tenure Fund V - Plan F- Dividend Payout Option</v>
          </cell>
          <cell r="E16018">
            <v>10</v>
          </cell>
        </row>
        <row r="16019">
          <cell r="B16019" t="str">
            <v>INF204KA1LY3</v>
          </cell>
          <cell r="C16019" t="str">
            <v>-</v>
          </cell>
          <cell r="D16019" t="str">
            <v>Reliance Dual Advantage Fixed Tenure Fund V - Plan F- Growth Option</v>
          </cell>
          <cell r="E16019">
            <v>11.9359</v>
          </cell>
        </row>
        <row r="16020">
          <cell r="B16020" t="str">
            <v>INF204KA1NA9</v>
          </cell>
          <cell r="C16020" t="str">
            <v>-</v>
          </cell>
          <cell r="D16020" t="str">
            <v>Reliance Dual Advantage Fixed Tenure Fund V- Plan G- Direct Plan - Dividend Payout Option</v>
          </cell>
          <cell r="E16020">
            <v>10</v>
          </cell>
        </row>
        <row r="16021">
          <cell r="B16021" t="str">
            <v>INF204KA1MZ8</v>
          </cell>
          <cell r="C16021" t="str">
            <v>-</v>
          </cell>
          <cell r="D16021" t="str">
            <v>Reliance Dual Advantage Fixed Tenure Fund V- Plan G- Direct Plan - Growth Option</v>
          </cell>
          <cell r="E16021">
            <v>13.426600000000001</v>
          </cell>
        </row>
        <row r="16022">
          <cell r="B16022" t="str">
            <v>INF204KA1MY1</v>
          </cell>
          <cell r="C16022" t="str">
            <v>-</v>
          </cell>
          <cell r="D16022" t="str">
            <v>Reliance Dual Advantage Fixed Tenure Fund V- Plan G- Dividend Payout Option</v>
          </cell>
          <cell r="E16022">
            <v>10</v>
          </cell>
        </row>
        <row r="16023">
          <cell r="B16023" t="str">
            <v>INF204KA1MX3</v>
          </cell>
          <cell r="C16023" t="str">
            <v>-</v>
          </cell>
          <cell r="D16023" t="str">
            <v>Reliance Dual Advantage Fixed Tenure Fund V- Plan G- Growth Option</v>
          </cell>
          <cell r="E16023">
            <v>12.867000000000001</v>
          </cell>
        </row>
        <row r="16024">
          <cell r="B16024" t="str">
            <v>INF204KA1PM9</v>
          </cell>
          <cell r="C16024" t="str">
            <v>-</v>
          </cell>
          <cell r="D16024" t="str">
            <v>Reliance Dual Advantage Fixed Tenure Fund V- Plan H- Direct Plan- Dividend payout option</v>
          </cell>
          <cell r="E16024">
            <v>10</v>
          </cell>
        </row>
        <row r="16025">
          <cell r="B16025" t="str">
            <v>INF204KA1PL1</v>
          </cell>
          <cell r="C16025" t="str">
            <v>-</v>
          </cell>
          <cell r="D16025" t="str">
            <v>Reliance Dual Advantage Fixed Tenure Fund V- Plan H- Direct Plan- Growth Option</v>
          </cell>
          <cell r="E16025">
            <v>12.188800000000001</v>
          </cell>
        </row>
        <row r="16026">
          <cell r="B16026" t="str">
            <v>INF204KA1PK3</v>
          </cell>
          <cell r="C16026" t="str">
            <v>-</v>
          </cell>
          <cell r="D16026" t="str">
            <v>Reliance Dual Advantage Fixed Tenure Fund V- Plan H- Dividend Payout Option</v>
          </cell>
          <cell r="E16026">
            <v>10</v>
          </cell>
        </row>
        <row r="16027">
          <cell r="B16027" t="str">
            <v>INF204KA1PJ5</v>
          </cell>
          <cell r="C16027" t="str">
            <v>-</v>
          </cell>
          <cell r="D16027" t="str">
            <v>Reliance Dual Advantage Fixed Tenure Fund V- Plan H- Growth Option</v>
          </cell>
          <cell r="E16027">
            <v>11.661099999999999</v>
          </cell>
        </row>
        <row r="16028">
          <cell r="B16028" t="str">
            <v>INF204KA1RQ6</v>
          </cell>
          <cell r="C16028" t="str">
            <v>-</v>
          </cell>
          <cell r="D16028" t="str">
            <v>Reliance Dual Advantage Fixed Tenure Fund VI- Plan A- Direct Plan- Growth Option</v>
          </cell>
          <cell r="E16028">
            <v>12.3187</v>
          </cell>
        </row>
        <row r="16029">
          <cell r="B16029" t="str">
            <v>INF204KA1RO1</v>
          </cell>
          <cell r="C16029" t="str">
            <v>-</v>
          </cell>
          <cell r="D16029" t="str">
            <v>Reliance Dual Advantage Fixed Tenure Fund VI- Plan A- Growth Option</v>
          </cell>
          <cell r="E16029">
            <v>11.968999999999999</v>
          </cell>
        </row>
        <row r="16030">
          <cell r="B16030" t="str">
            <v>INF204KA1RR4</v>
          </cell>
          <cell r="C16030" t="str">
            <v>-</v>
          </cell>
          <cell r="D16030" t="str">
            <v>Reliance Dual Advantage Fixed Tenure Fund- VI- Plan A- Direct Plan- Dividend Payout Option</v>
          </cell>
          <cell r="E16030">
            <v>10</v>
          </cell>
        </row>
        <row r="16031">
          <cell r="B16031" t="str">
            <v>INF204KA1RP8</v>
          </cell>
          <cell r="C16031" t="str">
            <v>-</v>
          </cell>
          <cell r="D16031" t="str">
            <v>Reliance Dual Advantage Fixed Tenure Fund- VI- Plan A- Dividend Payout Option</v>
          </cell>
          <cell r="E16031">
            <v>10</v>
          </cell>
        </row>
        <row r="16032">
          <cell r="B16032" t="str">
            <v>INF204KA1TA6</v>
          </cell>
          <cell r="C16032" t="str">
            <v>-</v>
          </cell>
          <cell r="D16032" t="str">
            <v>Reliance Dual Advantage Fixed Tenure Fund VI- Plan B- Direct Plan- DIvidend Payout Option</v>
          </cell>
          <cell r="E16032">
            <v>10</v>
          </cell>
        </row>
        <row r="16033">
          <cell r="B16033" t="str">
            <v>INF204KA1SZ5</v>
          </cell>
          <cell r="C16033" t="str">
            <v>-</v>
          </cell>
          <cell r="D16033" t="str">
            <v>Reliance Dual Advantage Fixed Tenure Fund VI- Plan B- Direct Plan- Growth Option</v>
          </cell>
          <cell r="E16033">
            <v>11.869199999999999</v>
          </cell>
        </row>
        <row r="16034">
          <cell r="B16034" t="str">
            <v>INF204KA1SY8</v>
          </cell>
          <cell r="C16034" t="str">
            <v>-</v>
          </cell>
          <cell r="D16034" t="str">
            <v>Reliance Dual Advantage Fixed Tenure Fund VI- Plan B- Dividend Payout Option</v>
          </cell>
          <cell r="E16034">
            <v>10</v>
          </cell>
        </row>
        <row r="16035">
          <cell r="B16035" t="str">
            <v>INF204KA1SX0</v>
          </cell>
          <cell r="C16035" t="str">
            <v>-</v>
          </cell>
          <cell r="D16035" t="str">
            <v>Reliance Dual Advantage Fixed Tenure Fund VI- Plan B- Growth Option</v>
          </cell>
          <cell r="E16035">
            <v>11.566599999999999</v>
          </cell>
        </row>
        <row r="16036">
          <cell r="B16036" t="str">
            <v>INF204KA1UI7</v>
          </cell>
          <cell r="C16036" t="str">
            <v>-</v>
          </cell>
          <cell r="D16036" t="str">
            <v>Reliance Dual Advantage Fixed Tenure Fund VI- Plan C- Direct Plan Dividend Payout Option</v>
          </cell>
          <cell r="E16036">
            <v>10</v>
          </cell>
        </row>
        <row r="16037">
          <cell r="B16037" t="str">
            <v>INF204KA1UH9</v>
          </cell>
          <cell r="C16037" t="str">
            <v>-</v>
          </cell>
          <cell r="D16037" t="str">
            <v>Reliance Dual Advantage Fixed Tenure Fund VI- Plan C- Direct Plan- Growth Option</v>
          </cell>
          <cell r="E16037">
            <v>11.953099999999999</v>
          </cell>
        </row>
        <row r="16038">
          <cell r="B16038" t="str">
            <v>INF204KA1UG1</v>
          </cell>
          <cell r="C16038" t="str">
            <v>-</v>
          </cell>
          <cell r="D16038" t="str">
            <v>Reliance Dual Advantage Fixed Tenure Fund VI- Plan C- Dividend Payout Option</v>
          </cell>
          <cell r="E16038">
            <v>10</v>
          </cell>
        </row>
        <row r="16039">
          <cell r="B16039" t="str">
            <v>INF204KA1UF3</v>
          </cell>
          <cell r="C16039" t="str">
            <v>-</v>
          </cell>
          <cell r="D16039" t="str">
            <v>Reliance Dual Advantage Fixed Tenure Fund VI- Plan C- Growth Option</v>
          </cell>
          <cell r="E16039">
            <v>11.5547</v>
          </cell>
        </row>
        <row r="16040">
          <cell r="B16040" t="str">
            <v>INF204KA1UO5</v>
          </cell>
          <cell r="C16040" t="str">
            <v>-</v>
          </cell>
          <cell r="D16040" t="str">
            <v>Reliance Dual Advantage Fixed Tenure Fund VI Plan D- Growth Option</v>
          </cell>
          <cell r="E16040">
            <v>12.0261</v>
          </cell>
        </row>
        <row r="16041">
          <cell r="B16041" t="str">
            <v>INF204KA1UR8</v>
          </cell>
          <cell r="C16041" t="str">
            <v>-</v>
          </cell>
          <cell r="D16041" t="str">
            <v>Reliance Dual Advantage Fixed Tenure Fund VI- Plan D- Direct Plan- Dividend Payout Option</v>
          </cell>
          <cell r="E16041">
            <v>10</v>
          </cell>
        </row>
        <row r="16042">
          <cell r="B16042" t="str">
            <v>INF204KA1UQ0</v>
          </cell>
          <cell r="C16042" t="str">
            <v>-</v>
          </cell>
          <cell r="D16042" t="str">
            <v>Reliance Dual Advantage Fixed Tenure Fund VI- Plan D- Direct Plan- Growth Option</v>
          </cell>
          <cell r="E16042">
            <v>12.4062</v>
          </cell>
        </row>
        <row r="16043">
          <cell r="B16043" t="str">
            <v>INF204KA1UP2</v>
          </cell>
          <cell r="C16043" t="str">
            <v>-</v>
          </cell>
          <cell r="D16043" t="str">
            <v>Reliance Dual Advantage Fixed Tenure Fund VI- Plan D- Dividend Payout Option</v>
          </cell>
          <cell r="E16043">
            <v>10</v>
          </cell>
        </row>
        <row r="16044">
          <cell r="B16044" t="str">
            <v>INF204KA1VS4</v>
          </cell>
          <cell r="C16044" t="str">
            <v>-</v>
          </cell>
          <cell r="D16044" t="str">
            <v>Reliance Dual Advantage Fixed Tenure Fund VI- Plan E - Growth Option</v>
          </cell>
          <cell r="E16044">
            <v>11.3794</v>
          </cell>
        </row>
        <row r="16045">
          <cell r="B16045" t="str">
            <v>INF204KA1VU0</v>
          </cell>
          <cell r="C16045" t="str">
            <v>-</v>
          </cell>
          <cell r="D16045" t="str">
            <v>Reliance Dual Advantage Fixed Tenure Fund VI- Plan E- Direct Plan- Growth Option</v>
          </cell>
          <cell r="E16045">
            <v>11.7722</v>
          </cell>
        </row>
        <row r="16046">
          <cell r="B16046" t="str">
            <v>INF204KA1VT2</v>
          </cell>
          <cell r="C16046" t="str">
            <v>-</v>
          </cell>
          <cell r="D16046" t="str">
            <v>Reliance Dual Advantage Fixed Tenure Fund VI- Plan E- Dividend Payout Option</v>
          </cell>
          <cell r="E16046">
            <v>10</v>
          </cell>
        </row>
        <row r="16047">
          <cell r="B16047" t="str">
            <v>INF204KA1WN3</v>
          </cell>
          <cell r="C16047" t="str">
            <v>-</v>
          </cell>
          <cell r="D16047" t="str">
            <v>Reliance Dual Advantage Fixed Tenure Fund VI- Plan F- Direct Plan - Dividend Payout Option</v>
          </cell>
          <cell r="E16047">
            <v>10</v>
          </cell>
        </row>
        <row r="16048">
          <cell r="B16048" t="str">
            <v>INF204KA1WM5</v>
          </cell>
          <cell r="C16048" t="str">
            <v>-</v>
          </cell>
          <cell r="D16048" t="str">
            <v>Reliance Dual Advantage Fixed Tenure Fund VI- Plan F- Direct Plan - Growth Option</v>
          </cell>
          <cell r="E16048">
            <v>12.155200000000001</v>
          </cell>
        </row>
        <row r="16049">
          <cell r="B16049" t="str">
            <v>INF204KA1WL7</v>
          </cell>
          <cell r="C16049" t="str">
            <v>-</v>
          </cell>
          <cell r="D16049" t="str">
            <v>Reliance Dual Advantage Fixed Tenure Fund VI- Plan F- Dividend Payout Option</v>
          </cell>
          <cell r="E16049">
            <v>10</v>
          </cell>
        </row>
        <row r="16050">
          <cell r="B16050" t="str">
            <v>INF204KA1WK9</v>
          </cell>
          <cell r="C16050" t="str">
            <v>-</v>
          </cell>
          <cell r="D16050" t="str">
            <v>Reliance Dual Advantage Fixed Tenure Fund VI- Plan F- Growth Option</v>
          </cell>
          <cell r="E16050">
            <v>11.749499999999999</v>
          </cell>
        </row>
        <row r="16051">
          <cell r="B16051" t="str">
            <v>INF204KA1ZC9</v>
          </cell>
          <cell r="C16051" t="str">
            <v>-</v>
          </cell>
          <cell r="D16051" t="str">
            <v>Reliance Dual Advantage Fixed Tenure Fund VII - Plan B - Direct Plan - Dividend Payout Option</v>
          </cell>
          <cell r="E16051">
            <v>10</v>
          </cell>
        </row>
        <row r="16052">
          <cell r="B16052" t="str">
            <v>INF204KA1ZD7</v>
          </cell>
          <cell r="C16052" t="str">
            <v>-</v>
          </cell>
          <cell r="D16052" t="str">
            <v>Reliance Dual Advantage Fixed Tenure Fund VII - Plan B - Direct Plan - Growth Option</v>
          </cell>
          <cell r="E16052">
            <v>12.2224</v>
          </cell>
        </row>
        <row r="16053">
          <cell r="B16053" t="str">
            <v>INF204KA1ZE5</v>
          </cell>
          <cell r="C16053" t="str">
            <v>-</v>
          </cell>
          <cell r="D16053" t="str">
            <v>Reliance Dual Advantage Fixed Tenure Fund VII - Plan B - Dividend Payout Option</v>
          </cell>
          <cell r="E16053">
            <v>10</v>
          </cell>
        </row>
        <row r="16054">
          <cell r="B16054" t="str">
            <v>INF204KA1ZF2</v>
          </cell>
          <cell r="C16054" t="str">
            <v>-</v>
          </cell>
          <cell r="D16054" t="str">
            <v>Reliance Dual Advantage Fixed Tenure Fund VII - Plan B - Growth Option</v>
          </cell>
          <cell r="E16054">
            <v>11.8126</v>
          </cell>
        </row>
        <row r="16055">
          <cell r="B16055" t="str">
            <v>INF204KA1XU6</v>
          </cell>
          <cell r="C16055" t="str">
            <v>-</v>
          </cell>
          <cell r="D16055" t="str">
            <v>Reliance Dual Advantage Fixed Tenure Fund VII- Plan A- Direct Plan-Dividend Payout Option</v>
          </cell>
          <cell r="E16055">
            <v>10</v>
          </cell>
        </row>
        <row r="16056">
          <cell r="B16056" t="str">
            <v>INF204KA1XV4</v>
          </cell>
          <cell r="C16056" t="str">
            <v>-</v>
          </cell>
          <cell r="D16056" t="str">
            <v>Reliance Dual Advantage Fixed Tenure Fund VII- Plan A- Direct Plan-Growth Option</v>
          </cell>
          <cell r="E16056">
            <v>12.1837</v>
          </cell>
        </row>
        <row r="16057">
          <cell r="B16057" t="str">
            <v>INF204KA1XW2</v>
          </cell>
          <cell r="C16057" t="str">
            <v>-</v>
          </cell>
          <cell r="D16057" t="str">
            <v>Reliance Dual Advantage Fixed Tenure Fund VII- Plan A- Dividend Payout Option</v>
          </cell>
          <cell r="E16057">
            <v>10</v>
          </cell>
        </row>
        <row r="16058">
          <cell r="B16058" t="str">
            <v>INF204KA1XX0</v>
          </cell>
          <cell r="C16058" t="str">
            <v>-</v>
          </cell>
          <cell r="D16058" t="str">
            <v>Reliance Dual Advantage Fixed Tenure Fund VII- Plan A- Growth Option</v>
          </cell>
          <cell r="E16058">
            <v>11.7707</v>
          </cell>
        </row>
        <row r="16059">
          <cell r="B16059" t="str">
            <v>INF204KA1B23</v>
          </cell>
          <cell r="C16059" t="str">
            <v>-</v>
          </cell>
          <cell r="D16059" t="str">
            <v>Reliance Dual Advantage Fixed Tenure Fund VII- Plan C- Direct Plan-Dividend Payout Option</v>
          </cell>
          <cell r="E16059">
            <v>10</v>
          </cell>
        </row>
        <row r="16060">
          <cell r="B16060" t="str">
            <v>INF204KA1B31</v>
          </cell>
          <cell r="C16060" t="str">
            <v>-</v>
          </cell>
          <cell r="D16060" t="str">
            <v>Reliance Dual Advantage Fixed Tenure Fund VII- Plan C- Direct Plan-Growth Option</v>
          </cell>
          <cell r="E16060">
            <v>11.779299999999999</v>
          </cell>
        </row>
        <row r="16061">
          <cell r="B16061" t="str">
            <v>INF204KA1B49</v>
          </cell>
          <cell r="C16061" t="str">
            <v>-</v>
          </cell>
          <cell r="D16061" t="str">
            <v>Reliance Dual Advantage Fixed Tenure Fund VII- Plan C- Dividend Payout Option</v>
          </cell>
          <cell r="E16061">
            <v>10</v>
          </cell>
        </row>
        <row r="16062">
          <cell r="B16062" t="str">
            <v>INF204KA1B56</v>
          </cell>
          <cell r="C16062" t="str">
            <v>-</v>
          </cell>
          <cell r="D16062" t="str">
            <v>Reliance Dual Advantage Fixed Tenure Fund VII- Plan C- Growth Option</v>
          </cell>
          <cell r="E16062">
            <v>11.3802</v>
          </cell>
        </row>
        <row r="16063">
          <cell r="B16063" t="str">
            <v>INF204KA1G44</v>
          </cell>
          <cell r="C16063" t="str">
            <v>-</v>
          </cell>
          <cell r="D16063" t="str">
            <v>Reliance Dual Advantage Fixed Tenure Fund VII- Plan D- Direct Plan- Growth Option</v>
          </cell>
          <cell r="E16063">
            <v>11.9999</v>
          </cell>
        </row>
        <row r="16064">
          <cell r="B16064" t="str">
            <v>INF204KA1G36</v>
          </cell>
          <cell r="C16064" t="str">
            <v>-</v>
          </cell>
          <cell r="D16064" t="str">
            <v>Reliance Dual Advantage Fixed Tenure Fund VII- Plan D- Direct Plan-Dividend Payout Option</v>
          </cell>
          <cell r="E16064">
            <v>10</v>
          </cell>
        </row>
        <row r="16065">
          <cell r="B16065" t="str">
            <v>INF204KA1G51</v>
          </cell>
          <cell r="C16065" t="str">
            <v>-</v>
          </cell>
          <cell r="D16065" t="str">
            <v>Reliance Dual Advantage Fixed Tenure Fund VII- Plan D- Dividend Payout Option</v>
          </cell>
          <cell r="E16065">
            <v>10</v>
          </cell>
        </row>
        <row r="16066">
          <cell r="B16066" t="str">
            <v>INF204KA1G69</v>
          </cell>
          <cell r="C16066" t="str">
            <v>-</v>
          </cell>
          <cell r="D16066" t="str">
            <v>Reliance Dual Advantage Fixed Tenure Fund VII- Plan D- Growth Option</v>
          </cell>
          <cell r="E16066">
            <v>11.6425</v>
          </cell>
        </row>
        <row r="16067">
          <cell r="B16067" t="str">
            <v>INF204KA1L70</v>
          </cell>
          <cell r="C16067" t="str">
            <v>-</v>
          </cell>
          <cell r="D16067" t="str">
            <v>Reliance Dual Advantage Fixed Tenure Fund VII- Plan E- Direct Plan-Dividend Payout Option</v>
          </cell>
          <cell r="E16067">
            <v>10</v>
          </cell>
        </row>
        <row r="16068">
          <cell r="B16068" t="str">
            <v>INF204KA1L88</v>
          </cell>
          <cell r="C16068" t="str">
            <v>-</v>
          </cell>
          <cell r="D16068" t="str">
            <v>Reliance Dual Advantage Fixed Tenure Fund VII- Plan E- Direct Plan-Growth Option</v>
          </cell>
          <cell r="E16068">
            <v>11.843999999999999</v>
          </cell>
        </row>
        <row r="16069">
          <cell r="B16069" t="str">
            <v>INF204KA1L96</v>
          </cell>
          <cell r="C16069" t="str">
            <v>-</v>
          </cell>
          <cell r="D16069" t="str">
            <v>Reliance Dual Advantage Fixed Tenure Fund VII- Plan E- Dividend Payout Option</v>
          </cell>
          <cell r="E16069">
            <v>10</v>
          </cell>
        </row>
        <row r="16070">
          <cell r="B16070" t="str">
            <v>INF204KA1M04</v>
          </cell>
          <cell r="C16070" t="str">
            <v>-</v>
          </cell>
          <cell r="D16070" t="str">
            <v>Reliance Dual Advantage Fixed Tenure Fund VII- Plan E- Growth Option</v>
          </cell>
          <cell r="E16070">
            <v>11.6297</v>
          </cell>
        </row>
        <row r="16071">
          <cell r="B16071" t="str">
            <v>INF204KA11J8</v>
          </cell>
          <cell r="C16071" t="str">
            <v>-</v>
          </cell>
          <cell r="D16071" t="str">
            <v>Reliance Dual Advantage Fixed Tenure Fund VIII- Plan A- Direct Plan- Growth Option</v>
          </cell>
          <cell r="E16071">
            <v>12.315</v>
          </cell>
        </row>
        <row r="16072">
          <cell r="B16072" t="str">
            <v>INF204KA10J0</v>
          </cell>
          <cell r="C16072" t="str">
            <v>-</v>
          </cell>
          <cell r="D16072" t="str">
            <v>Reliance Dual Advantage Fixed Tenure Fund VIII- Plan A- Direct Plan-Dividend Payout Option</v>
          </cell>
          <cell r="E16072">
            <v>12.315</v>
          </cell>
        </row>
        <row r="16073">
          <cell r="B16073" t="str">
            <v>INF204KA12J6</v>
          </cell>
          <cell r="C16073" t="str">
            <v>-</v>
          </cell>
          <cell r="D16073" t="str">
            <v>Reliance Dual Advantage Fixed Tenure Fund VIII- Plan A- Dividend Payout Option</v>
          </cell>
          <cell r="E16073">
            <v>11.9048</v>
          </cell>
        </row>
        <row r="16074">
          <cell r="B16074" t="str">
            <v>INF204KA13J4</v>
          </cell>
          <cell r="C16074" t="str">
            <v>-</v>
          </cell>
          <cell r="D16074" t="str">
            <v>Reliance Dual Advantage Fixed Tenure Fund VIII- Plan A- Growth Option</v>
          </cell>
          <cell r="E16074">
            <v>11.9048</v>
          </cell>
        </row>
        <row r="16075">
          <cell r="B16075" t="str">
            <v>INF204KA18K1</v>
          </cell>
          <cell r="C16075" t="str">
            <v>-</v>
          </cell>
          <cell r="D16075" t="str">
            <v>Reliance Dual Advantage Fixed Tenure Fund VIII- Plan B-Direct Plan-Dividend Payout Option</v>
          </cell>
          <cell r="E16075">
            <v>12.316700000000001</v>
          </cell>
        </row>
        <row r="16076">
          <cell r="B16076" t="str">
            <v>INF204KA19K9</v>
          </cell>
          <cell r="C16076" t="str">
            <v>-</v>
          </cell>
          <cell r="D16076" t="str">
            <v>Reliance Dual Advantage Fixed Tenure Fund VIII- Plan B-Direct Plan-Growth Option</v>
          </cell>
          <cell r="E16076">
            <v>12.316700000000001</v>
          </cell>
        </row>
        <row r="16077">
          <cell r="B16077" t="str">
            <v>INF204KA10L6</v>
          </cell>
          <cell r="C16077" t="str">
            <v>-</v>
          </cell>
          <cell r="D16077" t="str">
            <v>Reliance Dual Advantage Fixed Tenure Fund VIII- Plan B-Dividend Payout Option</v>
          </cell>
          <cell r="E16077">
            <v>11.946899999999999</v>
          </cell>
        </row>
        <row r="16078">
          <cell r="B16078" t="str">
            <v>INF204KA11L4</v>
          </cell>
          <cell r="C16078" t="str">
            <v>-</v>
          </cell>
          <cell r="D16078" t="str">
            <v>Reliance Dual Advantage Fixed Tenure Fund VIII- Plan B-Growth Option</v>
          </cell>
          <cell r="E16078">
            <v>11.946899999999999</v>
          </cell>
        </row>
        <row r="16079">
          <cell r="B16079" t="str">
            <v>INF204KA11O8</v>
          </cell>
          <cell r="C16079" t="str">
            <v>-</v>
          </cell>
          <cell r="D16079" t="str">
            <v>Reliance Dual Advantage Fixed Tenure Fund VIII- Plan C- Direct Plan-Dividend Payout Option</v>
          </cell>
          <cell r="E16079">
            <v>12.1021</v>
          </cell>
        </row>
        <row r="16080">
          <cell r="B16080" t="str">
            <v>INF204KA12O6</v>
          </cell>
          <cell r="C16080" t="str">
            <v>-</v>
          </cell>
          <cell r="D16080" t="str">
            <v>Reliance Dual Advantage Fixed Tenure Fund VIII- Plan C- Direct Plan-Growth Option</v>
          </cell>
          <cell r="E16080">
            <v>12.1021</v>
          </cell>
        </row>
        <row r="16081">
          <cell r="B16081" t="str">
            <v>INF204KA13O4</v>
          </cell>
          <cell r="C16081" t="str">
            <v>-</v>
          </cell>
          <cell r="D16081" t="str">
            <v>Reliance Dual Advantage Fixed Tenure Fund VIII- Plan C- Dividend Payout Option</v>
          </cell>
          <cell r="E16081">
            <v>11.755599999999999</v>
          </cell>
        </row>
        <row r="16082">
          <cell r="B16082" t="str">
            <v>INF204KA14O2</v>
          </cell>
          <cell r="C16082" t="str">
            <v>-</v>
          </cell>
          <cell r="D16082" t="str">
            <v>Reliance Dual Advantage Fixed Tenure Fund VIII- Plan C- Growth Option</v>
          </cell>
          <cell r="E16082">
            <v>11.755599999999999</v>
          </cell>
        </row>
        <row r="16083">
          <cell r="B16083" t="str">
            <v>INF204KB1Z49</v>
          </cell>
          <cell r="C16083" t="str">
            <v>-</v>
          </cell>
          <cell r="D16083" t="str">
            <v>Reliance Fixed Horizon Fund XLI - Series 2 - Direct Plan - Dividend Payout Option</v>
          </cell>
          <cell r="E16083">
            <v>10</v>
          </cell>
        </row>
        <row r="16084">
          <cell r="B16084" t="str">
            <v>INF204KB1Z31</v>
          </cell>
          <cell r="C16084" t="str">
            <v>-</v>
          </cell>
          <cell r="D16084" t="str">
            <v>Reliance Fixed Horizon Fund XLI - Series 2 - Direct Plan - Growth Option</v>
          </cell>
          <cell r="E16084">
            <v>10.1951</v>
          </cell>
        </row>
        <row r="16085">
          <cell r="B16085" t="str">
            <v>INF204KB1Z23</v>
          </cell>
          <cell r="C16085" t="str">
            <v>-</v>
          </cell>
          <cell r="D16085" t="str">
            <v>Reliance Fixed Horizon Fund XLI - Series 2 - Dividend Payout Option</v>
          </cell>
          <cell r="E16085">
            <v>10</v>
          </cell>
        </row>
        <row r="16086">
          <cell r="B16086" t="str">
            <v>INF204KB1Z15</v>
          </cell>
          <cell r="C16086" t="str">
            <v>-</v>
          </cell>
          <cell r="D16086" t="str">
            <v>Reliance Fixed Horizon Fund XLI - Series 2 - Growth Option</v>
          </cell>
          <cell r="E16086">
            <v>10.1898</v>
          </cell>
        </row>
        <row r="16087">
          <cell r="B16087" t="str">
            <v>INF204KA1TS8</v>
          </cell>
          <cell r="C16087" t="str">
            <v>-</v>
          </cell>
          <cell r="D16087" t="str">
            <v>Reliance Fixed Horizon Fund - XXII - Series 21 - Dividend Payout Option</v>
          </cell>
          <cell r="E16087">
            <v>10</v>
          </cell>
        </row>
        <row r="16088">
          <cell r="B16088" t="str">
            <v>INF204KA1TR0</v>
          </cell>
          <cell r="C16088" t="str">
            <v>-</v>
          </cell>
          <cell r="D16088" t="str">
            <v>Reliance Fixed Horizon Fund - XXII - Series 21 - Growth Option</v>
          </cell>
          <cell r="E16088">
            <v>12.9924</v>
          </cell>
        </row>
        <row r="16089">
          <cell r="B16089" t="str">
            <v>INF204KA1VJ3</v>
          </cell>
          <cell r="C16089" t="str">
            <v>-</v>
          </cell>
          <cell r="D16089" t="str">
            <v>Reliance Fixed Horizon Fund - XXII - Series 22 - Dividend Payout Option</v>
          </cell>
          <cell r="E16089">
            <v>10</v>
          </cell>
        </row>
        <row r="16090">
          <cell r="B16090" t="str">
            <v>INF204KA1VI5</v>
          </cell>
          <cell r="C16090" t="str">
            <v>-</v>
          </cell>
          <cell r="D16090" t="str">
            <v>Reliance Fixed Horizon Fund - XXII - Series 22 - Growth Option</v>
          </cell>
          <cell r="E16090">
            <v>12.8537</v>
          </cell>
        </row>
        <row r="16091">
          <cell r="B16091" t="str">
            <v>INF204K01VM9</v>
          </cell>
          <cell r="C16091" t="str">
            <v>-</v>
          </cell>
          <cell r="D16091" t="str">
            <v>Reliance Fixed Horizon Fund - XXII - Series 23 - Dividend Payout Option</v>
          </cell>
          <cell r="E16091">
            <v>10</v>
          </cell>
        </row>
        <row r="16092">
          <cell r="B16092" t="str">
            <v>INF204K01VL1</v>
          </cell>
          <cell r="C16092" t="str">
            <v>-</v>
          </cell>
          <cell r="D16092" t="str">
            <v>Reliance Fixed Horizon Fund - XXII - Series 23 - Growth Option</v>
          </cell>
          <cell r="E16092">
            <v>12.869199999999999</v>
          </cell>
        </row>
        <row r="16093">
          <cell r="B16093" t="str">
            <v>INF204K01VO5</v>
          </cell>
          <cell r="C16093" t="str">
            <v>-</v>
          </cell>
          <cell r="D16093" t="str">
            <v>Reliance Fixed Horizon Fund - XXII - Series 24 - Dividend Payout Option</v>
          </cell>
          <cell r="E16093">
            <v>12.8591</v>
          </cell>
        </row>
        <row r="16094">
          <cell r="B16094" t="str">
            <v>INF204K01VN7</v>
          </cell>
          <cell r="C16094" t="str">
            <v>-</v>
          </cell>
          <cell r="D16094" t="str">
            <v>Reliance Fixed Horizon Fund - XXII - Series 24 - Growth Option</v>
          </cell>
          <cell r="E16094">
            <v>15.0562</v>
          </cell>
        </row>
        <row r="16095">
          <cell r="B16095" t="str">
            <v>INF204KA1VX4</v>
          </cell>
          <cell r="C16095" t="str">
            <v>-</v>
          </cell>
          <cell r="D16095" t="str">
            <v>Reliance Fixed Horizon Fund - XXII - Series 26 - Dividend Payout Option</v>
          </cell>
          <cell r="E16095">
            <v>10</v>
          </cell>
        </row>
        <row r="16096">
          <cell r="B16096" t="str">
            <v>INF204KA1VW6</v>
          </cell>
          <cell r="C16096" t="str">
            <v>-</v>
          </cell>
          <cell r="D16096" t="str">
            <v>Reliance Fixed Horizon Fund - XXII - Series 26 - Growth Option</v>
          </cell>
          <cell r="E16096">
            <v>12.997</v>
          </cell>
        </row>
        <row r="16097">
          <cell r="B16097" t="str">
            <v>INF204KA1XF7</v>
          </cell>
          <cell r="C16097" t="str">
            <v>-</v>
          </cell>
          <cell r="D16097" t="str">
            <v>Reliance Fixed Horizon Fund - XXII - Series 29 - Dividend Option</v>
          </cell>
          <cell r="E16097">
            <v>10</v>
          </cell>
        </row>
        <row r="16098">
          <cell r="B16098" t="str">
            <v>INF204KA1XE0</v>
          </cell>
          <cell r="C16098" t="str">
            <v>-</v>
          </cell>
          <cell r="D16098" t="str">
            <v>Reliance Fixed Horizon Fund - XXII - Series 29 - Growth Option</v>
          </cell>
          <cell r="E16098">
            <v>12.8506</v>
          </cell>
        </row>
        <row r="16099">
          <cell r="B16099" t="str">
            <v>INF204K01WA2</v>
          </cell>
          <cell r="C16099" t="str">
            <v>-</v>
          </cell>
          <cell r="D16099" t="str">
            <v>Reliance Fixed Horizon Fund XXII - Sereis 30 - Dividend Payout Option</v>
          </cell>
          <cell r="E16099">
            <v>14.7933</v>
          </cell>
        </row>
        <row r="16100">
          <cell r="B16100" t="str">
            <v>INF204K01VZ1</v>
          </cell>
          <cell r="C16100" t="str">
            <v>-</v>
          </cell>
          <cell r="D16100" t="str">
            <v>Reliance Fixed Horizon Fund XXII - Series 30 - Growth Option</v>
          </cell>
          <cell r="E16100">
            <v>14.8033</v>
          </cell>
        </row>
        <row r="16101">
          <cell r="B16101" t="str">
            <v>INF204K01WI5</v>
          </cell>
          <cell r="C16101" t="str">
            <v>-</v>
          </cell>
          <cell r="D16101" t="str">
            <v>Reliance Fixed Horizon Fund - XXII - Series 34 - Dividend Payout Option</v>
          </cell>
          <cell r="E16101">
            <v>10</v>
          </cell>
        </row>
        <row r="16102">
          <cell r="B16102" t="str">
            <v>INF204K01WH7</v>
          </cell>
          <cell r="C16102" t="str">
            <v>-</v>
          </cell>
          <cell r="D16102" t="str">
            <v>Reliance Fixed Horizon Fund - XXII -Series -34 Growth Option</v>
          </cell>
          <cell r="E16102">
            <v>12.9275</v>
          </cell>
        </row>
        <row r="16103">
          <cell r="B16103" t="str">
            <v>INF204K016B5</v>
          </cell>
          <cell r="C16103" t="str">
            <v>-</v>
          </cell>
          <cell r="D16103" t="str">
            <v>Reliance Fixed Horizon Fund - XXIII - Series 11 - Direct Plan - Growth Option</v>
          </cell>
          <cell r="E16103">
            <v>12.872199999999999</v>
          </cell>
        </row>
        <row r="16104">
          <cell r="B16104" t="str">
            <v>INF204K015B7</v>
          </cell>
          <cell r="C16104" t="str">
            <v>-</v>
          </cell>
          <cell r="D16104" t="str">
            <v>Reliance Fixed Horizon Fund - XXIII - Series 11 - Dividend Payout Option</v>
          </cell>
          <cell r="E16104">
            <v>10</v>
          </cell>
        </row>
        <row r="16105">
          <cell r="B16105" t="str">
            <v>INF204K014B0</v>
          </cell>
          <cell r="C16105" t="str">
            <v>-</v>
          </cell>
          <cell r="D16105" t="str">
            <v>Reliance Fixed Horizon Fund - XXIII - Series 11 - Growth Option</v>
          </cell>
          <cell r="E16105">
            <v>12.773300000000001</v>
          </cell>
        </row>
        <row r="16106">
          <cell r="B16106" t="str">
            <v>INF204K010C6</v>
          </cell>
          <cell r="C16106" t="str">
            <v>-</v>
          </cell>
          <cell r="D16106" t="str">
            <v>Reliance Fixed Horizon Fund - XXIII - Series 12 - Direct Plan - Growth  Option</v>
          </cell>
          <cell r="E16106">
            <v>13.803800000000001</v>
          </cell>
        </row>
        <row r="16107">
          <cell r="B16107" t="str">
            <v>INF204K019B9</v>
          </cell>
          <cell r="C16107" t="str">
            <v>-</v>
          </cell>
          <cell r="D16107" t="str">
            <v>Reliance Fixed Horizon Fund - XXIII - Series 12 - Dividend Payout Option</v>
          </cell>
          <cell r="E16107">
            <v>10</v>
          </cell>
        </row>
        <row r="16108">
          <cell r="B16108" t="str">
            <v>INF204K018B1</v>
          </cell>
          <cell r="C16108" t="str">
            <v>-</v>
          </cell>
          <cell r="D16108" t="str">
            <v>Reliance Fixed Horizon Fund - XXIII - Series 12 - Growth Option</v>
          </cell>
          <cell r="E16108">
            <v>13.708299999999999</v>
          </cell>
        </row>
        <row r="16109">
          <cell r="B16109" t="str">
            <v>INF204K015A9</v>
          </cell>
          <cell r="C16109" t="str">
            <v>-</v>
          </cell>
          <cell r="D16109" t="str">
            <v>Reliance Fixed Horizon Fund - XXIII - Series 8 - Direct Plan - Dividend Payout Option</v>
          </cell>
          <cell r="E16109">
            <v>10</v>
          </cell>
        </row>
        <row r="16110">
          <cell r="B16110" t="str">
            <v>INF204K014A2</v>
          </cell>
          <cell r="C16110" t="str">
            <v>-</v>
          </cell>
          <cell r="D16110" t="str">
            <v>Reliance Fixed Horizon Fund - XXIII - Series 8 - Direct Plan - Growth Option</v>
          </cell>
          <cell r="E16110">
            <v>14.0124</v>
          </cell>
        </row>
        <row r="16111">
          <cell r="B16111" t="str">
            <v>INF204K013A4</v>
          </cell>
          <cell r="C16111" t="str">
            <v>-</v>
          </cell>
          <cell r="D16111" t="str">
            <v>Reliance Fixed Horizon Fund - XXIII - Series 8 - Dividend Payout Option</v>
          </cell>
          <cell r="E16111">
            <v>10</v>
          </cell>
        </row>
        <row r="16112">
          <cell r="B16112" t="str">
            <v>INF204K012A6</v>
          </cell>
          <cell r="C16112" t="str">
            <v>-</v>
          </cell>
          <cell r="D16112" t="str">
            <v>Reliance Fixed Horizon Fund - XXIII - Series 8 - Growth Option</v>
          </cell>
          <cell r="E16112">
            <v>13.9384</v>
          </cell>
        </row>
        <row r="16113">
          <cell r="B16113" t="str">
            <v>INF204KA1032</v>
          </cell>
          <cell r="C16113" t="str">
            <v>-</v>
          </cell>
          <cell r="D16113" t="str">
            <v>Reliance Fixed Horizon Fund - XXIV - Series 10 - Direct Plan - Dividend Payout Option</v>
          </cell>
          <cell r="E16113">
            <v>10</v>
          </cell>
        </row>
        <row r="16114">
          <cell r="B16114" t="str">
            <v>INF204KA1024</v>
          </cell>
          <cell r="C16114" t="str">
            <v>-</v>
          </cell>
          <cell r="D16114" t="str">
            <v>Reliance Fixed Horizon Fund - XXIV - Series 10 - Direct Plan - Growth Option</v>
          </cell>
          <cell r="E16114">
            <v>13.0824</v>
          </cell>
        </row>
        <row r="16115">
          <cell r="B16115" t="str">
            <v>INF204KA1016</v>
          </cell>
          <cell r="C16115" t="str">
            <v>-</v>
          </cell>
          <cell r="D16115" t="str">
            <v>Reliance Fixed Horizon Fund - XXIV - Series 10 - Dividend Payout Option</v>
          </cell>
          <cell r="E16115">
            <v>10</v>
          </cell>
        </row>
        <row r="16116">
          <cell r="B16116" t="str">
            <v>INF204K019Z8</v>
          </cell>
          <cell r="C16116" t="str">
            <v>-</v>
          </cell>
          <cell r="D16116" t="str">
            <v>Reliance Fixed Horizon Fund - XXIV - Series 10 - Growth Option</v>
          </cell>
          <cell r="E16116">
            <v>12.9473</v>
          </cell>
        </row>
        <row r="16117">
          <cell r="B16117" t="str">
            <v>INF204KA1TP4</v>
          </cell>
          <cell r="C16117" t="str">
            <v>-</v>
          </cell>
          <cell r="D16117" t="str">
            <v>Reliance Fixed Horizon Fund - XXIV - Series 11 - Direct Plan - Growth Option</v>
          </cell>
          <cell r="E16117">
            <v>14.993</v>
          </cell>
        </row>
        <row r="16118">
          <cell r="B16118" t="str">
            <v>INF204KA1TN9</v>
          </cell>
          <cell r="C16118" t="str">
            <v>-</v>
          </cell>
          <cell r="D16118" t="str">
            <v>Reliance Fixed Horizon Fund - XXIV - Series 11 - Growth Option</v>
          </cell>
          <cell r="E16118">
            <v>14.872199999999999</v>
          </cell>
        </row>
        <row r="16119">
          <cell r="B16119" t="str">
            <v>INF204KA1149</v>
          </cell>
          <cell r="C16119" t="str">
            <v>-</v>
          </cell>
          <cell r="D16119" t="str">
            <v>Reliance Fixed Horizon Fund - XXIV - Series 13 -Direct Plan -Growth Option</v>
          </cell>
          <cell r="E16119">
            <v>13.325200000000001</v>
          </cell>
        </row>
        <row r="16120">
          <cell r="B16120" t="str">
            <v>INF204KA1131</v>
          </cell>
          <cell r="C16120" t="str">
            <v>-</v>
          </cell>
          <cell r="D16120" t="str">
            <v>Reliance Fixed Horizon Fund - XXIV - Series 13 -Dividend Payout Option</v>
          </cell>
          <cell r="E16120">
            <v>10</v>
          </cell>
        </row>
        <row r="16121">
          <cell r="B16121" t="str">
            <v>INF204KA1123</v>
          </cell>
          <cell r="C16121" t="str">
            <v>-</v>
          </cell>
          <cell r="D16121" t="str">
            <v>Reliance Fixed Horizon Fund - XXIV - Series 13 -Growth Option</v>
          </cell>
          <cell r="E16121">
            <v>13.095800000000001</v>
          </cell>
        </row>
        <row r="16122">
          <cell r="B16122" t="str">
            <v>INF204KA1UL1</v>
          </cell>
          <cell r="C16122" t="str">
            <v>-</v>
          </cell>
          <cell r="D16122" t="str">
            <v>Reliance Fixed Horizon Fund - XXIV - Series 15-Direct Plan -Growth Option</v>
          </cell>
          <cell r="E16122">
            <v>15.0336</v>
          </cell>
        </row>
        <row r="16123">
          <cell r="B16123" t="str">
            <v>INF204KA1UK3</v>
          </cell>
          <cell r="C16123" t="str">
            <v>-</v>
          </cell>
          <cell r="D16123" t="str">
            <v>Reliance Fixed Horizon Fund - XXIV - Series 15-Dividend Payout Option</v>
          </cell>
          <cell r="E16123">
            <v>10</v>
          </cell>
        </row>
        <row r="16124">
          <cell r="B16124" t="str">
            <v>INF204KA1UJ5</v>
          </cell>
          <cell r="C16124" t="str">
            <v>-</v>
          </cell>
          <cell r="D16124" t="str">
            <v>Reliance Fixed Horizon Fund - XXIV - Series 15-Growth Option</v>
          </cell>
          <cell r="E16124">
            <v>14.87</v>
          </cell>
        </row>
        <row r="16125">
          <cell r="B16125" t="str">
            <v>INF204KA1UY4</v>
          </cell>
          <cell r="C16125" t="str">
            <v>-</v>
          </cell>
          <cell r="D16125" t="str">
            <v>Reliance Fixed Horizon Fund - XXIV - Series 16 - Direct Plan - Growth Plan</v>
          </cell>
          <cell r="E16125">
            <v>13.129300000000001</v>
          </cell>
        </row>
        <row r="16126">
          <cell r="B16126" t="str">
            <v>INF204KA1UW8</v>
          </cell>
          <cell r="C16126" t="str">
            <v>-</v>
          </cell>
          <cell r="D16126" t="str">
            <v>Reliance Fixed Horizon Fund - XXIV - Series 16 - Growth Plan</v>
          </cell>
          <cell r="E16126">
            <v>13.088699999999999</v>
          </cell>
        </row>
        <row r="16127">
          <cell r="B16127" t="str">
            <v>INF204KA1VF1</v>
          </cell>
          <cell r="C16127" t="str">
            <v>-</v>
          </cell>
          <cell r="D16127" t="str">
            <v>Reliance Fixed Horizon Fund - XXIV - Series 17 -Dividend Payout Option</v>
          </cell>
          <cell r="E16127">
            <v>10</v>
          </cell>
        </row>
        <row r="16128">
          <cell r="B16128" t="str">
            <v>INF204KA1VH7</v>
          </cell>
          <cell r="C16128" t="str">
            <v>-</v>
          </cell>
          <cell r="D16128" t="str">
            <v>Reliance Fixed Horizon Fund - XXIV - Series 17- Direct Plan -Dividend Payout Option</v>
          </cell>
          <cell r="E16128">
            <v>10</v>
          </cell>
        </row>
        <row r="16129">
          <cell r="B16129" t="str">
            <v>INF204KA1VG9</v>
          </cell>
          <cell r="C16129" t="str">
            <v>-</v>
          </cell>
          <cell r="D16129" t="str">
            <v>Reliance Fixed Horizon Fund - XXIV - Series 17-Direct Plan -Growth Option</v>
          </cell>
          <cell r="E16129">
            <v>13.1119</v>
          </cell>
        </row>
        <row r="16130">
          <cell r="B16130" t="str">
            <v>INF204KA1VE4</v>
          </cell>
          <cell r="C16130" t="str">
            <v>-</v>
          </cell>
          <cell r="D16130" t="str">
            <v>Reliance Fixed Horizon Fund - XXIV - Series 17-Growth Option</v>
          </cell>
          <cell r="E16130">
            <v>13.007999999999999</v>
          </cell>
        </row>
        <row r="16131">
          <cell r="B16131" t="str">
            <v>INF204KA1VM7</v>
          </cell>
          <cell r="C16131" t="str">
            <v>-</v>
          </cell>
          <cell r="D16131" t="str">
            <v>Reliance Fixed Horizon Fund - XXIV - Series 18 -Direct Plan -Growth Option</v>
          </cell>
          <cell r="E16131">
            <v>13.129899999999999</v>
          </cell>
        </row>
        <row r="16132">
          <cell r="B16132" t="str">
            <v>INF204KA1VL9</v>
          </cell>
          <cell r="C16132" t="str">
            <v>-</v>
          </cell>
          <cell r="D16132" t="str">
            <v>Reliance Fixed Horizon Fund - XXIV - Series 18 -Dividend Payout Optioin</v>
          </cell>
          <cell r="E16132">
            <v>10</v>
          </cell>
        </row>
        <row r="16133">
          <cell r="B16133" t="str">
            <v>INF204KA1VK1</v>
          </cell>
          <cell r="C16133" t="str">
            <v>-</v>
          </cell>
          <cell r="D16133" t="str">
            <v>Reliance Fixed Horizon Fund - XXIV - Series 18-Growth Option</v>
          </cell>
          <cell r="E16133">
            <v>13.089700000000001</v>
          </cell>
        </row>
        <row r="16134">
          <cell r="B16134" t="str">
            <v>INF204K010X2</v>
          </cell>
          <cell r="C16134" t="str">
            <v>-</v>
          </cell>
          <cell r="D16134" t="str">
            <v>Reliance Fixed Horizon Fund - XXIV - Series 2 - Direct Plan - Dividend Payout Option</v>
          </cell>
          <cell r="E16134">
            <v>10</v>
          </cell>
        </row>
        <row r="16135">
          <cell r="B16135" t="str">
            <v>INF204K019W5</v>
          </cell>
          <cell r="C16135" t="str">
            <v>-</v>
          </cell>
          <cell r="D16135" t="str">
            <v>Reliance Fixed Horizon Fund - XXIV - Series 2 - Direct Plan - Growth Option</v>
          </cell>
          <cell r="E16135">
            <v>15.785</v>
          </cell>
        </row>
        <row r="16136">
          <cell r="B16136" t="str">
            <v>INF204K018W7</v>
          </cell>
          <cell r="C16136" t="str">
            <v>-</v>
          </cell>
          <cell r="D16136" t="str">
            <v>Reliance Fixed Horizon Fund - XXIV - Series 2 - Dividend Payout Option</v>
          </cell>
          <cell r="E16136">
            <v>10</v>
          </cell>
        </row>
        <row r="16137">
          <cell r="B16137" t="str">
            <v>INF204K017W9</v>
          </cell>
          <cell r="C16137" t="str">
            <v>-</v>
          </cell>
          <cell r="D16137" t="str">
            <v>Reliance Fixed Horizon Fund - XXIV - Series 2 - Growth Option</v>
          </cell>
          <cell r="E16137">
            <v>15.555099999999999</v>
          </cell>
        </row>
        <row r="16138">
          <cell r="B16138" t="str">
            <v>INF204KA1438</v>
          </cell>
          <cell r="C16138" t="str">
            <v>-</v>
          </cell>
          <cell r="D16138" t="str">
            <v>Reliance Fixed Horizon Fund - XXIV - Series 20 - Direct Plan - Dividend Payout Option</v>
          </cell>
          <cell r="E16138">
            <v>10</v>
          </cell>
        </row>
        <row r="16139">
          <cell r="B16139" t="str">
            <v>INF204KA1420</v>
          </cell>
          <cell r="C16139" t="str">
            <v>-</v>
          </cell>
          <cell r="D16139" t="str">
            <v>Reliance Fixed Horizon Fund - XXIV - Series 20 - Direct Plan - Growth Option</v>
          </cell>
          <cell r="E16139">
            <v>13.196899999999999</v>
          </cell>
        </row>
        <row r="16140">
          <cell r="B16140" t="str">
            <v>INF204KA1412</v>
          </cell>
          <cell r="C16140" t="str">
            <v>-</v>
          </cell>
          <cell r="D16140" t="str">
            <v>Reliance Fixed Horizon Fund - XXIV - Series 20 - Dividend Payout Option</v>
          </cell>
          <cell r="E16140">
            <v>10</v>
          </cell>
        </row>
        <row r="16141">
          <cell r="B16141" t="str">
            <v>INF204KA1404</v>
          </cell>
          <cell r="C16141" t="str">
            <v>-</v>
          </cell>
          <cell r="D16141" t="str">
            <v>Reliance Fixed Horizon Fund - XXIV - Series 20 - Growth Option</v>
          </cell>
          <cell r="E16141">
            <v>12.9991</v>
          </cell>
        </row>
        <row r="16142">
          <cell r="B16142" t="str">
            <v>INF204KA11E9</v>
          </cell>
          <cell r="C16142" t="str">
            <v>-</v>
          </cell>
          <cell r="D16142" t="str">
            <v>Reliance Fixed Horizon Fund - XXIV - Series 22 - Direct Plan - Dividend Payout Option</v>
          </cell>
          <cell r="E16142">
            <v>10</v>
          </cell>
        </row>
        <row r="16143">
          <cell r="B16143" t="str">
            <v>INF204KA10E1</v>
          </cell>
          <cell r="C16143" t="str">
            <v>-</v>
          </cell>
          <cell r="D16143" t="str">
            <v>Reliance Fixed Horizon Fund - XXIV - Series 22 - Direct Plan - Growth Option</v>
          </cell>
          <cell r="E16143">
            <v>13.6532</v>
          </cell>
        </row>
        <row r="16144">
          <cell r="B16144" t="str">
            <v>INF204KA19D4</v>
          </cell>
          <cell r="C16144" t="str">
            <v>-</v>
          </cell>
          <cell r="D16144" t="str">
            <v>Reliance Fixed Horizon Fund - XXIV - Series 22 - Dividend Payout Option</v>
          </cell>
          <cell r="E16144">
            <v>10</v>
          </cell>
        </row>
        <row r="16145">
          <cell r="B16145" t="str">
            <v>INF204KA18D6</v>
          </cell>
          <cell r="C16145" t="str">
            <v>-</v>
          </cell>
          <cell r="D16145" t="str">
            <v>Reliance Fixed Horizon Fund - XXIV - Series 22 - Growth Option</v>
          </cell>
          <cell r="E16145">
            <v>13.5557</v>
          </cell>
        </row>
        <row r="16146">
          <cell r="B16146" t="str">
            <v>INF204KA1594</v>
          </cell>
          <cell r="C16146" t="str">
            <v>-</v>
          </cell>
          <cell r="D16146" t="str">
            <v>Reliance Fixed Horizon Fund - XXIV - Series 24 - Direct Plan - Dividend Payout Option</v>
          </cell>
          <cell r="E16146">
            <v>15.1213</v>
          </cell>
        </row>
        <row r="16147">
          <cell r="B16147" t="str">
            <v>INF204KA1586</v>
          </cell>
          <cell r="C16147" t="str">
            <v>-</v>
          </cell>
          <cell r="D16147" t="str">
            <v>Reliance Fixed Horizon Fund - XXIV - Series 24 - Direct Plan - Growth Option</v>
          </cell>
          <cell r="E16147">
            <v>15.1213</v>
          </cell>
        </row>
        <row r="16148">
          <cell r="B16148" t="str">
            <v>INF204KA1578</v>
          </cell>
          <cell r="C16148" t="str">
            <v>-</v>
          </cell>
          <cell r="D16148" t="str">
            <v>Reliance Fixed Horizon Fund - XXIV - Series 24 - Dividend Payout Option</v>
          </cell>
          <cell r="E16148">
            <v>14.7971</v>
          </cell>
        </row>
        <row r="16149">
          <cell r="B16149" t="str">
            <v>INF204KA1560</v>
          </cell>
          <cell r="C16149" t="str">
            <v>-</v>
          </cell>
          <cell r="D16149" t="str">
            <v>Reliance Fixed Horizon Fund - XXIV - Series 24 - Growth Option</v>
          </cell>
          <cell r="E16149">
            <v>14.7971</v>
          </cell>
        </row>
        <row r="16150">
          <cell r="B16150" t="str">
            <v>INF204KA1636</v>
          </cell>
          <cell r="C16150" t="str">
            <v>-</v>
          </cell>
          <cell r="D16150" t="str">
            <v>Reliance Fixed Horizon Fund - XXIV - Series 25 - Direct Plan - Dividend Payout Option</v>
          </cell>
          <cell r="E16150">
            <v>10</v>
          </cell>
        </row>
        <row r="16151">
          <cell r="B16151" t="str">
            <v>INF204KA1610</v>
          </cell>
          <cell r="C16151" t="str">
            <v>-</v>
          </cell>
          <cell r="D16151" t="str">
            <v>Reliance Fixed Horizon Fund - XXIV - Series 25 - Dividend Payout Option</v>
          </cell>
          <cell r="E16151">
            <v>10</v>
          </cell>
        </row>
        <row r="16152">
          <cell r="B16152" t="str">
            <v>INF204KA1602</v>
          </cell>
          <cell r="C16152" t="str">
            <v>-</v>
          </cell>
          <cell r="D16152" t="str">
            <v>Reliance Fixed Horizon Fund - XXIV - Series 25 - Growth Option</v>
          </cell>
          <cell r="E16152">
            <v>14.1524</v>
          </cell>
        </row>
        <row r="16153">
          <cell r="B16153" t="str">
            <v>INF204KA1628</v>
          </cell>
          <cell r="C16153" t="str">
            <v>-</v>
          </cell>
          <cell r="D16153" t="str">
            <v>Reliance Fixed Horizon Fund - XXIV - Series 25- Direct Plan - Growth Option</v>
          </cell>
          <cell r="E16153">
            <v>14.2784</v>
          </cell>
        </row>
        <row r="16154">
          <cell r="B16154" t="str">
            <v>INF204KA1SG5</v>
          </cell>
          <cell r="C16154" t="str">
            <v>-</v>
          </cell>
          <cell r="D16154" t="str">
            <v>Reliance Fixed Horizon Fund - XXIV - Series 3-Direct Plan - Dividend Payout Option</v>
          </cell>
          <cell r="E16154">
            <v>10</v>
          </cell>
        </row>
        <row r="16155">
          <cell r="B16155" t="str">
            <v>INF204KA1SF7</v>
          </cell>
          <cell r="C16155" t="str">
            <v>-</v>
          </cell>
          <cell r="D16155" t="str">
            <v>Reliance Fixed Horizon Fund - XXIV - Series 3-Direct Plan - Growth Option</v>
          </cell>
          <cell r="E16155">
            <v>14.7249</v>
          </cell>
        </row>
        <row r="16156">
          <cell r="B16156" t="str">
            <v>INF204KA1SE0</v>
          </cell>
          <cell r="C16156" t="str">
            <v>-</v>
          </cell>
          <cell r="D16156" t="str">
            <v>Reliance Fixed Horizon Fund - XXIV - Series 3-Dividend payout Option</v>
          </cell>
          <cell r="E16156">
            <v>10</v>
          </cell>
        </row>
        <row r="16157">
          <cell r="B16157" t="str">
            <v>INF204KA1SD2</v>
          </cell>
          <cell r="C16157" t="str">
            <v>-</v>
          </cell>
          <cell r="D16157" t="str">
            <v>Reliance Fixed Horizon Fund - XXIV - Series 3-Growth Option</v>
          </cell>
          <cell r="E16157">
            <v>14.646699999999999</v>
          </cell>
        </row>
        <row r="16158">
          <cell r="B16158" t="str">
            <v>INF204KA1TE8</v>
          </cell>
          <cell r="C16158" t="str">
            <v>-</v>
          </cell>
          <cell r="D16158" t="str">
            <v>Reliance Fixed Horizon Fund - XXIV - Series 4-Direct Plan - Dividend Payout Option</v>
          </cell>
          <cell r="E16158">
            <v>10</v>
          </cell>
        </row>
        <row r="16159">
          <cell r="B16159" t="str">
            <v>INF204KA1TD0</v>
          </cell>
          <cell r="C16159" t="str">
            <v>-</v>
          </cell>
          <cell r="D16159" t="str">
            <v>Reliance Fixed Horizon Fund - XXIV - Series 4-Direct Plan - Growth Option</v>
          </cell>
          <cell r="E16159">
            <v>15.0266</v>
          </cell>
        </row>
        <row r="16160">
          <cell r="B16160" t="str">
            <v>INF204KA1TC2</v>
          </cell>
          <cell r="C16160" t="str">
            <v>-</v>
          </cell>
          <cell r="D16160" t="str">
            <v>Reliance Fixed Horizon Fund - XXIV - Series 4-Dividend payout Option</v>
          </cell>
          <cell r="E16160">
            <v>10</v>
          </cell>
        </row>
        <row r="16161">
          <cell r="B16161" t="str">
            <v>INF204KA1TB4</v>
          </cell>
          <cell r="C16161" t="str">
            <v>-</v>
          </cell>
          <cell r="D16161" t="str">
            <v>Reliance Fixed Horizon Fund - XXIV - Series 4-Growth Option</v>
          </cell>
          <cell r="E16161">
            <v>14.888400000000001</v>
          </cell>
        </row>
        <row r="16162">
          <cell r="B16162" t="str">
            <v>INF204K012Y6</v>
          </cell>
          <cell r="C16162" t="str">
            <v>-</v>
          </cell>
          <cell r="D16162" t="str">
            <v>Reliance Fixed Horizon Fund - XXIV - Series 5 - Direct Plan - Dividend Payout Option</v>
          </cell>
          <cell r="E16162">
            <v>10</v>
          </cell>
        </row>
        <row r="16163">
          <cell r="B16163" t="str">
            <v>INF204K011Y8</v>
          </cell>
          <cell r="C16163" t="str">
            <v>-</v>
          </cell>
          <cell r="D16163" t="str">
            <v>Reliance Fixed Horizon Fund - XXIV - Series 5 - Direct Plan - Growth Option</v>
          </cell>
          <cell r="E16163">
            <v>12.9811</v>
          </cell>
        </row>
        <row r="16164">
          <cell r="B16164" t="str">
            <v>INF204K010Y0</v>
          </cell>
          <cell r="C16164" t="str">
            <v>-</v>
          </cell>
          <cell r="D16164" t="str">
            <v>Reliance Fixed Horizon Fund - XXIV - Series 5 - Dividend Payout Option</v>
          </cell>
          <cell r="E16164">
            <v>10</v>
          </cell>
        </row>
        <row r="16165">
          <cell r="B16165" t="str">
            <v>INF204K019X3</v>
          </cell>
          <cell r="C16165" t="str">
            <v>-</v>
          </cell>
          <cell r="D16165" t="str">
            <v>Reliance Fixed Horizon Fund - XXIV - Series 5 - Growth Option</v>
          </cell>
          <cell r="E16165">
            <v>12.9048</v>
          </cell>
        </row>
        <row r="16166">
          <cell r="B16166" t="str">
            <v>INF204KA12B3</v>
          </cell>
          <cell r="C16166" t="str">
            <v>-</v>
          </cell>
          <cell r="D16166" t="str">
            <v>Reliance Fixed Horizon Fund - XXIV - Series 6 - Direct Plan - Dividend Payout Option</v>
          </cell>
          <cell r="E16166">
            <v>10</v>
          </cell>
        </row>
        <row r="16167">
          <cell r="B16167" t="str">
            <v>INF204KA11B5</v>
          </cell>
          <cell r="C16167" t="str">
            <v>-</v>
          </cell>
          <cell r="D16167" t="str">
            <v>Reliance Fixed Horizon Fund - XXIV - Series 6 - Direct Plan - Growth Option</v>
          </cell>
          <cell r="E16167">
            <v>13.2349</v>
          </cell>
        </row>
        <row r="16168">
          <cell r="B16168" t="str">
            <v>INF204KA10B7</v>
          </cell>
          <cell r="C16168" t="str">
            <v>-</v>
          </cell>
          <cell r="D16168" t="str">
            <v>Reliance Fixed Horizon Fund - XXIV - Series 6 - Dividend Payout Option</v>
          </cell>
          <cell r="E16168">
            <v>10</v>
          </cell>
        </row>
        <row r="16169">
          <cell r="B16169" t="str">
            <v>INF204KA19A0</v>
          </cell>
          <cell r="C16169" t="str">
            <v>-</v>
          </cell>
          <cell r="D16169" t="str">
            <v>Reliance Fixed Horizon Fund - XXIV - Series 6 - Growth Option</v>
          </cell>
          <cell r="E16169">
            <v>13.1584</v>
          </cell>
        </row>
        <row r="16170">
          <cell r="B16170" t="str">
            <v>INF204K010Z7</v>
          </cell>
          <cell r="C16170" t="str">
            <v>-</v>
          </cell>
          <cell r="D16170" t="str">
            <v>Reliance Fixed Horizon Fund - XXIV - Series 7 - Direct Plan - Dividend Payout Option</v>
          </cell>
          <cell r="E16170">
            <v>10</v>
          </cell>
        </row>
        <row r="16171">
          <cell r="B16171" t="str">
            <v>INF204K019Y1</v>
          </cell>
          <cell r="C16171" t="str">
            <v>-</v>
          </cell>
          <cell r="D16171" t="str">
            <v>Reliance Fixed Horizon Fund - XXIV - Series 7 - Direct Plan - Growth Option</v>
          </cell>
          <cell r="E16171">
            <v>13.27</v>
          </cell>
        </row>
        <row r="16172">
          <cell r="B16172" t="str">
            <v>INF204K018Y3</v>
          </cell>
          <cell r="C16172" t="str">
            <v>-</v>
          </cell>
          <cell r="D16172" t="str">
            <v>Reliance Fixed Horizon Fund - XXIV - Series 7 - Dividend Payout Option</v>
          </cell>
          <cell r="E16172">
            <v>10</v>
          </cell>
        </row>
        <row r="16173">
          <cell r="B16173" t="str">
            <v>INF204K017Y5</v>
          </cell>
          <cell r="C16173" t="str">
            <v>-</v>
          </cell>
          <cell r="D16173" t="str">
            <v>Reliance Fixed Horizon Fund - XXIV - Series 7 - Growth Option</v>
          </cell>
          <cell r="E16173">
            <v>13.110300000000001</v>
          </cell>
        </row>
        <row r="16174">
          <cell r="B16174" t="str">
            <v>INF204K013Z1</v>
          </cell>
          <cell r="C16174" t="str">
            <v>-</v>
          </cell>
          <cell r="D16174" t="str">
            <v>Reliance Fixed Horizon Fund - XXIV - Series 8-Direct Plan-Growth Option</v>
          </cell>
          <cell r="E16174">
            <v>13.274100000000001</v>
          </cell>
        </row>
        <row r="16175">
          <cell r="B16175" t="str">
            <v>INF204K012Z3</v>
          </cell>
          <cell r="C16175" t="str">
            <v>-</v>
          </cell>
          <cell r="D16175" t="str">
            <v>Reliance Fixed Horizon Fund - XXIV - Series 8-Dividend Payout Option</v>
          </cell>
          <cell r="E16175">
            <v>10</v>
          </cell>
        </row>
        <row r="16176">
          <cell r="B16176" t="str">
            <v>INF204K011Z5</v>
          </cell>
          <cell r="C16176" t="str">
            <v>-</v>
          </cell>
          <cell r="D16176" t="str">
            <v>Reliance Fixed Horizon Fund - XXIV - Series 8-Growth Option</v>
          </cell>
          <cell r="E16176">
            <v>13.203200000000001</v>
          </cell>
        </row>
        <row r="16177">
          <cell r="B16177" t="str">
            <v>INF204KA1TL3</v>
          </cell>
          <cell r="C16177" t="str">
            <v>-</v>
          </cell>
          <cell r="D16177" t="str">
            <v>Reliance Fixed Horizon Fund - XXIV - Series 9 -Direct Plan -Growth Option</v>
          </cell>
          <cell r="E16177">
            <v>13.287100000000001</v>
          </cell>
        </row>
        <row r="16178">
          <cell r="B16178" t="str">
            <v>INF204KA1TK5</v>
          </cell>
          <cell r="C16178" t="str">
            <v>-</v>
          </cell>
          <cell r="D16178" t="str">
            <v>Reliance Fixed Horizon Fund - XXIV - Series 9 -Dividend Payout Option</v>
          </cell>
          <cell r="E16178">
            <v>10</v>
          </cell>
        </row>
        <row r="16179">
          <cell r="B16179" t="str">
            <v>INF204KA1TJ7</v>
          </cell>
          <cell r="C16179" t="str">
            <v>-</v>
          </cell>
          <cell r="D16179" t="str">
            <v>Reliance Fixed Horizon Fund - XXIV - Series 9-Growth Option</v>
          </cell>
          <cell r="E16179">
            <v>13.101599999999999</v>
          </cell>
        </row>
        <row r="16180">
          <cell r="B16180" t="str">
            <v>INF204KA19H5</v>
          </cell>
          <cell r="C16180" t="str">
            <v>-</v>
          </cell>
          <cell r="D16180" t="str">
            <v>Reliance Fixed Horizon Fund - XXV - Series 1 -Direct Plan -Dividend Payout Option</v>
          </cell>
          <cell r="E16180">
            <v>10</v>
          </cell>
        </row>
        <row r="16181">
          <cell r="B16181" t="str">
            <v>INF204KA18H7</v>
          </cell>
          <cell r="C16181" t="str">
            <v>-</v>
          </cell>
          <cell r="D16181" t="str">
            <v>Reliance Fixed Horizon Fund - XXV - Series 1-Direct Plan -Growth Option</v>
          </cell>
          <cell r="E16181">
            <v>13.616199999999999</v>
          </cell>
        </row>
        <row r="16182">
          <cell r="B16182" t="str">
            <v>INF204KA17H9</v>
          </cell>
          <cell r="C16182" t="str">
            <v>-</v>
          </cell>
          <cell r="D16182" t="str">
            <v>Reliance Fixed Horizon Fund - XXV - Series 1-Dividend Payout Option</v>
          </cell>
          <cell r="E16182">
            <v>10</v>
          </cell>
        </row>
        <row r="16183">
          <cell r="B16183" t="str">
            <v>INF204KA16H1</v>
          </cell>
          <cell r="C16183" t="str">
            <v>-</v>
          </cell>
          <cell r="D16183" t="str">
            <v>Reliance Fixed Horizon Fund - XXV - Series 1-Growth Option</v>
          </cell>
          <cell r="E16183">
            <v>13.527100000000001</v>
          </cell>
        </row>
        <row r="16184">
          <cell r="B16184" t="str">
            <v>INF204KA1GF2</v>
          </cell>
          <cell r="C16184" t="str">
            <v>-</v>
          </cell>
          <cell r="D16184" t="str">
            <v>Reliance Fixed Horizon Fund - XXV - Series 11 - Direct Plan - Growth Option</v>
          </cell>
          <cell r="E16184">
            <v>13.193300000000001</v>
          </cell>
        </row>
        <row r="16185">
          <cell r="B16185" t="str">
            <v>INF204KA1GH8</v>
          </cell>
          <cell r="C16185" t="str">
            <v>-</v>
          </cell>
          <cell r="D16185" t="str">
            <v>Reliance Fixed Horizon Fund - XXV - Series 11 - Growth Option</v>
          </cell>
          <cell r="E16185">
            <v>13.114100000000001</v>
          </cell>
        </row>
        <row r="16186">
          <cell r="B16186" t="str">
            <v>INF204KA1GJ4</v>
          </cell>
          <cell r="C16186" t="str">
            <v>-</v>
          </cell>
          <cell r="D16186" t="str">
            <v>Reliance Fixed Horizon Fund - XXV - Series 12 - Direct Plan - Growth Option</v>
          </cell>
          <cell r="E16186">
            <v>13.179500000000001</v>
          </cell>
        </row>
        <row r="16187">
          <cell r="B16187" t="str">
            <v>INF204KA1GM8</v>
          </cell>
          <cell r="C16187" t="str">
            <v>-</v>
          </cell>
          <cell r="D16187" t="str">
            <v>Reliance Fixed Horizon Fund - XXV - Series 12 - Dividend Payout Option</v>
          </cell>
          <cell r="E16187">
            <v>10</v>
          </cell>
        </row>
        <row r="16188">
          <cell r="B16188" t="str">
            <v>INF204KA1GL0</v>
          </cell>
          <cell r="C16188" t="str">
            <v>-</v>
          </cell>
          <cell r="D16188" t="str">
            <v>Reliance Fixed Horizon Fund - XXV - Series 12 - Growth Option</v>
          </cell>
          <cell r="E16188">
            <v>13.1014</v>
          </cell>
        </row>
        <row r="16189">
          <cell r="B16189" t="str">
            <v>INF204KA1GN6</v>
          </cell>
          <cell r="C16189" t="str">
            <v>-</v>
          </cell>
          <cell r="D16189" t="str">
            <v>Reliance Fixed Horizon Fund - XXV - Series 13 - Direct Plan - Growth Option</v>
          </cell>
          <cell r="E16189">
            <v>13.128500000000001</v>
          </cell>
        </row>
        <row r="16190">
          <cell r="B16190" t="str">
            <v>INF204KA1GQ9</v>
          </cell>
          <cell r="C16190" t="str">
            <v>-</v>
          </cell>
          <cell r="D16190" t="str">
            <v>Reliance Fixed Horizon Fund - XXV - Series 13 - Dividend Payout Option</v>
          </cell>
          <cell r="E16190">
            <v>10</v>
          </cell>
        </row>
        <row r="16191">
          <cell r="B16191" t="str">
            <v>INF204KA1GP1</v>
          </cell>
          <cell r="C16191" t="str">
            <v>-</v>
          </cell>
          <cell r="D16191" t="str">
            <v>Reliance Fixed Horizon Fund - XXV - Series 13 - Growth Option</v>
          </cell>
          <cell r="E16191">
            <v>13.036199999999999</v>
          </cell>
        </row>
        <row r="16192">
          <cell r="B16192" t="str">
            <v>INF204KA1GR7</v>
          </cell>
          <cell r="C16192" t="str">
            <v>-</v>
          </cell>
          <cell r="D16192" t="str">
            <v>Reliance Fixed Horizon Fund - XXV - Series 14-Direct Plan -Growth Option</v>
          </cell>
          <cell r="E16192">
            <v>12.8223</v>
          </cell>
        </row>
        <row r="16193">
          <cell r="B16193" t="str">
            <v>INF204KA1GT3</v>
          </cell>
          <cell r="C16193" t="str">
            <v>-</v>
          </cell>
          <cell r="D16193" t="str">
            <v>Reliance Fixed Horizon Fund - XXV - Series 14-Growth Option</v>
          </cell>
          <cell r="E16193">
            <v>12.7842</v>
          </cell>
        </row>
        <row r="16194">
          <cell r="B16194" t="str">
            <v>INF204KA1HA1</v>
          </cell>
          <cell r="C16194" t="str">
            <v>-</v>
          </cell>
          <cell r="D16194" t="str">
            <v>Reliance Fixed Horizon Fund - XXV - Series 16 - Direct Plan - Dividend Payout Option</v>
          </cell>
          <cell r="E16194">
            <v>10</v>
          </cell>
        </row>
        <row r="16195">
          <cell r="B16195" t="str">
            <v>INF204KA1GZ0</v>
          </cell>
          <cell r="C16195" t="str">
            <v>-</v>
          </cell>
          <cell r="D16195" t="str">
            <v>Reliance Fixed Horizon Fund - XXV - Series 16 - Direct Plan - Growth Option</v>
          </cell>
          <cell r="E16195">
            <v>13.093999999999999</v>
          </cell>
        </row>
        <row r="16196">
          <cell r="B16196" t="str">
            <v>INF204KA1HC7</v>
          </cell>
          <cell r="C16196" t="str">
            <v>-</v>
          </cell>
          <cell r="D16196" t="str">
            <v>Reliance Fixed Horizon Fund - XXV - Series 16 - Dividend Payout Option</v>
          </cell>
          <cell r="E16196">
            <v>10</v>
          </cell>
        </row>
        <row r="16197">
          <cell r="B16197" t="str">
            <v>INF204KA1HB9</v>
          </cell>
          <cell r="C16197" t="str">
            <v>-</v>
          </cell>
          <cell r="D16197" t="str">
            <v>Reliance Fixed Horizon Fund - XXV - Series 16 - Growth Option</v>
          </cell>
          <cell r="E16197">
            <v>13.007300000000001</v>
          </cell>
        </row>
        <row r="16198">
          <cell r="B16198" t="str">
            <v>INF204KA1HE3</v>
          </cell>
          <cell r="C16198" t="str">
            <v>-</v>
          </cell>
          <cell r="D16198" t="str">
            <v>Reliance Fixed Horizon Fund - XXV - Series 17 - Direct Plan - Dividend Payout Option</v>
          </cell>
          <cell r="E16198">
            <v>10</v>
          </cell>
        </row>
        <row r="16199">
          <cell r="B16199" t="str">
            <v>INF204KA1HD5</v>
          </cell>
          <cell r="C16199" t="str">
            <v>-</v>
          </cell>
          <cell r="D16199" t="str">
            <v>Reliance Fixed Horizon Fund - XXV - Series 17 - Direct Plan - Growth Option</v>
          </cell>
          <cell r="E16199">
            <v>13.0662</v>
          </cell>
        </row>
        <row r="16200">
          <cell r="B16200" t="str">
            <v>INF204KA1HF0</v>
          </cell>
          <cell r="C16200" t="str">
            <v>-</v>
          </cell>
          <cell r="D16200" t="str">
            <v>Reliance Fixed Horizon Fund - XXV - Series 17 - Growth Option</v>
          </cell>
          <cell r="E16200">
            <v>12.9818</v>
          </cell>
        </row>
        <row r="16201">
          <cell r="B16201" t="str">
            <v>INF204KA1E46</v>
          </cell>
          <cell r="C16201" t="str">
            <v>-</v>
          </cell>
          <cell r="D16201" t="str">
            <v>Reliance Fixed Horizon Fund - XXV - Series 18 - Direct Plan - Growth Option</v>
          </cell>
          <cell r="E16201">
            <v>13.0639</v>
          </cell>
        </row>
        <row r="16202">
          <cell r="B16202" t="str">
            <v>INF204KA1E20</v>
          </cell>
          <cell r="C16202" t="str">
            <v>-</v>
          </cell>
          <cell r="D16202" t="str">
            <v>Reliance Fixed Horizon Fund - XXV - Series 18 - Growth Option</v>
          </cell>
          <cell r="E16202">
            <v>13.027900000000001</v>
          </cell>
        </row>
        <row r="16203">
          <cell r="B16203" t="str">
            <v>INF204KA1HL8</v>
          </cell>
          <cell r="C16203" t="str">
            <v>-</v>
          </cell>
          <cell r="D16203" t="str">
            <v>Reliance Fixed Horizon Fund - XXV - Series 19 - Direct Plan - Growth Option</v>
          </cell>
          <cell r="E16203">
            <v>11.1432</v>
          </cell>
        </row>
        <row r="16204">
          <cell r="B16204" t="str">
            <v>INF204KA1HO2</v>
          </cell>
          <cell r="C16204" t="str">
            <v>-</v>
          </cell>
          <cell r="D16204" t="str">
            <v>Reliance Fixed Horizon Fund - XXV - Series 19 - Dividend Payout Option</v>
          </cell>
          <cell r="E16204">
            <v>10</v>
          </cell>
        </row>
        <row r="16205">
          <cell r="B16205" t="str">
            <v>INF204KA1HN4</v>
          </cell>
          <cell r="C16205" t="str">
            <v>-</v>
          </cell>
          <cell r="D16205" t="str">
            <v>Reliance Fixed Horizon Fund - XXV - Series 19 - Growth Option</v>
          </cell>
          <cell r="E16205">
            <v>11.1249</v>
          </cell>
        </row>
        <row r="16206">
          <cell r="B16206" t="str">
            <v>INF204KA1EW2</v>
          </cell>
          <cell r="C16206" t="str">
            <v>-</v>
          </cell>
          <cell r="D16206" t="str">
            <v>Reliance Fixed Horizon Fund - XXV - Series 2 -Direct Plan -Dividend Payout Option</v>
          </cell>
          <cell r="E16206">
            <v>10</v>
          </cell>
        </row>
        <row r="16207">
          <cell r="B16207" t="str">
            <v>INF204KA1EV4</v>
          </cell>
          <cell r="C16207" t="str">
            <v>-</v>
          </cell>
          <cell r="D16207" t="str">
            <v>Reliance Fixed Horizon Fund - XXV - Series 2-Direct Plan-Growth Option</v>
          </cell>
          <cell r="E16207">
            <v>12.871700000000001</v>
          </cell>
        </row>
        <row r="16208">
          <cell r="B16208" t="str">
            <v>INF204KA1EY8</v>
          </cell>
          <cell r="C16208" t="str">
            <v>-</v>
          </cell>
          <cell r="D16208" t="str">
            <v>Reliance Fixed Horizon Fund - XXV - Series 2-Dividend Payout Option</v>
          </cell>
          <cell r="E16208">
            <v>10</v>
          </cell>
        </row>
        <row r="16209">
          <cell r="B16209" t="str">
            <v>INF204KA1EX0</v>
          </cell>
          <cell r="C16209" t="str">
            <v>-</v>
          </cell>
          <cell r="D16209" t="str">
            <v>Reliance Fixed Horizon Fund - XXV - Series 2-Growth Option</v>
          </cell>
          <cell r="E16209">
            <v>12.819699999999999</v>
          </cell>
        </row>
        <row r="16210">
          <cell r="B16210" t="str">
            <v>INF204KA1HQ7</v>
          </cell>
          <cell r="C16210" t="str">
            <v>-</v>
          </cell>
          <cell r="D16210" t="str">
            <v>Reliance Fixed Horizon Fund - XXV - Series 20 - Direct Plan - Dividend Payout Option</v>
          </cell>
          <cell r="E16210">
            <v>12.0258</v>
          </cell>
        </row>
        <row r="16211">
          <cell r="B16211" t="str">
            <v>INF204KA1HP9</v>
          </cell>
          <cell r="C16211" t="str">
            <v>-</v>
          </cell>
          <cell r="D16211" t="str">
            <v>Reliance Fixed Horizon Fund - XXV - Series 20 - Direct Plan - Growth Option</v>
          </cell>
          <cell r="E16211">
            <v>15.084899999999999</v>
          </cell>
        </row>
        <row r="16212">
          <cell r="B16212" t="str">
            <v>INF204KA1HS3</v>
          </cell>
          <cell r="C16212" t="str">
            <v>-</v>
          </cell>
          <cell r="D16212" t="str">
            <v>Reliance Fixed Horizon Fund - XXV - Series 20 - Dividend Payout Option</v>
          </cell>
          <cell r="E16212">
            <v>11.9505</v>
          </cell>
        </row>
        <row r="16213">
          <cell r="B16213" t="str">
            <v>INF204KA1HR5</v>
          </cell>
          <cell r="C16213" t="str">
            <v>-</v>
          </cell>
          <cell r="D16213" t="str">
            <v>Reliance Fixed Horizon Fund - XXV - Series 20 - Growth Option</v>
          </cell>
          <cell r="E16213">
            <v>14.8256</v>
          </cell>
        </row>
        <row r="16214">
          <cell r="B16214" t="str">
            <v>INF204KA1HY1</v>
          </cell>
          <cell r="C16214" t="str">
            <v>-</v>
          </cell>
          <cell r="D16214" t="str">
            <v>Reliance Fixed Horizon Fund - XXV - Series 21 - Direct Plan - Dividend Payout Option</v>
          </cell>
          <cell r="E16214">
            <v>10</v>
          </cell>
        </row>
        <row r="16215">
          <cell r="B16215" t="str">
            <v>INF204KA1HX3</v>
          </cell>
          <cell r="C16215" t="str">
            <v>-</v>
          </cell>
          <cell r="D16215" t="str">
            <v>Reliance Fixed Horizon Fund - XXV - Series 21 - Direct Plan - Growth Option</v>
          </cell>
          <cell r="E16215">
            <v>13.0344</v>
          </cell>
        </row>
        <row r="16216">
          <cell r="B16216" t="str">
            <v>INF204KA1IA9</v>
          </cell>
          <cell r="C16216" t="str">
            <v>-</v>
          </cell>
          <cell r="D16216" t="str">
            <v>Reliance Fixed Horizon Fund - XXV - Series 21 - Dividend Payout Option</v>
          </cell>
          <cell r="E16216">
            <v>10</v>
          </cell>
        </row>
        <row r="16217">
          <cell r="B16217" t="str">
            <v>INF204KA1HZ8</v>
          </cell>
          <cell r="C16217" t="str">
            <v>-</v>
          </cell>
          <cell r="D16217" t="str">
            <v>Reliance Fixed Horizon Fund - XXV - Series 21 - Growth Option</v>
          </cell>
          <cell r="E16217">
            <v>12.9155</v>
          </cell>
        </row>
        <row r="16218">
          <cell r="B16218" t="str">
            <v>INF204KA1IC5</v>
          </cell>
          <cell r="C16218" t="str">
            <v>-</v>
          </cell>
          <cell r="D16218" t="str">
            <v>Reliance Fixed Horizon Fund - XXV - Series 22 - Direct Plan - Dividend Payout Option</v>
          </cell>
          <cell r="E16218">
            <v>10</v>
          </cell>
        </row>
        <row r="16219">
          <cell r="B16219" t="str">
            <v>INF204KA1IB7</v>
          </cell>
          <cell r="C16219" t="str">
            <v>-</v>
          </cell>
          <cell r="D16219" t="str">
            <v>Reliance Fixed Horizon Fund - XXV - Series 22 - Direct Plan - Growth Option</v>
          </cell>
          <cell r="E16219">
            <v>13.0616</v>
          </cell>
        </row>
        <row r="16220">
          <cell r="B16220" t="str">
            <v>INF204KA1IE1</v>
          </cell>
          <cell r="C16220" t="str">
            <v>-</v>
          </cell>
          <cell r="D16220" t="str">
            <v>Reliance Fixed Horizon Fund - XXV - Series 22 - Dividend Payout Option</v>
          </cell>
          <cell r="E16220">
            <v>10</v>
          </cell>
        </row>
        <row r="16221">
          <cell r="B16221" t="str">
            <v>INF204KA1ID3</v>
          </cell>
          <cell r="C16221" t="str">
            <v>-</v>
          </cell>
          <cell r="D16221" t="str">
            <v>Reliance Fixed Horizon Fund - XXV - Series 22 - Growth Option</v>
          </cell>
          <cell r="E16221">
            <v>12.9419</v>
          </cell>
        </row>
        <row r="16222">
          <cell r="B16222" t="str">
            <v>INF204KA1II2</v>
          </cell>
          <cell r="C16222" t="str">
            <v>-</v>
          </cell>
          <cell r="D16222" t="str">
            <v>Reliance Fixed Horizon Fund - XXV - Series 23 - Direct Plan - Dividend Payout Option</v>
          </cell>
          <cell r="E16222">
            <v>10</v>
          </cell>
        </row>
        <row r="16223">
          <cell r="B16223" t="str">
            <v>INF204KA1IH4</v>
          </cell>
          <cell r="C16223" t="str">
            <v>-</v>
          </cell>
          <cell r="D16223" t="str">
            <v>Reliance Fixed Horizon Fund - XXV - Series 23 - Direct Plan - Growth Option</v>
          </cell>
          <cell r="E16223">
            <v>13.5564</v>
          </cell>
        </row>
        <row r="16224">
          <cell r="B16224" t="str">
            <v>INF204KA1IG6</v>
          </cell>
          <cell r="C16224" t="str">
            <v>-</v>
          </cell>
          <cell r="D16224" t="str">
            <v>Reliance Fixed Horizon Fund - XXV - Series 23 - Dividend Payout Option</v>
          </cell>
          <cell r="E16224">
            <v>10</v>
          </cell>
        </row>
        <row r="16225">
          <cell r="B16225" t="str">
            <v>INF204KA1IF8</v>
          </cell>
          <cell r="C16225" t="str">
            <v>-</v>
          </cell>
          <cell r="D16225" t="str">
            <v>Reliance Fixed Horizon Fund - XXV - Series 23 - Growth Option</v>
          </cell>
          <cell r="E16225">
            <v>13.4278</v>
          </cell>
        </row>
        <row r="16226">
          <cell r="B16226" t="str">
            <v>INF204KA1G10</v>
          </cell>
          <cell r="C16226" t="str">
            <v>-</v>
          </cell>
          <cell r="D16226" t="str">
            <v>Reliance Fixed Horizon Fund - XXV - Series 24 - Direct Plan - Growth Option</v>
          </cell>
          <cell r="E16226">
            <v>13.0105</v>
          </cell>
        </row>
        <row r="16227">
          <cell r="B16227" t="str">
            <v>INF204KA1F94</v>
          </cell>
          <cell r="C16227" t="str">
            <v>-</v>
          </cell>
          <cell r="D16227" t="str">
            <v>Reliance Fixed Horizon Fund - XXV - Series 24 - Growth Option</v>
          </cell>
          <cell r="E16227">
            <v>12.9758</v>
          </cell>
        </row>
        <row r="16228">
          <cell r="B16228" t="str">
            <v>INF204KA1IQ5</v>
          </cell>
          <cell r="C16228" t="str">
            <v>-</v>
          </cell>
          <cell r="D16228" t="str">
            <v>Reliance Fixed Horizon Fund - XXV - Series 25 - Direct Plan - Dividend Payout Option</v>
          </cell>
          <cell r="E16228">
            <v>10</v>
          </cell>
        </row>
        <row r="16229">
          <cell r="B16229" t="str">
            <v>INF204KA1IP7</v>
          </cell>
          <cell r="C16229" t="str">
            <v>-</v>
          </cell>
          <cell r="D16229" t="str">
            <v>Reliance Fixed Horizon Fund - XXV - Series 25 - Direct Plan - Growth Option</v>
          </cell>
          <cell r="E16229">
            <v>13.2454</v>
          </cell>
        </row>
        <row r="16230">
          <cell r="B16230" t="str">
            <v>INF204KA1IO0</v>
          </cell>
          <cell r="C16230" t="str">
            <v>-</v>
          </cell>
          <cell r="D16230" t="str">
            <v>Reliance Fixed Horizon Fund - XXV - Series 25 - Dividend Payout Option</v>
          </cell>
          <cell r="E16230">
            <v>10</v>
          </cell>
        </row>
        <row r="16231">
          <cell r="B16231" t="str">
            <v>INF204KA1IN2</v>
          </cell>
          <cell r="C16231" t="str">
            <v>-</v>
          </cell>
          <cell r="D16231" t="str">
            <v>Reliance Fixed Horizon Fund - XXV - Series 25 - Growth Option</v>
          </cell>
          <cell r="E16231">
            <v>13.008100000000001</v>
          </cell>
        </row>
        <row r="16232">
          <cell r="B16232" t="str">
            <v>INF204KA1JB5</v>
          </cell>
          <cell r="C16232" t="str">
            <v>-</v>
          </cell>
          <cell r="D16232" t="str">
            <v>Reliance Fixed Horizon Fund - XXV - Series 26 - Direct Plan - Growth Option</v>
          </cell>
          <cell r="E16232">
            <v>14.0991</v>
          </cell>
        </row>
        <row r="16233">
          <cell r="B16233" t="str">
            <v>INF204KA1IZ6</v>
          </cell>
          <cell r="C16233" t="str">
            <v>-</v>
          </cell>
          <cell r="D16233" t="str">
            <v>Reliance Fixed Horizon Fund - XXV - Series 26 - Growth Option</v>
          </cell>
          <cell r="E16233">
            <v>14.024100000000001</v>
          </cell>
        </row>
        <row r="16234">
          <cell r="B16234" t="str">
            <v>INF204KA1JG4</v>
          </cell>
          <cell r="C16234" t="str">
            <v>-</v>
          </cell>
          <cell r="D16234" t="str">
            <v>Reliance Fixed Horizon Fund - XXV - Series 27 - Direct Plan - Dividend Payout Option</v>
          </cell>
          <cell r="E16234">
            <v>10</v>
          </cell>
        </row>
        <row r="16235">
          <cell r="B16235" t="str">
            <v>INF204KA1JF6</v>
          </cell>
          <cell r="C16235" t="str">
            <v>-</v>
          </cell>
          <cell r="D16235" t="str">
            <v>Reliance Fixed Horizon Fund - XXV - Series 27 - Direct Plan - Growth Option</v>
          </cell>
          <cell r="E16235">
            <v>14.2798</v>
          </cell>
        </row>
        <row r="16236">
          <cell r="B16236" t="str">
            <v>INF204KA1JE9</v>
          </cell>
          <cell r="C16236" t="str">
            <v>-</v>
          </cell>
          <cell r="D16236" t="str">
            <v>Reliance Fixed Horizon Fund - XXV - Series 27 - Dividend Payout Option</v>
          </cell>
          <cell r="E16236">
            <v>10</v>
          </cell>
        </row>
        <row r="16237">
          <cell r="B16237" t="str">
            <v>INF204KA1JD1</v>
          </cell>
          <cell r="C16237" t="str">
            <v>-</v>
          </cell>
          <cell r="D16237" t="str">
            <v>Reliance Fixed Horizon Fund - XXV - Series 27 - Growth Option</v>
          </cell>
          <cell r="E16237">
            <v>14.1195</v>
          </cell>
        </row>
        <row r="16238">
          <cell r="B16238" t="str">
            <v>INF204KA1JK6</v>
          </cell>
          <cell r="C16238" t="str">
            <v>-</v>
          </cell>
          <cell r="D16238" t="str">
            <v>Reliance Fixed Horizon Fund - XXV - Series 28 - Direct Plan - Dividend Payout Option</v>
          </cell>
          <cell r="E16238">
            <v>10</v>
          </cell>
        </row>
        <row r="16239">
          <cell r="B16239" t="str">
            <v>INF204KA1JJ8</v>
          </cell>
          <cell r="C16239" t="str">
            <v>-</v>
          </cell>
          <cell r="D16239" t="str">
            <v>Reliance Fixed Horizon Fund - XXV - Series 28 - Direct Plan - Growth Option</v>
          </cell>
          <cell r="E16239">
            <v>14.267799999999999</v>
          </cell>
        </row>
        <row r="16240">
          <cell r="B16240" t="str">
            <v>INF204KA1JI0</v>
          </cell>
          <cell r="C16240" t="str">
            <v>-</v>
          </cell>
          <cell r="D16240" t="str">
            <v>Reliance Fixed Horizon Fund - XXV - Series 28 - Dividend Payout Option</v>
          </cell>
          <cell r="E16240">
            <v>10</v>
          </cell>
        </row>
        <row r="16241">
          <cell r="B16241" t="str">
            <v>INF204KA1JH2</v>
          </cell>
          <cell r="C16241" t="str">
            <v>-</v>
          </cell>
          <cell r="D16241" t="str">
            <v>Reliance Fixed Horizon Fund - XXV - Series 28 - Growth Option</v>
          </cell>
          <cell r="E16241">
            <v>14.1798</v>
          </cell>
        </row>
        <row r="16242">
          <cell r="B16242" t="str">
            <v>INF204KA19G7</v>
          </cell>
          <cell r="C16242" t="str">
            <v>-</v>
          </cell>
          <cell r="D16242" t="str">
            <v>Reliance Fixed Horizon Fund - XXV - Series 3  - Dividend Payout Option</v>
          </cell>
          <cell r="E16242">
            <v>10</v>
          </cell>
        </row>
        <row r="16243">
          <cell r="B16243" t="str">
            <v>INF204KA11H2</v>
          </cell>
          <cell r="C16243" t="str">
            <v>-</v>
          </cell>
          <cell r="D16243" t="str">
            <v>Reliance Fixed Horizon Fund - XXV - Series 3 - Direct Plan - Dividend Payout Option</v>
          </cell>
          <cell r="E16243">
            <v>10</v>
          </cell>
        </row>
        <row r="16244">
          <cell r="B16244" t="str">
            <v>INF204KA10H4</v>
          </cell>
          <cell r="C16244" t="str">
            <v>-</v>
          </cell>
          <cell r="D16244" t="str">
            <v>Reliance Fixed Horizon Fund - XXV - Series 3 - Direct Plan - Growth Option</v>
          </cell>
          <cell r="E16244">
            <v>13.539400000000001</v>
          </cell>
        </row>
        <row r="16245">
          <cell r="B16245" t="str">
            <v>INF204KA18G9</v>
          </cell>
          <cell r="C16245" t="str">
            <v>-</v>
          </cell>
          <cell r="D16245" t="str">
            <v>Reliance Fixed Horizon Fund - XXV - Series 3 - Growth Option</v>
          </cell>
          <cell r="E16245">
            <v>13.4468</v>
          </cell>
        </row>
        <row r="16246">
          <cell r="B16246" t="str">
            <v>INF204KA1JS9</v>
          </cell>
          <cell r="C16246" t="str">
            <v>-</v>
          </cell>
          <cell r="D16246" t="str">
            <v>Reliance Fixed Horizon Fund - XXV - Series 30 - Direct Plan - Dividend Payout Option</v>
          </cell>
          <cell r="E16246">
            <v>10</v>
          </cell>
        </row>
        <row r="16247">
          <cell r="B16247" t="str">
            <v>INF204KA1JR1</v>
          </cell>
          <cell r="C16247" t="str">
            <v>-</v>
          </cell>
          <cell r="D16247" t="str">
            <v>Reliance Fixed Horizon Fund - XXV - Series 30 - Direct Plan - Growth Option</v>
          </cell>
          <cell r="E16247">
            <v>14.1942</v>
          </cell>
        </row>
        <row r="16248">
          <cell r="B16248" t="str">
            <v>INF204KA1JQ3</v>
          </cell>
          <cell r="C16248" t="str">
            <v>-</v>
          </cell>
          <cell r="D16248" t="str">
            <v>Reliance Fixed Horizon Fund - XXV - Series 30 - Dividend Payout Option</v>
          </cell>
          <cell r="E16248">
            <v>10</v>
          </cell>
        </row>
        <row r="16249">
          <cell r="B16249" t="str">
            <v>INF204KA1JP5</v>
          </cell>
          <cell r="C16249" t="str">
            <v>-</v>
          </cell>
          <cell r="D16249" t="str">
            <v>Reliance Fixed Horizon Fund - XXV - Series 30 - Growth Option</v>
          </cell>
          <cell r="E16249">
            <v>14.015000000000001</v>
          </cell>
        </row>
        <row r="16250">
          <cell r="B16250" t="str">
            <v>INF204KA1JV3</v>
          </cell>
          <cell r="C16250" t="str">
            <v>-</v>
          </cell>
          <cell r="D16250" t="str">
            <v>Reliance Fixed Horizon Fund - XXV - Series 31 - Direct Plan - Growth Option</v>
          </cell>
          <cell r="E16250">
            <v>12.9815</v>
          </cell>
        </row>
        <row r="16251">
          <cell r="B16251" t="str">
            <v>INF204KA1JU5</v>
          </cell>
          <cell r="C16251" t="str">
            <v>-</v>
          </cell>
          <cell r="D16251" t="str">
            <v>Reliance Fixed Horizon Fund - XXV - Series 31 - Dividend Payout Option</v>
          </cell>
          <cell r="E16251">
            <v>10</v>
          </cell>
        </row>
        <row r="16252">
          <cell r="B16252" t="str">
            <v>INF204KA1JT7</v>
          </cell>
          <cell r="C16252" t="str">
            <v>-</v>
          </cell>
          <cell r="D16252" t="str">
            <v>Reliance Fixed Horizon Fund - XXV - Series 31 - Growth Option</v>
          </cell>
          <cell r="E16252">
            <v>12.9373</v>
          </cell>
        </row>
        <row r="16253">
          <cell r="B16253" t="str">
            <v>INF204KA1KD9</v>
          </cell>
          <cell r="C16253" t="str">
            <v>-</v>
          </cell>
          <cell r="D16253" t="str">
            <v>Reliance Fixed Horizon Fund - XXV - Series 32 - Direct Plan - Growth Option</v>
          </cell>
          <cell r="E16253">
            <v>12.9565</v>
          </cell>
        </row>
        <row r="16254">
          <cell r="B16254" t="str">
            <v>INF204KA1KB3</v>
          </cell>
          <cell r="C16254" t="str">
            <v>-</v>
          </cell>
          <cell r="D16254" t="str">
            <v>Reliance Fixed Horizon Fund - XXV - Series 32 - Growth Option</v>
          </cell>
          <cell r="E16254">
            <v>12.9162</v>
          </cell>
        </row>
        <row r="16255">
          <cell r="B16255" t="str">
            <v>INF204KA1KH0</v>
          </cell>
          <cell r="C16255" t="str">
            <v>-</v>
          </cell>
          <cell r="D16255" t="str">
            <v>Reliance Fixed Horizon Fund - XXV - Series 33 - Direct Plan - Growth Option</v>
          </cell>
          <cell r="E16255">
            <v>12.904</v>
          </cell>
        </row>
        <row r="16256">
          <cell r="B16256" t="str">
            <v>INF204KA1KG2</v>
          </cell>
          <cell r="C16256" t="str">
            <v>-</v>
          </cell>
          <cell r="D16256" t="str">
            <v>Reliance Fixed Horizon Fund - XXV - Series 33 - Dividend Payout Option</v>
          </cell>
          <cell r="E16256">
            <v>10</v>
          </cell>
        </row>
        <row r="16257">
          <cell r="B16257" t="str">
            <v>INF204KA1KF4</v>
          </cell>
          <cell r="C16257" t="str">
            <v>-</v>
          </cell>
          <cell r="D16257" t="str">
            <v>Reliance Fixed Horizon Fund - XXV - Series 33 - Growth Option</v>
          </cell>
          <cell r="E16257">
            <v>12.864000000000001</v>
          </cell>
        </row>
        <row r="16258">
          <cell r="B16258" t="str">
            <v>INF204KA1KL2</v>
          </cell>
          <cell r="C16258" t="str">
            <v>-</v>
          </cell>
          <cell r="D16258" t="str">
            <v>Reliance Fixed Horizon Fund - XXV - Series 34 - Direct Plan - Growth Option</v>
          </cell>
          <cell r="E16258">
            <v>12.930300000000001</v>
          </cell>
        </row>
        <row r="16259">
          <cell r="B16259" t="str">
            <v>INF204KA1KJ6</v>
          </cell>
          <cell r="C16259" t="str">
            <v>-</v>
          </cell>
          <cell r="D16259" t="str">
            <v>Reliance Fixed Horizon Fund - XXV - Series 34 - Growth Option</v>
          </cell>
          <cell r="E16259">
            <v>12.889699999999999</v>
          </cell>
        </row>
        <row r="16260">
          <cell r="B16260" t="str">
            <v>INF204KA1LC9</v>
          </cell>
          <cell r="C16260" t="str">
            <v>-</v>
          </cell>
          <cell r="D16260" t="str">
            <v>Reliance Fixed Horizon Fund - XXV - Series 35- Direct Plan - Dividend Payout Option</v>
          </cell>
          <cell r="E16260">
            <v>10</v>
          </cell>
        </row>
        <row r="16261">
          <cell r="B16261" t="str">
            <v>INF204KA1LB1</v>
          </cell>
          <cell r="C16261" t="str">
            <v>-</v>
          </cell>
          <cell r="D16261" t="str">
            <v>Reliance Fixed Horizon Fund - XXV - Series 35- Direct Plan - Growth Option</v>
          </cell>
          <cell r="E16261">
            <v>15.6265</v>
          </cell>
        </row>
        <row r="16262">
          <cell r="B16262" t="str">
            <v>INF204KA1LA3</v>
          </cell>
          <cell r="C16262" t="str">
            <v>-</v>
          </cell>
          <cell r="D16262" t="str">
            <v>Reliance Fixed Horizon Fund - XXV - Series 35- Dividend Payout Option</v>
          </cell>
          <cell r="E16262">
            <v>10</v>
          </cell>
        </row>
        <row r="16263">
          <cell r="B16263" t="str">
            <v>INF204KA1KZ2</v>
          </cell>
          <cell r="C16263" t="str">
            <v>-</v>
          </cell>
          <cell r="D16263" t="str">
            <v>Reliance Fixed Horizon Fund - XXV - Series 35- Growth Option</v>
          </cell>
          <cell r="E16263">
            <v>15.2705</v>
          </cell>
        </row>
        <row r="16264">
          <cell r="B16264" t="str">
            <v>INF204KA1YP4</v>
          </cell>
          <cell r="C16264" t="str">
            <v>-</v>
          </cell>
          <cell r="D16264" t="str">
            <v>Reliance Fixed Horizon Fund - XXV - Series 4 - Direct Plan - Dividend Payout Option</v>
          </cell>
          <cell r="E16264">
            <v>10</v>
          </cell>
        </row>
        <row r="16265">
          <cell r="B16265" t="str">
            <v>INF204KA1YO7</v>
          </cell>
          <cell r="C16265" t="str">
            <v>-</v>
          </cell>
          <cell r="D16265" t="str">
            <v>Reliance Fixed Horizon Fund - XXV - Series 4 - Direct Plan - Growth Option</v>
          </cell>
          <cell r="E16265">
            <v>12.873100000000001</v>
          </cell>
        </row>
        <row r="16266">
          <cell r="B16266" t="str">
            <v>INF204KA1YM1</v>
          </cell>
          <cell r="C16266" t="str">
            <v>-</v>
          </cell>
          <cell r="D16266" t="str">
            <v>Reliance Fixed Horizon Fund - XXV - Series 4 - Growth Option</v>
          </cell>
          <cell r="E16266">
            <v>12.813800000000001</v>
          </cell>
        </row>
        <row r="16267">
          <cell r="B16267" t="str">
            <v>INF204KA1FM0</v>
          </cell>
          <cell r="C16267" t="str">
            <v>-</v>
          </cell>
          <cell r="D16267" t="str">
            <v>Reliance Fixed Horizon Fund - XXV - Series 6 - Direct Plan - Dividend Payout Option</v>
          </cell>
          <cell r="E16267">
            <v>10</v>
          </cell>
        </row>
        <row r="16268">
          <cell r="B16268" t="str">
            <v>INF204KA1FL2</v>
          </cell>
          <cell r="C16268" t="str">
            <v>-</v>
          </cell>
          <cell r="D16268" t="str">
            <v>Reliance Fixed Horizon Fund - XXV - Series 6 - Direct Plan - Growth Option</v>
          </cell>
          <cell r="E16268">
            <v>13.536799999999999</v>
          </cell>
        </row>
        <row r="16269">
          <cell r="B16269" t="str">
            <v>INF204KA1FO6</v>
          </cell>
          <cell r="C16269" t="str">
            <v>-</v>
          </cell>
          <cell r="D16269" t="str">
            <v>Reliance Fixed Horizon Fund - XXV - Series 6 - Dividend Payout Option</v>
          </cell>
          <cell r="E16269">
            <v>10</v>
          </cell>
        </row>
        <row r="16270">
          <cell r="B16270" t="str">
            <v>INF204KA1FN8</v>
          </cell>
          <cell r="C16270" t="str">
            <v>-</v>
          </cell>
          <cell r="D16270" t="str">
            <v>Reliance Fixed Horizon Fund - XXV - Series 6 - Growth Option</v>
          </cell>
          <cell r="E16270">
            <v>13.4506</v>
          </cell>
        </row>
        <row r="16271">
          <cell r="B16271" t="str">
            <v>INF204KA1KA5</v>
          </cell>
          <cell r="C16271" t="str">
            <v>-</v>
          </cell>
          <cell r="D16271" t="str">
            <v>Reliance Fixed Horizon Fund - XXVI - Series 1 - Direct Plan - Dividend Payout Option</v>
          </cell>
          <cell r="E16271">
            <v>11.913</v>
          </cell>
        </row>
        <row r="16272">
          <cell r="B16272" t="str">
            <v>INF204KA1JZ4</v>
          </cell>
          <cell r="C16272" t="str">
            <v>-</v>
          </cell>
          <cell r="D16272" t="str">
            <v>Reliance Fixed Horizon Fund - XXVI - Series 1 - Direct Plan - Growth Option</v>
          </cell>
          <cell r="E16272">
            <v>14.832800000000001</v>
          </cell>
        </row>
        <row r="16273">
          <cell r="B16273" t="str">
            <v>INF204KA1JY7</v>
          </cell>
          <cell r="C16273" t="str">
            <v>-</v>
          </cell>
          <cell r="D16273" t="str">
            <v>Reliance Fixed Horizon Fund - XXVI - Series 1 - Dividend Payout Option</v>
          </cell>
          <cell r="E16273">
            <v>11.8741</v>
          </cell>
        </row>
        <row r="16274">
          <cell r="B16274" t="str">
            <v>INF204KA1JX9</v>
          </cell>
          <cell r="C16274" t="str">
            <v>-</v>
          </cell>
          <cell r="D16274" t="str">
            <v>Reliance Fixed Horizon Fund - XXVI - Series 1 - Growth Option</v>
          </cell>
          <cell r="E16274">
            <v>14.652100000000001</v>
          </cell>
        </row>
        <row r="16275">
          <cell r="B16275" t="str">
            <v>INF204KA1NM4</v>
          </cell>
          <cell r="C16275" t="str">
            <v>-</v>
          </cell>
          <cell r="D16275" t="str">
            <v>Reliance Fixed Horizon Fund - XXVI - Series 14- Direct Plan - Dividend Payout Option</v>
          </cell>
          <cell r="E16275">
            <v>10</v>
          </cell>
        </row>
        <row r="16276">
          <cell r="B16276" t="str">
            <v>INF204KA1NL6</v>
          </cell>
          <cell r="C16276" t="str">
            <v>-</v>
          </cell>
          <cell r="D16276" t="str">
            <v>Reliance Fixed Horizon Fund - XXVI - Series 14- Direct Plan - Growth Option</v>
          </cell>
          <cell r="E16276">
            <v>14.6448</v>
          </cell>
        </row>
        <row r="16277">
          <cell r="B16277" t="str">
            <v>INF204KA1NK8</v>
          </cell>
          <cell r="C16277" t="str">
            <v>-</v>
          </cell>
          <cell r="D16277" t="str">
            <v>Reliance Fixed Horizon Fund - XXVI - Series 14- Dividend payout Option</v>
          </cell>
          <cell r="E16277">
            <v>11.8004</v>
          </cell>
        </row>
        <row r="16278">
          <cell r="B16278" t="str">
            <v>INF204KA1NJ0</v>
          </cell>
          <cell r="C16278" t="str">
            <v>-</v>
          </cell>
          <cell r="D16278" t="str">
            <v>Reliance Fixed Horizon Fund - XXVI - Series 14- Growth Option</v>
          </cell>
          <cell r="E16278">
            <v>14.394</v>
          </cell>
        </row>
        <row r="16279">
          <cell r="B16279" t="str">
            <v>INF204KA1NX1</v>
          </cell>
          <cell r="C16279" t="str">
            <v>-</v>
          </cell>
          <cell r="D16279" t="str">
            <v>Reliance Fixed Horizon Fund - XXVI - Series 17- Direct Plan - Growth Option</v>
          </cell>
          <cell r="E16279">
            <v>12.8672</v>
          </cell>
        </row>
        <row r="16280">
          <cell r="B16280" t="str">
            <v>INF204KA1NW3</v>
          </cell>
          <cell r="C16280" t="str">
            <v>-</v>
          </cell>
          <cell r="D16280" t="str">
            <v>Reliance Fixed Horizon Fund - XXVI - Series 17- Dividend payout Option</v>
          </cell>
          <cell r="E16280">
            <v>10</v>
          </cell>
        </row>
        <row r="16281">
          <cell r="B16281" t="str">
            <v>INF204KA1NV5</v>
          </cell>
          <cell r="C16281" t="str">
            <v>-</v>
          </cell>
          <cell r="D16281" t="str">
            <v>Reliance Fixed Horizon Fund - XXVI - Series 17- Growth Option</v>
          </cell>
          <cell r="E16281">
            <v>12.821300000000001</v>
          </cell>
        </row>
        <row r="16282">
          <cell r="B16282" t="str">
            <v>INF204KA1OC3</v>
          </cell>
          <cell r="C16282" t="str">
            <v>-</v>
          </cell>
          <cell r="D16282" t="str">
            <v>Reliance Fixed Horizon Fund - XXVI - Series 18- Direct Plan - Dividend Payout Option</v>
          </cell>
          <cell r="E16282">
            <v>10</v>
          </cell>
        </row>
        <row r="16283">
          <cell r="B16283" t="str">
            <v>INF204KA1OB5</v>
          </cell>
          <cell r="C16283" t="str">
            <v>-</v>
          </cell>
          <cell r="D16283" t="str">
            <v>Reliance Fixed Horizon Fund - XXVI - Series 18- Direct Plan - Growth Option</v>
          </cell>
          <cell r="E16283">
            <v>12.837400000000001</v>
          </cell>
        </row>
        <row r="16284">
          <cell r="B16284" t="str">
            <v>INF204KA1OA7</v>
          </cell>
          <cell r="C16284" t="str">
            <v>-</v>
          </cell>
          <cell r="D16284" t="str">
            <v>Reliance Fixed Horizon Fund - XXVI - Series 18- Dividend payout Option</v>
          </cell>
          <cell r="E16284">
            <v>10</v>
          </cell>
        </row>
        <row r="16285">
          <cell r="B16285" t="str">
            <v>INF204KA1NZ6</v>
          </cell>
          <cell r="C16285" t="str">
            <v>-</v>
          </cell>
          <cell r="D16285" t="str">
            <v>Reliance Fixed Horizon Fund - XXVI - Series 18- Growth Option</v>
          </cell>
          <cell r="E16285">
            <v>12.782500000000001</v>
          </cell>
        </row>
        <row r="16286">
          <cell r="B16286" t="str">
            <v>INF204KA1KX7</v>
          </cell>
          <cell r="C16286" t="str">
            <v>-</v>
          </cell>
          <cell r="D16286" t="str">
            <v>Reliance Fixed Horizon Fund - XXVI - Series 2 - Direct Plan - Growth Option</v>
          </cell>
          <cell r="E16286">
            <v>14.020200000000001</v>
          </cell>
        </row>
        <row r="16287">
          <cell r="B16287" t="str">
            <v>INF204KA1KW9</v>
          </cell>
          <cell r="C16287" t="str">
            <v>-</v>
          </cell>
          <cell r="D16287" t="str">
            <v>Reliance Fixed Horizon Fund - XXVI - Series 2 - Dividend Payout Option</v>
          </cell>
          <cell r="E16287">
            <v>10</v>
          </cell>
        </row>
        <row r="16288">
          <cell r="B16288" t="str">
            <v>INF204KA1KV1</v>
          </cell>
          <cell r="C16288" t="str">
            <v>-</v>
          </cell>
          <cell r="D16288" t="str">
            <v>Reliance Fixed Horizon Fund - XXVI - Series 2 - Growth Option</v>
          </cell>
          <cell r="E16288">
            <v>13.953099999999999</v>
          </cell>
        </row>
        <row r="16289">
          <cell r="B16289" t="str">
            <v>INF204KA1QO3</v>
          </cell>
          <cell r="C16289" t="str">
            <v>-</v>
          </cell>
          <cell r="D16289" t="str">
            <v>Reliance Fixed Horizon Fund - XXVI - Series 29 - Direct Plan - Dividend Payout Option</v>
          </cell>
          <cell r="E16289">
            <v>10</v>
          </cell>
        </row>
        <row r="16290">
          <cell r="B16290" t="str">
            <v>INF204KA1QN5</v>
          </cell>
          <cell r="C16290" t="str">
            <v>-</v>
          </cell>
          <cell r="D16290" t="str">
            <v>Reliance Fixed Horizon Fund - XXVI - Series 29 - Direct Plan - Growth Option</v>
          </cell>
          <cell r="E16290">
            <v>12.832100000000001</v>
          </cell>
        </row>
        <row r="16291">
          <cell r="B16291" t="str">
            <v>INF204KA1QM7</v>
          </cell>
          <cell r="C16291" t="str">
            <v>-</v>
          </cell>
          <cell r="D16291" t="str">
            <v>Reliance Fixed Horizon Fund - XXVI - Series 29 - Dividend Payout Option</v>
          </cell>
          <cell r="E16291">
            <v>10</v>
          </cell>
        </row>
        <row r="16292">
          <cell r="B16292" t="str">
            <v>INF204KA1QL9</v>
          </cell>
          <cell r="C16292" t="str">
            <v>-</v>
          </cell>
          <cell r="D16292" t="str">
            <v>Reliance Fixed Horizon Fund - XXVI - Series 29 - Growth Option</v>
          </cell>
          <cell r="E16292">
            <v>12.7925</v>
          </cell>
        </row>
        <row r="16293">
          <cell r="B16293" t="str">
            <v>INF204KA1QS4</v>
          </cell>
          <cell r="C16293" t="str">
            <v>-</v>
          </cell>
          <cell r="D16293" t="str">
            <v>Reliance Fixed Horizon Fund - XXVI - Series 30 - Direct Plan - Dividend Payout Option</v>
          </cell>
          <cell r="E16293">
            <v>11.7218</v>
          </cell>
        </row>
        <row r="16294">
          <cell r="B16294" t="str">
            <v>INF204KA1QR6</v>
          </cell>
          <cell r="C16294" t="str">
            <v>-</v>
          </cell>
          <cell r="D16294" t="str">
            <v>Reliance Fixed Horizon Fund - XXVI - Series 30 - Direct Plan - Growth Option</v>
          </cell>
          <cell r="E16294">
            <v>14.148</v>
          </cell>
        </row>
        <row r="16295">
          <cell r="B16295" t="str">
            <v>INF204KA1QQ8</v>
          </cell>
          <cell r="C16295" t="str">
            <v>-</v>
          </cell>
          <cell r="D16295" t="str">
            <v>Reliance Fixed Horizon Fund - XXVI - Series 30 - Dividend Payout Option</v>
          </cell>
          <cell r="E16295">
            <v>11.639699999999999</v>
          </cell>
        </row>
        <row r="16296">
          <cell r="B16296" t="str">
            <v>INF204KA1QP0</v>
          </cell>
          <cell r="C16296" t="str">
            <v>-</v>
          </cell>
          <cell r="D16296" t="str">
            <v>Reliance Fixed Horizon Fund - XXVI - Series 30 - Growth Option</v>
          </cell>
          <cell r="E16296">
            <v>13.9314</v>
          </cell>
        </row>
        <row r="16297">
          <cell r="B16297" t="str">
            <v>INF204KA1QW6</v>
          </cell>
          <cell r="C16297" t="str">
            <v>-</v>
          </cell>
          <cell r="D16297" t="str">
            <v>Reliance Fixed Horizon Fund - XXVI - Series 31 - Direct Plan - Dividend Payout Option</v>
          </cell>
          <cell r="E16297">
            <v>10</v>
          </cell>
        </row>
        <row r="16298">
          <cell r="B16298" t="str">
            <v>INF204KA1QV8</v>
          </cell>
          <cell r="C16298" t="str">
            <v>-</v>
          </cell>
          <cell r="D16298" t="str">
            <v>Reliance Fixed Horizon Fund - XXVI - Series 31 - Direct Plan - Growth Option</v>
          </cell>
          <cell r="E16298">
            <v>12.843</v>
          </cell>
        </row>
        <row r="16299">
          <cell r="B16299" t="str">
            <v>INF204KA1QU0</v>
          </cell>
          <cell r="C16299" t="str">
            <v>-</v>
          </cell>
          <cell r="D16299" t="str">
            <v>Reliance Fixed Horizon Fund - XXVI - Series 31 - Dividend Payout Option</v>
          </cell>
          <cell r="E16299">
            <v>10</v>
          </cell>
        </row>
        <row r="16300">
          <cell r="B16300" t="str">
            <v>INF204KA1QT2</v>
          </cell>
          <cell r="C16300" t="str">
            <v>-</v>
          </cell>
          <cell r="D16300" t="str">
            <v>Reliance Fixed Horizon Fund - XXVI - Series 31 - Growth Option</v>
          </cell>
          <cell r="E16300">
            <v>12.804600000000001</v>
          </cell>
        </row>
        <row r="16301">
          <cell r="B16301" t="str">
            <v>INF204KA1LL0</v>
          </cell>
          <cell r="C16301" t="str">
            <v>-</v>
          </cell>
          <cell r="D16301" t="str">
            <v>Reliance Fixed Horizon Fund - XXVI - Series 4-Direct Plan - Dividend Payout Option</v>
          </cell>
          <cell r="E16301">
            <v>10</v>
          </cell>
        </row>
        <row r="16302">
          <cell r="B16302" t="str">
            <v>INF204KA1LK2</v>
          </cell>
          <cell r="C16302" t="str">
            <v>-</v>
          </cell>
          <cell r="D16302" t="str">
            <v>Reliance Fixed Horizon Fund - XXVI - Series 4-Direct Plan - Growth Option</v>
          </cell>
          <cell r="E16302">
            <v>13.190200000000001</v>
          </cell>
        </row>
        <row r="16303">
          <cell r="B16303" t="str">
            <v>INF204KA1LJ4</v>
          </cell>
          <cell r="C16303" t="str">
            <v>-</v>
          </cell>
          <cell r="D16303" t="str">
            <v>Reliance Fixed Horizon Fund - XXVI - Series 4-Dividend payout Option</v>
          </cell>
          <cell r="E16303">
            <v>10</v>
          </cell>
        </row>
        <row r="16304">
          <cell r="B16304" t="str">
            <v>INF204KA1LI6</v>
          </cell>
          <cell r="C16304" t="str">
            <v>-</v>
          </cell>
          <cell r="D16304" t="str">
            <v>Reliance Fixed Horizon Fund - XXVI - Series 4-Growth Option</v>
          </cell>
          <cell r="E16304">
            <v>12.9725</v>
          </cell>
        </row>
        <row r="16305">
          <cell r="B16305" t="str">
            <v>INF204KA1TV2</v>
          </cell>
          <cell r="C16305" t="str">
            <v>-</v>
          </cell>
          <cell r="D16305" t="str">
            <v>Reliance Fixed Horizon Fund - XXVII - Series 5 - Direct Plan - Growth Option</v>
          </cell>
          <cell r="E16305">
            <v>13.0503</v>
          </cell>
        </row>
        <row r="16306">
          <cell r="B16306" t="str">
            <v>INF204KA1TU4</v>
          </cell>
          <cell r="C16306" t="str">
            <v>-</v>
          </cell>
          <cell r="D16306" t="str">
            <v>Reliance Fixed Horizon Fund - XXVII - Series 5 - Dividend Payout Option</v>
          </cell>
          <cell r="E16306">
            <v>10</v>
          </cell>
        </row>
        <row r="16307">
          <cell r="B16307" t="str">
            <v>INF204KA1TT6</v>
          </cell>
          <cell r="C16307" t="str">
            <v>-</v>
          </cell>
          <cell r="D16307" t="str">
            <v>Reliance Fixed Horizon Fund - XXVII - Series 5 - Growth Option</v>
          </cell>
          <cell r="E16307">
            <v>12.8712</v>
          </cell>
        </row>
        <row r="16308">
          <cell r="B16308" t="str">
            <v>INF204K01WE4</v>
          </cell>
          <cell r="C16308" t="str">
            <v>-</v>
          </cell>
          <cell r="D16308" t="str">
            <v>Reliance Fixed Horizon Fund XXII - Series 32 - Dividend Payout Option</v>
          </cell>
          <cell r="E16308">
            <v>12.775499999999999</v>
          </cell>
        </row>
        <row r="16309">
          <cell r="B16309" t="str">
            <v>INF204K01WD6</v>
          </cell>
          <cell r="C16309" t="str">
            <v>-</v>
          </cell>
          <cell r="D16309" t="str">
            <v>Reliance Fixed Horizon Fund XXII - Series 32 - Growth Option</v>
          </cell>
          <cell r="E16309">
            <v>14.7569</v>
          </cell>
        </row>
        <row r="16310">
          <cell r="B16310" t="str">
            <v>INF204KA1Z17</v>
          </cell>
          <cell r="C16310" t="str">
            <v>-</v>
          </cell>
          <cell r="D16310" t="str">
            <v>Reliance Fixed Horizon Fund XXIII - Series 10 - Direct Plan - Growth Option</v>
          </cell>
          <cell r="E16310">
            <v>12.823600000000001</v>
          </cell>
        </row>
        <row r="16311">
          <cell r="B16311" t="str">
            <v>INF204KA1Z09</v>
          </cell>
          <cell r="C16311" t="str">
            <v>-</v>
          </cell>
          <cell r="D16311" t="str">
            <v>Reliance Fixed Horizon Fund XXIII - Series 10 - Dividend Option</v>
          </cell>
          <cell r="E16311">
            <v>10</v>
          </cell>
        </row>
        <row r="16312">
          <cell r="B16312" t="str">
            <v>INF204KA1Y91</v>
          </cell>
          <cell r="C16312" t="str">
            <v>-</v>
          </cell>
          <cell r="D16312" t="str">
            <v>Reliance Fixed Horizon Fund XXIII - Series 10 -Growth Option</v>
          </cell>
          <cell r="E16312">
            <v>12.797700000000001</v>
          </cell>
        </row>
        <row r="16313">
          <cell r="B16313" t="str">
            <v>INF204KA11K6</v>
          </cell>
          <cell r="C16313" t="str">
            <v>-</v>
          </cell>
          <cell r="D16313" t="str">
            <v>Reliance Fixed Horizon Fund XXIX - Series 2 - Direct Plan - Dividend Payout Option</v>
          </cell>
          <cell r="E16313">
            <v>12.5884</v>
          </cell>
        </row>
        <row r="16314">
          <cell r="B16314" t="str">
            <v>INF204KA10K8</v>
          </cell>
          <cell r="C16314" t="str">
            <v>-</v>
          </cell>
          <cell r="D16314" t="str">
            <v>Reliance Fixed Horizon Fund XXIX - Series 2 - Direct Plan - Growth Option</v>
          </cell>
          <cell r="E16314">
            <v>12.5884</v>
          </cell>
        </row>
        <row r="16315">
          <cell r="B16315" t="str">
            <v>INF204KA19J1</v>
          </cell>
          <cell r="C16315" t="str">
            <v>-</v>
          </cell>
          <cell r="D16315" t="str">
            <v>Reliance Fixed Horizon Fund XXIX - Series 2 - Regular Plan - Dividend Payout Option</v>
          </cell>
          <cell r="E16315">
            <v>12.4765</v>
          </cell>
        </row>
        <row r="16316">
          <cell r="B16316" t="str">
            <v>INF204KA18J3</v>
          </cell>
          <cell r="C16316" t="str">
            <v>-</v>
          </cell>
          <cell r="D16316" t="str">
            <v>Reliance Fixed Horizon Fund XXIX - Series 2 - Regular Plan - Growth Option</v>
          </cell>
          <cell r="E16316">
            <v>12.476599999999999</v>
          </cell>
        </row>
        <row r="16317">
          <cell r="B16317" t="str">
            <v>INF204KA17J5</v>
          </cell>
          <cell r="C16317" t="str">
            <v>-</v>
          </cell>
          <cell r="D16317" t="str">
            <v>Reliance Fixed Horizon Fund XXIX - Series 1- Direct Plan-Dividend Payout Option</v>
          </cell>
          <cell r="E16317">
            <v>12.635400000000001</v>
          </cell>
        </row>
        <row r="16318">
          <cell r="B16318" t="str">
            <v>INF204KA16J7</v>
          </cell>
          <cell r="C16318" t="str">
            <v>-</v>
          </cell>
          <cell r="D16318" t="str">
            <v>Reliance Fixed Horizon Fund XXIX - Series 1- Direct Plan-Growth Option</v>
          </cell>
          <cell r="E16318">
            <v>12.635400000000001</v>
          </cell>
        </row>
        <row r="16319">
          <cell r="B16319" t="str">
            <v>INF204KA15J9</v>
          </cell>
          <cell r="C16319" t="str">
            <v>-</v>
          </cell>
          <cell r="D16319" t="str">
            <v>Reliance Fixed Horizon Fund XXIX - Series 1- Dividend Payout Option</v>
          </cell>
          <cell r="E16319">
            <v>12.512</v>
          </cell>
        </row>
        <row r="16320">
          <cell r="B16320" t="str">
            <v>INF204KA14J2</v>
          </cell>
          <cell r="C16320" t="str">
            <v>-</v>
          </cell>
          <cell r="D16320" t="str">
            <v>Reliance Fixed Horizon Fund XXIX - Series 1- Growth Option</v>
          </cell>
          <cell r="E16320">
            <v>12.511900000000001</v>
          </cell>
        </row>
        <row r="16321">
          <cell r="B16321" t="str">
            <v>INF204KA13P1</v>
          </cell>
          <cell r="C16321" t="str">
            <v>-</v>
          </cell>
          <cell r="D16321" t="str">
            <v>Reliance Fixed Horizon Fund XXIX- Series 10- Direct Plan-Growth Option</v>
          </cell>
          <cell r="E16321">
            <v>12.314299999999999</v>
          </cell>
        </row>
        <row r="16322">
          <cell r="B16322" t="str">
            <v>INF204KA14P9</v>
          </cell>
          <cell r="C16322" t="str">
            <v>-</v>
          </cell>
          <cell r="D16322" t="str">
            <v>Reliance Fixed Horizon Fund XXIX- Series 10- Dividend Payout Option</v>
          </cell>
          <cell r="E16322">
            <v>12.2836</v>
          </cell>
        </row>
        <row r="16323">
          <cell r="B16323" t="str">
            <v>INF204KA11P5</v>
          </cell>
          <cell r="C16323" t="str">
            <v>-</v>
          </cell>
          <cell r="D16323" t="str">
            <v>Reliance Fixed Horizon Fund XXIX- Series 10- Growth Option</v>
          </cell>
          <cell r="E16323">
            <v>12.2836</v>
          </cell>
        </row>
        <row r="16324">
          <cell r="B16324" t="str">
            <v>INF204KA16Q2</v>
          </cell>
          <cell r="C16324" t="str">
            <v>-</v>
          </cell>
          <cell r="D16324" t="str">
            <v>Reliance Fixed Horizon Fund XXIX- Series 13- Direct Plan-Dividend Payout Option</v>
          </cell>
          <cell r="E16324">
            <v>12.662699999999999</v>
          </cell>
        </row>
        <row r="16325">
          <cell r="B16325" t="str">
            <v>INF204KA15Q4</v>
          </cell>
          <cell r="C16325" t="str">
            <v>-</v>
          </cell>
          <cell r="D16325" t="str">
            <v>Reliance Fixed Horizon Fund XXIX- Series 13- Direct Plan-Growth Option</v>
          </cell>
          <cell r="E16325">
            <v>12.662699999999999</v>
          </cell>
        </row>
        <row r="16326">
          <cell r="B16326" t="str">
            <v>INF204KA14Q7</v>
          </cell>
          <cell r="C16326" t="str">
            <v>-</v>
          </cell>
          <cell r="D16326" t="str">
            <v>Reliance Fixed Horizon Fund XXIX- Series 13- Dividend Payout Option</v>
          </cell>
          <cell r="E16326">
            <v>12.482100000000001</v>
          </cell>
        </row>
        <row r="16327">
          <cell r="B16327" t="str">
            <v>INF204KA13Q9</v>
          </cell>
          <cell r="C16327" t="str">
            <v>-</v>
          </cell>
          <cell r="D16327" t="str">
            <v>Reliance Fixed Horizon Fund XXIX- Series 13- Growth Option</v>
          </cell>
          <cell r="E16327">
            <v>12.481999999999999</v>
          </cell>
        </row>
        <row r="16328">
          <cell r="B16328" t="str">
            <v>INF204KA10R3</v>
          </cell>
          <cell r="C16328" t="str">
            <v>-</v>
          </cell>
          <cell r="D16328" t="str">
            <v>Reliance Fixed Horizon Fund XXIX- Series 14- Direct Plan-Dividend Payout Option</v>
          </cell>
          <cell r="E16328">
            <v>12.2988</v>
          </cell>
        </row>
        <row r="16329">
          <cell r="B16329" t="str">
            <v>INF204KA17Q0</v>
          </cell>
          <cell r="C16329" t="str">
            <v>-</v>
          </cell>
          <cell r="D16329" t="str">
            <v>Reliance Fixed Horizon Fund XXIX- Series 14- Growth Option</v>
          </cell>
          <cell r="E16329">
            <v>12.260199999999999</v>
          </cell>
        </row>
        <row r="16330">
          <cell r="B16330" t="str">
            <v>INF204KA19Q6</v>
          </cell>
          <cell r="C16330" t="str">
            <v>-</v>
          </cell>
          <cell r="D16330" t="str">
            <v>Reliance Fixed Horizon Fund XXIX- Series 14-Direct Plan-Growth Option</v>
          </cell>
          <cell r="E16330">
            <v>12.2989</v>
          </cell>
        </row>
        <row r="16331">
          <cell r="B16331" t="str">
            <v>INF204KA18Q8</v>
          </cell>
          <cell r="C16331" t="str">
            <v>-</v>
          </cell>
          <cell r="D16331" t="str">
            <v>Reliance Fixed Horizon Fund XXIX- Series 14-Dividend Payout Option</v>
          </cell>
          <cell r="E16331">
            <v>12.260199999999999</v>
          </cell>
        </row>
        <row r="16332">
          <cell r="B16332" t="str">
            <v>INF204KA12S7</v>
          </cell>
          <cell r="C16332" t="str">
            <v>-</v>
          </cell>
          <cell r="D16332" t="str">
            <v>Reliance Fixed Horizon Fund XXIX- Series 16- Direct Plan-Dividend Payout Option</v>
          </cell>
          <cell r="E16332">
            <v>10</v>
          </cell>
        </row>
        <row r="16333">
          <cell r="B16333" t="str">
            <v>INF204KA11S9</v>
          </cell>
          <cell r="C16333" t="str">
            <v>-</v>
          </cell>
          <cell r="D16333" t="str">
            <v>Reliance Fixed Horizon Fund XXIX- Series 16- Direct Plan-Growth Option</v>
          </cell>
          <cell r="E16333">
            <v>12.9634</v>
          </cell>
        </row>
        <row r="16334">
          <cell r="B16334" t="str">
            <v>INF204KA19R4</v>
          </cell>
          <cell r="C16334" t="str">
            <v>-</v>
          </cell>
          <cell r="D16334" t="str">
            <v>Reliance Fixed Horizon Fund XXIX- Series 16- Growth Option</v>
          </cell>
          <cell r="E16334">
            <v>12.805199999999999</v>
          </cell>
        </row>
        <row r="16335">
          <cell r="B16335" t="str">
            <v>INF204KA10T9</v>
          </cell>
          <cell r="C16335" t="str">
            <v>-</v>
          </cell>
          <cell r="D16335" t="str">
            <v>Reliance Fixed Horizon Fund XXIX- Series 18- Direct Plan-Dividend Payout Option</v>
          </cell>
          <cell r="E16335">
            <v>10</v>
          </cell>
        </row>
        <row r="16336">
          <cell r="B16336" t="str">
            <v>INF204KA19S2</v>
          </cell>
          <cell r="C16336" t="str">
            <v>-</v>
          </cell>
          <cell r="D16336" t="str">
            <v>Reliance Fixed Horizon Fund XXIX- Series 18- Direct Plan-Growth Option</v>
          </cell>
          <cell r="E16336">
            <v>12.0769</v>
          </cell>
        </row>
        <row r="16337">
          <cell r="B16337" t="str">
            <v>INF204KA18S4</v>
          </cell>
          <cell r="C16337" t="str">
            <v>-</v>
          </cell>
          <cell r="D16337" t="str">
            <v>Reliance Fixed Horizon Fund XXIX- Series 18- Dividend Payout Option</v>
          </cell>
          <cell r="E16337">
            <v>10</v>
          </cell>
        </row>
        <row r="16338">
          <cell r="B16338" t="str">
            <v>INF204KA17S6</v>
          </cell>
          <cell r="C16338" t="str">
            <v>-</v>
          </cell>
          <cell r="D16338" t="str">
            <v>Reliance Fixed Horizon Fund XXIX- Series 18- Growth Option</v>
          </cell>
          <cell r="E16338">
            <v>11.9741</v>
          </cell>
        </row>
        <row r="16339">
          <cell r="B16339" t="str">
            <v>INF204KA14T1</v>
          </cell>
          <cell r="C16339" t="str">
            <v>-</v>
          </cell>
          <cell r="D16339" t="str">
            <v>Reliance Fixed Horizon Fund XXIX- Series 19- Direct Plan-Dividend Payout Option</v>
          </cell>
          <cell r="E16339">
            <v>10</v>
          </cell>
        </row>
        <row r="16340">
          <cell r="B16340" t="str">
            <v>INF204KA13T3</v>
          </cell>
          <cell r="C16340" t="str">
            <v>-</v>
          </cell>
          <cell r="D16340" t="str">
            <v>Reliance Fixed Horizon Fund XXIX- Series 19- Direct Plan-Growth Option</v>
          </cell>
          <cell r="E16340">
            <v>12.9527</v>
          </cell>
        </row>
        <row r="16341">
          <cell r="B16341" t="str">
            <v>INF204KA12T5</v>
          </cell>
          <cell r="C16341" t="str">
            <v>-</v>
          </cell>
          <cell r="D16341" t="str">
            <v>Reliance Fixed Horizon Fund XXIX- Series 19- Dividend Payout Option</v>
          </cell>
          <cell r="E16341">
            <v>10</v>
          </cell>
        </row>
        <row r="16342">
          <cell r="B16342" t="str">
            <v>INF204KA11T7</v>
          </cell>
          <cell r="C16342" t="str">
            <v>-</v>
          </cell>
          <cell r="D16342" t="str">
            <v>Reliance Fixed Horizon Fund XXIX- Series 19- Growth Option</v>
          </cell>
          <cell r="E16342">
            <v>12.9101</v>
          </cell>
        </row>
        <row r="16343">
          <cell r="B16343" t="str">
            <v>INF204KA17T4</v>
          </cell>
          <cell r="C16343" t="str">
            <v>-</v>
          </cell>
          <cell r="D16343" t="str">
            <v>Reliance Fixed Horizon Fund XXIX- Series 20- Direct Plan-Growth Option</v>
          </cell>
          <cell r="E16343">
            <v>12.9116</v>
          </cell>
        </row>
        <row r="16344">
          <cell r="B16344" t="str">
            <v>INF204KA16T6</v>
          </cell>
          <cell r="C16344" t="str">
            <v>-</v>
          </cell>
          <cell r="D16344" t="str">
            <v>Reliance Fixed Horizon Fund XXIX- Series 20- Dividend Payout Option</v>
          </cell>
          <cell r="E16344">
            <v>10</v>
          </cell>
        </row>
        <row r="16345">
          <cell r="B16345" t="str">
            <v>INF204KA15T8</v>
          </cell>
          <cell r="C16345" t="str">
            <v>-</v>
          </cell>
          <cell r="D16345" t="str">
            <v>Reliance Fixed Horizon Fund XXIX- Series 20- Growth Option</v>
          </cell>
          <cell r="E16345">
            <v>12.8375</v>
          </cell>
        </row>
        <row r="16346">
          <cell r="B16346" t="str">
            <v>INF204KA15K7</v>
          </cell>
          <cell r="C16346" t="str">
            <v>-</v>
          </cell>
          <cell r="D16346" t="str">
            <v>Reliance Fixed Horizon Fund XXIX- Series 3- Direct Plan-Dividend Payout Option</v>
          </cell>
          <cell r="E16346">
            <v>13.0151</v>
          </cell>
        </row>
        <row r="16347">
          <cell r="B16347" t="str">
            <v>INF204KA14K0</v>
          </cell>
          <cell r="C16347" t="str">
            <v>-</v>
          </cell>
          <cell r="D16347" t="str">
            <v>Reliance Fixed Horizon Fund XXIX- Series 3- Direct Plan-Growth Option</v>
          </cell>
          <cell r="E16347">
            <v>13.0151</v>
          </cell>
        </row>
        <row r="16348">
          <cell r="B16348" t="str">
            <v>INF204KA13K2</v>
          </cell>
          <cell r="C16348" t="str">
            <v>-</v>
          </cell>
          <cell r="D16348" t="str">
            <v>Reliance Fixed Horizon Fund XXIX- Series 3- Dividend Payout Option</v>
          </cell>
          <cell r="E16348">
            <v>12.8156</v>
          </cell>
        </row>
        <row r="16349">
          <cell r="B16349" t="str">
            <v>INF204KA12K4</v>
          </cell>
          <cell r="C16349" t="str">
            <v>-</v>
          </cell>
          <cell r="D16349" t="str">
            <v>Reliance Fixed Horizon Fund XXIX- Series 3- Growth Option</v>
          </cell>
          <cell r="E16349">
            <v>12.8156</v>
          </cell>
        </row>
        <row r="16350">
          <cell r="B16350" t="str">
            <v>INF204KA16M1</v>
          </cell>
          <cell r="C16350" t="str">
            <v>-</v>
          </cell>
          <cell r="D16350" t="str">
            <v>Reliance Fixed Horizon Fund XXIX- Series 6- Direct Plan - Growth Option</v>
          </cell>
          <cell r="E16350">
            <v>12.532</v>
          </cell>
        </row>
        <row r="16351">
          <cell r="B16351" t="str">
            <v>INF204KA15M3</v>
          </cell>
          <cell r="C16351" t="str">
            <v>-</v>
          </cell>
          <cell r="D16351" t="str">
            <v>Reliance Fixed Horizon Fund XXIX- Series 6- Dividend Payout Option</v>
          </cell>
          <cell r="E16351">
            <v>12.4969</v>
          </cell>
        </row>
        <row r="16352">
          <cell r="B16352" t="str">
            <v>INF204KA14M6</v>
          </cell>
          <cell r="C16352" t="str">
            <v>-</v>
          </cell>
          <cell r="D16352" t="str">
            <v>Reliance Fixed Horizon Fund XXIX- Series 6- Growth Option</v>
          </cell>
          <cell r="E16352">
            <v>12.4969</v>
          </cell>
        </row>
        <row r="16353">
          <cell r="B16353" t="str">
            <v>INF204KA14N4</v>
          </cell>
          <cell r="C16353" t="str">
            <v>-</v>
          </cell>
          <cell r="D16353" t="str">
            <v>Reliance Fixed Horizon Fund XXIX- Series 7- Direct Plan- Growth Option</v>
          </cell>
          <cell r="E16353">
            <v>12.894600000000001</v>
          </cell>
        </row>
        <row r="16354">
          <cell r="B16354" t="str">
            <v>INF204KA15N1</v>
          </cell>
          <cell r="C16354" t="str">
            <v>-</v>
          </cell>
          <cell r="D16354" t="str">
            <v>Reliance Fixed Horizon Fund XXIX- Series 7- Dividend Payout Option</v>
          </cell>
          <cell r="E16354">
            <v>12.6837</v>
          </cell>
        </row>
        <row r="16355">
          <cell r="B16355" t="str">
            <v>INF204KA16N9</v>
          </cell>
          <cell r="C16355" t="str">
            <v>-</v>
          </cell>
          <cell r="D16355" t="str">
            <v>Reliance Fixed Horizon Fund XXIX- Series 7- Growth Option</v>
          </cell>
          <cell r="E16355">
            <v>12.6837</v>
          </cell>
        </row>
        <row r="16356">
          <cell r="B16356" t="str">
            <v>INF204KA18N5</v>
          </cell>
          <cell r="C16356" t="str">
            <v>-</v>
          </cell>
          <cell r="D16356" t="str">
            <v>Reliance Fixed Horizon Fund XXIX- Series 8- Direct Plan-Growth Option</v>
          </cell>
          <cell r="E16356">
            <v>12.492699999999999</v>
          </cell>
        </row>
        <row r="16357">
          <cell r="B16357" t="str">
            <v>INF204KA19N3</v>
          </cell>
          <cell r="C16357" t="str">
            <v>-</v>
          </cell>
          <cell r="D16357" t="str">
            <v>Reliance Fixed Horizon Fund XXIX- Series 8- Dividend Payout Option</v>
          </cell>
          <cell r="E16357">
            <v>12.4582</v>
          </cell>
        </row>
        <row r="16358">
          <cell r="B16358" t="str">
            <v>INF204KA10O0</v>
          </cell>
          <cell r="C16358" t="str">
            <v>-</v>
          </cell>
          <cell r="D16358" t="str">
            <v>Reliance Fixed Horizon Fund XXIX- Series 8- Growth Option</v>
          </cell>
          <cell r="E16358">
            <v>12.4582</v>
          </cell>
        </row>
        <row r="16359">
          <cell r="B16359" t="str">
            <v>INF204KA18O3</v>
          </cell>
          <cell r="C16359" t="str">
            <v>-</v>
          </cell>
          <cell r="D16359" t="str">
            <v>Reliance Fixed Horizon Fund XXIX- Series 9- Direct Plan-Growth Option</v>
          </cell>
          <cell r="E16359">
            <v>12.3826</v>
          </cell>
        </row>
        <row r="16360">
          <cell r="B16360" t="str">
            <v>INF204KA19O1</v>
          </cell>
          <cell r="C16360" t="str">
            <v>-</v>
          </cell>
          <cell r="D16360" t="str">
            <v>Reliance Fixed Horizon Fund XXIX- Series 9- Dividend Payout Option</v>
          </cell>
          <cell r="E16360">
            <v>12.348699999999999</v>
          </cell>
        </row>
        <row r="16361">
          <cell r="B16361" t="str">
            <v>INF204KA10P7</v>
          </cell>
          <cell r="C16361" t="str">
            <v>-</v>
          </cell>
          <cell r="D16361" t="str">
            <v>Reliance Fixed Horizon Fund XXIX- Series 9- Growth Option</v>
          </cell>
          <cell r="E16361">
            <v>12.348699999999999</v>
          </cell>
        </row>
        <row r="16362">
          <cell r="B16362" t="str">
            <v>INF204KA1NQ5</v>
          </cell>
          <cell r="C16362" t="str">
            <v>-</v>
          </cell>
          <cell r="D16362" t="str">
            <v>Reliance Fixed Horizon Fund XXVI- Series 15- Direct Plan - Dividend Payout Option</v>
          </cell>
          <cell r="E16362">
            <v>10</v>
          </cell>
        </row>
        <row r="16363">
          <cell r="B16363" t="str">
            <v>INF204KA1NP7</v>
          </cell>
          <cell r="C16363" t="str">
            <v>-</v>
          </cell>
          <cell r="D16363" t="str">
            <v>Reliance Fixed Horizon Fund XXVI- Series 15- Direct Plan - Growth Option</v>
          </cell>
          <cell r="E16363">
            <v>12.911799999999999</v>
          </cell>
        </row>
        <row r="16364">
          <cell r="B16364" t="str">
            <v>INF204KA1NO0</v>
          </cell>
          <cell r="C16364" t="str">
            <v>-</v>
          </cell>
          <cell r="D16364" t="str">
            <v>Reliance Fixed Horizon Fund XXVI- Series 15- Dividend payout Option</v>
          </cell>
          <cell r="E16364">
            <v>10</v>
          </cell>
        </row>
        <row r="16365">
          <cell r="B16365" t="str">
            <v>INF204KA1NN2</v>
          </cell>
          <cell r="C16365" t="str">
            <v>-</v>
          </cell>
          <cell r="D16365" t="str">
            <v>Reliance Fixed Horizon Fund XXVI- Series 15- Growth Option</v>
          </cell>
          <cell r="E16365">
            <v>12.8329</v>
          </cell>
        </row>
        <row r="16366">
          <cell r="B16366" t="str">
            <v>INF204KA1OJ8</v>
          </cell>
          <cell r="C16366" t="str">
            <v>-</v>
          </cell>
          <cell r="D16366" t="str">
            <v>Reliance Fixed Horizon Fund XXVI- Series 20- Direct Plan- Growth Option</v>
          </cell>
          <cell r="E16366">
            <v>12.8141</v>
          </cell>
        </row>
        <row r="16367">
          <cell r="B16367" t="str">
            <v>INF204KA1OI0</v>
          </cell>
          <cell r="C16367" t="str">
            <v>-</v>
          </cell>
          <cell r="D16367" t="str">
            <v>Reliance Fixed Horizon Fund XXVI- Series 20- Dividend Payout Option</v>
          </cell>
          <cell r="E16367">
            <v>10</v>
          </cell>
        </row>
        <row r="16368">
          <cell r="B16368" t="str">
            <v>INF204KA1OH2</v>
          </cell>
          <cell r="C16368" t="str">
            <v>-</v>
          </cell>
          <cell r="D16368" t="str">
            <v>Reliance Fixed Horizon Fund XXVI- Series 20- Growth Option</v>
          </cell>
          <cell r="E16368">
            <v>12.7728</v>
          </cell>
        </row>
        <row r="16369">
          <cell r="B16369" t="str">
            <v>INF204KA1OS9</v>
          </cell>
          <cell r="C16369" t="str">
            <v>-</v>
          </cell>
          <cell r="D16369" t="str">
            <v>Reliance Fixed Horizon Fund XXVI- Series 22- Direct Plan- Dividend Payout Option</v>
          </cell>
          <cell r="E16369">
            <v>10</v>
          </cell>
        </row>
        <row r="16370">
          <cell r="B16370" t="str">
            <v>INF204KA1OR1</v>
          </cell>
          <cell r="C16370" t="str">
            <v>-</v>
          </cell>
          <cell r="D16370" t="str">
            <v>Reliance Fixed Horizon Fund XXVI- Series 22- Direct Plan- Growth Option</v>
          </cell>
          <cell r="E16370">
            <v>12.809799999999999</v>
          </cell>
        </row>
        <row r="16371">
          <cell r="B16371" t="str">
            <v>INF204KA1OQ3</v>
          </cell>
          <cell r="C16371" t="str">
            <v>-</v>
          </cell>
          <cell r="D16371" t="str">
            <v>Reliance Fixed Horizon Fund XXVI- Series 22- Dividend Payout Option</v>
          </cell>
          <cell r="E16371">
            <v>10</v>
          </cell>
        </row>
        <row r="16372">
          <cell r="B16372" t="str">
            <v>INF204KA1OP5</v>
          </cell>
          <cell r="C16372" t="str">
            <v>-</v>
          </cell>
          <cell r="D16372" t="str">
            <v>Reliance Fixed Horizon Fund XXVI- Series 22- Growth Option</v>
          </cell>
          <cell r="E16372">
            <v>12.7691</v>
          </cell>
        </row>
        <row r="16373">
          <cell r="B16373" t="str">
            <v>INF204KA1PE6</v>
          </cell>
          <cell r="C16373" t="str">
            <v>-</v>
          </cell>
          <cell r="D16373" t="str">
            <v>Reliance Fixed Horizon Fund- XXVI- Series 24- Direct Plan- Dividend Payout Option</v>
          </cell>
          <cell r="E16373">
            <v>10</v>
          </cell>
        </row>
        <row r="16374">
          <cell r="B16374" t="str">
            <v>INF204KA1PD8</v>
          </cell>
          <cell r="C16374" t="str">
            <v>-</v>
          </cell>
          <cell r="D16374" t="str">
            <v>Reliance Fixed Horizon Fund- XXVI- Series 24- Direct Plan- Growth Option</v>
          </cell>
          <cell r="E16374">
            <v>12.799099999999999</v>
          </cell>
        </row>
        <row r="16375">
          <cell r="B16375" t="str">
            <v>INF204KA1PC0</v>
          </cell>
          <cell r="C16375" t="str">
            <v>-</v>
          </cell>
          <cell r="D16375" t="str">
            <v>Reliance Fixed Horizon Fund- XXVI- Series 24- Dividend Payout Option</v>
          </cell>
          <cell r="E16375">
            <v>10</v>
          </cell>
        </row>
        <row r="16376">
          <cell r="B16376" t="str">
            <v>INF204KA1PB2</v>
          </cell>
          <cell r="C16376" t="str">
            <v>-</v>
          </cell>
          <cell r="D16376" t="str">
            <v>Reliance Fixed Horizon Fund- XXVI- Series 24- Growth Option</v>
          </cell>
          <cell r="E16376">
            <v>12.7605</v>
          </cell>
        </row>
        <row r="16377">
          <cell r="B16377" t="str">
            <v>INF204KA1PQ0</v>
          </cell>
          <cell r="C16377" t="str">
            <v>-</v>
          </cell>
          <cell r="D16377" t="str">
            <v>Reliance Fixed Horizon Fund XXVI- Series 26- Direct Plan- Dividend Payout Option</v>
          </cell>
          <cell r="E16377">
            <v>10</v>
          </cell>
        </row>
        <row r="16378">
          <cell r="B16378" t="str">
            <v>INF204KA1PP2</v>
          </cell>
          <cell r="C16378" t="str">
            <v>-</v>
          </cell>
          <cell r="D16378" t="str">
            <v>Reliance Fixed Horizon Fund XXVI- Series 26- Direct Plan- Growth Option</v>
          </cell>
          <cell r="E16378">
            <v>13.2179</v>
          </cell>
        </row>
        <row r="16379">
          <cell r="B16379" t="str">
            <v>INF204KA1PO5</v>
          </cell>
          <cell r="C16379" t="str">
            <v>-</v>
          </cell>
          <cell r="D16379" t="str">
            <v>Reliance Fixed Horizon Fund XXVI- Series 26- Dividend Payout Option</v>
          </cell>
          <cell r="E16379">
            <v>10</v>
          </cell>
        </row>
        <row r="16380">
          <cell r="B16380" t="str">
            <v>INF204KA1PN7</v>
          </cell>
          <cell r="C16380" t="str">
            <v>-</v>
          </cell>
          <cell r="D16380" t="str">
            <v>Reliance Fixed Horizon Fund- XXVI- Series 26- Growth Option</v>
          </cell>
          <cell r="E16380">
            <v>12.9998</v>
          </cell>
        </row>
        <row r="16381">
          <cell r="B16381" t="str">
            <v>INF204KA1QZ9</v>
          </cell>
          <cell r="C16381" t="str">
            <v>-</v>
          </cell>
          <cell r="D16381" t="str">
            <v>Reliance Fixed Horizon Fund XXVI- Series 32- Direct Plan- Growth Option</v>
          </cell>
          <cell r="E16381">
            <v>13.0877</v>
          </cell>
        </row>
        <row r="16382">
          <cell r="B16382" t="str">
            <v>INF204KA1QY2</v>
          </cell>
          <cell r="C16382" t="str">
            <v>-</v>
          </cell>
          <cell r="D16382" t="str">
            <v>Reliance Fixed Horizon Fund XXVI- Series 32- Dividend Payout Option</v>
          </cell>
          <cell r="E16382">
            <v>10</v>
          </cell>
        </row>
        <row r="16383">
          <cell r="B16383" t="str">
            <v>INF204KA1QX4</v>
          </cell>
          <cell r="C16383" t="str">
            <v>-</v>
          </cell>
          <cell r="D16383" t="str">
            <v>Reliance Fixed Horizon Fund XXVI- Series 32- Growth Option</v>
          </cell>
          <cell r="E16383">
            <v>12.8918</v>
          </cell>
        </row>
        <row r="16384">
          <cell r="B16384" t="str">
            <v>INF204KA1RC6</v>
          </cell>
          <cell r="C16384" t="str">
            <v>-</v>
          </cell>
          <cell r="D16384" t="str">
            <v>Reliance Fixed Horizon Fund XXVI Series- 33- Dividend Payout Option</v>
          </cell>
          <cell r="E16384">
            <v>10</v>
          </cell>
        </row>
        <row r="16385">
          <cell r="B16385" t="str">
            <v>INF204KA1RE2</v>
          </cell>
          <cell r="C16385" t="str">
            <v>-</v>
          </cell>
          <cell r="D16385" t="str">
            <v>Reliance Fixed Horizon Fund XXVI- Series 33- Direct Plan- Dividend Payout Option</v>
          </cell>
          <cell r="E16385">
            <v>10</v>
          </cell>
        </row>
        <row r="16386">
          <cell r="B16386" t="str">
            <v>INF204KA1RD4</v>
          </cell>
          <cell r="C16386" t="str">
            <v>-</v>
          </cell>
          <cell r="D16386" t="str">
            <v>Reliance Fixed Horizon Fund XXVI- Series 33- Direct Plan- Growth Option</v>
          </cell>
          <cell r="E16386">
            <v>12.771699999999999</v>
          </cell>
        </row>
        <row r="16387">
          <cell r="B16387" t="str">
            <v>INF204KA1RB8</v>
          </cell>
          <cell r="C16387" t="str">
            <v>-</v>
          </cell>
          <cell r="D16387" t="str">
            <v>Reliance Fixed Horizon Fund XXVI- Series 33- Growth Option</v>
          </cell>
          <cell r="E16387">
            <v>12.728300000000001</v>
          </cell>
        </row>
        <row r="16388">
          <cell r="B16388" t="str">
            <v>INF204KA1RM5</v>
          </cell>
          <cell r="C16388" t="str">
            <v>-</v>
          </cell>
          <cell r="D16388" t="str">
            <v>Reliance Fixed Horizon Fund XXVI-  Series 35- Direct Plan- Growth Option</v>
          </cell>
          <cell r="E16388">
            <v>13.148099999999999</v>
          </cell>
        </row>
        <row r="16389">
          <cell r="B16389" t="str">
            <v>INF204KA1RN3</v>
          </cell>
          <cell r="C16389" t="str">
            <v>-</v>
          </cell>
          <cell r="D16389" t="str">
            <v>Reliance Fixed Horizon Fund XXVI- Series 35- Direct Plan- Dividend Payout Option</v>
          </cell>
          <cell r="E16389">
            <v>10</v>
          </cell>
        </row>
        <row r="16390">
          <cell r="B16390" t="str">
            <v>INF204KA1RK9</v>
          </cell>
          <cell r="C16390" t="str">
            <v>-</v>
          </cell>
          <cell r="D16390" t="str">
            <v>Reliance Fixed Horizon Fund XXVI- Series 35- Dividend payout option</v>
          </cell>
          <cell r="E16390">
            <v>10</v>
          </cell>
        </row>
        <row r="16391">
          <cell r="B16391" t="str">
            <v>INF204KA1RJ1</v>
          </cell>
          <cell r="C16391" t="str">
            <v>-</v>
          </cell>
          <cell r="D16391" t="str">
            <v>Reliance Fixed Horizon Fund XXVI- Series 35- Growth Option</v>
          </cell>
          <cell r="E16391">
            <v>12.9773</v>
          </cell>
        </row>
        <row r="16392">
          <cell r="B16392" t="str">
            <v>INF204KA1WZ7</v>
          </cell>
          <cell r="C16392" t="str">
            <v>-</v>
          </cell>
          <cell r="D16392" t="str">
            <v>Reliance Fixed Horizon Fund XXVII- Series 11- Direct Plan-Dividend Payout Option</v>
          </cell>
          <cell r="E16392">
            <v>10</v>
          </cell>
        </row>
        <row r="16393">
          <cell r="B16393" t="str">
            <v>INF204KA1WY0</v>
          </cell>
          <cell r="C16393" t="str">
            <v>-</v>
          </cell>
          <cell r="D16393" t="str">
            <v>Reliance Fixed Horizon Fund XXVII- Series 11- Direct Plan-Growth Option</v>
          </cell>
          <cell r="E16393">
            <v>12.8157</v>
          </cell>
        </row>
        <row r="16394">
          <cell r="B16394" t="str">
            <v>INF204KA1WW4</v>
          </cell>
          <cell r="C16394" t="str">
            <v>-</v>
          </cell>
          <cell r="D16394" t="str">
            <v>Reliance Fixed Horizon Fund XXVII- Series 11- Growth Option</v>
          </cell>
          <cell r="E16394">
            <v>12.781599999999999</v>
          </cell>
        </row>
        <row r="16395">
          <cell r="B16395" t="str">
            <v>INF204KA1YT6</v>
          </cell>
          <cell r="C16395" t="str">
            <v>-</v>
          </cell>
          <cell r="D16395" t="str">
            <v>Reliance Fixed Horizon Fund XXVII- Series 15- Direct Plan- Dividend Payout Option</v>
          </cell>
          <cell r="E16395">
            <v>10</v>
          </cell>
        </row>
        <row r="16396">
          <cell r="B16396" t="str">
            <v>INF204KA1YS8</v>
          </cell>
          <cell r="C16396" t="str">
            <v>-</v>
          </cell>
          <cell r="D16396" t="str">
            <v>Reliance Fixed Horizon Fund XXVII- Series 15- Direct Plan- Growth Option</v>
          </cell>
          <cell r="E16396">
            <v>13.2003</v>
          </cell>
        </row>
        <row r="16397">
          <cell r="B16397" t="str">
            <v>INF204KA1YR0</v>
          </cell>
          <cell r="C16397" t="str">
            <v>-</v>
          </cell>
          <cell r="D16397" t="str">
            <v>Reliance Fixed Horizon Fund XXVII- Series 15- Dividend Payout Option</v>
          </cell>
          <cell r="E16397">
            <v>10</v>
          </cell>
        </row>
        <row r="16398">
          <cell r="B16398" t="str">
            <v>INF204KA1YQ2</v>
          </cell>
          <cell r="C16398" t="str">
            <v>-</v>
          </cell>
          <cell r="D16398" t="str">
            <v>Reliance Fixed Horizon Fund XXVII- Series 15- Growth Option</v>
          </cell>
          <cell r="E16398">
            <v>13.001200000000001</v>
          </cell>
        </row>
        <row r="16399">
          <cell r="B16399" t="str">
            <v>INF204KA1SS0</v>
          </cell>
          <cell r="C16399" t="str">
            <v>-</v>
          </cell>
          <cell r="D16399" t="str">
            <v>Reliance Fixed Horizon Fund XXVII- Series 3- Direct Plan- Dividend Payout Option</v>
          </cell>
          <cell r="E16399">
            <v>10</v>
          </cell>
        </row>
        <row r="16400">
          <cell r="B16400" t="str">
            <v>INF204KA1SR2</v>
          </cell>
          <cell r="C16400" t="str">
            <v>-</v>
          </cell>
          <cell r="D16400" t="str">
            <v>Reliance Fixed Horizon Fund XXVII- Series 3- Direct Plan- Growth Option</v>
          </cell>
          <cell r="E16400">
            <v>13.270899999999999</v>
          </cell>
        </row>
        <row r="16401">
          <cell r="B16401" t="str">
            <v>INF204KA1SQ4</v>
          </cell>
          <cell r="C16401" t="str">
            <v>-</v>
          </cell>
          <cell r="D16401" t="str">
            <v>Reliance Fixed Horizon Fund XXVII- Series 3- Dividend Payout option</v>
          </cell>
          <cell r="E16401">
            <v>10</v>
          </cell>
        </row>
        <row r="16402">
          <cell r="B16402" t="str">
            <v>INF204KA1SP6</v>
          </cell>
          <cell r="C16402" t="str">
            <v>-</v>
          </cell>
          <cell r="D16402" t="str">
            <v>Reliance Fixed Horizon Fund XXVII- Series 3- Growth Option</v>
          </cell>
          <cell r="E16402">
            <v>13.089600000000001</v>
          </cell>
        </row>
        <row r="16403">
          <cell r="B16403" t="str">
            <v>INF204KA1TH1</v>
          </cell>
          <cell r="C16403" t="str">
            <v>-</v>
          </cell>
          <cell r="D16403" t="str">
            <v>Reliance Fixed Horizon Fund XXVII- Series 4- Direct Plan- Growth Option</v>
          </cell>
          <cell r="E16403">
            <v>13.0113</v>
          </cell>
        </row>
        <row r="16404">
          <cell r="B16404" t="str">
            <v>INF204KA1TG3</v>
          </cell>
          <cell r="C16404" t="str">
            <v>-</v>
          </cell>
          <cell r="D16404" t="str">
            <v>Reliance Fixed Horizon Fund XXVII- Series 4- Dividend Payout Option</v>
          </cell>
          <cell r="E16404">
            <v>10</v>
          </cell>
        </row>
        <row r="16405">
          <cell r="B16405" t="str">
            <v>INF204KA1TF5</v>
          </cell>
          <cell r="C16405" t="str">
            <v>-</v>
          </cell>
          <cell r="D16405" t="str">
            <v>Reliance Fixed Horizon Fund XXVII- Series 4- Growth Option</v>
          </cell>
          <cell r="E16405">
            <v>12.971</v>
          </cell>
        </row>
        <row r="16406">
          <cell r="B16406" t="str">
            <v>INF204KA1TZ3</v>
          </cell>
          <cell r="C16406" t="str">
            <v>-</v>
          </cell>
          <cell r="D16406" t="str">
            <v>Reliance Fixed Horizon Fund XXVII- Series 6- Direct Plan- Growth Option</v>
          </cell>
          <cell r="E16406">
            <v>13.002000000000001</v>
          </cell>
        </row>
        <row r="16407">
          <cell r="B16407" t="str">
            <v>INF204KA1TX8</v>
          </cell>
          <cell r="C16407" t="str">
            <v>-</v>
          </cell>
          <cell r="D16407" t="str">
            <v>Reliance Fixed Horizon Fund XXVII- Series 6- Growth Option</v>
          </cell>
          <cell r="E16407">
            <v>12.9689</v>
          </cell>
        </row>
        <row r="16408">
          <cell r="B16408" t="str">
            <v>INF204KA1UU2</v>
          </cell>
          <cell r="C16408" t="str">
            <v>-</v>
          </cell>
          <cell r="D16408" t="str">
            <v>Reliance Fixed Horizon Fund XXVII- Series 7- Direct Plan- Growth Option</v>
          </cell>
          <cell r="E16408">
            <v>12.969799999999999</v>
          </cell>
        </row>
        <row r="16409">
          <cell r="B16409" t="str">
            <v>INF204KA1UT4</v>
          </cell>
          <cell r="C16409" t="str">
            <v>-</v>
          </cell>
          <cell r="D16409" t="str">
            <v>Reliance Fixed Horizon Fund XXVII- Series 7- Dividend Payout Option</v>
          </cell>
          <cell r="E16409">
            <v>10</v>
          </cell>
        </row>
        <row r="16410">
          <cell r="B16410" t="str">
            <v>INF204KA1US6</v>
          </cell>
          <cell r="C16410" t="str">
            <v>-</v>
          </cell>
          <cell r="D16410" t="str">
            <v>Reliance Fixed Horizon Fund XXVII- Series 7- Growth Option</v>
          </cell>
          <cell r="E16410">
            <v>12.930899999999999</v>
          </cell>
        </row>
        <row r="16411">
          <cell r="B16411" t="str">
            <v>INF204KA1UV0</v>
          </cell>
          <cell r="C16411" t="str">
            <v>-</v>
          </cell>
          <cell r="D16411" t="str">
            <v>Reliance Fixed Horizon Fund XXVII- Series 8- Direct Plan- Dividend Payout Option</v>
          </cell>
          <cell r="E16411">
            <v>10</v>
          </cell>
        </row>
        <row r="16412">
          <cell r="B16412" t="str">
            <v>INF204KA1UU2</v>
          </cell>
          <cell r="C16412" t="str">
            <v>-</v>
          </cell>
          <cell r="D16412" t="str">
            <v>Reliance Fixed Horizon Fund XXVII- Series 8- Direct Plan- Growth Option</v>
          </cell>
          <cell r="E16412">
            <v>12.9193</v>
          </cell>
        </row>
        <row r="16413">
          <cell r="B16413" t="str">
            <v>INF204KA1US6</v>
          </cell>
          <cell r="C16413" t="str">
            <v>-</v>
          </cell>
          <cell r="D16413" t="str">
            <v>Reliance Fixed Horizon Fund XXVII- Series 8- Growth Option</v>
          </cell>
          <cell r="E16413">
            <v>12.884</v>
          </cell>
        </row>
        <row r="16414">
          <cell r="B16414" t="str">
            <v>INF204KA1WJ1</v>
          </cell>
          <cell r="C16414" t="str">
            <v>-</v>
          </cell>
          <cell r="D16414" t="str">
            <v>Reliance Fixed Horizon Fund XXVII- Series 9- Direct Plan-Dividend Payout Option</v>
          </cell>
          <cell r="E16414">
            <v>10</v>
          </cell>
        </row>
        <row r="16415">
          <cell r="B16415" t="str">
            <v>INF204KA1WI3</v>
          </cell>
          <cell r="C16415" t="str">
            <v>-</v>
          </cell>
          <cell r="D16415" t="str">
            <v>Reliance Fixed Horizon Fund XXVII- Series 9- Direct Plan-Growth option</v>
          </cell>
          <cell r="E16415">
            <v>12.9023</v>
          </cell>
        </row>
        <row r="16416">
          <cell r="B16416" t="str">
            <v>INF204KA1WH5</v>
          </cell>
          <cell r="C16416" t="str">
            <v>-</v>
          </cell>
          <cell r="D16416" t="str">
            <v>Reliance Fixed Horizon Fund XXVII- Series 9- Dividend Payout Option</v>
          </cell>
          <cell r="E16416">
            <v>10</v>
          </cell>
        </row>
        <row r="16417">
          <cell r="B16417" t="str">
            <v>INF204KA1WG7</v>
          </cell>
          <cell r="C16417" t="str">
            <v>-</v>
          </cell>
          <cell r="D16417" t="str">
            <v>Reliance Fixed Horizon Fund XXVII- Series 9- Growth option</v>
          </cell>
          <cell r="E16417">
            <v>12.6912</v>
          </cell>
        </row>
        <row r="16418">
          <cell r="B16418" t="str">
            <v>INF204KA1H35</v>
          </cell>
          <cell r="C16418" t="str">
            <v>-</v>
          </cell>
          <cell r="D16418" t="str">
            <v>Reliance Fixed Horizon Fund XXVIII- Series 10- Direct Plan- Growth Option</v>
          </cell>
          <cell r="E16418">
            <v>12.915699999999999</v>
          </cell>
        </row>
        <row r="16419">
          <cell r="B16419" t="str">
            <v>INF204KA1H27</v>
          </cell>
          <cell r="C16419" t="str">
            <v>-</v>
          </cell>
          <cell r="D16419" t="str">
            <v>Reliance Fixed Horizon Fund XXVIII- Series 10- Dividend Payout Option</v>
          </cell>
          <cell r="E16419">
            <v>10</v>
          </cell>
        </row>
        <row r="16420">
          <cell r="B16420" t="str">
            <v>INF204KA1H19</v>
          </cell>
          <cell r="C16420" t="str">
            <v>-</v>
          </cell>
          <cell r="D16420" t="str">
            <v>Reliance Fixed Horizon Fund XXVIII- Series 10- Growth Option</v>
          </cell>
          <cell r="E16420">
            <v>12.88</v>
          </cell>
        </row>
        <row r="16421">
          <cell r="B16421" t="str">
            <v>INF204KA1J66</v>
          </cell>
          <cell r="C16421" t="str">
            <v>-</v>
          </cell>
          <cell r="D16421" t="str">
            <v>Reliance Fixed Horizon Fund XXVIII- Series 14- Direct Plan-Dividend Payout Option</v>
          </cell>
          <cell r="E16421">
            <v>10</v>
          </cell>
        </row>
        <row r="16422">
          <cell r="B16422" t="str">
            <v>INF204KA1J58</v>
          </cell>
          <cell r="C16422" t="str">
            <v>-</v>
          </cell>
          <cell r="D16422" t="str">
            <v>Reliance Fixed Horizon Fund XXVIII- Series 14- Direct Plan-Growth Option</v>
          </cell>
          <cell r="E16422">
            <v>13.2676</v>
          </cell>
        </row>
        <row r="16423">
          <cell r="B16423" t="str">
            <v>INF204KA1J41</v>
          </cell>
          <cell r="C16423" t="str">
            <v>-</v>
          </cell>
          <cell r="D16423" t="str">
            <v>Reliance Fixed Horizon Fund XXVIII- Series 14- Dividend Payout Option</v>
          </cell>
          <cell r="E16423">
            <v>10</v>
          </cell>
        </row>
        <row r="16424">
          <cell r="B16424" t="str">
            <v>INF204KA1J33</v>
          </cell>
          <cell r="C16424" t="str">
            <v>-</v>
          </cell>
          <cell r="D16424" t="str">
            <v>Reliance Fixed Horizon Fund XXVIII- Series 14- Growth Option</v>
          </cell>
          <cell r="E16424">
            <v>13.1105</v>
          </cell>
        </row>
        <row r="16425">
          <cell r="B16425" t="str">
            <v>INF204KA1V86</v>
          </cell>
          <cell r="C16425" t="str">
            <v>-</v>
          </cell>
          <cell r="D16425" t="str">
            <v>Reliance Fixed Horizon Fund XXVIII- Series 18- Direct Plan-Dividend Payout Option</v>
          </cell>
          <cell r="E16425">
            <v>10</v>
          </cell>
        </row>
        <row r="16426">
          <cell r="B16426" t="str">
            <v>INF204KA1V78</v>
          </cell>
          <cell r="C16426" t="str">
            <v>-</v>
          </cell>
          <cell r="D16426" t="str">
            <v>Reliance Fixed Horizon Fund XXVIII- Series 18- Direct Plan-Growth Option</v>
          </cell>
          <cell r="E16426">
            <v>13.2326</v>
          </cell>
        </row>
        <row r="16427">
          <cell r="B16427" t="str">
            <v>INF204KA1V60</v>
          </cell>
          <cell r="C16427" t="str">
            <v>-</v>
          </cell>
          <cell r="D16427" t="str">
            <v>Reliance Fixed Horizon Fund XXVIII- Series 18- Dividend Payout Option</v>
          </cell>
          <cell r="E16427">
            <v>10</v>
          </cell>
        </row>
        <row r="16428">
          <cell r="B16428" t="str">
            <v>INF204KA1V52</v>
          </cell>
          <cell r="C16428" t="str">
            <v>-</v>
          </cell>
          <cell r="D16428" t="str">
            <v>Reliance Fixed Horizon Fund XXVIII- Series 18- Growth Option</v>
          </cell>
          <cell r="E16428">
            <v>13.029</v>
          </cell>
        </row>
        <row r="16429">
          <cell r="B16429" t="str">
            <v>INF204KA13A3</v>
          </cell>
          <cell r="C16429" t="str">
            <v>-</v>
          </cell>
          <cell r="D16429" t="str">
            <v>Reliance Fixed Horizon Fund XXVIII- Series 19- Direct Plan-Growth Option</v>
          </cell>
          <cell r="E16429">
            <v>12.804</v>
          </cell>
        </row>
        <row r="16430">
          <cell r="B16430" t="str">
            <v>INF204KA12A5</v>
          </cell>
          <cell r="C16430" t="str">
            <v>-</v>
          </cell>
          <cell r="D16430" t="str">
            <v>Reliance Fixed Horizon Fund XXVIII- Series 19- Dividend Payout Option</v>
          </cell>
          <cell r="E16430">
            <v>10</v>
          </cell>
        </row>
        <row r="16431">
          <cell r="B16431" t="str">
            <v>INF204KA11A7</v>
          </cell>
          <cell r="C16431" t="str">
            <v>-</v>
          </cell>
          <cell r="D16431" t="str">
            <v>Reliance Fixed Horizon Fund XXVIII- Series 19- Growth Option</v>
          </cell>
          <cell r="E16431">
            <v>12.7866</v>
          </cell>
        </row>
        <row r="16432">
          <cell r="B16432" t="str">
            <v>INF204KA1ZR7</v>
          </cell>
          <cell r="C16432" t="str">
            <v>-</v>
          </cell>
          <cell r="D16432" t="str">
            <v>Reliance Fixed Horizon Fund XXVIII- Series 2- Direct Plan-Dividend Payout Option</v>
          </cell>
          <cell r="E16432">
            <v>10</v>
          </cell>
        </row>
        <row r="16433">
          <cell r="B16433" t="str">
            <v>INF204KA1ZQ9</v>
          </cell>
          <cell r="C16433" t="str">
            <v>-</v>
          </cell>
          <cell r="D16433" t="str">
            <v>Reliance Fixed Horizon Fund XXVIII- Series 2- Direct Plan-Growth Option</v>
          </cell>
          <cell r="E16433">
            <v>13.0748</v>
          </cell>
        </row>
        <row r="16434">
          <cell r="B16434" t="str">
            <v>INF204KA1ZP1</v>
          </cell>
          <cell r="C16434" t="str">
            <v>-</v>
          </cell>
          <cell r="D16434" t="str">
            <v>Reliance Fixed Horizon Fund XXVIII- Series 2- Dividend Payout Option</v>
          </cell>
          <cell r="E16434">
            <v>10</v>
          </cell>
        </row>
        <row r="16435">
          <cell r="B16435" t="str">
            <v>INF204KA1ZO4</v>
          </cell>
          <cell r="C16435" t="str">
            <v>-</v>
          </cell>
          <cell r="D16435" t="str">
            <v>Reliance Fixed Horizon Fund XXVIII- Series 2- Growth Option</v>
          </cell>
          <cell r="E16435">
            <v>12.9427</v>
          </cell>
        </row>
        <row r="16436">
          <cell r="B16436" t="str">
            <v>INF204KA1B15</v>
          </cell>
          <cell r="C16436" t="str">
            <v>-</v>
          </cell>
          <cell r="D16436" t="str">
            <v>Reliance Fixed Horizon Fund XXVIII- Series 4- Direct Plan-Dividend Payout Option</v>
          </cell>
          <cell r="E16436">
            <v>10</v>
          </cell>
        </row>
        <row r="16437">
          <cell r="B16437" t="str">
            <v>INF204KA1A99</v>
          </cell>
          <cell r="C16437" t="str">
            <v>-</v>
          </cell>
          <cell r="D16437" t="str">
            <v>Reliance Fixed Horizon Fund XXVIII- Series 4- Dividend Payout Option</v>
          </cell>
          <cell r="E16437">
            <v>10</v>
          </cell>
        </row>
        <row r="16438">
          <cell r="B16438" t="str">
            <v>INF204KA1A81</v>
          </cell>
          <cell r="C16438" t="str">
            <v>-</v>
          </cell>
          <cell r="D16438" t="str">
            <v>Reliance Fixed Horizon Fund XXVIII- Series 4- Growth Option</v>
          </cell>
          <cell r="E16438">
            <v>12.621</v>
          </cell>
        </row>
        <row r="16439">
          <cell r="B16439" t="str">
            <v>INF204KA1B07</v>
          </cell>
          <cell r="C16439" t="str">
            <v>-</v>
          </cell>
          <cell r="D16439" t="str">
            <v>Reliance Fixed Horizon Fund XXVIII- Series 4-Direct Plan- Growth Option</v>
          </cell>
          <cell r="E16439">
            <v>12.735200000000001</v>
          </cell>
        </row>
        <row r="16440">
          <cell r="B16440" t="str">
            <v>INF204KA1E95</v>
          </cell>
          <cell r="C16440" t="str">
            <v>-</v>
          </cell>
          <cell r="D16440" t="str">
            <v>Reliance Fixed Horizon Fund XXVIII- Series 7- Direct Plan-Growth Option</v>
          </cell>
          <cell r="E16440">
            <v>12.802300000000001</v>
          </cell>
        </row>
        <row r="16441">
          <cell r="B16441" t="str">
            <v>INF204KA1E87</v>
          </cell>
          <cell r="C16441" t="str">
            <v>-</v>
          </cell>
          <cell r="D16441" t="str">
            <v>Reliance Fixed Horizon Fund XXVIII- Series 7- Dividend Payout Option</v>
          </cell>
          <cell r="E16441">
            <v>10</v>
          </cell>
        </row>
        <row r="16442">
          <cell r="B16442" t="str">
            <v>INF204KA1E79</v>
          </cell>
          <cell r="C16442" t="str">
            <v>-</v>
          </cell>
          <cell r="D16442" t="str">
            <v>Reliance Fixed Horizon Fund XXVIII- Series 7- Growth Option</v>
          </cell>
          <cell r="E16442">
            <v>12.744300000000001</v>
          </cell>
        </row>
        <row r="16443">
          <cell r="B16443" t="str">
            <v>INF204KA10U7</v>
          </cell>
          <cell r="C16443" t="str">
            <v>-</v>
          </cell>
          <cell r="D16443" t="str">
            <v>Reliance Fixed Horizon Fund XXX- Series 1 - Dividend Payout Option</v>
          </cell>
          <cell r="E16443">
            <v>10</v>
          </cell>
        </row>
        <row r="16444">
          <cell r="B16444" t="str">
            <v>INF204KA12U3</v>
          </cell>
          <cell r="C16444" t="str">
            <v>-</v>
          </cell>
          <cell r="D16444" t="str">
            <v>Reliance Fixed Horizon Fund XXX- Series 1 -Direct Plan- Dividend Payout Option</v>
          </cell>
          <cell r="E16444">
            <v>10</v>
          </cell>
        </row>
        <row r="16445">
          <cell r="B16445" t="str">
            <v>INF204KA11U5</v>
          </cell>
          <cell r="C16445" t="str">
            <v>-</v>
          </cell>
          <cell r="D16445" t="str">
            <v>Reliance Fixed Horizon Fund XXX- Series 1 -Direct Plan- Growth Option</v>
          </cell>
          <cell r="E16445">
            <v>12.882899999999999</v>
          </cell>
        </row>
        <row r="16446">
          <cell r="B16446" t="str">
            <v>INF204KA19T0</v>
          </cell>
          <cell r="C16446" t="str">
            <v>-</v>
          </cell>
          <cell r="D16446" t="str">
            <v>Reliance Fixed Horizon Fund XXX- Series 1 -Growth Option</v>
          </cell>
          <cell r="E16446">
            <v>12.8307</v>
          </cell>
        </row>
        <row r="16447">
          <cell r="B16447" t="str">
            <v>INF204KB1114</v>
          </cell>
          <cell r="C16447" t="str">
            <v>-</v>
          </cell>
          <cell r="D16447" t="str">
            <v>Reliance Fixed Horizon Fund XXX- Series 13 -Direct Plan- Dividend Payout Option</v>
          </cell>
          <cell r="E16447">
            <v>10</v>
          </cell>
        </row>
        <row r="16448">
          <cell r="B16448" t="str">
            <v>INF204KB1106</v>
          </cell>
          <cell r="C16448" t="str">
            <v>-</v>
          </cell>
          <cell r="D16448" t="str">
            <v>Reliance Fixed Horizon Fund XXX- Series 13 -Direct Plan- Growth Option</v>
          </cell>
          <cell r="E16448">
            <v>12.7301</v>
          </cell>
        </row>
        <row r="16449">
          <cell r="B16449" t="str">
            <v>INF204KB1098</v>
          </cell>
          <cell r="C16449" t="str">
            <v>-</v>
          </cell>
          <cell r="D16449" t="str">
            <v>Reliance Fixed Horizon Fund XXX- Series 13 -Dividend Payout Option</v>
          </cell>
          <cell r="E16449">
            <v>10</v>
          </cell>
        </row>
        <row r="16450">
          <cell r="B16450" t="str">
            <v>INF204KB1080</v>
          </cell>
          <cell r="C16450" t="str">
            <v>-</v>
          </cell>
          <cell r="D16450" t="str">
            <v>Reliance Fixed Horizon Fund XXX- Series 13 -Growth Option</v>
          </cell>
          <cell r="E16450">
            <v>12.6495</v>
          </cell>
        </row>
        <row r="16451">
          <cell r="B16451" t="str">
            <v>INF204KA19Z7</v>
          </cell>
          <cell r="C16451" t="str">
            <v>-</v>
          </cell>
          <cell r="D16451" t="str">
            <v>Reliance Fixed Horizon Fund XXX- Series 14 - Growth Option</v>
          </cell>
          <cell r="E16451">
            <v>11.9604</v>
          </cell>
        </row>
        <row r="16452">
          <cell r="B16452" t="str">
            <v>INF204KB1031</v>
          </cell>
          <cell r="C16452" t="str">
            <v>-</v>
          </cell>
          <cell r="D16452" t="str">
            <v>Reliance Fixed Horizon Fund XXX- Series 14 -Direct Plan- Dividend Payout Option</v>
          </cell>
          <cell r="E16452">
            <v>10</v>
          </cell>
        </row>
        <row r="16453">
          <cell r="B16453" t="str">
            <v>INF204KB1023</v>
          </cell>
          <cell r="C16453" t="str">
            <v>-</v>
          </cell>
          <cell r="D16453" t="str">
            <v>Reliance Fixed Horizon Fund XXX- Series 14 -Direct Plan- Growth Option</v>
          </cell>
          <cell r="E16453">
            <v>12.118600000000001</v>
          </cell>
        </row>
        <row r="16454">
          <cell r="B16454" t="str">
            <v>INF204KB1015</v>
          </cell>
          <cell r="C16454" t="str">
            <v>-</v>
          </cell>
          <cell r="D16454" t="str">
            <v>Reliance Fixed Horizon Fund XXX- Series 14 -Dividend Payout Option</v>
          </cell>
          <cell r="E16454">
            <v>10</v>
          </cell>
        </row>
        <row r="16455">
          <cell r="B16455" t="str">
            <v>INF204KA14U9</v>
          </cell>
          <cell r="C16455" t="str">
            <v>-</v>
          </cell>
          <cell r="D16455" t="str">
            <v>Reliance Fixed Horizon Fund XXX- Series 2 - Dividend Payout Option</v>
          </cell>
          <cell r="E16455">
            <v>10</v>
          </cell>
        </row>
        <row r="16456">
          <cell r="B16456" t="str">
            <v>INF204KA13U1</v>
          </cell>
          <cell r="C16456" t="str">
            <v>-</v>
          </cell>
          <cell r="D16456" t="str">
            <v>Reliance Fixed Horizon Fund XXX- Series 2 - Growth Option</v>
          </cell>
          <cell r="E16456">
            <v>12.829000000000001</v>
          </cell>
        </row>
        <row r="16457">
          <cell r="B16457" t="str">
            <v>INF204KA16U4</v>
          </cell>
          <cell r="C16457" t="str">
            <v>-</v>
          </cell>
          <cell r="D16457" t="str">
            <v>Reliance Fixed Horizon Fund XXX- Series 2 -Direct Plan- Dividend Payout Option</v>
          </cell>
          <cell r="E16457">
            <v>10</v>
          </cell>
        </row>
        <row r="16458">
          <cell r="B16458" t="str">
            <v>INF204KA15U6</v>
          </cell>
          <cell r="C16458" t="str">
            <v>-</v>
          </cell>
          <cell r="D16458" t="str">
            <v>Reliance Fixed Horizon Fund XXX- Series 2 -Direct Plan- Growth Option</v>
          </cell>
          <cell r="E16458">
            <v>12.881600000000001</v>
          </cell>
        </row>
        <row r="16459">
          <cell r="B16459" t="str">
            <v>INF204KA18V8</v>
          </cell>
          <cell r="C16459" t="str">
            <v>-</v>
          </cell>
          <cell r="D16459" t="str">
            <v>Reliance Fixed Horizon Fund XXX- Series 4 -Direct Plan- Dividend Payout Option</v>
          </cell>
          <cell r="E16459">
            <v>10</v>
          </cell>
        </row>
        <row r="16460">
          <cell r="B16460" t="str">
            <v>INF204KA17V0</v>
          </cell>
          <cell r="C16460" t="str">
            <v>-</v>
          </cell>
          <cell r="D16460" t="str">
            <v>Reliance Fixed Horizon Fund XXX- Series 4 -Direct Plan- Growth Option</v>
          </cell>
          <cell r="E16460">
            <v>12.850300000000001</v>
          </cell>
        </row>
        <row r="16461">
          <cell r="B16461" t="str">
            <v>INF204KA16V2</v>
          </cell>
          <cell r="C16461" t="str">
            <v>-</v>
          </cell>
          <cell r="D16461" t="str">
            <v>Reliance Fixed Horizon Fund XXX- Series 4 -Dividend Payout Option</v>
          </cell>
          <cell r="E16461">
            <v>10</v>
          </cell>
        </row>
        <row r="16462">
          <cell r="B16462" t="str">
            <v>INF204KA15V4</v>
          </cell>
          <cell r="C16462" t="str">
            <v>-</v>
          </cell>
          <cell r="D16462" t="str">
            <v>Reliance Fixed Horizon Fund XXX- Series 4 -Growth Option</v>
          </cell>
          <cell r="E16462">
            <v>12.792299999999999</v>
          </cell>
        </row>
        <row r="16463">
          <cell r="B16463" t="str">
            <v>INF204KA16Y6</v>
          </cell>
          <cell r="C16463" t="str">
            <v>-</v>
          </cell>
          <cell r="D16463" t="str">
            <v>Reliance Fixed Horizon Fund XXX- Series 10- Direct Plan-Dividend Payout Option</v>
          </cell>
          <cell r="E16463">
            <v>10</v>
          </cell>
        </row>
        <row r="16464">
          <cell r="B16464" t="str">
            <v>INF204KA15Y8</v>
          </cell>
          <cell r="C16464" t="str">
            <v>-</v>
          </cell>
          <cell r="D16464" t="str">
            <v>Reliance Fixed Horizon Fund XXX- Series 10- Direct Plan-Growth Option</v>
          </cell>
          <cell r="E16464">
            <v>12.8041</v>
          </cell>
        </row>
        <row r="16465">
          <cell r="B16465" t="str">
            <v>INF204KA13Y3</v>
          </cell>
          <cell r="C16465" t="str">
            <v>-</v>
          </cell>
          <cell r="D16465" t="str">
            <v>Reliance Fixed Horizon Fund XXX- Series 10- Growth Option</v>
          </cell>
          <cell r="E16465">
            <v>12.753399999999999</v>
          </cell>
        </row>
        <row r="16466">
          <cell r="B16466" t="str">
            <v>INF204KA10Z6</v>
          </cell>
          <cell r="C16466" t="str">
            <v>-</v>
          </cell>
          <cell r="D16466" t="str">
            <v>Reliance Fixed Horizon Fund XXX- Series 11- Direct Plan-Dividend Payout Option</v>
          </cell>
          <cell r="E16466">
            <v>10</v>
          </cell>
        </row>
        <row r="16467">
          <cell r="B16467" t="str">
            <v>INF204KA19Y0</v>
          </cell>
          <cell r="C16467" t="str">
            <v>-</v>
          </cell>
          <cell r="D16467" t="str">
            <v>Reliance Fixed Horizon Fund XXX- Series 11- Direct Plan-Growth Option</v>
          </cell>
          <cell r="E16467">
            <v>12.656000000000001</v>
          </cell>
        </row>
        <row r="16468">
          <cell r="B16468" t="str">
            <v>INF204KA18Y2</v>
          </cell>
          <cell r="C16468" t="str">
            <v>-</v>
          </cell>
          <cell r="D16468" t="str">
            <v>Reliance Fixed Horizon Fund XXX- Series 11- Dividend Payout Option</v>
          </cell>
          <cell r="E16468">
            <v>10</v>
          </cell>
        </row>
        <row r="16469">
          <cell r="B16469" t="str">
            <v>INF204KA17Y4</v>
          </cell>
          <cell r="C16469" t="str">
            <v>-</v>
          </cell>
          <cell r="D16469" t="str">
            <v>Reliance Fixed Horizon Fund XXX- Series 11- Growth Option</v>
          </cell>
          <cell r="E16469">
            <v>12.323399999999999</v>
          </cell>
        </row>
        <row r="16470">
          <cell r="B16470" t="str">
            <v>INF204KA14Z8</v>
          </cell>
          <cell r="C16470" t="str">
            <v>-</v>
          </cell>
          <cell r="D16470" t="str">
            <v>Reliance Fixed Horizon Fund XXX- Series 12- Direct Plan-Dividend Payout Option</v>
          </cell>
          <cell r="E16470">
            <v>12.7241</v>
          </cell>
        </row>
        <row r="16471">
          <cell r="B16471" t="str">
            <v>INF204KA13Z0</v>
          </cell>
          <cell r="C16471" t="str">
            <v>-</v>
          </cell>
          <cell r="D16471" t="str">
            <v>Reliance Fixed Horizon Fund XXX- Series 12- Direct Plan-Growth Option</v>
          </cell>
          <cell r="E16471">
            <v>12.757099999999999</v>
          </cell>
        </row>
        <row r="16472">
          <cell r="B16472" t="str">
            <v>INF204KA12Z2</v>
          </cell>
          <cell r="C16472" t="str">
            <v>-</v>
          </cell>
          <cell r="D16472" t="str">
            <v>Reliance Fixed Horizon Fund XXX- Series 12- Dividend Payout Option</v>
          </cell>
          <cell r="E16472">
            <v>12.6266</v>
          </cell>
        </row>
        <row r="16473">
          <cell r="B16473" t="str">
            <v>INF204KA11Z4</v>
          </cell>
          <cell r="C16473" t="str">
            <v>-</v>
          </cell>
          <cell r="D16473" t="str">
            <v>Reliance Fixed Horizon Fund XXX- Series 12- Growth Option</v>
          </cell>
          <cell r="E16473">
            <v>12.657400000000001</v>
          </cell>
        </row>
        <row r="16474">
          <cell r="B16474" t="str">
            <v>INF204KB1197</v>
          </cell>
          <cell r="C16474" t="str">
            <v>-</v>
          </cell>
          <cell r="D16474" t="str">
            <v>Reliance Fixed Horizon Fund XXX- Series 17- Direct Plan-Dividend Payout Option</v>
          </cell>
          <cell r="E16474">
            <v>10</v>
          </cell>
        </row>
        <row r="16475">
          <cell r="B16475" t="str">
            <v>INF204KB1189</v>
          </cell>
          <cell r="C16475" t="str">
            <v>-</v>
          </cell>
          <cell r="D16475" t="str">
            <v>Reliance Fixed Horizon Fund XXX- Series 17- Direct Plan-Growth Option</v>
          </cell>
          <cell r="E16475">
            <v>12.674200000000001</v>
          </cell>
        </row>
        <row r="16476">
          <cell r="B16476" t="str">
            <v>INF204KB1171</v>
          </cell>
          <cell r="C16476" t="str">
            <v>-</v>
          </cell>
          <cell r="D16476" t="str">
            <v>Reliance Fixed Horizon Fund XXX- Series 17- Dividend Payout Option</v>
          </cell>
          <cell r="E16476">
            <v>10</v>
          </cell>
        </row>
        <row r="16477">
          <cell r="B16477" t="str">
            <v>INF204KB1163</v>
          </cell>
          <cell r="C16477" t="str">
            <v>-</v>
          </cell>
          <cell r="D16477" t="str">
            <v>Reliance Fixed Horizon Fund XXX- Series 17- Growth Option</v>
          </cell>
          <cell r="E16477">
            <v>12.516400000000001</v>
          </cell>
        </row>
        <row r="16478">
          <cell r="B16478" t="str">
            <v>INF204KB1270</v>
          </cell>
          <cell r="C16478" t="str">
            <v>-</v>
          </cell>
          <cell r="D16478" t="str">
            <v>Reliance Fixed Horizon Fund XXX- Series 18- Direct Plan-Dividend Payout Option</v>
          </cell>
          <cell r="E16478">
            <v>10</v>
          </cell>
        </row>
        <row r="16479">
          <cell r="B16479" t="str">
            <v>INF204KB1262</v>
          </cell>
          <cell r="C16479" t="str">
            <v>-</v>
          </cell>
          <cell r="D16479" t="str">
            <v>Reliance Fixed Horizon Fund XXX- Series 18- Direct Plan-Growth Option</v>
          </cell>
          <cell r="E16479">
            <v>12.443199999999999</v>
          </cell>
        </row>
        <row r="16480">
          <cell r="B16480" t="str">
            <v>INF204KB1254</v>
          </cell>
          <cell r="C16480" t="str">
            <v>-</v>
          </cell>
          <cell r="D16480" t="str">
            <v>Reliance Fixed Horizon Fund XXX- Series 18- Dividend Payout Option</v>
          </cell>
          <cell r="E16480">
            <v>10</v>
          </cell>
        </row>
        <row r="16481">
          <cell r="B16481" t="str">
            <v>INF204KB1247</v>
          </cell>
          <cell r="C16481" t="str">
            <v>-</v>
          </cell>
          <cell r="D16481" t="str">
            <v>Reliance Fixed Horizon Fund XXX- Series 18- Growth Option</v>
          </cell>
          <cell r="E16481">
            <v>12.2058</v>
          </cell>
        </row>
        <row r="16482">
          <cell r="B16482" t="str">
            <v>INF204KB1353</v>
          </cell>
          <cell r="C16482" t="str">
            <v>-</v>
          </cell>
          <cell r="D16482" t="str">
            <v>Reliance Fixed Horizon Fund XXX- Series 19- Direct Plan-Dividend Payout Option</v>
          </cell>
          <cell r="E16482">
            <v>10</v>
          </cell>
        </row>
        <row r="16483">
          <cell r="B16483" t="str">
            <v>INF204KB1346</v>
          </cell>
          <cell r="C16483" t="str">
            <v>-</v>
          </cell>
          <cell r="D16483" t="str">
            <v>Reliance Fixed Horizon Fund XXX- Series 19- Direct Plan-Growth Option</v>
          </cell>
          <cell r="E16483">
            <v>12.662100000000001</v>
          </cell>
        </row>
        <row r="16484">
          <cell r="B16484" t="str">
            <v>INF204KB1338</v>
          </cell>
          <cell r="C16484" t="str">
            <v>-</v>
          </cell>
          <cell r="D16484" t="str">
            <v>Reliance Fixed Horizon Fund XXX- Series 19- Dividend Payout Option</v>
          </cell>
          <cell r="E16484">
            <v>10</v>
          </cell>
        </row>
        <row r="16485">
          <cell r="B16485" t="str">
            <v>INF204KB1320</v>
          </cell>
          <cell r="C16485" t="str">
            <v>-</v>
          </cell>
          <cell r="D16485" t="str">
            <v>Reliance Fixed Horizon Fund XXX- Series 19- Growth Option</v>
          </cell>
          <cell r="E16485">
            <v>12.625400000000001</v>
          </cell>
        </row>
        <row r="16486">
          <cell r="B16486" t="str">
            <v>INF204KB1478</v>
          </cell>
          <cell r="C16486" t="str">
            <v>-</v>
          </cell>
          <cell r="D16486" t="str">
            <v>Reliance Fixed Horizon Fund XXX- Series 20- Direct Plan-Dividend Payout Option</v>
          </cell>
          <cell r="E16486">
            <v>10</v>
          </cell>
        </row>
        <row r="16487">
          <cell r="B16487" t="str">
            <v>INF204KB1460</v>
          </cell>
          <cell r="C16487" t="str">
            <v>-</v>
          </cell>
          <cell r="D16487" t="str">
            <v>Reliance Fixed Horizon Fund XXX- Series 20- Direct Plan-Growth Option</v>
          </cell>
          <cell r="E16487">
            <v>13.182399999999999</v>
          </cell>
        </row>
        <row r="16488">
          <cell r="B16488" t="str">
            <v>INF204KB1452</v>
          </cell>
          <cell r="C16488" t="str">
            <v>-</v>
          </cell>
          <cell r="D16488" t="str">
            <v>Reliance Fixed Horizon Fund XXX- Series 20- Dividend Payout Option</v>
          </cell>
          <cell r="E16488">
            <v>10</v>
          </cell>
        </row>
        <row r="16489">
          <cell r="B16489" t="str">
            <v>INF204KB1445</v>
          </cell>
          <cell r="C16489" t="str">
            <v>-</v>
          </cell>
          <cell r="D16489" t="str">
            <v>Reliance Fixed Horizon Fund XXX- Series 20- Growth Option</v>
          </cell>
          <cell r="E16489">
            <v>12.9663</v>
          </cell>
        </row>
        <row r="16490">
          <cell r="B16490" t="str">
            <v>INF204KA14V7</v>
          </cell>
          <cell r="C16490" t="str">
            <v>-</v>
          </cell>
          <cell r="D16490" t="str">
            <v>Reliance Fixed Horizon Fund XXX-Series 3- Direct Plan-Dividend Payout Option</v>
          </cell>
          <cell r="E16490">
            <v>10</v>
          </cell>
        </row>
        <row r="16491">
          <cell r="B16491" t="str">
            <v>INF204KA13V9</v>
          </cell>
          <cell r="C16491" t="str">
            <v>-</v>
          </cell>
          <cell r="D16491" t="str">
            <v>Reliance Fixed Horizon Fund XXX-Series 3- Direct Plan-Growth Option</v>
          </cell>
          <cell r="E16491">
            <v>13.5631</v>
          </cell>
        </row>
        <row r="16492">
          <cell r="B16492" t="str">
            <v>INF204KA12V1</v>
          </cell>
          <cell r="C16492" t="str">
            <v>-</v>
          </cell>
          <cell r="D16492" t="str">
            <v>Reliance Fixed Horizon Fund XXX-Series 3- Dividend Payout Option</v>
          </cell>
          <cell r="E16492">
            <v>10</v>
          </cell>
        </row>
        <row r="16493">
          <cell r="B16493" t="str">
            <v>INF204KA11V3</v>
          </cell>
          <cell r="C16493" t="str">
            <v>-</v>
          </cell>
          <cell r="D16493" t="str">
            <v>Reliance Fixed Horizon Fund XXX-Series 3- Growth Option</v>
          </cell>
          <cell r="E16493">
            <v>13.3375</v>
          </cell>
        </row>
        <row r="16494">
          <cell r="B16494" t="str">
            <v>INF204KA12W9</v>
          </cell>
          <cell r="C16494" t="str">
            <v>-</v>
          </cell>
          <cell r="D16494" t="str">
            <v>Reliance Fixed Horizon Fund XXX- Series 5- Direct Plan- Growth Option</v>
          </cell>
          <cell r="E16494">
            <v>12.8444</v>
          </cell>
        </row>
        <row r="16495">
          <cell r="B16495" t="str">
            <v>INF204KA11W1</v>
          </cell>
          <cell r="C16495" t="str">
            <v>-</v>
          </cell>
          <cell r="D16495" t="str">
            <v>Reliance Fixed Horizon Fund XXX- Series 5- Direct Plan-Dividend Payout Option</v>
          </cell>
          <cell r="E16495">
            <v>12.727499999999999</v>
          </cell>
        </row>
        <row r="16496">
          <cell r="B16496" t="str">
            <v>INF204KA10W3</v>
          </cell>
          <cell r="C16496" t="str">
            <v>-</v>
          </cell>
          <cell r="D16496" t="str">
            <v>Reliance Fixed Horizon Fund XXX- Series 5- Dividend Payout Option</v>
          </cell>
          <cell r="E16496">
            <v>12.6868</v>
          </cell>
        </row>
        <row r="16497">
          <cell r="B16497" t="str">
            <v>INF204KA19V6</v>
          </cell>
          <cell r="C16497" t="str">
            <v>-</v>
          </cell>
          <cell r="D16497" t="str">
            <v>Reliance Fixed Horizon Fund XXX- Series 5- Growth Option</v>
          </cell>
          <cell r="E16497">
            <v>12.7994</v>
          </cell>
        </row>
        <row r="16498">
          <cell r="B16498" t="str">
            <v>INF204KA16W0</v>
          </cell>
          <cell r="C16498" t="str">
            <v>-</v>
          </cell>
          <cell r="D16498" t="str">
            <v>Reliance Fixed Horizon Fund XXX- Series 6- Direct Plan-Dividend Payout Option</v>
          </cell>
          <cell r="E16498">
            <v>12.7438</v>
          </cell>
        </row>
        <row r="16499">
          <cell r="B16499" t="str">
            <v>INF204KA15W2</v>
          </cell>
          <cell r="C16499" t="str">
            <v>-</v>
          </cell>
          <cell r="D16499" t="str">
            <v>Reliance Fixed Horizon Fund XXX- Series 6- Direct Plan-Growth Option</v>
          </cell>
          <cell r="E16499">
            <v>12.830500000000001</v>
          </cell>
        </row>
        <row r="16500">
          <cell r="B16500" t="str">
            <v>INF204KA13W7</v>
          </cell>
          <cell r="C16500" t="str">
            <v>-</v>
          </cell>
          <cell r="D16500" t="str">
            <v>Reliance Fixed Horizon Fund XXX- Series 6- Growth Option</v>
          </cell>
          <cell r="E16500">
            <v>12.780099999999999</v>
          </cell>
        </row>
        <row r="16501">
          <cell r="B16501" t="str">
            <v>INF204KA13X5</v>
          </cell>
          <cell r="C16501" t="str">
            <v>-</v>
          </cell>
          <cell r="D16501" t="str">
            <v>Reliance Fixed Horizon Fund XXX- Series 7- Direct Plan-Growth Option</v>
          </cell>
          <cell r="E16501">
            <v>12.8299</v>
          </cell>
        </row>
        <row r="16502">
          <cell r="B16502" t="str">
            <v>INF204KA11X9</v>
          </cell>
          <cell r="C16502" t="str">
            <v>-</v>
          </cell>
          <cell r="D16502" t="str">
            <v>Reliance Fixed Horizon Fund XXX- Series 7- Growth Option</v>
          </cell>
          <cell r="E16502">
            <v>12.778700000000001</v>
          </cell>
        </row>
        <row r="16503">
          <cell r="B16503" t="str">
            <v>INF204KA18X4</v>
          </cell>
          <cell r="C16503" t="str">
            <v>-</v>
          </cell>
          <cell r="D16503" t="str">
            <v>Reliance Fixed Horizon Fund XXX- Series 8- Direct Plan- Dividen Payout Option</v>
          </cell>
          <cell r="E16503">
            <v>10</v>
          </cell>
        </row>
        <row r="16504">
          <cell r="B16504" t="str">
            <v>INF204KA17X6</v>
          </cell>
          <cell r="C16504" t="str">
            <v>-</v>
          </cell>
          <cell r="D16504" t="str">
            <v>Reliance Fixed Horizon Fund XXX- Series 8- Direct Plan- Growth Option</v>
          </cell>
          <cell r="E16504">
            <v>12.6914</v>
          </cell>
        </row>
        <row r="16505">
          <cell r="B16505" t="str">
            <v>INF204KA16X8</v>
          </cell>
          <cell r="C16505" t="str">
            <v>-</v>
          </cell>
          <cell r="D16505" t="str">
            <v>Reliance Fixed Horizon Fund XXX- Series 8- Dividend Payout Option</v>
          </cell>
          <cell r="E16505">
            <v>10</v>
          </cell>
        </row>
        <row r="16506">
          <cell r="B16506" t="str">
            <v>INF204KA15X0</v>
          </cell>
          <cell r="C16506" t="str">
            <v>-</v>
          </cell>
          <cell r="D16506" t="str">
            <v>Reliance Fixed Horizon Fund XXX- Series 8- Growth Option</v>
          </cell>
          <cell r="E16506">
            <v>12.463800000000001</v>
          </cell>
        </row>
        <row r="16507">
          <cell r="B16507" t="str">
            <v>INF204KA12Y5</v>
          </cell>
          <cell r="C16507" t="str">
            <v>-</v>
          </cell>
          <cell r="D16507" t="str">
            <v>Reliance Fixed Horizon Fund XXX- Series 9- Direct Plan-Dividend Payout Option</v>
          </cell>
          <cell r="E16507">
            <v>10</v>
          </cell>
        </row>
        <row r="16508">
          <cell r="B16508" t="str">
            <v>INF204KA11Y7</v>
          </cell>
          <cell r="C16508" t="str">
            <v>-</v>
          </cell>
          <cell r="D16508" t="str">
            <v>Reliance Fixed Horizon Fund XXX- Series 9- Direct Plan-Growth Option</v>
          </cell>
          <cell r="E16508">
            <v>10.212899999999999</v>
          </cell>
        </row>
        <row r="16509">
          <cell r="B16509" t="str">
            <v>INF204KA10Y9</v>
          </cell>
          <cell r="C16509" t="str">
            <v>-</v>
          </cell>
          <cell r="D16509" t="str">
            <v>Reliance Fixed Horizon Fund XXX- Series 9- Dividend Payout Option</v>
          </cell>
          <cell r="E16509">
            <v>10</v>
          </cell>
        </row>
        <row r="16510">
          <cell r="B16510" t="str">
            <v>INF204KA19X2</v>
          </cell>
          <cell r="C16510" t="str">
            <v>-</v>
          </cell>
          <cell r="D16510" t="str">
            <v>Reliance Fixed Horizon Fund XXX- Series 9- Growth Option</v>
          </cell>
          <cell r="E16510">
            <v>10.2082</v>
          </cell>
        </row>
        <row r="16511">
          <cell r="B16511" t="str">
            <v>INF204KB1635</v>
          </cell>
          <cell r="C16511" t="str">
            <v>-</v>
          </cell>
          <cell r="D16511" t="str">
            <v>Reliance Fixed Horizon Fund XXXI Series 2 - Direct Plan - Dividend Payout Option</v>
          </cell>
          <cell r="E16511">
            <v>10</v>
          </cell>
        </row>
        <row r="16512">
          <cell r="B16512" t="str">
            <v>INF204KB1627</v>
          </cell>
          <cell r="C16512" t="str">
            <v>-</v>
          </cell>
          <cell r="D16512" t="str">
            <v>Reliance Fixed Horizon Fund XXXI Series 2 - Direct Plan - Growth Option</v>
          </cell>
          <cell r="E16512">
            <v>13.1105</v>
          </cell>
        </row>
        <row r="16513">
          <cell r="B16513" t="str">
            <v>INF204KB1619</v>
          </cell>
          <cell r="C16513" t="str">
            <v>-</v>
          </cell>
          <cell r="D16513" t="str">
            <v>Reliance Fixed Horizon Fund XXXI Series 2 - Dividend Payout Option</v>
          </cell>
          <cell r="E16513">
            <v>10</v>
          </cell>
        </row>
        <row r="16514">
          <cell r="B16514" t="str">
            <v>INF204KB1601</v>
          </cell>
          <cell r="C16514" t="str">
            <v>-</v>
          </cell>
          <cell r="D16514" t="str">
            <v>Reliance Fixed Horizon Fund XXXI Series 2 - Growth Option</v>
          </cell>
          <cell r="E16514">
            <v>12.913</v>
          </cell>
        </row>
        <row r="16515">
          <cell r="B16515" t="str">
            <v>INF204KB1593</v>
          </cell>
          <cell r="C16515" t="str">
            <v>-</v>
          </cell>
          <cell r="D16515" t="str">
            <v>Reliance Fixed Horizon Fund XXXI- Series 1- Direct Plan-Dividend Payout Option</v>
          </cell>
          <cell r="E16515">
            <v>10</v>
          </cell>
        </row>
        <row r="16516">
          <cell r="B16516" t="str">
            <v>INF204KB1585</v>
          </cell>
          <cell r="C16516" t="str">
            <v>-</v>
          </cell>
          <cell r="D16516" t="str">
            <v>Reliance Fixed Horizon Fund XXXI- Series 1- Direct Plan-Growth Option</v>
          </cell>
          <cell r="E16516">
            <v>12.645899999999999</v>
          </cell>
        </row>
        <row r="16517">
          <cell r="B16517" t="str">
            <v>INF204KB1569</v>
          </cell>
          <cell r="C16517" t="str">
            <v>-</v>
          </cell>
          <cell r="D16517" t="str">
            <v>Reliance Fixed Horizon Fund XXXI- Series 1- Growth Option</v>
          </cell>
          <cell r="E16517">
            <v>12.468999999999999</v>
          </cell>
        </row>
        <row r="16518">
          <cell r="B16518" t="str">
            <v>INF204KB1CU9</v>
          </cell>
          <cell r="C16518" t="str">
            <v>-</v>
          </cell>
          <cell r="D16518" t="str">
            <v>Reliance Fixed Horizon Fund XXXI- Series 11- Direct Plan-Dividend Payout Option</v>
          </cell>
          <cell r="E16518">
            <v>10</v>
          </cell>
        </row>
        <row r="16519">
          <cell r="B16519" t="str">
            <v>INF204KB1CT1</v>
          </cell>
          <cell r="C16519" t="str">
            <v>-</v>
          </cell>
          <cell r="D16519" t="str">
            <v>Reliance Fixed Horizon Fund XXXI- Series 11- Direct Plan-Growth Option</v>
          </cell>
          <cell r="E16519">
            <v>11.8264</v>
          </cell>
        </row>
        <row r="16520">
          <cell r="B16520" t="str">
            <v>INF204KB1CS3</v>
          </cell>
          <cell r="C16520" t="str">
            <v>-</v>
          </cell>
          <cell r="D16520" t="str">
            <v>Reliance Fixed Horizon Fund XXXI- Series 11- Dividend Payout Option</v>
          </cell>
          <cell r="E16520">
            <v>10</v>
          </cell>
        </row>
        <row r="16521">
          <cell r="B16521" t="str">
            <v>INF204KB1CR5</v>
          </cell>
          <cell r="C16521" t="str">
            <v>-</v>
          </cell>
          <cell r="D16521" t="str">
            <v>Reliance Fixed Horizon Fund XXXI- Series 11- Growth Option</v>
          </cell>
          <cell r="E16521">
            <v>11.729799999999999</v>
          </cell>
        </row>
        <row r="16522">
          <cell r="B16522" t="str">
            <v>INF204KB1791</v>
          </cell>
          <cell r="C16522" t="str">
            <v>-</v>
          </cell>
          <cell r="D16522" t="str">
            <v>Reliance Fixed Horizon Fund XXXI- Series 4- Direct Plan-Dividend Payout Option</v>
          </cell>
          <cell r="E16522">
            <v>10</v>
          </cell>
        </row>
        <row r="16523">
          <cell r="B16523" t="str">
            <v>INF204KB1783</v>
          </cell>
          <cell r="C16523" t="str">
            <v>-</v>
          </cell>
          <cell r="D16523" t="str">
            <v>Reliance Fixed Horizon Fund XXXI- Series 4- Direct Plan-Growth Option</v>
          </cell>
          <cell r="E16523">
            <v>13.1174</v>
          </cell>
        </row>
        <row r="16524">
          <cell r="B16524" t="str">
            <v>INF204KB1775</v>
          </cell>
          <cell r="C16524" t="str">
            <v>-</v>
          </cell>
          <cell r="D16524" t="str">
            <v>Reliance Fixed Horizon Fund XXXI- Series 4- Dividend Payout Option</v>
          </cell>
          <cell r="E16524">
            <v>10</v>
          </cell>
        </row>
        <row r="16525">
          <cell r="B16525" t="str">
            <v>INF204KB1767</v>
          </cell>
          <cell r="C16525" t="str">
            <v>-</v>
          </cell>
          <cell r="D16525" t="str">
            <v>Reliance Fixed Horizon Fund XXXI- Series 4- Growth Option</v>
          </cell>
          <cell r="E16525">
            <v>12.917199999999999</v>
          </cell>
        </row>
        <row r="16526">
          <cell r="B16526" t="str">
            <v>INF204KB1AD9</v>
          </cell>
          <cell r="C16526" t="str">
            <v>-</v>
          </cell>
          <cell r="D16526" t="str">
            <v>Reliance Fixed Horizon Fund XXXI- Series 5- Direct Plan-Growth Option</v>
          </cell>
          <cell r="E16526">
            <v>12.5318</v>
          </cell>
        </row>
        <row r="16527">
          <cell r="B16527" t="str">
            <v>INF204KB1AC1</v>
          </cell>
          <cell r="C16527" t="str">
            <v>-</v>
          </cell>
          <cell r="D16527" t="str">
            <v>Reliance Fixed Horizon Fund XXXI- Series 5- Dividend Payout Option</v>
          </cell>
          <cell r="E16527">
            <v>10</v>
          </cell>
        </row>
        <row r="16528">
          <cell r="B16528" t="str">
            <v>INF204KB1AB3</v>
          </cell>
          <cell r="C16528" t="str">
            <v>-</v>
          </cell>
          <cell r="D16528" t="str">
            <v>Reliance Fixed Horizon Fund XXXI- Series 5- Growth Option</v>
          </cell>
          <cell r="E16528">
            <v>12.3949</v>
          </cell>
        </row>
        <row r="16529">
          <cell r="B16529" t="str">
            <v>INF204KB1AI8</v>
          </cell>
          <cell r="C16529" t="str">
            <v>-</v>
          </cell>
          <cell r="D16529" t="str">
            <v>Reliance Fixed Horizon Fund XXXI- Series 6- Direct Plan-Dividend Payout Option</v>
          </cell>
          <cell r="E16529">
            <v>10</v>
          </cell>
        </row>
        <row r="16530">
          <cell r="B16530" t="str">
            <v>INF204KB1AH0</v>
          </cell>
          <cell r="C16530" t="str">
            <v>-</v>
          </cell>
          <cell r="D16530" t="str">
            <v>Reliance Fixed Horizon Fund XXXI- Series 6- Direct Plan-Growth Option</v>
          </cell>
          <cell r="E16530">
            <v>11.977</v>
          </cell>
        </row>
        <row r="16531">
          <cell r="B16531" t="str">
            <v>INF204KB1AG2</v>
          </cell>
          <cell r="C16531" t="str">
            <v>-</v>
          </cell>
          <cell r="D16531" t="str">
            <v>Reliance Fixed Horizon Fund XXXI- Series 6- Dividend Payout Option</v>
          </cell>
          <cell r="E16531">
            <v>10</v>
          </cell>
        </row>
        <row r="16532">
          <cell r="B16532" t="str">
            <v>INF204KB1AF4</v>
          </cell>
          <cell r="C16532" t="str">
            <v>-</v>
          </cell>
          <cell r="D16532" t="str">
            <v>Reliance Fixed Horizon Fund XXXI- Series 6- Growth Option</v>
          </cell>
          <cell r="E16532">
            <v>11.788600000000001</v>
          </cell>
        </row>
        <row r="16533">
          <cell r="B16533" t="str">
            <v>INF204KB1AQ1</v>
          </cell>
          <cell r="C16533" t="str">
            <v>-</v>
          </cell>
          <cell r="D16533" t="str">
            <v>Reliance Fixed Horizon Fund XXXI- Series 7- Direct Plan - Dividend Payout Option</v>
          </cell>
          <cell r="E16533">
            <v>12.489699999999999</v>
          </cell>
        </row>
        <row r="16534">
          <cell r="B16534" t="str">
            <v>INF204KB1AP3</v>
          </cell>
          <cell r="C16534" t="str">
            <v>-</v>
          </cell>
          <cell r="D16534" t="str">
            <v>Reliance Fixed Horizon Fund XXXI- Series 7- Direct Plan-Growth Option</v>
          </cell>
          <cell r="E16534">
            <v>12.489699999999999</v>
          </cell>
        </row>
        <row r="16535">
          <cell r="B16535" t="str">
            <v>INF204KB1AO6</v>
          </cell>
          <cell r="C16535" t="str">
            <v>-</v>
          </cell>
          <cell r="D16535" t="str">
            <v>Reliance Fixed Horizon Fund XXXI- Series 7- Dividend Payout Option</v>
          </cell>
          <cell r="E16535">
            <v>12.284000000000001</v>
          </cell>
        </row>
        <row r="16536">
          <cell r="B16536" t="str">
            <v>INF204KB1AN8</v>
          </cell>
          <cell r="C16536" t="str">
            <v>-</v>
          </cell>
          <cell r="D16536" t="str">
            <v>Reliance Fixed Horizon Fund XXXI- Series 7- Growth Option</v>
          </cell>
          <cell r="E16536">
            <v>12.284000000000001</v>
          </cell>
        </row>
        <row r="16537">
          <cell r="B16537" t="str">
            <v>INF204KB1L29</v>
          </cell>
          <cell r="C16537" t="str">
            <v>-</v>
          </cell>
          <cell r="D16537" t="str">
            <v>Reliance Fixed Horizon Fund XXXIX Series 10- Direct Plan- Growth Option</v>
          </cell>
          <cell r="E16537">
            <v>10.362399999999999</v>
          </cell>
        </row>
        <row r="16538">
          <cell r="B16538" t="str">
            <v>INF204KB1L37</v>
          </cell>
          <cell r="C16538" t="str">
            <v>-</v>
          </cell>
          <cell r="D16538" t="str">
            <v>Reliance Fixed Horizon Fund XXXIX- Series 10- Direct Plan- Dividend Option</v>
          </cell>
          <cell r="E16538">
            <v>10</v>
          </cell>
        </row>
        <row r="16539">
          <cell r="B16539" t="str">
            <v>INF204KB1L11</v>
          </cell>
          <cell r="C16539" t="str">
            <v>-</v>
          </cell>
          <cell r="D16539" t="str">
            <v>Reliance Fixed Horizon Fund XXXIX- Series 10- Dividend Option</v>
          </cell>
          <cell r="E16539">
            <v>10</v>
          </cell>
        </row>
        <row r="16540">
          <cell r="B16540" t="str">
            <v>INF204KB1L03</v>
          </cell>
          <cell r="C16540" t="str">
            <v>-</v>
          </cell>
          <cell r="D16540" t="str">
            <v>Reliance Fixed Horizon Fund XXXIX- Series 10- Growth Option</v>
          </cell>
          <cell r="E16540">
            <v>10.3529</v>
          </cell>
        </row>
        <row r="16541">
          <cell r="B16541" t="str">
            <v>INF204KB1I16</v>
          </cell>
          <cell r="C16541" t="str">
            <v>-</v>
          </cell>
          <cell r="D16541" t="str">
            <v>Reliance Fixed Horizon Fund XXXIX- Series 3 - Direct Plan- Dividend Plan</v>
          </cell>
          <cell r="E16541">
            <v>10</v>
          </cell>
        </row>
        <row r="16542">
          <cell r="B16542" t="str">
            <v>INF204KB1I08</v>
          </cell>
          <cell r="C16542" t="str">
            <v>-</v>
          </cell>
          <cell r="D16542" t="str">
            <v>Reliance Fixed Horizon Fund XXXIX- Series 3- Direct Plan- Growth Option</v>
          </cell>
          <cell r="E16542">
            <v>10.411199999999999</v>
          </cell>
        </row>
        <row r="16543">
          <cell r="B16543" t="str">
            <v>INF204KB1H90</v>
          </cell>
          <cell r="C16543" t="str">
            <v>-</v>
          </cell>
          <cell r="D16543" t="str">
            <v>Reliance Fixed Horizon Fund XXXIX- Series 3- Dividend Plan</v>
          </cell>
          <cell r="E16543">
            <v>10</v>
          </cell>
        </row>
        <row r="16544">
          <cell r="B16544" t="str">
            <v>INF204KB1H82</v>
          </cell>
          <cell r="C16544" t="str">
            <v>-</v>
          </cell>
          <cell r="D16544" t="str">
            <v>Reliance Fixed Horizon Fund XXXIX- Series 3- Growth Option</v>
          </cell>
          <cell r="E16544">
            <v>10.3996</v>
          </cell>
        </row>
        <row r="16545">
          <cell r="B16545" t="str">
            <v>INF204KB1K12</v>
          </cell>
          <cell r="C16545" t="str">
            <v>-</v>
          </cell>
          <cell r="D16545" t="str">
            <v>Reliance Fixed Horizon Fund XXXIX- Series 7- Direct Plan- Dividend Option</v>
          </cell>
          <cell r="E16545">
            <v>10</v>
          </cell>
        </row>
        <row r="16546">
          <cell r="B16546" t="str">
            <v>INF204KB1K04</v>
          </cell>
          <cell r="C16546" t="str">
            <v>-</v>
          </cell>
          <cell r="D16546" t="str">
            <v>Reliance Fixed Horizon Fund XXXIX- Series 7- Direct Plan- Growth Option</v>
          </cell>
          <cell r="E16546">
            <v>10.3934</v>
          </cell>
        </row>
        <row r="16547">
          <cell r="B16547" t="str">
            <v>INF204KB1J80</v>
          </cell>
          <cell r="C16547" t="str">
            <v>-</v>
          </cell>
          <cell r="D16547" t="str">
            <v>Reliance Fixed Horizon Fund XXXIX- Series 7- Growth Option</v>
          </cell>
          <cell r="E16547">
            <v>10.381600000000001</v>
          </cell>
        </row>
        <row r="16548">
          <cell r="B16548" t="str">
            <v>INF204KB1UT3</v>
          </cell>
          <cell r="C16548" t="str">
            <v>-</v>
          </cell>
          <cell r="D16548" t="str">
            <v>Reliance Fixed Horizon Fund XXXVI- Series 4- Direct Plan-Dividend Payout Option</v>
          </cell>
          <cell r="E16548">
            <v>10.077299999999999</v>
          </cell>
        </row>
        <row r="16549">
          <cell r="B16549" t="str">
            <v>INF204KB1US5</v>
          </cell>
          <cell r="C16549" t="str">
            <v>-</v>
          </cell>
          <cell r="D16549" t="str">
            <v>Reliance Fixed Horizon Fund XXXVI- Series 4- Direct Plan-Growth Option</v>
          </cell>
          <cell r="E16549">
            <v>10.273400000000001</v>
          </cell>
        </row>
        <row r="16550">
          <cell r="B16550" t="str">
            <v>INF204KB1UR7</v>
          </cell>
          <cell r="C16550" t="str">
            <v>-</v>
          </cell>
          <cell r="D16550" t="str">
            <v>Reliance Fixed Horizon Fund XXXVI- Series 4- Dividend Payout Option</v>
          </cell>
          <cell r="E16550">
            <v>10</v>
          </cell>
        </row>
        <row r="16551">
          <cell r="B16551" t="str">
            <v>INF204KB1UQ9</v>
          </cell>
          <cell r="C16551" t="str">
            <v>-</v>
          </cell>
          <cell r="D16551" t="str">
            <v>Reliance Fixed Horizon Fund XXXVI- Series 4- Growth Option</v>
          </cell>
          <cell r="E16551">
            <v>10.266400000000001</v>
          </cell>
        </row>
        <row r="16552">
          <cell r="B16552" t="str">
            <v>INF204KB1XV3</v>
          </cell>
          <cell r="C16552" t="str">
            <v>-</v>
          </cell>
          <cell r="D16552" t="str">
            <v>Reliance Fixed Horizon Fund XXXVII- Series 11- Direct Plan- Dividend Payout Option</v>
          </cell>
          <cell r="E16552">
            <v>10</v>
          </cell>
        </row>
        <row r="16553">
          <cell r="B16553" t="str">
            <v>INF204KB1XU5</v>
          </cell>
          <cell r="C16553" t="str">
            <v>-</v>
          </cell>
          <cell r="D16553" t="str">
            <v>Reliance Fixed Horizon Fund XXXVII- Series 11- Direct Plan- Growth Option</v>
          </cell>
          <cell r="E16553">
            <v>10.650600000000001</v>
          </cell>
        </row>
        <row r="16554">
          <cell r="B16554" t="str">
            <v>INF204KB1XT7</v>
          </cell>
          <cell r="C16554" t="str">
            <v>-</v>
          </cell>
          <cell r="D16554" t="str">
            <v>Reliance Fixed Horizon Fund XXXVII- Series 11- Dividend Payout Option</v>
          </cell>
          <cell r="E16554">
            <v>10</v>
          </cell>
        </row>
        <row r="16555">
          <cell r="B16555" t="str">
            <v>INF204KB1XS9</v>
          </cell>
          <cell r="C16555" t="str">
            <v>-</v>
          </cell>
          <cell r="D16555" t="str">
            <v>Reliance Fixed Horizon Fund XXXVII- Series 11- Growth Option</v>
          </cell>
          <cell r="E16555">
            <v>10.632</v>
          </cell>
        </row>
        <row r="16556">
          <cell r="B16556" t="str">
            <v>INF204KB1YD9</v>
          </cell>
          <cell r="C16556" t="str">
            <v>-</v>
          </cell>
          <cell r="D16556" t="str">
            <v>Reliance Fixed Horizon Fund XXXVII- Series 13- Direct Plan- Dividend Payout Option</v>
          </cell>
          <cell r="E16556">
            <v>10</v>
          </cell>
        </row>
        <row r="16557">
          <cell r="B16557" t="str">
            <v>INF204KB1YC1</v>
          </cell>
          <cell r="C16557" t="str">
            <v>-</v>
          </cell>
          <cell r="D16557" t="str">
            <v>Reliance Fixed Horizon Fund XXXVII- Series 13- Direct Plan- Growth Option</v>
          </cell>
          <cell r="E16557">
            <v>10.398</v>
          </cell>
        </row>
        <row r="16558">
          <cell r="B16558" t="str">
            <v>INF204KB1YB3</v>
          </cell>
          <cell r="C16558" t="str">
            <v>-</v>
          </cell>
          <cell r="D16558" t="str">
            <v>Reliance Fixed Horizon Fund XXXVII- Series 13- Dividend Payout Option</v>
          </cell>
          <cell r="E16558">
            <v>10</v>
          </cell>
        </row>
        <row r="16559">
          <cell r="B16559" t="str">
            <v>INF204KB1YA5</v>
          </cell>
          <cell r="C16559" t="str">
            <v>-</v>
          </cell>
          <cell r="D16559" t="str">
            <v>Reliance Fixed Horizon Fund XXXVII- Series 13- Growth Option</v>
          </cell>
          <cell r="E16559">
            <v>10.387</v>
          </cell>
        </row>
        <row r="16560">
          <cell r="B16560" t="str">
            <v>INF204KB1XF6</v>
          </cell>
          <cell r="C16560" t="str">
            <v>-</v>
          </cell>
          <cell r="D16560" t="str">
            <v>Reliance Fixed Horizon Fund XXXVII- Series 7- Direct Plan- Dividend Payout Option</v>
          </cell>
          <cell r="E16560">
            <v>10.111800000000001</v>
          </cell>
        </row>
        <row r="16561">
          <cell r="B16561" t="str">
            <v>INF204KB1XE9</v>
          </cell>
          <cell r="C16561" t="str">
            <v>-</v>
          </cell>
          <cell r="D16561" t="str">
            <v>Reliance Fixed Horizon Fund XXXVII- Series 7- Direct Plan- Growth Option</v>
          </cell>
          <cell r="E16561">
            <v>10.111800000000001</v>
          </cell>
        </row>
        <row r="16562">
          <cell r="B16562" t="str">
            <v>INF204KB1XD1</v>
          </cell>
          <cell r="C16562" t="str">
            <v>-</v>
          </cell>
          <cell r="D16562" t="str">
            <v>Reliance Fixed Horizon Fund XXXVII- Series 7- Dividend Payout Option</v>
          </cell>
          <cell r="E16562">
            <v>10.1097</v>
          </cell>
        </row>
        <row r="16563">
          <cell r="B16563" t="str">
            <v>INF204KB1XC3</v>
          </cell>
          <cell r="C16563" t="str">
            <v>-</v>
          </cell>
          <cell r="D16563" t="str">
            <v>Reliance Fixed Horizon Fund XXXVII- Series 7- Growth Option</v>
          </cell>
          <cell r="E16563">
            <v>10.1097</v>
          </cell>
        </row>
        <row r="16564">
          <cell r="B16564" t="str">
            <v>INF204KB1XJ8</v>
          </cell>
          <cell r="C16564" t="str">
            <v>-</v>
          </cell>
          <cell r="D16564" t="str">
            <v>Reliance Fixed Horizon Fund XXXVII- Series 8- Direct Plan- Dividend Payout Option</v>
          </cell>
          <cell r="E16564">
            <v>10.0974</v>
          </cell>
        </row>
        <row r="16565">
          <cell r="B16565" t="str">
            <v>INF204KB1XI0</v>
          </cell>
          <cell r="C16565" t="str">
            <v>-</v>
          </cell>
          <cell r="D16565" t="str">
            <v>Reliance Fixed Horizon Fund XXXVII- Series 8- Direct Plan- Growth Option</v>
          </cell>
          <cell r="E16565">
            <v>10.0974</v>
          </cell>
        </row>
        <row r="16566">
          <cell r="B16566" t="str">
            <v>INF204KB1XH2</v>
          </cell>
          <cell r="C16566" t="str">
            <v>-</v>
          </cell>
          <cell r="D16566" t="str">
            <v>Reliance Fixed Horizon Fund XXXVII- Series 8- Dividend Payout Option</v>
          </cell>
          <cell r="E16566">
            <v>10.0952</v>
          </cell>
        </row>
        <row r="16567">
          <cell r="B16567" t="str">
            <v>INF204KB1XG4</v>
          </cell>
          <cell r="C16567" t="str">
            <v>-</v>
          </cell>
          <cell r="D16567" t="str">
            <v>Reliance Fixed Horizon Fund XXXVII- Series 8- Growth Option</v>
          </cell>
          <cell r="E16567">
            <v>10.0952</v>
          </cell>
        </row>
        <row r="16568">
          <cell r="B16568" t="str">
            <v>INF204KB1F76</v>
          </cell>
          <cell r="C16568" t="str">
            <v>-</v>
          </cell>
          <cell r="D16568" t="str">
            <v>Reliance Fixed Horizon Fund XXXVIII- Series 13 - Direct Plan- Dividend Plan</v>
          </cell>
          <cell r="E16568">
            <v>10</v>
          </cell>
        </row>
        <row r="16569">
          <cell r="B16569" t="str">
            <v>INF204KB1F68</v>
          </cell>
          <cell r="C16569" t="str">
            <v>-</v>
          </cell>
          <cell r="D16569" t="str">
            <v>Reliance Fixed Horizon Fund XXXVIII- Series 13- Direct Plan- Growth Option</v>
          </cell>
          <cell r="E16569">
            <v>10.4354</v>
          </cell>
        </row>
        <row r="16570">
          <cell r="B16570" t="str">
            <v>INF204KB1F50</v>
          </cell>
          <cell r="C16570" t="str">
            <v>-</v>
          </cell>
          <cell r="D16570" t="str">
            <v>Reliance Fixed Horizon Fund XXXVIII- Series 13- Dividend Plan</v>
          </cell>
          <cell r="E16570">
            <v>10</v>
          </cell>
        </row>
        <row r="16571">
          <cell r="B16571" t="str">
            <v>INF204KB1F43</v>
          </cell>
          <cell r="C16571" t="str">
            <v>-</v>
          </cell>
          <cell r="D16571" t="str">
            <v>Reliance Fixed Horizon Fund XXXVIII- Series 13- Growth Option</v>
          </cell>
          <cell r="E16571">
            <v>10.4232</v>
          </cell>
        </row>
        <row r="16572">
          <cell r="B16572" t="str">
            <v>INF204KB1G91</v>
          </cell>
          <cell r="C16572" t="str">
            <v>-</v>
          </cell>
          <cell r="D16572" t="str">
            <v>Reliance Fixed Horizon Fund XXXVIII- Series 15 - Direct Plan- Dividend Plan</v>
          </cell>
          <cell r="E16572">
            <v>10</v>
          </cell>
        </row>
        <row r="16573">
          <cell r="B16573" t="str">
            <v>INF204KB1G83</v>
          </cell>
          <cell r="C16573" t="str">
            <v>-</v>
          </cell>
          <cell r="D16573" t="str">
            <v>Reliance Fixed Horizon Fund XXXVIII- Series 15- Direct Plan- Growth Option</v>
          </cell>
          <cell r="E16573">
            <v>10.1998</v>
          </cell>
        </row>
        <row r="16574">
          <cell r="B16574" t="str">
            <v>INF204KB1G75</v>
          </cell>
          <cell r="C16574" t="str">
            <v>-</v>
          </cell>
          <cell r="D16574" t="str">
            <v>Reliance Fixed Horizon Fund XXXVIII- Series 15- Dividend Plan</v>
          </cell>
          <cell r="E16574">
            <v>10</v>
          </cell>
        </row>
        <row r="16575">
          <cell r="B16575" t="str">
            <v>INF204KB1G67</v>
          </cell>
          <cell r="C16575" t="str">
            <v>-</v>
          </cell>
          <cell r="D16575" t="str">
            <v>Reliance Fixed Horizon Fund XXXVIII- Series 15- Growth Option</v>
          </cell>
          <cell r="E16575">
            <v>10.1944</v>
          </cell>
        </row>
        <row r="16576">
          <cell r="B16576" t="str">
            <v>INF204KB1C12</v>
          </cell>
          <cell r="C16576" t="str">
            <v>-</v>
          </cell>
          <cell r="D16576" t="str">
            <v>Reliance Fixed Horizon Fund XXXVIII- Series 4- Direct Plan- Dividend Plan</v>
          </cell>
          <cell r="E16576">
            <v>10</v>
          </cell>
        </row>
        <row r="16577">
          <cell r="B16577" t="str">
            <v>INF204KB1C04</v>
          </cell>
          <cell r="C16577" t="str">
            <v>-</v>
          </cell>
          <cell r="D16577" t="str">
            <v>Reliance Fixed Horizon Fund XXXVIII- Series 4- Direct Plan- Growth Option</v>
          </cell>
          <cell r="E16577">
            <v>10.347099999999999</v>
          </cell>
        </row>
        <row r="16578">
          <cell r="B16578" t="str">
            <v>INF204KB1B88</v>
          </cell>
          <cell r="C16578" t="str">
            <v>-</v>
          </cell>
          <cell r="D16578" t="str">
            <v>Reliance Fixed Horizon Fund XXXVIII- Series 4- Growth Option</v>
          </cell>
          <cell r="E16578">
            <v>10.3375</v>
          </cell>
        </row>
        <row r="16579">
          <cell r="B16579" t="str">
            <v>INF204KB1D78</v>
          </cell>
          <cell r="C16579" t="str">
            <v>-</v>
          </cell>
          <cell r="D16579" t="str">
            <v>Reliance Fixed Horizon Fund XXXVIII- Series 8- Direct Plan- Dividend Plan</v>
          </cell>
          <cell r="E16579">
            <v>10</v>
          </cell>
        </row>
        <row r="16580">
          <cell r="B16580" t="str">
            <v>INF204KB1D60</v>
          </cell>
          <cell r="C16580" t="str">
            <v>-</v>
          </cell>
          <cell r="D16580" t="str">
            <v>Reliance Fixed Horizon Fund XXXVIII- Series 8- Direct Plan- Growth Option</v>
          </cell>
          <cell r="E16580">
            <v>10.505100000000001</v>
          </cell>
        </row>
        <row r="16581">
          <cell r="B16581" t="str">
            <v>INF204KB1D52</v>
          </cell>
          <cell r="C16581" t="str">
            <v>-</v>
          </cell>
          <cell r="D16581" t="str">
            <v>Reliance Fixed Horizon Fund XXXVIII- Series 8- Dividend Plan</v>
          </cell>
          <cell r="E16581">
            <v>10</v>
          </cell>
        </row>
        <row r="16582">
          <cell r="B16582" t="str">
            <v>INF204KB1D45</v>
          </cell>
          <cell r="C16582" t="str">
            <v>-</v>
          </cell>
          <cell r="D16582" t="str">
            <v>Reliance Fixed Horizon Fund XXXVIII- Series 8- Growth Option</v>
          </cell>
          <cell r="E16582">
            <v>10.4918</v>
          </cell>
        </row>
        <row r="16583">
          <cell r="B16583" t="str">
            <v>INF204KA1NE1</v>
          </cell>
          <cell r="C16583" t="str">
            <v>-</v>
          </cell>
          <cell r="D16583" t="str">
            <v>Reliance Fixed Horizon Fund- XXVI- Series 12- Direct Plan - Dividend Payout Option</v>
          </cell>
          <cell r="E16583">
            <v>10</v>
          </cell>
        </row>
        <row r="16584">
          <cell r="B16584" t="str">
            <v>INF204KA1ND3</v>
          </cell>
          <cell r="C16584" t="str">
            <v>-</v>
          </cell>
          <cell r="D16584" t="str">
            <v>Reliance Fixed Horizon Fund- XXVI- Series 12- Direct Plan - Growth Option</v>
          </cell>
          <cell r="E16584">
            <v>12.810600000000001</v>
          </cell>
        </row>
        <row r="16585">
          <cell r="B16585" t="str">
            <v>INF204KA1NC5</v>
          </cell>
          <cell r="C16585" t="str">
            <v>-</v>
          </cell>
          <cell r="D16585" t="str">
            <v>Reliance Fixed Horizon Fund- XXVI- Series 12- Dividend payout Option</v>
          </cell>
          <cell r="E16585">
            <v>10</v>
          </cell>
        </row>
        <row r="16586">
          <cell r="B16586" t="str">
            <v>INF204KA1NB7</v>
          </cell>
          <cell r="C16586" t="str">
            <v>-</v>
          </cell>
          <cell r="D16586" t="str">
            <v>Reliance Fixed Horizon Fund- XXVI- Series 12- Growth Option</v>
          </cell>
          <cell r="E16586">
            <v>12.751799999999999</v>
          </cell>
        </row>
        <row r="16587">
          <cell r="B16587" t="str">
            <v>INF204KA1NI2</v>
          </cell>
          <cell r="C16587" t="str">
            <v>-</v>
          </cell>
          <cell r="D16587" t="str">
            <v>Reliance Fixed Horizon Fund- XXVI- Series 13- Direct Plan - Dividend Payout Option</v>
          </cell>
          <cell r="E16587">
            <v>10</v>
          </cell>
        </row>
        <row r="16588">
          <cell r="B16588" t="str">
            <v>INF204KA1NH4</v>
          </cell>
          <cell r="C16588" t="str">
            <v>-</v>
          </cell>
          <cell r="D16588" t="str">
            <v>Reliance Fixed Horizon Fund- XXVI- Series 13- Direct Plan - Growth Option</v>
          </cell>
          <cell r="E16588">
            <v>12.8003</v>
          </cell>
        </row>
        <row r="16589">
          <cell r="B16589" t="str">
            <v>INF204KA1NG6</v>
          </cell>
          <cell r="C16589" t="str">
            <v>-</v>
          </cell>
          <cell r="D16589" t="str">
            <v>Reliance Fixed Horizon Fund- XXVI- Series 13- Dividend payout Option</v>
          </cell>
          <cell r="E16589">
            <v>10</v>
          </cell>
        </row>
        <row r="16590">
          <cell r="B16590" t="str">
            <v>INF204KA1NF8</v>
          </cell>
          <cell r="C16590" t="str">
            <v>-</v>
          </cell>
          <cell r="D16590" t="str">
            <v>Reliance Fixed Horizon Fund- XXVI- Series 13- Growth Option</v>
          </cell>
          <cell r="E16590">
            <v>12.7439</v>
          </cell>
        </row>
        <row r="16591">
          <cell r="B16591" t="str">
            <v>INF204KA1NU7</v>
          </cell>
          <cell r="C16591" t="str">
            <v>-</v>
          </cell>
          <cell r="D16591" t="str">
            <v>Reliance Fixed Horizon Fund- XXVI- Series 16- Direct Plan - Dividend Payout Option</v>
          </cell>
          <cell r="E16591">
            <v>10</v>
          </cell>
        </row>
        <row r="16592">
          <cell r="B16592" t="str">
            <v>INF204KA1NT9</v>
          </cell>
          <cell r="C16592" t="str">
            <v>-</v>
          </cell>
          <cell r="D16592" t="str">
            <v>Reliance Fixed Horizon Fund- XXVI- Series 16- Direct Plan - Growth Option</v>
          </cell>
          <cell r="E16592">
            <v>13.305400000000001</v>
          </cell>
        </row>
        <row r="16593">
          <cell r="B16593" t="str">
            <v>INF204KA1NS1</v>
          </cell>
          <cell r="C16593" t="str">
            <v>-</v>
          </cell>
          <cell r="D16593" t="str">
            <v>Reliance Fixed Horizon Fund- XXVI- Series 16- Dividend payout Option</v>
          </cell>
          <cell r="E16593">
            <v>10</v>
          </cell>
        </row>
        <row r="16594">
          <cell r="B16594" t="str">
            <v>INF204KA1NR3</v>
          </cell>
          <cell r="C16594" t="str">
            <v>-</v>
          </cell>
          <cell r="D16594" t="str">
            <v>Reliance Fixed Horizon Fund- XXVI- Series 16- Growth Option</v>
          </cell>
          <cell r="E16594">
            <v>13.0883</v>
          </cell>
        </row>
        <row r="16595">
          <cell r="B16595" t="str">
            <v>INF204KA1OF6</v>
          </cell>
          <cell r="C16595" t="str">
            <v>-</v>
          </cell>
          <cell r="D16595" t="str">
            <v>Reliance Fixed Horizon Fund- XXVI- Series 19- Direct Plan- Growth Option</v>
          </cell>
          <cell r="E16595">
            <v>12.8424</v>
          </cell>
        </row>
        <row r="16596">
          <cell r="B16596" t="str">
            <v>INF204KA1OE9</v>
          </cell>
          <cell r="C16596" t="str">
            <v>-</v>
          </cell>
          <cell r="D16596" t="str">
            <v>Reliance Fixed Horizon Fund- XXVI- Series 19- Dividend Payout Option</v>
          </cell>
          <cell r="E16596">
            <v>10</v>
          </cell>
        </row>
        <row r="16597">
          <cell r="B16597" t="str">
            <v>INF204KA1OD1</v>
          </cell>
          <cell r="C16597" t="str">
            <v>-</v>
          </cell>
          <cell r="D16597" t="str">
            <v>Reliance Fixed Horizon Fund- XXVI- Series 19- Growth Option</v>
          </cell>
          <cell r="E16597">
            <v>12.8033</v>
          </cell>
        </row>
        <row r="16598">
          <cell r="B16598" t="str">
            <v>INF204KA1ON0</v>
          </cell>
          <cell r="C16598" t="str">
            <v>-</v>
          </cell>
          <cell r="D16598" t="str">
            <v>Reliance Fixed Horizon Fund- XXVI- Series 21- Direct Plan- Growth Option</v>
          </cell>
          <cell r="E16598">
            <v>13.145099999999999</v>
          </cell>
        </row>
        <row r="16599">
          <cell r="B16599" t="str">
            <v>INF204KA1OM2</v>
          </cell>
          <cell r="C16599" t="str">
            <v>-</v>
          </cell>
          <cell r="D16599" t="str">
            <v>Reliance Fixed Horizon Fund- XXVI- Series 21- Dividend Payout Option</v>
          </cell>
          <cell r="E16599">
            <v>10</v>
          </cell>
        </row>
        <row r="16600">
          <cell r="B16600" t="str">
            <v>INF204KA1OL4</v>
          </cell>
          <cell r="C16600" t="str">
            <v>-</v>
          </cell>
          <cell r="D16600" t="str">
            <v>Reliance Fixed Horizon Fund- XXVI- Series 21- Growth Option</v>
          </cell>
          <cell r="E16600">
            <v>13.0905</v>
          </cell>
        </row>
        <row r="16601">
          <cell r="B16601" t="str">
            <v>INF204KA1OZ4</v>
          </cell>
          <cell r="C16601" t="str">
            <v>-</v>
          </cell>
          <cell r="D16601" t="str">
            <v>Reliance Fixed Horizon Fund XXVI- Series 23- Direct Plan- Growth Option</v>
          </cell>
          <cell r="E16601">
            <v>14.4627</v>
          </cell>
        </row>
        <row r="16602">
          <cell r="B16602" t="str">
            <v>INF204KA1PA4</v>
          </cell>
          <cell r="C16602" t="str">
            <v>-</v>
          </cell>
          <cell r="D16602" t="str">
            <v>Reliance Fixed Horizon Fund- XXVI- Series 23- Direct Plan- Dividend Payout Option</v>
          </cell>
          <cell r="E16602">
            <v>11.8942</v>
          </cell>
        </row>
        <row r="16603">
          <cell r="B16603" t="str">
            <v>INF204KA1OY7</v>
          </cell>
          <cell r="C16603" t="str">
            <v>-</v>
          </cell>
          <cell r="D16603" t="str">
            <v>Reliance Fixed Horizon Fund- XXVI- Series 23- Dividend Payout Opiton</v>
          </cell>
          <cell r="E16603">
            <v>11.768599999999999</v>
          </cell>
        </row>
        <row r="16604">
          <cell r="B16604" t="str">
            <v>INF204KA1OX9</v>
          </cell>
          <cell r="C16604" t="str">
            <v>-</v>
          </cell>
          <cell r="D16604" t="str">
            <v>Reliance Fixed Horizon Fund- XXVI- Series 23- Growth Option</v>
          </cell>
          <cell r="E16604">
            <v>14.1739</v>
          </cell>
        </row>
        <row r="16605">
          <cell r="B16605" t="str">
            <v>INF204KA11D1</v>
          </cell>
          <cell r="C16605" t="str">
            <v>-</v>
          </cell>
          <cell r="D16605" t="str">
            <v>Reliance Fixed Horizon Fund XXVI- Series 25- Direct Plan- Dividend Payout Option</v>
          </cell>
          <cell r="E16605">
            <v>10</v>
          </cell>
        </row>
        <row r="16606">
          <cell r="B16606" t="str">
            <v>INF204KA10D3</v>
          </cell>
          <cell r="C16606" t="str">
            <v>-</v>
          </cell>
          <cell r="D16606" t="str">
            <v>Reliance Fixed Horizon Fund XXVI- Series 25- Direct Plan- Growth Option</v>
          </cell>
          <cell r="E16606">
            <v>12.939399999999999</v>
          </cell>
        </row>
        <row r="16607">
          <cell r="B16607" t="str">
            <v>INF204KA19C6</v>
          </cell>
          <cell r="C16607" t="str">
            <v>-</v>
          </cell>
          <cell r="D16607" t="str">
            <v>Reliance Fixed Horizon Fund XXVI- Series 25- Dividend Payout Option</v>
          </cell>
          <cell r="E16607">
            <v>10</v>
          </cell>
        </row>
        <row r="16608">
          <cell r="B16608" t="str">
            <v>INF204KA12D9</v>
          </cell>
          <cell r="C16608" t="str">
            <v>-</v>
          </cell>
          <cell r="D16608" t="str">
            <v>Reliance Fixed Horizon Fund XXVI- Series 25- Growth Option</v>
          </cell>
          <cell r="E16608">
            <v>12.8986</v>
          </cell>
        </row>
        <row r="16609">
          <cell r="B16609" t="str">
            <v>INF204KA1LO4</v>
          </cell>
          <cell r="C16609" t="str">
            <v>-</v>
          </cell>
          <cell r="D16609" t="str">
            <v>Reliance Fixed Horizon Fund - XXVI- Series 5- Direct Plan - Growth Option</v>
          </cell>
          <cell r="E16609">
            <v>10.9566</v>
          </cell>
        </row>
        <row r="16610">
          <cell r="B16610" t="str">
            <v>INF204KA1LN6</v>
          </cell>
          <cell r="C16610" t="str">
            <v>-</v>
          </cell>
          <cell r="D16610" t="str">
            <v>Reliance Fixed Horizon Fund - XXVI- Series 5- Dividend payout Option</v>
          </cell>
          <cell r="E16610">
            <v>10</v>
          </cell>
        </row>
        <row r="16611">
          <cell r="B16611" t="str">
            <v>INF204KA1LM8</v>
          </cell>
          <cell r="C16611" t="str">
            <v>-</v>
          </cell>
          <cell r="D16611" t="str">
            <v>Reliance Fixed Horizon Fund - XXVI- Series 5- Growth Option</v>
          </cell>
          <cell r="E16611">
            <v>10.9078</v>
          </cell>
        </row>
        <row r="16612">
          <cell r="B16612" t="str">
            <v>INF204KA1LQ9</v>
          </cell>
          <cell r="C16612" t="str">
            <v>-</v>
          </cell>
          <cell r="D16612" t="str">
            <v>Reliance Fixed Horizon Fund- XXVI- Series 6-  Growth Option</v>
          </cell>
          <cell r="E16612">
            <v>13.946099999999999</v>
          </cell>
        </row>
        <row r="16613">
          <cell r="B16613" t="str">
            <v>INF204KA1LT3</v>
          </cell>
          <cell r="C16613" t="str">
            <v>-</v>
          </cell>
          <cell r="D16613" t="str">
            <v>Reliance Fixed Horizon Fund- XXVI- Series 6- Direct Plan - Dividend Payout Option</v>
          </cell>
          <cell r="E16613">
            <v>10</v>
          </cell>
        </row>
        <row r="16614">
          <cell r="B16614" t="str">
            <v>INF204KA1LS5</v>
          </cell>
          <cell r="C16614" t="str">
            <v>-</v>
          </cell>
          <cell r="D16614" t="str">
            <v>Reliance Fixed Horizon Fund- XXVI- Series 6- Direct Plan - Growth Option</v>
          </cell>
          <cell r="E16614">
            <v>13.983499999999999</v>
          </cell>
        </row>
        <row r="16615">
          <cell r="B16615" t="str">
            <v>INF204KA1LX5</v>
          </cell>
          <cell r="C16615" t="str">
            <v>-</v>
          </cell>
          <cell r="D16615" t="str">
            <v>Reliance Fixed Horizon Fund- XXVI- Series 7- Direct Plan - Dividend Payout Option</v>
          </cell>
          <cell r="E16615">
            <v>10</v>
          </cell>
        </row>
        <row r="16616">
          <cell r="B16616" t="str">
            <v>INF204KA1LW7</v>
          </cell>
          <cell r="C16616" t="str">
            <v>-</v>
          </cell>
          <cell r="D16616" t="str">
            <v>Reliance Fixed Horizon Fund- XXVI- Series 7- Direct Plan - Growth Option</v>
          </cell>
          <cell r="E16616">
            <v>12.8447</v>
          </cell>
        </row>
        <row r="16617">
          <cell r="B16617" t="str">
            <v>INF204KA1LV9</v>
          </cell>
          <cell r="C16617" t="str">
            <v>-</v>
          </cell>
          <cell r="D16617" t="str">
            <v>Reliance Fixed Horizon Fund- XXVI- Series 7- Dividend payout Option</v>
          </cell>
          <cell r="E16617">
            <v>10</v>
          </cell>
        </row>
        <row r="16618">
          <cell r="B16618" t="str">
            <v>INF204KA1LU1</v>
          </cell>
          <cell r="C16618" t="str">
            <v>-</v>
          </cell>
          <cell r="D16618" t="str">
            <v>Reliance Fixed Horizon Fund- XXVI- Series 7- Growth Option</v>
          </cell>
          <cell r="E16618">
            <v>12.808400000000001</v>
          </cell>
        </row>
        <row r="16619">
          <cell r="B16619" t="str">
            <v>INF204KA1MF0</v>
          </cell>
          <cell r="C16619" t="str">
            <v>-</v>
          </cell>
          <cell r="D16619" t="str">
            <v>Reliance Fixed Horizon Fund- XXVI- Series 8- Direct Plan - Dividend Payout Option</v>
          </cell>
          <cell r="E16619">
            <v>10</v>
          </cell>
        </row>
        <row r="16620">
          <cell r="B16620" t="str">
            <v>INF204KA1ME3</v>
          </cell>
          <cell r="C16620" t="str">
            <v>-</v>
          </cell>
          <cell r="D16620" t="str">
            <v>Reliance Fixed Horizon Fund- XXVI- Series 8- Direct Plan - Growth Option</v>
          </cell>
          <cell r="E16620">
            <v>10.936400000000001</v>
          </cell>
        </row>
        <row r="16621">
          <cell r="B16621" t="str">
            <v>INF204KA1MD5</v>
          </cell>
          <cell r="C16621" t="str">
            <v>-</v>
          </cell>
          <cell r="D16621" t="str">
            <v>Reliance Fixed Horizon Fund- XXVI- Series 8- Dividend payout Option</v>
          </cell>
          <cell r="E16621">
            <v>10</v>
          </cell>
        </row>
        <row r="16622">
          <cell r="B16622" t="str">
            <v>INF204KA1MC7</v>
          </cell>
          <cell r="C16622" t="str">
            <v>-</v>
          </cell>
          <cell r="D16622" t="str">
            <v>Reliance Fixed Horizon Fund- XXVI- Series 8- Growth Option</v>
          </cell>
          <cell r="E16622">
            <v>10.923299999999999</v>
          </cell>
        </row>
        <row r="16623">
          <cell r="B16623" t="str">
            <v>INF204KA1MI4</v>
          </cell>
          <cell r="C16623" t="str">
            <v>-</v>
          </cell>
          <cell r="D16623" t="str">
            <v>Reliance Fixed Horizon Fund- XXVI- Series 9- Direct Plan - Growth Option</v>
          </cell>
          <cell r="E16623">
            <v>13.9199</v>
          </cell>
        </row>
        <row r="16624">
          <cell r="B16624" t="str">
            <v>INF204KA1MH6</v>
          </cell>
          <cell r="C16624" t="str">
            <v>-</v>
          </cell>
          <cell r="D16624" t="str">
            <v>Reliance Fixed Horizon Fund- XXVI- Series 9- Dividend payout Option</v>
          </cell>
          <cell r="E16624">
            <v>10</v>
          </cell>
        </row>
        <row r="16625">
          <cell r="B16625" t="str">
            <v>INF204KA1MG8</v>
          </cell>
          <cell r="C16625" t="str">
            <v>-</v>
          </cell>
          <cell r="D16625" t="str">
            <v>Reliance Fixed Horizon Fund- XXVI- Series 9- Growth Option</v>
          </cell>
          <cell r="E16625">
            <v>13.8508</v>
          </cell>
        </row>
        <row r="16626">
          <cell r="B16626" t="str">
            <v>INF204KA1PX6</v>
          </cell>
          <cell r="C16626" t="str">
            <v>-</v>
          </cell>
          <cell r="D16626" t="str">
            <v>Reliance Fixed Horizon Fund-XXVI-Series 28-Direct Plan-Growth Option</v>
          </cell>
          <cell r="E16626">
            <v>12.898400000000001</v>
          </cell>
        </row>
        <row r="16627">
          <cell r="B16627" t="str">
            <v>INF204KA1PW8</v>
          </cell>
          <cell r="C16627" t="str">
            <v>-</v>
          </cell>
          <cell r="D16627" t="str">
            <v>Reliance Fixed Horizon Fund-XXVI-Series 28-Dividend Payout Option</v>
          </cell>
          <cell r="E16627">
            <v>10</v>
          </cell>
        </row>
        <row r="16628">
          <cell r="B16628" t="str">
            <v>INF204KA1PV0</v>
          </cell>
          <cell r="C16628" t="str">
            <v>-</v>
          </cell>
          <cell r="D16628" t="str">
            <v>Reliance Fixed Horizon Fund-XXVI-Series 28-Growth Option</v>
          </cell>
          <cell r="E16628">
            <v>12.8386</v>
          </cell>
        </row>
        <row r="16629">
          <cell r="B16629" t="str">
            <v>INF204KA1VD6</v>
          </cell>
          <cell r="C16629" t="str">
            <v>-</v>
          </cell>
          <cell r="D16629" t="str">
            <v>Reliance Interval Fund III- Series 1- Direct Plan- Growth Option</v>
          </cell>
          <cell r="E16629">
            <v>12.560600000000001</v>
          </cell>
        </row>
        <row r="16630">
          <cell r="B16630" t="str">
            <v>INF204KA1VB0</v>
          </cell>
          <cell r="C16630" t="str">
            <v>-</v>
          </cell>
          <cell r="D16630" t="str">
            <v>Reliance Interval Fund III- Series 1- Growth Option</v>
          </cell>
          <cell r="E16630">
            <v>12.525399999999999</v>
          </cell>
        </row>
        <row r="16631">
          <cell r="B16631" t="str">
            <v>INF204K01S33</v>
          </cell>
          <cell r="C16631" t="str">
            <v>-</v>
          </cell>
          <cell r="D16631" t="str">
            <v>Reliance Yearly Interval Fund - Series 3 - Direct Plan - Growth Plan - Growth Option</v>
          </cell>
          <cell r="E16631">
            <v>14.1912</v>
          </cell>
        </row>
        <row r="16632">
          <cell r="B16632" t="str">
            <v>INF204K01S17</v>
          </cell>
          <cell r="C16632" t="str">
            <v>INF204K01S25</v>
          </cell>
          <cell r="D16632" t="str">
            <v>Reliance Yearly Interval Fund - Series 3 - Dividend Plan - Dividend Option</v>
          </cell>
          <cell r="E16632">
            <v>10.000299999999999</v>
          </cell>
        </row>
        <row r="16633">
          <cell r="B16633" t="str">
            <v>INF204K01S09</v>
          </cell>
          <cell r="C16633" t="str">
            <v>-</v>
          </cell>
          <cell r="D16633" t="str">
            <v>Reliance Yearly Interval Fund - Series 3 - Growth Plan - Growth Option</v>
          </cell>
          <cell r="E16633">
            <v>14.145</v>
          </cell>
        </row>
        <row r="16634">
          <cell r="B16634" t="str">
            <v>INF204K01U21</v>
          </cell>
          <cell r="C16634" t="str">
            <v>INF204K01U39</v>
          </cell>
          <cell r="D16634" t="str">
            <v>Reliance Yearly Interval Fund - Series 6 - Direct Plan - Dividend Option</v>
          </cell>
          <cell r="E16634">
            <v>10</v>
          </cell>
        </row>
        <row r="16635">
          <cell r="B16635" t="str">
            <v>INF204K01U13</v>
          </cell>
          <cell r="C16635" t="str">
            <v>-</v>
          </cell>
          <cell r="D16635" t="str">
            <v>Reliance Yearly Interval Fund - Series 6 - Direct Plan - Growth Option</v>
          </cell>
          <cell r="E16635">
            <v>13.8881</v>
          </cell>
        </row>
        <row r="16636">
          <cell r="B16636" t="str">
            <v>INF204K01T99</v>
          </cell>
          <cell r="C16636" t="str">
            <v>INF204K01U05</v>
          </cell>
          <cell r="D16636" t="str">
            <v>Reliance Yearly Interval Fund - Series 6 - Dividend Option</v>
          </cell>
          <cell r="E16636">
            <v>10.765000000000001</v>
          </cell>
        </row>
        <row r="16637">
          <cell r="B16637" t="str">
            <v>INF204K01T81</v>
          </cell>
          <cell r="C16637" t="str">
            <v>-</v>
          </cell>
          <cell r="D16637" t="str">
            <v>Reliance Yearly Interval Fund - Series 6 - Growth Option</v>
          </cell>
          <cell r="E16637">
            <v>13.837999999999999</v>
          </cell>
        </row>
        <row r="16638">
          <cell r="B16638" t="str">
            <v>INF204K01U88</v>
          </cell>
          <cell r="C16638" t="str">
            <v>INF204K01U96</v>
          </cell>
          <cell r="D16638" t="str">
            <v>Reliance Yearly Interval Fund - Series 7 - Direct Plan - Dividend Option</v>
          </cell>
          <cell r="E16638">
            <v>10.000400000000001</v>
          </cell>
        </row>
        <row r="16639">
          <cell r="B16639" t="str">
            <v>INF204K01U70</v>
          </cell>
          <cell r="C16639" t="str">
            <v>-</v>
          </cell>
          <cell r="D16639" t="str">
            <v>Reliance Yearly Interval Fund - Series 7 - Direct Plan - Growth Option</v>
          </cell>
          <cell r="E16639">
            <v>13.9099</v>
          </cell>
        </row>
        <row r="16640">
          <cell r="B16640" t="str">
            <v>INF204K01U54</v>
          </cell>
          <cell r="C16640" t="str">
            <v>INF204K01U62</v>
          </cell>
          <cell r="D16640" t="str">
            <v>Reliance Yearly Interval Fund - Series 7- Dividend Option</v>
          </cell>
          <cell r="E16640">
            <v>10.000400000000001</v>
          </cell>
        </row>
        <row r="16641">
          <cell r="B16641" t="str">
            <v>INF204K01U47</v>
          </cell>
          <cell r="C16641" t="str">
            <v>-</v>
          </cell>
          <cell r="D16641" t="str">
            <v>Reliance Yearly Interval Fund - Series 7- Growth Option</v>
          </cell>
          <cell r="E16641">
            <v>13.858000000000001</v>
          </cell>
        </row>
        <row r="16642">
          <cell r="B16642" t="str">
            <v>INF204K01T08</v>
          </cell>
          <cell r="C16642" t="str">
            <v>INF204K01T16</v>
          </cell>
          <cell r="D16642" t="str">
            <v>Reliance Yearly Interval Fund - Series 4 - Direct Plan - Dividend Plan - Dividend Option</v>
          </cell>
          <cell r="E16642">
            <v>10</v>
          </cell>
        </row>
        <row r="16643">
          <cell r="B16643" t="str">
            <v>INF204K01S90</v>
          </cell>
          <cell r="C16643" t="str">
            <v>-</v>
          </cell>
          <cell r="D16643" t="str">
            <v>Reliance Yearly Interval Fund - Series 4 - Direct Plan - Growth Plan - Growth Option</v>
          </cell>
          <cell r="E16643">
            <v>14.0084</v>
          </cell>
        </row>
        <row r="16644">
          <cell r="B16644" t="str">
            <v>INF204K01S74</v>
          </cell>
          <cell r="C16644" t="str">
            <v>INF204K01S82</v>
          </cell>
          <cell r="D16644" t="str">
            <v>Reliance Yearly Interval Fund - Series 4 - Dividend Plan - Dividend Option</v>
          </cell>
          <cell r="E16644">
            <v>10</v>
          </cell>
        </row>
        <row r="16645">
          <cell r="B16645" t="str">
            <v>INF204K01S66</v>
          </cell>
          <cell r="C16645" t="str">
            <v>-</v>
          </cell>
          <cell r="D16645" t="str">
            <v>Reliance Yearly Interval Fund - Series 4- Growth Plan - Growth Option</v>
          </cell>
          <cell r="E16645">
            <v>13.9529</v>
          </cell>
        </row>
        <row r="16646">
          <cell r="B16646" t="str">
            <v/>
          </cell>
          <cell r="C16646" t="str">
            <v/>
          </cell>
          <cell r="D16646" t="str">
            <v/>
          </cell>
        </row>
        <row r="16647">
          <cell r="B16647" t="str">
            <v/>
          </cell>
          <cell r="C16647" t="str">
            <v/>
          </cell>
          <cell r="D16647" t="str">
            <v/>
          </cell>
        </row>
        <row r="16648">
          <cell r="B16648" t="str">
            <v/>
          </cell>
          <cell r="C16648" t="str">
            <v/>
          </cell>
          <cell r="D16648" t="str">
            <v/>
          </cell>
        </row>
        <row r="16649">
          <cell r="B16649" t="str">
            <v>INF200KA1D03</v>
          </cell>
          <cell r="C16649" t="str">
            <v>-</v>
          </cell>
          <cell r="D16649" t="str">
            <v>SBI Fixed Maturity Plan (FMP) - Series 1 (3668 Days) - Direct Plan - Growth</v>
          </cell>
          <cell r="E16649">
            <v>17.702400000000001</v>
          </cell>
        </row>
        <row r="16650">
          <cell r="B16650" t="str">
            <v>INF200KA1D11</v>
          </cell>
          <cell r="C16650" t="str">
            <v>-</v>
          </cell>
          <cell r="D16650" t="str">
            <v>SBI Fixed Maturity Plan (FMP) - Series 1 (3668 Days) - Direct Plan - Income Distribution cum Capital Withdrawal Option (IDCW)</v>
          </cell>
          <cell r="E16650">
            <v>17.720300000000002</v>
          </cell>
        </row>
        <row r="16651">
          <cell r="B16651" t="str">
            <v>INF200KA1C87</v>
          </cell>
          <cell r="C16651" t="str">
            <v>-</v>
          </cell>
          <cell r="D16651" t="str">
            <v>SBI Fixed Maturity Plan (FMP) - Series 1 (3668 Days) - Regular Plan - Growth</v>
          </cell>
          <cell r="E16651">
            <v>17.4773</v>
          </cell>
        </row>
        <row r="16652">
          <cell r="B16652" t="str">
            <v>INF200KA1C95</v>
          </cell>
          <cell r="C16652" t="str">
            <v>-</v>
          </cell>
          <cell r="D16652" t="str">
            <v>SBI Fixed Maturity Plan (FMP) - Series 1 (3668 Days) - Regular Plan - Income Distribution cum Capital Withdrawal Option (IDCW)</v>
          </cell>
          <cell r="E16652">
            <v>17.477399999999999</v>
          </cell>
        </row>
        <row r="16653">
          <cell r="B16653" t="str">
            <v>INF200KA1Q73</v>
          </cell>
          <cell r="C16653" t="str">
            <v>-</v>
          </cell>
          <cell r="D16653" t="str">
            <v>SBI Fixed Maturity Plan (FMP) - Series 34 (3682 Days) - Direct Plan - Growth</v>
          </cell>
          <cell r="E16653">
            <v>14.861599999999999</v>
          </cell>
        </row>
        <row r="16654">
          <cell r="B16654" t="str">
            <v>INF200KA1Q81</v>
          </cell>
          <cell r="C16654" t="str">
            <v>-</v>
          </cell>
          <cell r="D16654" t="str">
            <v>SBI Fixed Maturity Plan (FMP) - Series 34 (3682 Days) - Direct Plan - Income Distribution cum Capital Withdrawal Option (IDCW)</v>
          </cell>
          <cell r="E16654">
            <v>14.861599999999999</v>
          </cell>
        </row>
        <row r="16655">
          <cell r="B16655" t="str">
            <v>INF200KA1Q57</v>
          </cell>
          <cell r="C16655" t="str">
            <v>-</v>
          </cell>
          <cell r="D16655" t="str">
            <v>SBI Fixed Maturity Plan (FMP) - Series 34 (3682 Days) - Regular Plan - Growth</v>
          </cell>
          <cell r="E16655">
            <v>14.6556</v>
          </cell>
        </row>
        <row r="16656">
          <cell r="B16656" t="str">
            <v>INF200KA1Q65</v>
          </cell>
          <cell r="C16656" t="str">
            <v>-</v>
          </cell>
          <cell r="D16656" t="str">
            <v>SBI Fixed Maturity Plan (FMP) - Series 34 (3682 Days) - Regular Plan - Income Distribution cum Capital Withdrawal Option (IDCW)</v>
          </cell>
          <cell r="E16656">
            <v>14.6557</v>
          </cell>
        </row>
        <row r="16657">
          <cell r="B16657" t="str">
            <v>INF200KA1X41</v>
          </cell>
          <cell r="C16657" t="str">
            <v>-</v>
          </cell>
          <cell r="D16657" t="str">
            <v>SBI Fixed Maturity Plan (FMP) - Series 46 (1850 Days) - Direct Plan - Growth</v>
          </cell>
          <cell r="E16657">
            <v>13.5611</v>
          </cell>
        </row>
        <row r="16658">
          <cell r="B16658" t="str">
            <v>INF200KA1X58</v>
          </cell>
          <cell r="C16658" t="str">
            <v>-</v>
          </cell>
          <cell r="D16658" t="str">
            <v>SBI Fixed Maturity Plan (FMP) - Series 46 (1850 Days) - Direct Plan - Income Distribution cum Capital Withdrawal Option (IDCW)</v>
          </cell>
          <cell r="E16658">
            <v>13.5611</v>
          </cell>
        </row>
        <row r="16659">
          <cell r="B16659" t="str">
            <v>INF200KA1X25</v>
          </cell>
          <cell r="C16659" t="str">
            <v>-</v>
          </cell>
          <cell r="D16659" t="str">
            <v>SBI Fixed Maturity Plan (FMP) - Series 46 (1850 Days) - Regular Plan - Growth</v>
          </cell>
          <cell r="E16659">
            <v>13.465999999999999</v>
          </cell>
        </row>
        <row r="16660">
          <cell r="B16660" t="str">
            <v>INF200KA1X33</v>
          </cell>
          <cell r="C16660" t="str">
            <v>-</v>
          </cell>
          <cell r="D16660" t="str">
            <v>SBI Fixed Maturity Plan (FMP) - Series 46 (1850 Days) - Regular Plan - Income Distribution cum Capital Withdrawal Option (IDCW)</v>
          </cell>
          <cell r="E16660">
            <v>13.465999999999999</v>
          </cell>
        </row>
        <row r="16661">
          <cell r="B16661" t="str">
            <v>INF200KA1Z23</v>
          </cell>
          <cell r="C16661" t="str">
            <v>-</v>
          </cell>
          <cell r="D16661" t="str">
            <v>SBI Fixed Maturity Plan (FMP) - Series 49 (1823 Days) - Direct Plan - Growth</v>
          </cell>
          <cell r="E16661">
            <v>13.452199999999999</v>
          </cell>
        </row>
        <row r="16662">
          <cell r="B16662" t="str">
            <v>INF200KA1Z31</v>
          </cell>
          <cell r="C16662" t="str">
            <v>-</v>
          </cell>
          <cell r="D16662" t="str">
            <v>SBI Fixed Maturity Plan (FMP) - Series 49 (1823 Days) - Direct Plan - Income Distribution cum Capital Withdrawal Option (IDCW)</v>
          </cell>
          <cell r="E16662">
            <v>13.452199999999999</v>
          </cell>
        </row>
        <row r="16663">
          <cell r="B16663" t="str">
            <v>INF200KA1Z07</v>
          </cell>
          <cell r="C16663" t="str">
            <v>-</v>
          </cell>
          <cell r="D16663" t="str">
            <v>SBI Fixed Maturity Plan (FMP) - Series 49 (1823 Days) - Regular Plan - Growth</v>
          </cell>
          <cell r="E16663">
            <v>13.3635</v>
          </cell>
        </row>
        <row r="16664">
          <cell r="B16664" t="str">
            <v>INF200KA1Z15</v>
          </cell>
          <cell r="C16664" t="str">
            <v>-</v>
          </cell>
          <cell r="D16664" t="str">
            <v>SBI Fixed Maturity Plan (FMP) - Series 49 (1823 Days) - Regular Plan - Income Distribution cum Capital Withdrawal Option (IDCW)</v>
          </cell>
          <cell r="E16664">
            <v>13.3635</v>
          </cell>
        </row>
        <row r="16665">
          <cell r="B16665" t="str">
            <v>INF200KA1Z64</v>
          </cell>
          <cell r="C16665" t="str">
            <v>-</v>
          </cell>
          <cell r="D16665" t="str">
            <v>SBI Fixed Maturity Plan (FMP) - Series 50 (1843 Days) - Direct Plan - Growth</v>
          </cell>
          <cell r="E16665">
            <v>13.3218</v>
          </cell>
        </row>
        <row r="16666">
          <cell r="B16666" t="str">
            <v>INF200KA1Z72</v>
          </cell>
          <cell r="C16666" t="str">
            <v>-</v>
          </cell>
          <cell r="D16666" t="str">
            <v>SBI Fixed Maturity Plan (FMP) - Series 50 (1843 Days) - Direct Plan - Income Distribution Capital Withdrawal Option (IDCW)</v>
          </cell>
          <cell r="E16666">
            <v>13.321899999999999</v>
          </cell>
        </row>
        <row r="16667">
          <cell r="B16667" t="str">
            <v>INF200KA1Z49</v>
          </cell>
          <cell r="C16667" t="str">
            <v>-</v>
          </cell>
          <cell r="D16667" t="str">
            <v>SBI Fixed Maturity Plan (FMP) - Series 50 (1843 Days) - Regular Plan - Growth</v>
          </cell>
          <cell r="E16667">
            <v>13.2166</v>
          </cell>
        </row>
        <row r="16668">
          <cell r="B16668" t="str">
            <v>INF200KA1Z56</v>
          </cell>
          <cell r="C16668" t="str">
            <v>-</v>
          </cell>
          <cell r="D16668" t="str">
            <v>SBI Fixed Maturity Plan (FMP) - Series 50 (1843 Days) - Regular Plan -Income Distribution Capital Withdrawal Option (IDCW)</v>
          </cell>
          <cell r="E16668">
            <v>13.2166</v>
          </cell>
        </row>
        <row r="16669">
          <cell r="B16669" t="str">
            <v>INF200KA10A7</v>
          </cell>
          <cell r="C16669" t="str">
            <v>-</v>
          </cell>
          <cell r="D16669" t="str">
            <v>SBI Fixed Maturity Plan (FMP) - Series 51 (1846 Days) - Direct Plan - Growth</v>
          </cell>
          <cell r="E16669">
            <v>13.3118</v>
          </cell>
        </row>
        <row r="16670">
          <cell r="B16670" t="str">
            <v>INF200KA11A5</v>
          </cell>
          <cell r="C16670" t="str">
            <v>-</v>
          </cell>
          <cell r="D16670" t="str">
            <v>SBI Fixed Maturity Plan (FMP) - Series 51 (1846 Days) - Direct Plan - Income Distribution Capital Withdrawal Option (IDCW)</v>
          </cell>
          <cell r="E16670">
            <v>13.312200000000001</v>
          </cell>
        </row>
        <row r="16671">
          <cell r="B16671" t="str">
            <v>INF200KA1Z80</v>
          </cell>
          <cell r="C16671" t="str">
            <v>-</v>
          </cell>
          <cell r="D16671" t="str">
            <v>SBI Fixed Maturity Plan (FMP) - Series 51 (1846 Days) - Regular Plan - Growth</v>
          </cell>
          <cell r="E16671">
            <v>13.2263</v>
          </cell>
        </row>
        <row r="16672">
          <cell r="B16672" t="str">
            <v>INF200KA1Z98</v>
          </cell>
          <cell r="C16672" t="str">
            <v>-</v>
          </cell>
          <cell r="D16672" t="str">
            <v>SBI Fixed Maturity Plan (FMP) - Series 51 (1846 Days) - Regular Plan - Income Distribution Capital Withdrawal Option (IDCW)</v>
          </cell>
          <cell r="E16672">
            <v>13.2264</v>
          </cell>
        </row>
        <row r="16673">
          <cell r="B16673" t="str">
            <v>INF200KA14A9</v>
          </cell>
          <cell r="C16673" t="str">
            <v>-</v>
          </cell>
          <cell r="D16673" t="str">
            <v>SBI Fixed Maturity Plan (FMP) - Series 52 (1848 Days) - Direct Plan - Growth</v>
          </cell>
          <cell r="E16673">
            <v>13.290900000000001</v>
          </cell>
        </row>
        <row r="16674">
          <cell r="B16674" t="str">
            <v>INF200KA15A6</v>
          </cell>
          <cell r="C16674" t="str">
            <v>-</v>
          </cell>
          <cell r="D16674" t="str">
            <v>SBI Fixed Maturity Plan (FMP) - Series 52 (1848 Days) - Direct Plan - Income Distribution Cum Withdrawal (IDCW)</v>
          </cell>
          <cell r="E16674">
            <v>13.290900000000001</v>
          </cell>
        </row>
        <row r="16675">
          <cell r="B16675" t="str">
            <v>INF200KA12A3</v>
          </cell>
          <cell r="C16675" t="str">
            <v>-</v>
          </cell>
          <cell r="D16675" t="str">
            <v>SBI Fixed Maturity Plan (FMP) - Series 52 (1848 Days) - Regular Plan - Growth</v>
          </cell>
          <cell r="E16675">
            <v>13.208399999999999</v>
          </cell>
        </row>
        <row r="16676">
          <cell r="B16676" t="str">
            <v>INF200KA13A1</v>
          </cell>
          <cell r="C16676" t="str">
            <v>-</v>
          </cell>
          <cell r="D16676" t="str">
            <v>SBI Fixed Maturity Plan (FMP) - Series 52 (1848 Days) - Regular Plan - Income Distribution Cum Withdrawal (IDCW)</v>
          </cell>
          <cell r="E16676">
            <v>13.208399999999999</v>
          </cell>
        </row>
        <row r="16677">
          <cell r="B16677" t="str">
            <v>INF200KA18A0</v>
          </cell>
          <cell r="C16677" t="str">
            <v>-</v>
          </cell>
          <cell r="D16677" t="str">
            <v>SBI Fixed Maturity Plan (FMP) - Series 53 (1839 Days) - Direct Plan - Growth</v>
          </cell>
          <cell r="E16677">
            <v>13.3103</v>
          </cell>
        </row>
        <row r="16678">
          <cell r="B16678" t="str">
            <v>INF200KA19A8</v>
          </cell>
          <cell r="C16678" t="str">
            <v>-</v>
          </cell>
          <cell r="D16678" t="str">
            <v>SBI Fixed Maturity Plan (FMP) - Series 53 (1839 Days) - Direct Plan - Income Distribution Cum Withdrawal Option (IDCW)</v>
          </cell>
          <cell r="E16678">
            <v>13.3103</v>
          </cell>
        </row>
        <row r="16679">
          <cell r="B16679" t="str">
            <v>INF200KA16A4</v>
          </cell>
          <cell r="C16679" t="str">
            <v>-</v>
          </cell>
          <cell r="D16679" t="str">
            <v>SBI Fixed Maturity Plan (FMP) - Series 53 (1839 Days) - Regular Plan - Growth</v>
          </cell>
          <cell r="E16679">
            <v>13.2402</v>
          </cell>
        </row>
        <row r="16680">
          <cell r="B16680" t="str">
            <v>INF200KA17A2</v>
          </cell>
          <cell r="C16680" t="str">
            <v>-</v>
          </cell>
          <cell r="D16680" t="str">
            <v>SBI Fixed Maturity Plan (FMP) - Series 53 (1839 Days) - Regular Plan - Income  Distribution Cum Withdrawal Option (IDCW)</v>
          </cell>
          <cell r="E16680">
            <v>13.2402</v>
          </cell>
        </row>
        <row r="16681">
          <cell r="B16681" t="str">
            <v>INF200KA12B1</v>
          </cell>
          <cell r="C16681" t="str">
            <v>-</v>
          </cell>
          <cell r="D16681" t="str">
            <v>SBI Fixed Maturity Plan (FMP) - Series 54 (1842 Days) - Direct Plan - Growth</v>
          </cell>
          <cell r="E16681">
            <v>13.2912</v>
          </cell>
        </row>
        <row r="16682">
          <cell r="B16682" t="str">
            <v>INF200KA13B9</v>
          </cell>
          <cell r="C16682" t="str">
            <v>-</v>
          </cell>
          <cell r="D16682" t="str">
            <v>SBI Fixed Maturity Plan (FMP) - Series 54 (1842 Days) - Direct Plan - Income Distribution Cum Withdrawal Option (IDCW)</v>
          </cell>
          <cell r="E16682">
            <v>13.2918</v>
          </cell>
        </row>
        <row r="16683">
          <cell r="B16683" t="str">
            <v>INF200KA10B5</v>
          </cell>
          <cell r="C16683" t="str">
            <v>-</v>
          </cell>
          <cell r="D16683" t="str">
            <v>SBI Fixed Maturity Plan (FMP) - Series 54 (1842 Days) - Regular Plan - Growth</v>
          </cell>
          <cell r="E16683">
            <v>13.2171</v>
          </cell>
        </row>
        <row r="16684">
          <cell r="B16684" t="str">
            <v>INF200KA11B3</v>
          </cell>
          <cell r="C16684" t="str">
            <v>-</v>
          </cell>
          <cell r="D16684" t="str">
            <v>SBI Fixed Maturity Plan (FMP) - Series 54 (1842 Days) - Regular Plan - Income Distribution Cum Capital Withdrawal Option (IDCW)</v>
          </cell>
          <cell r="E16684">
            <v>13.2171</v>
          </cell>
        </row>
        <row r="16685">
          <cell r="B16685" t="str">
            <v>INF200KA16B2</v>
          </cell>
          <cell r="C16685" t="str">
            <v>-</v>
          </cell>
          <cell r="D16685" t="str">
            <v>SBI Fixed Maturity Plan (FMP) - Series 55 (1849 Days) - Direct Plan - Growth</v>
          </cell>
          <cell r="E16685">
            <v>13.261100000000001</v>
          </cell>
        </row>
        <row r="16686">
          <cell r="B16686" t="str">
            <v>INF200KA17B0</v>
          </cell>
          <cell r="C16686" t="str">
            <v>-</v>
          </cell>
          <cell r="D16686" t="str">
            <v>SBI Fixed Maturity Plan (FMP) - Series 55 (1849 Days) - Direct Plan - Income Distribution cum Capital Withdrawal Option (IDCW)</v>
          </cell>
          <cell r="E16686">
            <v>13.261100000000001</v>
          </cell>
        </row>
        <row r="16687">
          <cell r="B16687" t="str">
            <v>INF200KA14B7</v>
          </cell>
          <cell r="C16687" t="str">
            <v>-</v>
          </cell>
          <cell r="D16687" t="str">
            <v>SBI Fixed Maturity Plan (FMP) - Series 55 (1849 Days) - Regular Plan - Growth</v>
          </cell>
          <cell r="E16687">
            <v>13.1884</v>
          </cell>
        </row>
        <row r="16688">
          <cell r="B16688" t="str">
            <v>INF200KA15B4</v>
          </cell>
          <cell r="C16688" t="str">
            <v>-</v>
          </cell>
          <cell r="D16688" t="str">
            <v>SBI Fixed Maturity Plan (FMP) - Series 55 (1849 Days) - Regular Plan - Income Distribution Cum Capital Withdrawal Option (IDCW)</v>
          </cell>
          <cell r="E16688">
            <v>13.1883</v>
          </cell>
        </row>
        <row r="16689">
          <cell r="B16689" t="str">
            <v>INF200KA14C5</v>
          </cell>
          <cell r="C16689" t="str">
            <v>-</v>
          </cell>
          <cell r="D16689" t="str">
            <v>SBI Fixed Maturity Plan (FMP) - Series 57 (1835 Days) - Direct Plan - Growth</v>
          </cell>
          <cell r="E16689">
            <v>13.1759</v>
          </cell>
        </row>
        <row r="16690">
          <cell r="B16690" t="str">
            <v>INF200KA15C2</v>
          </cell>
          <cell r="C16690" t="str">
            <v>-</v>
          </cell>
          <cell r="D16690" t="str">
            <v>SBI Fixed Maturity Plan (FMP) - Series 57 (1835 Days) - Direct Plan - Income Distribution cum Capital Withdrawal Option (IDCW)</v>
          </cell>
          <cell r="E16690">
            <v>13.1762</v>
          </cell>
        </row>
        <row r="16691">
          <cell r="B16691" t="str">
            <v>INF200KA12C9</v>
          </cell>
          <cell r="C16691" t="str">
            <v>-</v>
          </cell>
          <cell r="D16691" t="str">
            <v>SBI Fixed Maturity Plan (FMP) - Series 57 (1835 Days) - Regular Plan - Growth</v>
          </cell>
          <cell r="E16691">
            <v>13.104900000000001</v>
          </cell>
        </row>
        <row r="16692">
          <cell r="B16692" t="str">
            <v>INF200KA13C7</v>
          </cell>
          <cell r="C16692" t="str">
            <v>-</v>
          </cell>
          <cell r="D16692" t="str">
            <v>SBI Fixed Maturity Plan (FMP) - Series 57 (1835 Days) - Regular Plan - Income Distribution cum Capital Withdrawal Option (IDCW)</v>
          </cell>
          <cell r="E16692">
            <v>13.1053</v>
          </cell>
        </row>
        <row r="16693">
          <cell r="B16693" t="str">
            <v>INF200KA18C6</v>
          </cell>
          <cell r="C16693" t="str">
            <v>-</v>
          </cell>
          <cell r="D16693" t="str">
            <v>SBI Fixed Maturity Plan (FMP) - Series 58 (1842 Days) - Direct Plan - Growth</v>
          </cell>
          <cell r="E16693">
            <v>13.2904</v>
          </cell>
        </row>
        <row r="16694">
          <cell r="B16694" t="str">
            <v>INF200KA19C4</v>
          </cell>
          <cell r="C16694" t="str">
            <v>-</v>
          </cell>
          <cell r="D16694" t="str">
            <v>SBI Fixed Maturity Plan (FMP) - Series 58 (1842 Days) - Direct Plan - Income Distribution cum Capital withdrawal option (IDCW)</v>
          </cell>
          <cell r="E16694">
            <v>13.290699999999999</v>
          </cell>
        </row>
        <row r="16695">
          <cell r="B16695" t="str">
            <v>INF200KA16C0</v>
          </cell>
          <cell r="C16695" t="str">
            <v>-</v>
          </cell>
          <cell r="D16695" t="str">
            <v>SBI Fixed Maturity Plan (FMP) - Series 58 (1842 Days) - Regular Plan - Growth</v>
          </cell>
          <cell r="E16695">
            <v>13.220700000000001</v>
          </cell>
        </row>
        <row r="16696">
          <cell r="B16696" t="str">
            <v>INF200KA17C8</v>
          </cell>
          <cell r="C16696" t="str">
            <v>-</v>
          </cell>
          <cell r="D16696" t="str">
            <v>SBI Fixed Maturity Plan (FMP) - Series 58 (1842 Days) - Regular Plan - Income Distribution cum Capital withdrawal option (IDCW)</v>
          </cell>
          <cell r="E16696">
            <v>13.220700000000001</v>
          </cell>
        </row>
        <row r="16697">
          <cell r="B16697" t="str">
            <v>INF200KA19D2</v>
          </cell>
          <cell r="C16697" t="str">
            <v>-</v>
          </cell>
          <cell r="D16697" t="str">
            <v>SBI Fixed Maturity Plan (FMP) - Series 59 (1618 Days) - Direct Plan - Growth</v>
          </cell>
          <cell r="E16697">
            <v>13.015700000000001</v>
          </cell>
        </row>
        <row r="16698">
          <cell r="B16698" t="str">
            <v>INF200KA10E9</v>
          </cell>
          <cell r="C16698" t="str">
            <v>-</v>
          </cell>
          <cell r="D16698" t="str">
            <v>SBI Fixed Maturity Plan (FMP) - Series 59 (1618 Days) - Direct Plan - Income Distribution cum Capital Withdrawal Option (IDCW)</v>
          </cell>
          <cell r="E16698">
            <v>13.0153</v>
          </cell>
        </row>
        <row r="16699">
          <cell r="B16699" t="str">
            <v>INF200KA17D6</v>
          </cell>
          <cell r="C16699" t="str">
            <v>-</v>
          </cell>
          <cell r="D16699" t="str">
            <v>SBI Fixed Maturity Plan (FMP) - Series 59 (1618 Days) - Regular Plan - Growth</v>
          </cell>
          <cell r="E16699">
            <v>12.951000000000001</v>
          </cell>
        </row>
        <row r="16700">
          <cell r="B16700" t="str">
            <v>INF200KA18D4</v>
          </cell>
          <cell r="C16700" t="str">
            <v>-</v>
          </cell>
          <cell r="D16700" t="str">
            <v>SBI Fixed Maturity Plan (FMP) - Series 59 (1618 Days) - Regular Plan - Income Distribution cum Capital Withdrawal Option (IDCW)</v>
          </cell>
          <cell r="E16700">
            <v>12.9511</v>
          </cell>
        </row>
        <row r="16701">
          <cell r="B16701" t="str">
            <v>INF200KA1F27</v>
          </cell>
          <cell r="C16701" t="str">
            <v>-</v>
          </cell>
          <cell r="D16701" t="str">
            <v>SBI Fixed Maturity Plan (FMP) - Series 6 (3668 Days) - Direct Plan - Growth</v>
          </cell>
          <cell r="E16701">
            <v>17.215299999999999</v>
          </cell>
        </row>
        <row r="16702">
          <cell r="B16702" t="str">
            <v>INF200KA1F35</v>
          </cell>
          <cell r="C16702" t="str">
            <v>-</v>
          </cell>
          <cell r="D16702" t="str">
            <v>SBI Fixed Maturity Plan (FMP) - Series 6 (3668 Days) - Direct Plan - Income Distribution cum Capital Withdrawal Option (IDCW)</v>
          </cell>
          <cell r="E16702">
            <v>17.215699999999998</v>
          </cell>
        </row>
        <row r="16703">
          <cell r="B16703" t="str">
            <v>INF200KA1F01</v>
          </cell>
          <cell r="C16703" t="str">
            <v>-</v>
          </cell>
          <cell r="D16703" t="str">
            <v>SBI Fixed Maturity Plan (FMP) - Series 6 (3668 Days) - Regular Plan - Growth</v>
          </cell>
          <cell r="E16703">
            <v>16.922999999999998</v>
          </cell>
        </row>
        <row r="16704">
          <cell r="B16704" t="str">
            <v>INF200KA1F19</v>
          </cell>
          <cell r="C16704" t="str">
            <v>-</v>
          </cell>
          <cell r="D16704" t="str">
            <v>SBI Fixed Maturity Plan (FMP) - Series 6 (3668 Days) - Regular Plan - Income Distribution cum Capital Withdrawal Option (IDCW)</v>
          </cell>
          <cell r="E16704">
            <v>16.9253</v>
          </cell>
        </row>
        <row r="16705">
          <cell r="B16705" t="str">
            <v>INF200KA13E3</v>
          </cell>
          <cell r="C16705" t="str">
            <v>-</v>
          </cell>
          <cell r="D16705" t="str">
            <v>SBI Fixed Maturity Plan (FMP) - Series 60 (1878 Days) - Direct Plan - Growth</v>
          </cell>
          <cell r="E16705">
            <v>13.2105</v>
          </cell>
        </row>
        <row r="16706">
          <cell r="B16706" t="str">
            <v>INF200KA14E1</v>
          </cell>
          <cell r="C16706" t="str">
            <v>-</v>
          </cell>
          <cell r="D16706" t="str">
            <v>SBI Fixed Maturity Plan (FMP) - Series 60 (1878 Days) - Direct Plan - Income Distribution cum Capital Withdrwal Option (IDCW)</v>
          </cell>
          <cell r="E16706">
            <v>13.210900000000001</v>
          </cell>
        </row>
        <row r="16707">
          <cell r="B16707" t="str">
            <v>INF200KA11E7</v>
          </cell>
          <cell r="C16707" t="str">
            <v>-</v>
          </cell>
          <cell r="D16707" t="str">
            <v>SBI Fixed Maturity Plan (FMP) - Series 60 (1878 Days) - Regular Plan - Growth</v>
          </cell>
          <cell r="E16707">
            <v>13.1419</v>
          </cell>
        </row>
        <row r="16708">
          <cell r="B16708" t="str">
            <v>INF200KA12E5</v>
          </cell>
          <cell r="C16708" t="str">
            <v>-</v>
          </cell>
          <cell r="D16708" t="str">
            <v>SBI Fixed Maturity Plan (FMP) - Series 60 (1878 Days) - Regular Plan - Income Distribution cum Capital Withdrawal Option (IDCW)</v>
          </cell>
          <cell r="E16708">
            <v>13.141999999999999</v>
          </cell>
        </row>
        <row r="16709">
          <cell r="B16709" t="str">
            <v>INF200KA13F0</v>
          </cell>
          <cell r="C16709" t="str">
            <v>-</v>
          </cell>
          <cell r="D16709" t="str">
            <v>SBI Fixed Maturity Plan (FMP)- Series 61 (1927 Days)- Direct Plan- Growth option</v>
          </cell>
          <cell r="E16709">
            <v>13.253</v>
          </cell>
        </row>
        <row r="16710">
          <cell r="B16710" t="str">
            <v>INF200KA14F8</v>
          </cell>
          <cell r="C16710" t="str">
            <v>-</v>
          </cell>
          <cell r="D16710" t="str">
            <v>SBI Fixed Maturity Plan (FMP)- Series 61 (1927 Days)- Direct Plan- Income Distribution Cum Capital withdrawal option</v>
          </cell>
          <cell r="E16710">
            <v>13.2532</v>
          </cell>
        </row>
        <row r="16711">
          <cell r="B16711" t="str">
            <v>INF200KA11F4</v>
          </cell>
          <cell r="C16711" t="str">
            <v>-</v>
          </cell>
          <cell r="D16711" t="str">
            <v>SBI Fixed Maturity Plan (FMP)- Series 61 (1927 Days)- Regular Plan- Growth option</v>
          </cell>
          <cell r="E16711">
            <v>13.186199999999999</v>
          </cell>
        </row>
        <row r="16712">
          <cell r="B16712" t="str">
            <v>INF200KA12F2</v>
          </cell>
          <cell r="C16712" t="str">
            <v>-</v>
          </cell>
          <cell r="D16712" t="str">
            <v>SBI Fixed Maturity Plan (FMP)- Series 61 (1927 Days)- Regular Plan- Income Distribution Cum Capital withdrawal option</v>
          </cell>
          <cell r="E16712">
            <v>13.1861</v>
          </cell>
        </row>
        <row r="16713">
          <cell r="B16713" t="str">
            <v>INF200KA15M1</v>
          </cell>
          <cell r="C16713" t="str">
            <v>-</v>
          </cell>
          <cell r="D16713" t="str">
            <v>SBI Fixed Maturity Plan (FMP) - Series 67 (1467 Days) - Direct Plan - Growth</v>
          </cell>
          <cell r="E16713">
            <v>13.1334</v>
          </cell>
        </row>
        <row r="16714">
          <cell r="B16714" t="str">
            <v>INF200KA16M9</v>
          </cell>
          <cell r="C16714" t="str">
            <v>-</v>
          </cell>
          <cell r="D16714" t="str">
            <v>SBI Fixed Maturity Plan (FMP) - Series 67 (1467 Days) - Direct Plan - IDCW Payout</v>
          </cell>
          <cell r="E16714">
            <v>13.1334</v>
          </cell>
        </row>
        <row r="16715">
          <cell r="B16715" t="str">
            <v>INF200KA13M6</v>
          </cell>
          <cell r="C16715" t="str">
            <v>-</v>
          </cell>
          <cell r="D16715" t="str">
            <v>SBI Fixed Maturity Plan (FMP) - Series 67 (1467 Days) - Regular Plan - Growth</v>
          </cell>
          <cell r="E16715">
            <v>13.076000000000001</v>
          </cell>
        </row>
        <row r="16716">
          <cell r="B16716" t="str">
            <v>INF200KA14M4</v>
          </cell>
          <cell r="C16716" t="str">
            <v>-</v>
          </cell>
          <cell r="D16716" t="str">
            <v>SBI Fixed Maturity Plan (FMP) - Series 67 (1467 Days) - Regular Plan - IDCW Payout</v>
          </cell>
          <cell r="E16716">
            <v>13.076499999999999</v>
          </cell>
        </row>
        <row r="16717">
          <cell r="B16717" t="str">
            <v/>
          </cell>
          <cell r="C16717" t="str">
            <v/>
          </cell>
          <cell r="D16717" t="str">
            <v/>
          </cell>
        </row>
        <row r="16718">
          <cell r="B16718" t="str">
            <v/>
          </cell>
          <cell r="C16718" t="str">
            <v/>
          </cell>
          <cell r="D16718" t="str">
            <v/>
          </cell>
        </row>
        <row r="16719">
          <cell r="B16719" t="str">
            <v/>
          </cell>
          <cell r="C16719" t="str">
            <v/>
          </cell>
          <cell r="D16719" t="str">
            <v/>
          </cell>
        </row>
        <row r="16720">
          <cell r="B16720" t="str">
            <v>INF277KA1AC4</v>
          </cell>
          <cell r="C16720" t="str">
            <v>-</v>
          </cell>
          <cell r="D16720" t="str">
            <v>Tata Fixed Maturity Plan Series 61 Scheme A (91 days) - Direct Plan Growth Option</v>
          </cell>
          <cell r="E16720">
            <v>10.191800000000001</v>
          </cell>
        </row>
        <row r="16721">
          <cell r="B16721" t="str">
            <v>INF277KA1AE0</v>
          </cell>
          <cell r="C16721" t="str">
            <v>-</v>
          </cell>
          <cell r="D16721" t="str">
            <v>Tata Fixed Maturity Plan Series 61 Scheme A (91 days) - Direct Plan IDCW Payout Option</v>
          </cell>
          <cell r="E16721">
            <v>10.191800000000001</v>
          </cell>
        </row>
        <row r="16722">
          <cell r="B16722" t="str">
            <v>-</v>
          </cell>
          <cell r="C16722" t="str">
            <v>INF277KA1AD2</v>
          </cell>
          <cell r="D16722" t="str">
            <v>Tata Fixed Maturity Plan Series 61 Scheme A (91 days) - Direct Plan IDCW Reinvestment Option</v>
          </cell>
          <cell r="E16722">
            <v>10.191800000000001</v>
          </cell>
        </row>
        <row r="16723">
          <cell r="B16723" t="str">
            <v>INF277KA1992</v>
          </cell>
          <cell r="C16723" t="str">
            <v>-</v>
          </cell>
          <cell r="D16723" t="str">
            <v>Tata Fixed Maturity Plan Series 61 Scheme A (91 days) - Regular Plan Growth Option</v>
          </cell>
          <cell r="E16723">
            <v>10.187200000000001</v>
          </cell>
        </row>
        <row r="16724">
          <cell r="B16724" t="str">
            <v>INF277KA1AB6</v>
          </cell>
          <cell r="C16724" t="str">
            <v>-</v>
          </cell>
          <cell r="D16724" t="str">
            <v>Tata Fixed Maturity Plan Series 61 Scheme A (91 days) - Regular Plan IDCW Payout Option</v>
          </cell>
          <cell r="E16724">
            <v>10.187200000000001</v>
          </cell>
        </row>
        <row r="16725">
          <cell r="B16725" t="str">
            <v>-</v>
          </cell>
          <cell r="C16725" t="str">
            <v>INF277KA1AA8</v>
          </cell>
          <cell r="D16725" t="str">
            <v>Tata Fixed Maturity Plan Series 61 Scheme A (91 days) - Regular Plan IDCW Reinvestment Option</v>
          </cell>
          <cell r="E16725">
            <v>10.187200000000001</v>
          </cell>
        </row>
        <row r="16726">
          <cell r="B16726" t="str">
            <v>INF277KA1DE4</v>
          </cell>
          <cell r="C16726" t="str">
            <v>-</v>
          </cell>
          <cell r="D16726" t="str">
            <v>Tata Fixed Maturity Plan Series 61 Scheme D Direct Plan Growth</v>
          </cell>
          <cell r="E16726">
            <v>10.1778</v>
          </cell>
        </row>
        <row r="16727">
          <cell r="B16727" t="str">
            <v>INF277KA1DF1</v>
          </cell>
          <cell r="C16727" t="str">
            <v>-</v>
          </cell>
          <cell r="D16727" t="str">
            <v>Tata Fixed Maturity Plan Series 61 Scheme D Direct Plan IDCW Payout</v>
          </cell>
          <cell r="E16727">
            <v>10.1778</v>
          </cell>
        </row>
        <row r="16728">
          <cell r="B16728" t="str">
            <v>INF277KA1DG9</v>
          </cell>
          <cell r="C16728" t="str">
            <v>-</v>
          </cell>
          <cell r="D16728" t="str">
            <v>Tata Fixed Maturity Plan Series 61 Scheme D Regular Plan Growth</v>
          </cell>
          <cell r="E16728">
            <v>10.1753</v>
          </cell>
        </row>
        <row r="16729">
          <cell r="B16729" t="str">
            <v>INF277KA1DD6</v>
          </cell>
          <cell r="C16729" t="str">
            <v>-</v>
          </cell>
          <cell r="D16729" t="str">
            <v>Tata Fixed Maturity Plan Series 61 Scheme D Regular Plan IDCW Payout</v>
          </cell>
          <cell r="E16729">
            <v>10.1753</v>
          </cell>
        </row>
        <row r="16730">
          <cell r="B16730" t="str">
            <v/>
          </cell>
          <cell r="C16730" t="str">
            <v/>
          </cell>
          <cell r="D16730" t="str">
            <v/>
          </cell>
        </row>
        <row r="16731">
          <cell r="B16731" t="str">
            <v/>
          </cell>
          <cell r="C16731" t="str">
            <v/>
          </cell>
          <cell r="D16731" t="str">
            <v/>
          </cell>
        </row>
        <row r="16732">
          <cell r="B16732" t="str">
            <v/>
          </cell>
          <cell r="C16732" t="str">
            <v/>
          </cell>
          <cell r="D16732" t="str">
            <v/>
          </cell>
        </row>
        <row r="16733">
          <cell r="B16733" t="str">
            <v>INF0GCD01651</v>
          </cell>
          <cell r="C16733" t="str">
            <v>-</v>
          </cell>
          <cell r="D16733" t="str">
            <v>TRUSTMF FIXED MATURITY PLAN -SERIES II (1196 DAYS)-DIRECT PLAN -GROWTH</v>
          </cell>
          <cell r="E16733">
            <v>1298.7029</v>
          </cell>
        </row>
        <row r="16734">
          <cell r="B16734" t="str">
            <v>INF0GCD01636</v>
          </cell>
          <cell r="C16734" t="str">
            <v>-</v>
          </cell>
          <cell r="D16734" t="str">
            <v>TRUSTMF FIXED MATURITY PLAN -SERIES II (1196 DAYS)-REGULAR PLAN -GROWTH</v>
          </cell>
          <cell r="E16734">
            <v>1294.2583999999999</v>
          </cell>
        </row>
        <row r="16735">
          <cell r="B16735" t="str">
            <v>INF0GCD01644</v>
          </cell>
          <cell r="C16735" t="str">
            <v>-</v>
          </cell>
          <cell r="D16735" t="str">
            <v>TRUSTMF FIXED MATURITY PLAN -SERIES II (1196 DAYS)-REGULAR PLAN -IDCW PAYOUT</v>
          </cell>
          <cell r="E16735">
            <v>1294.2581</v>
          </cell>
        </row>
        <row r="16736">
          <cell r="B16736" t="str">
            <v/>
          </cell>
          <cell r="C16736" t="str">
            <v/>
          </cell>
          <cell r="D16736" t="str">
            <v/>
          </cell>
        </row>
        <row r="16737">
          <cell r="B16737" t="str">
            <v/>
          </cell>
          <cell r="C16737" t="str">
            <v/>
          </cell>
          <cell r="D16737" t="str">
            <v/>
          </cell>
        </row>
        <row r="16738">
          <cell r="B16738" t="str">
            <v/>
          </cell>
          <cell r="C16738" t="str">
            <v/>
          </cell>
          <cell r="D16738" t="str">
            <v/>
          </cell>
        </row>
        <row r="16739">
          <cell r="B16739" t="str">
            <v>INF582M01IW0</v>
          </cell>
          <cell r="C16739" t="str">
            <v>-</v>
          </cell>
          <cell r="D16739" t="str">
            <v>Union Fixed Maturity Plan - Series 13 - Direct Plan - Growth Option</v>
          </cell>
          <cell r="E16739">
            <v>12.3133</v>
          </cell>
        </row>
        <row r="16740">
          <cell r="B16740" t="str">
            <v>INF582M01IY6</v>
          </cell>
          <cell r="C16740" t="str">
            <v>-</v>
          </cell>
          <cell r="D16740" t="str">
            <v>Union Fixed Maturity Plan - Series 13 - Regular Plan - Growth Option</v>
          </cell>
          <cell r="E16740">
            <v>12.201499999999999</v>
          </cell>
        </row>
        <row r="16741">
          <cell r="B16741" t="str">
            <v>INF582M01IZ3</v>
          </cell>
          <cell r="C16741" t="str">
            <v>-</v>
          </cell>
          <cell r="D16741" t="str">
            <v>Union Fixed Maturity Plan - Series 13 - Regular Plan - IDCW Payout Option</v>
          </cell>
          <cell r="E16741">
            <v>10</v>
          </cell>
        </row>
        <row r="16742">
          <cell r="B16742" t="str">
            <v/>
          </cell>
          <cell r="C16742" t="str">
            <v/>
          </cell>
          <cell r="D16742" t="str">
            <v/>
          </cell>
        </row>
        <row r="16743">
          <cell r="B16743" t="str">
            <v/>
          </cell>
          <cell r="C16743" t="str">
            <v/>
          </cell>
          <cell r="D16743" t="str">
            <v/>
          </cell>
        </row>
        <row r="16744">
          <cell r="B16744" t="str">
            <v/>
          </cell>
          <cell r="C16744" t="str">
            <v/>
          </cell>
          <cell r="D16744" t="str">
            <v/>
          </cell>
        </row>
        <row r="16745">
          <cell r="B16745" t="str">
            <v>INF789FC1TE6</v>
          </cell>
          <cell r="C16745" t="str">
            <v>-</v>
          </cell>
          <cell r="D16745" t="str">
            <v>UTI Capital Protection Oriented Scheme - Series IX-I (1467 Days) - Direct Plan - IDCW</v>
          </cell>
          <cell r="E16745">
            <v>10</v>
          </cell>
        </row>
        <row r="16746">
          <cell r="B16746" t="str">
            <v>INF789FC1TC0</v>
          </cell>
          <cell r="C16746" t="str">
            <v>-</v>
          </cell>
          <cell r="D16746" t="str">
            <v>UTI Capital Protection Oriented Scheme - Series IX-I (1467 Days) - Regular Plan - IDCW</v>
          </cell>
          <cell r="E16746">
            <v>10.0001</v>
          </cell>
        </row>
        <row r="16747">
          <cell r="B16747" t="str">
            <v>INF789FC1TF3</v>
          </cell>
          <cell r="C16747" t="str">
            <v>-</v>
          </cell>
          <cell r="D16747" t="str">
            <v>UTI Capital Protection Oriented Scheme Series IX-I (1467 Days) - Direct Plan - Growth Option</v>
          </cell>
          <cell r="E16747">
            <v>12.8584</v>
          </cell>
        </row>
        <row r="16748">
          <cell r="B16748" t="str">
            <v>INF789FC1TD8</v>
          </cell>
          <cell r="C16748" t="str">
            <v>-</v>
          </cell>
          <cell r="D16748" t="str">
            <v>UTI Capital Protection Oriented Scheme Series IX-I (1467 Days) - Regular Plan - Growth Option</v>
          </cell>
          <cell r="E16748">
            <v>12.303599999999999</v>
          </cell>
        </row>
        <row r="16749">
          <cell r="B16749" t="str">
            <v>INF789FC1A04</v>
          </cell>
          <cell r="C16749" t="str">
            <v>-</v>
          </cell>
          <cell r="D16749" t="str">
            <v>UTI Capital Protection Oriented Scheme - Series IX-II (1462 Days) - Direct Plan - IDCW</v>
          </cell>
          <cell r="E16749">
            <v>10</v>
          </cell>
        </row>
        <row r="16750">
          <cell r="B16750" t="str">
            <v>INF789FC1ZY1</v>
          </cell>
          <cell r="C16750" t="str">
            <v>-</v>
          </cell>
          <cell r="D16750" t="str">
            <v>UTI Capital Protection Oriented Scheme - Series IX-II (1462 Days) - Regular Plan - IDCW</v>
          </cell>
          <cell r="E16750">
            <v>10.0001</v>
          </cell>
        </row>
        <row r="16751">
          <cell r="B16751" t="str">
            <v>INF789FC1A12</v>
          </cell>
          <cell r="C16751" t="str">
            <v>-</v>
          </cell>
          <cell r="D16751" t="str">
            <v>UTI Capital Protection Oriented Scheme Series IX-II ( 1462 Days) - Direct Plan - Growth Option</v>
          </cell>
          <cell r="E16751">
            <v>12.8826</v>
          </cell>
        </row>
        <row r="16752">
          <cell r="B16752" t="str">
            <v>INF789FC1ZZ8</v>
          </cell>
          <cell r="C16752" t="str">
            <v>-</v>
          </cell>
          <cell r="D16752" t="str">
            <v>UTI Capital Protection Oriented Scheme Series IX-II ( 1462 Days) - Regular Plan - Growth Option</v>
          </cell>
          <cell r="E16752">
            <v>12.353400000000001</v>
          </cell>
        </row>
        <row r="16753">
          <cell r="B16753" t="str">
            <v>INF789FC1Q14</v>
          </cell>
          <cell r="C16753" t="str">
            <v>-</v>
          </cell>
          <cell r="D16753" t="str">
            <v>UTI Capital Protection Oriented Scheme - Series IX-III (1389 Days) - Direct Plan - IDCW</v>
          </cell>
          <cell r="E16753">
            <v>10</v>
          </cell>
        </row>
        <row r="16754">
          <cell r="B16754" t="str">
            <v>INF789FC1P98</v>
          </cell>
          <cell r="C16754" t="str">
            <v>-</v>
          </cell>
          <cell r="D16754" t="str">
            <v>UTI Capital Protection Oriented Scheme - Series IX-III (1389 Days) - Regular Plan - IDCW</v>
          </cell>
          <cell r="E16754">
            <v>10.0001</v>
          </cell>
        </row>
        <row r="16755">
          <cell r="B16755" t="str">
            <v>INF789FC1Q22</v>
          </cell>
          <cell r="C16755" t="str">
            <v>-</v>
          </cell>
          <cell r="D16755" t="str">
            <v>UTI Capital Protection Oriented Scheme Series IX-III ( 1389 Days) - Direct Plan - Growth Option</v>
          </cell>
          <cell r="E16755">
            <v>12.6616</v>
          </cell>
        </row>
        <row r="16756">
          <cell r="B16756" t="str">
            <v>INF789FC1Q06</v>
          </cell>
          <cell r="C16756" t="str">
            <v>-</v>
          </cell>
          <cell r="D16756" t="str">
            <v>UTI Capital Protection Oriented Scheme Series IX-III ( 1389 Days) - Regular Plan - Growth Option</v>
          </cell>
          <cell r="E16756">
            <v>12.1706</v>
          </cell>
        </row>
        <row r="16757">
          <cell r="B16757" t="str">
            <v>INF789FC1DN1</v>
          </cell>
          <cell r="C16757" t="str">
            <v>-</v>
          </cell>
          <cell r="D16757" t="str">
            <v>UTI Capital Protection Oriented Scheme - Series VIII-II (1831 Days) - Direct Plan - IDCW</v>
          </cell>
          <cell r="E16757">
            <v>10.0001</v>
          </cell>
        </row>
        <row r="16758">
          <cell r="B16758" t="str">
            <v>INF789FC1DL5</v>
          </cell>
          <cell r="C16758" t="str">
            <v>-</v>
          </cell>
          <cell r="D16758" t="str">
            <v>UTI Capital Protection Oriented Scheme - Series VIII-II (1831 Days) - Regular Plan - IDCW</v>
          </cell>
          <cell r="E16758">
            <v>10.0001</v>
          </cell>
        </row>
        <row r="16759">
          <cell r="B16759" t="str">
            <v>INF789FC1DM3</v>
          </cell>
          <cell r="C16759" t="str">
            <v>-</v>
          </cell>
          <cell r="D16759" t="str">
            <v>UTI Capital Protection Oriented Scheme Series VIII - II (1831 Days) - Regular Plan - Growth Option</v>
          </cell>
          <cell r="E16759">
            <v>14.752599999999999</v>
          </cell>
        </row>
        <row r="16760">
          <cell r="B16760" t="str">
            <v>INF789FC1DO9</v>
          </cell>
          <cell r="C16760" t="str">
            <v>-</v>
          </cell>
          <cell r="D16760" t="str">
            <v>UTI Capital Protection Oriented Scheme Series VIII -II  (1831 Days) - Direct Plan - Growth Option</v>
          </cell>
          <cell r="E16760">
            <v>15.6052</v>
          </cell>
        </row>
        <row r="16761">
          <cell r="B16761" t="str">
            <v>INF789FC1EB4</v>
          </cell>
          <cell r="C16761" t="str">
            <v>-</v>
          </cell>
          <cell r="D16761" t="str">
            <v>UTI Capital Protection Oriented Scheme Series VIII-III (1281 Days) - Direct Plan - Dividend Option</v>
          </cell>
          <cell r="E16761">
            <v>10.0001</v>
          </cell>
        </row>
        <row r="16762">
          <cell r="B16762" t="str">
            <v>INF789FC1DZ5</v>
          </cell>
          <cell r="C16762" t="str">
            <v>-</v>
          </cell>
          <cell r="D16762" t="str">
            <v>UTI Capital Protection Oriented Scheme Series VIII-III (1281 Days) - Regular Plan - Dividend Option</v>
          </cell>
          <cell r="E16762">
            <v>10.0002</v>
          </cell>
        </row>
        <row r="16763">
          <cell r="B16763" t="str">
            <v>INF789FC1EA6</v>
          </cell>
          <cell r="C16763" t="str">
            <v>-</v>
          </cell>
          <cell r="D16763" t="str">
            <v>UTI Capital Protection Oriented Scheme Series VIII-III (1281 Days) - Regular Plan - Growth Option</v>
          </cell>
          <cell r="E16763">
            <v>11.559200000000001</v>
          </cell>
        </row>
        <row r="16764">
          <cell r="B16764" t="str">
            <v>INF789FC1EC2</v>
          </cell>
          <cell r="C16764" t="str">
            <v>-</v>
          </cell>
          <cell r="D16764" t="str">
            <v>UTI Capital Protection Oriented Scheme Series VIII-III (1281Days) - Direct Plan - Growth Option</v>
          </cell>
          <cell r="E16764">
            <v>12.107200000000001</v>
          </cell>
        </row>
        <row r="16765">
          <cell r="B16765" t="str">
            <v>INF789FC1EZ3</v>
          </cell>
          <cell r="C16765" t="str">
            <v>-</v>
          </cell>
          <cell r="D16765" t="str">
            <v>UTI Capital Protection Oriented Scheme - Series VIII-IV (1996 Days) - Direct Plan - IDCW</v>
          </cell>
          <cell r="E16765">
            <v>10</v>
          </cell>
        </row>
        <row r="16766">
          <cell r="B16766" t="str">
            <v>INF789FC1EX8</v>
          </cell>
          <cell r="C16766" t="str">
            <v>-</v>
          </cell>
          <cell r="D16766" t="str">
            <v>UTI Capital Protection Oriented Scheme - Series VIII-IV (1996 Days) - Regular Plan - IDCW</v>
          </cell>
          <cell r="E16766">
            <v>10.0001</v>
          </cell>
        </row>
        <row r="16767">
          <cell r="B16767" t="str">
            <v>INF789FC1FA3</v>
          </cell>
          <cell r="C16767" t="str">
            <v>-</v>
          </cell>
          <cell r="D16767" t="str">
            <v>UTI Capital Protection Oriented Scheme Series VIII-IV (1996 Days) - Direct Plan - Growth Option</v>
          </cell>
          <cell r="E16767">
            <v>14.863099999999999</v>
          </cell>
        </row>
        <row r="16768">
          <cell r="B16768" t="str">
            <v>INF789FC1EY6</v>
          </cell>
          <cell r="C16768" t="str">
            <v>-</v>
          </cell>
          <cell r="D16768" t="str">
            <v>UTI Capital Protection Oriented Scheme Series VIII-IV (1996 Days) - Regular Plan - Growth Option</v>
          </cell>
          <cell r="E16768">
            <v>14.060499999999999</v>
          </cell>
        </row>
        <row r="16769">
          <cell r="B16769" t="str">
            <v>INF789FC19P4</v>
          </cell>
          <cell r="C16769" t="str">
            <v>-</v>
          </cell>
          <cell r="D16769" t="str">
            <v>UTI Capital Protection Oriented Scheme - Series X-II (1134 Days) - Direct Plan - IDCW</v>
          </cell>
          <cell r="E16769">
            <v>10</v>
          </cell>
        </row>
        <row r="16770">
          <cell r="B16770" t="str">
            <v>INF789FC17P8</v>
          </cell>
          <cell r="C16770" t="str">
            <v>-</v>
          </cell>
          <cell r="D16770" t="str">
            <v>UTI Capital Protection Oriented Scheme - Series X-II (1134 Days) - Regular Plan - IDCW</v>
          </cell>
          <cell r="E16770">
            <v>10.0001</v>
          </cell>
        </row>
        <row r="16771">
          <cell r="B16771" t="str">
            <v>INF789FC10Q1</v>
          </cell>
          <cell r="C16771" t="str">
            <v>-</v>
          </cell>
          <cell r="D16771" t="str">
            <v>UTI Capital Protection Oriented Scheme Series X-II ( 1134 Days) - Direct Plan - Growth Option</v>
          </cell>
          <cell r="E16771">
            <v>12.046799999999999</v>
          </cell>
        </row>
        <row r="16772">
          <cell r="B16772" t="str">
            <v>INF789FC18P6</v>
          </cell>
          <cell r="C16772" t="str">
            <v>-</v>
          </cell>
          <cell r="D16772" t="str">
            <v>UTI Capital Protection Oriented Scheme Series X-II ( 1134 Days) - Regular Plan - Growth Option</v>
          </cell>
          <cell r="E16772">
            <v>11.757999999999999</v>
          </cell>
        </row>
        <row r="16773">
          <cell r="B16773" t="str">
            <v>INF789FB1W26</v>
          </cell>
          <cell r="C16773" t="str">
            <v>-</v>
          </cell>
          <cell r="D16773" t="str">
            <v>UTI Dual Advantage Fixed Term Fund Series II-I (1998 Days) - Direct Plan - Dividend Option</v>
          </cell>
          <cell r="E16773">
            <v>10</v>
          </cell>
        </row>
        <row r="16774">
          <cell r="B16774" t="str">
            <v>INF789FB1W34</v>
          </cell>
          <cell r="C16774" t="str">
            <v>-</v>
          </cell>
          <cell r="D16774" t="str">
            <v>UTI Dual Advantage Fixed Term Fund Series II-I (1998 Days) - Direct Plan - Growth Option</v>
          </cell>
          <cell r="E16774">
            <v>14.6028</v>
          </cell>
        </row>
        <row r="16775">
          <cell r="B16775" t="str">
            <v>INF789FB1W00</v>
          </cell>
          <cell r="C16775" t="str">
            <v>-</v>
          </cell>
          <cell r="D16775" t="str">
            <v>UTI Dual Advantage Fixed Term Fund Series II-I (1998 Days) - Regular Plan - Dividend Option</v>
          </cell>
          <cell r="E16775">
            <v>10</v>
          </cell>
        </row>
        <row r="16776">
          <cell r="B16776" t="str">
            <v>INF789FB1W18</v>
          </cell>
          <cell r="C16776" t="str">
            <v>-</v>
          </cell>
          <cell r="D16776" t="str">
            <v>UTI Dual Advantage Fixed Term Fund Series II-I (1998 Days) - Regular Plan - Growth Option</v>
          </cell>
          <cell r="E16776">
            <v>13.5832</v>
          </cell>
        </row>
        <row r="16777">
          <cell r="B16777" t="str">
            <v>INF789FB1Z49</v>
          </cell>
          <cell r="C16777" t="str">
            <v>-</v>
          </cell>
          <cell r="D16777" t="str">
            <v>UTI Dual Advantage Fixed Term Fund Series II-II (1997 Days) - Direct Plan - Dividend Option</v>
          </cell>
          <cell r="E16777">
            <v>10</v>
          </cell>
        </row>
        <row r="16778">
          <cell r="B16778" t="str">
            <v>INF789FB1Z56</v>
          </cell>
          <cell r="C16778" t="str">
            <v>-</v>
          </cell>
          <cell r="D16778" t="str">
            <v>UTI Dual Advantage Fixed Term Fund Series II-II (1997 Days) - Direct Plan- Growth Option</v>
          </cell>
          <cell r="E16778">
            <v>14.0746</v>
          </cell>
        </row>
        <row r="16779">
          <cell r="B16779" t="str">
            <v>INF789FB1Z23</v>
          </cell>
          <cell r="C16779" t="str">
            <v>-</v>
          </cell>
          <cell r="D16779" t="str">
            <v>UTI Dual Advantage Fixed Term Fund Series II-II (1997 days) - Regular Plan - Dividend Option</v>
          </cell>
          <cell r="E16779">
            <v>10</v>
          </cell>
        </row>
        <row r="16780">
          <cell r="B16780" t="str">
            <v>INF789FB1Z31</v>
          </cell>
          <cell r="C16780" t="str">
            <v>-</v>
          </cell>
          <cell r="D16780" t="str">
            <v>UTI Dual Advantage Fixed Term Fund Series II-II (1997 Days) - Regular Plan - Growth Option</v>
          </cell>
          <cell r="E16780">
            <v>13.488099999999999</v>
          </cell>
        </row>
        <row r="16781">
          <cell r="B16781" t="str">
            <v>INF789FB13E3</v>
          </cell>
          <cell r="C16781" t="str">
            <v>-</v>
          </cell>
          <cell r="D16781" t="str">
            <v>UTI Dual Advantage Fixed Term Fund Series II-III (1998 Days) - Direct Plan - Growth Option</v>
          </cell>
          <cell r="E16781">
            <v>15.7278</v>
          </cell>
        </row>
        <row r="16782">
          <cell r="B16782" t="str">
            <v>INF789FB12E5</v>
          </cell>
          <cell r="C16782" t="str">
            <v>-</v>
          </cell>
          <cell r="D16782" t="str">
            <v>UTI Dual Advantage Fixed Term Fund Series II-III (1998 Days) - Direct Plan - IDCW</v>
          </cell>
          <cell r="E16782">
            <v>10</v>
          </cell>
        </row>
        <row r="16783">
          <cell r="B16783" t="str">
            <v>INF789FB11E7</v>
          </cell>
          <cell r="C16783" t="str">
            <v>-</v>
          </cell>
          <cell r="D16783" t="str">
            <v>UTI Dual Advantage Fixed Term Fund Series II-III (1998 Days) - Regular Plan - Growth Option</v>
          </cell>
          <cell r="E16783">
            <v>15.0152</v>
          </cell>
        </row>
        <row r="16784">
          <cell r="B16784" t="str">
            <v>INF789FB10E9</v>
          </cell>
          <cell r="C16784" t="str">
            <v>-</v>
          </cell>
          <cell r="D16784" t="str">
            <v>UTI Dual Advantage Fixed Term Fund Series II-III (1998 Days) - Regular Plan - IDCW</v>
          </cell>
          <cell r="E16784">
            <v>10</v>
          </cell>
        </row>
        <row r="16785">
          <cell r="B16785" t="str">
            <v>INF789FB11K4</v>
          </cell>
          <cell r="C16785" t="str">
            <v>-</v>
          </cell>
          <cell r="D16785" t="str">
            <v>UTI - Dual Advantage Fixed Term Series II-IV (1997 Days) - Direct Plan - Growth Option</v>
          </cell>
          <cell r="E16785">
            <v>16.745699999999999</v>
          </cell>
        </row>
        <row r="16786">
          <cell r="B16786" t="str">
            <v>INF789FB19J9</v>
          </cell>
          <cell r="C16786" t="str">
            <v>-</v>
          </cell>
          <cell r="D16786" t="str">
            <v>UTI - Dual Advantage Fixed Term Series II-IV (1997 Days) - Regular Plan - Growth Option</v>
          </cell>
          <cell r="E16786">
            <v>15.6197</v>
          </cell>
        </row>
        <row r="16787">
          <cell r="B16787" t="str">
            <v>INF789FB10K6</v>
          </cell>
          <cell r="C16787" t="str">
            <v>-</v>
          </cell>
          <cell r="D16787" t="str">
            <v>UTI Dual Advantage Fixed Term Fund Series II-IV (1997 Days) - Direct Plan - IDCW</v>
          </cell>
          <cell r="E16787">
            <v>10.0001</v>
          </cell>
        </row>
        <row r="16788">
          <cell r="B16788" t="str">
            <v>INF789FB18J1</v>
          </cell>
          <cell r="C16788" t="str">
            <v>-</v>
          </cell>
          <cell r="D16788" t="str">
            <v>UTI Dual Advantage Fixed Term Fund Series II-IV (1997 Days) - Regular Plan - IDCW</v>
          </cell>
          <cell r="E16788">
            <v>10.0002</v>
          </cell>
        </row>
        <row r="16789">
          <cell r="B16789" t="str">
            <v>INF789FB13P9</v>
          </cell>
          <cell r="C16789" t="str">
            <v>-</v>
          </cell>
          <cell r="D16789" t="str">
            <v>UTI - Dual Advantage Fixed Term Series II-V (1997 Days) - Direct Plan - Growth Option</v>
          </cell>
          <cell r="E16789">
            <v>14.9899</v>
          </cell>
        </row>
        <row r="16790">
          <cell r="B16790" t="str">
            <v>INF789FB11P3</v>
          </cell>
          <cell r="C16790" t="str">
            <v>-</v>
          </cell>
          <cell r="D16790" t="str">
            <v>UTI - Dual Advantage Fixed Term Series II-V (1997 Days) - Regular Plan - Growth Option</v>
          </cell>
          <cell r="E16790">
            <v>14.030799999999999</v>
          </cell>
        </row>
        <row r="16791">
          <cell r="B16791" t="str">
            <v>INF789FB12P1</v>
          </cell>
          <cell r="C16791" t="str">
            <v>-</v>
          </cell>
          <cell r="D16791" t="str">
            <v>UTI Dual Advantage Fixed Term Fund Series II-V (1997 Days) - Direct Plan - IDCW</v>
          </cell>
          <cell r="E16791">
            <v>10.0001</v>
          </cell>
        </row>
        <row r="16792">
          <cell r="B16792" t="str">
            <v>INF789FB10P5</v>
          </cell>
          <cell r="C16792" t="str">
            <v>-</v>
          </cell>
          <cell r="D16792" t="str">
            <v>UTI Dual Advantage Fixed Term Fund Series II-V (1997 Days) - Regular Plan - IDCW</v>
          </cell>
          <cell r="E16792">
            <v>10.0001</v>
          </cell>
        </row>
        <row r="16793">
          <cell r="B16793" t="str">
            <v>INF789FB11W9</v>
          </cell>
          <cell r="C16793" t="str">
            <v>-</v>
          </cell>
          <cell r="D16793" t="str">
            <v>UTI - Dual Advantage Fixed Term Series III-I (1998 Days) - Direct Plan - Growth Option</v>
          </cell>
          <cell r="E16793">
            <v>15.9878</v>
          </cell>
        </row>
        <row r="16794">
          <cell r="B16794" t="str">
            <v>INF789FB19V4</v>
          </cell>
          <cell r="C16794" t="str">
            <v>-</v>
          </cell>
          <cell r="D16794" t="str">
            <v>UTI - Dual Advantage Fixed Term Series III-I (1998 Days) - Regular Plan - Growth Option</v>
          </cell>
          <cell r="E16794">
            <v>14.9657</v>
          </cell>
        </row>
        <row r="16795">
          <cell r="B16795" t="str">
            <v>INF789FB10W1</v>
          </cell>
          <cell r="C16795" t="str">
            <v>-</v>
          </cell>
          <cell r="D16795" t="str">
            <v>UTI Dual Advantage Fixed Term Fund Series III-I (1998 Days) - Direct Plan - IDCW</v>
          </cell>
          <cell r="E16795">
            <v>10.0001</v>
          </cell>
        </row>
        <row r="16796">
          <cell r="B16796" t="str">
            <v>INF789FB18V6</v>
          </cell>
          <cell r="C16796" t="str">
            <v>-</v>
          </cell>
          <cell r="D16796" t="str">
            <v>UTI Dual Advantage Fixed Term Fund Series III-I (1998 Days) - Regular Plan - IDCW</v>
          </cell>
          <cell r="E16796">
            <v>10.0001</v>
          </cell>
        </row>
        <row r="16797">
          <cell r="B16797" t="str">
            <v>INF789FC1GG8</v>
          </cell>
          <cell r="C16797" t="str">
            <v>-</v>
          </cell>
          <cell r="D16797" t="str">
            <v>UTI - Dual Advantage Fixed Term Series IV-I (1279 Days) - Direct Plan - Dividend Option</v>
          </cell>
          <cell r="E16797">
            <v>10</v>
          </cell>
        </row>
        <row r="16798">
          <cell r="B16798" t="str">
            <v>INF789FC1GH6</v>
          </cell>
          <cell r="C16798" t="str">
            <v>-</v>
          </cell>
          <cell r="D16798" t="str">
            <v>UTI - Dual Advantage Fixed Term Series IV-I (1279 Days) - Direct Plan - Growth Option</v>
          </cell>
          <cell r="E16798">
            <v>12.4481</v>
          </cell>
        </row>
        <row r="16799">
          <cell r="B16799" t="str">
            <v>INF789FC1GE3</v>
          </cell>
          <cell r="C16799" t="str">
            <v>-</v>
          </cell>
          <cell r="D16799" t="str">
            <v>UTI - Dual Advantage Fixed Term Series IV-I (1279 Days) - Regular Plan - Dividend Option</v>
          </cell>
          <cell r="E16799">
            <v>10.0001</v>
          </cell>
        </row>
        <row r="16800">
          <cell r="B16800" t="str">
            <v>INF789FC1GF0</v>
          </cell>
          <cell r="C16800" t="str">
            <v>-</v>
          </cell>
          <cell r="D16800" t="str">
            <v>UTI - Dual Advantage Fixed Term Series IV-I (1279 Days) - Regular Plan - Growth Option</v>
          </cell>
          <cell r="E16800">
            <v>11.9002</v>
          </cell>
        </row>
        <row r="16801">
          <cell r="B16801" t="str">
            <v>INF789FC1HW3</v>
          </cell>
          <cell r="C16801" t="str">
            <v>-</v>
          </cell>
          <cell r="D16801" t="str">
            <v>UTI - Dual Advantage Fixed Term Series IV-II (1278 Days) - Direct  Plan - Dividend Option</v>
          </cell>
          <cell r="E16801">
            <v>10</v>
          </cell>
        </row>
        <row r="16802">
          <cell r="B16802" t="str">
            <v>INF789FC1HX1</v>
          </cell>
          <cell r="C16802" t="str">
            <v>-</v>
          </cell>
          <cell r="D16802" t="str">
            <v>UTI - Dual Advantage Fixed Term Series IV-II (1278 Days) - Direct Plan - Growth Option</v>
          </cell>
          <cell r="E16802">
            <v>12.277100000000001</v>
          </cell>
        </row>
        <row r="16803">
          <cell r="B16803" t="str">
            <v>INF789FC1HU7</v>
          </cell>
          <cell r="C16803" t="str">
            <v>-</v>
          </cell>
          <cell r="D16803" t="str">
            <v>UTI - Dual Advantage Fixed Term Series IV-II (1278 Days) - Regular Plan - Dividend Option</v>
          </cell>
          <cell r="E16803">
            <v>10</v>
          </cell>
        </row>
        <row r="16804">
          <cell r="B16804" t="str">
            <v>INF789FC1HV5</v>
          </cell>
          <cell r="C16804" t="str">
            <v>-</v>
          </cell>
          <cell r="D16804" t="str">
            <v>UTI - Dual Advantage Fixed Term Series IV-II (1278 Days) - Regular Plan - Growth Option</v>
          </cell>
          <cell r="E16804">
            <v>11.7301</v>
          </cell>
        </row>
        <row r="16805">
          <cell r="B16805" t="str">
            <v>INF789FC1IO8</v>
          </cell>
          <cell r="C16805" t="str">
            <v>-</v>
          </cell>
          <cell r="D16805" t="str">
            <v>UTI - Dual Advantage Fixed Term Series IV-III (1279 Days) - Direct Plan - Dividend Option</v>
          </cell>
          <cell r="E16805">
            <v>10</v>
          </cell>
        </row>
        <row r="16806">
          <cell r="B16806" t="str">
            <v>INF789FC1IP5</v>
          </cell>
          <cell r="C16806" t="str">
            <v>-</v>
          </cell>
          <cell r="D16806" t="str">
            <v>UTI - Dual Advantage Fixed Term Series IV-III (1279 Days) - Direct Plan - Growth Option</v>
          </cell>
          <cell r="E16806">
            <v>12.3528</v>
          </cell>
        </row>
        <row r="16807">
          <cell r="B16807" t="str">
            <v>INF789FC1IM2</v>
          </cell>
          <cell r="C16807" t="str">
            <v>-</v>
          </cell>
          <cell r="D16807" t="str">
            <v>UTI - Dual Advantage Fixed Term Series IV-III (1279 Days) - Regular Plan - Dividend Option</v>
          </cell>
          <cell r="E16807">
            <v>10</v>
          </cell>
        </row>
        <row r="16808">
          <cell r="B16808" t="str">
            <v>INF789FC1IN0</v>
          </cell>
          <cell r="C16808" t="str">
            <v>-</v>
          </cell>
          <cell r="D16808" t="str">
            <v>UTI - Dual Advantage Fixed Term Series IV-III (1279 Days) - Regular Plan - Growth Option</v>
          </cell>
          <cell r="E16808">
            <v>11.820499999999999</v>
          </cell>
        </row>
        <row r="16809">
          <cell r="B16809" t="str">
            <v>INF789FC1IL4</v>
          </cell>
          <cell r="C16809" t="str">
            <v>-</v>
          </cell>
          <cell r="D16809" t="str">
            <v>UTI - Dual Advantage Fixed Term Series IV-IV (1997 Days) - Direct Plan - Growth Option</v>
          </cell>
          <cell r="E16809">
            <v>16.0915</v>
          </cell>
        </row>
        <row r="16810">
          <cell r="B16810" t="str">
            <v>INF789FC1IJ8</v>
          </cell>
          <cell r="C16810" t="str">
            <v>-</v>
          </cell>
          <cell r="D16810" t="str">
            <v>UTI - Dual Advantage Fixed Term Series IV-IV (1997 Days) - Regular Plan - Growth Option</v>
          </cell>
          <cell r="E16810">
            <v>15.2636</v>
          </cell>
        </row>
        <row r="16811">
          <cell r="B16811" t="str">
            <v>INF789FC1IK6</v>
          </cell>
          <cell r="C16811" t="str">
            <v>-</v>
          </cell>
          <cell r="D16811" t="str">
            <v>UTI Dual Advantage Fixed Term Fund Series IV-IV (1997 Days) - Direct Plan - IDCW</v>
          </cell>
          <cell r="E16811">
            <v>10</v>
          </cell>
        </row>
        <row r="16812">
          <cell r="B16812" t="str">
            <v>INF789FC1II0</v>
          </cell>
          <cell r="C16812" t="str">
            <v>-</v>
          </cell>
          <cell r="D16812" t="str">
            <v>UTI Dual Advantage Fixed Term Fund Series IV-IV (1997 Days) - Regular Plan - IDCW</v>
          </cell>
          <cell r="E16812">
            <v>10.0001</v>
          </cell>
        </row>
        <row r="16813">
          <cell r="B16813" t="str">
            <v>INF789FC1T03</v>
          </cell>
          <cell r="C16813" t="str">
            <v>-</v>
          </cell>
          <cell r="D16813" t="str">
            <v>UTI Dual Advantage Fixed Term Fund  Series V-I ( 1103 days) - Direct  Plan - Growth Option</v>
          </cell>
          <cell r="E16813">
            <v>11.784000000000001</v>
          </cell>
        </row>
        <row r="16814">
          <cell r="B16814" t="str">
            <v>INF789FC1S95</v>
          </cell>
          <cell r="C16814" t="str">
            <v>-</v>
          </cell>
          <cell r="D16814" t="str">
            <v>UTI Dual Advantage Fixed Term Fund  Series V-I ( 1103 days) - Direct Plan - Dividend Option</v>
          </cell>
          <cell r="E16814">
            <v>10</v>
          </cell>
        </row>
        <row r="16815">
          <cell r="B16815" t="str">
            <v>INF789FC1S79</v>
          </cell>
          <cell r="C16815" t="str">
            <v>-</v>
          </cell>
          <cell r="D16815" t="str">
            <v>UTI Dual Advantage Fixed Term Fund  Series V-I ( 1103 days) - Regular Plan - Dividend Option</v>
          </cell>
          <cell r="E16815">
            <v>10</v>
          </cell>
        </row>
        <row r="16816">
          <cell r="B16816" t="str">
            <v>INF789FC1S87</v>
          </cell>
          <cell r="C16816" t="str">
            <v>-</v>
          </cell>
          <cell r="D16816" t="str">
            <v>UTI Dual Advantage Fixed Term Fund  Series V-I ( 1103 days) - Regular Plan - Growth Option</v>
          </cell>
          <cell r="E16816">
            <v>11.403600000000001</v>
          </cell>
        </row>
        <row r="16817">
          <cell r="B16817" t="str">
            <v>INF789F01VZ1</v>
          </cell>
          <cell r="C16817" t="str">
            <v>-</v>
          </cell>
          <cell r="D16817" t="str">
            <v>UTI F I I F-Annual Interval Plan Series - II - Direct Plan - Growth Option</v>
          </cell>
          <cell r="E16817">
            <v>28.872299999999999</v>
          </cell>
        </row>
        <row r="16818">
          <cell r="B16818" t="str">
            <v>INF789F01FM2</v>
          </cell>
          <cell r="C16818" t="str">
            <v>-</v>
          </cell>
          <cell r="D16818" t="str">
            <v>UTI F I I F-Annual Interval Plan Series - II - Regular Plan - Growth Option</v>
          </cell>
          <cell r="E16818">
            <v>28.568200000000001</v>
          </cell>
        </row>
        <row r="16819">
          <cell r="B16819" t="str">
            <v>INF789F01VX6</v>
          </cell>
          <cell r="C16819" t="str">
            <v>INF789F01VY4</v>
          </cell>
          <cell r="D16819" t="str">
            <v>UTI FIIF Annual Interval Plan II - Direct Plan - IDCW</v>
          </cell>
          <cell r="E16819">
            <v>10.0624</v>
          </cell>
        </row>
        <row r="16820">
          <cell r="B16820" t="str">
            <v>INF789F01FK6</v>
          </cell>
          <cell r="C16820" t="str">
            <v>INF789F01FL4</v>
          </cell>
          <cell r="D16820" t="str">
            <v>UTI FIIF Annual Interval Plan II - Regular Plan - IDCW</v>
          </cell>
          <cell r="E16820">
            <v>10.074999999999999</v>
          </cell>
        </row>
        <row r="16821">
          <cell r="B16821" t="str">
            <v>INF789F01WD6</v>
          </cell>
          <cell r="C16821" t="str">
            <v>INF789F01WE4</v>
          </cell>
          <cell r="D16821" t="str">
            <v>UTI FIIF Annual Interval Plan IV - Direct Plan - IDCW</v>
          </cell>
          <cell r="E16821">
            <v>10.1008</v>
          </cell>
        </row>
        <row r="16822">
          <cell r="B16822" t="str">
            <v>INF789F01FW1</v>
          </cell>
          <cell r="C16822" t="str">
            <v>INF789F01FX9</v>
          </cell>
          <cell r="D16822" t="str">
            <v>UTI FIIF Annual Interval Plan IV - Regular Plan - IDCW</v>
          </cell>
          <cell r="E16822">
            <v>10.0749</v>
          </cell>
        </row>
        <row r="16823">
          <cell r="B16823" t="str">
            <v>INF789F01WF1</v>
          </cell>
          <cell r="C16823" t="str">
            <v>-</v>
          </cell>
          <cell r="D16823" t="str">
            <v>UTI Fixed Interval Income Fund (Annual Interval Plan) Series IV - Direct Plan - Growth Option</v>
          </cell>
          <cell r="E16823">
            <v>27.6707</v>
          </cell>
        </row>
        <row r="16824">
          <cell r="B16824" t="str">
            <v>INF789F01FY7</v>
          </cell>
          <cell r="C16824" t="str">
            <v>-</v>
          </cell>
          <cell r="D16824" t="str">
            <v>UTI Fixed Interval Income Fund (Annual Interval Plan) Series IV - Regular Plan - Growth Option</v>
          </cell>
          <cell r="E16824">
            <v>27.3947</v>
          </cell>
        </row>
        <row r="16825">
          <cell r="B16825" t="str">
            <v>INF789F01VR8</v>
          </cell>
          <cell r="C16825" t="str">
            <v>INF789F01VS6</v>
          </cell>
          <cell r="D16825" t="str">
            <v>UTI FIIF Half Yearly Plan I - Direct Plan - IDCW</v>
          </cell>
          <cell r="E16825">
            <v>10.060600000000001</v>
          </cell>
        </row>
        <row r="16826">
          <cell r="B16826" t="str">
            <v>INF789F01EY0</v>
          </cell>
          <cell r="C16826" t="str">
            <v>INF789F01EZ7</v>
          </cell>
          <cell r="D16826" t="str">
            <v>UTI FIIF Half Yearly Plan I - Regular Plan - IDCW</v>
          </cell>
          <cell r="E16826">
            <v>10.0564</v>
          </cell>
        </row>
        <row r="16827">
          <cell r="B16827" t="str">
            <v>INF789F01VT4</v>
          </cell>
          <cell r="C16827" t="str">
            <v>-</v>
          </cell>
          <cell r="D16827" t="str">
            <v>UTI Fixed  Income Interval Fund ( Half Yearly Plan - I) - Direct Plan - Growth Option</v>
          </cell>
          <cell r="E16827">
            <v>26.6295</v>
          </cell>
        </row>
        <row r="16828">
          <cell r="B16828" t="str">
            <v>INF789F01FA7</v>
          </cell>
          <cell r="C16828" t="str">
            <v>-</v>
          </cell>
          <cell r="D16828" t="str">
            <v>UTI Fixed  Income Interval Fund ( Half Yearly Plan - I) - Regular Plan - Growth Option</v>
          </cell>
          <cell r="E16828">
            <v>26.125699999999998</v>
          </cell>
        </row>
        <row r="16829">
          <cell r="B16829" t="str">
            <v>INF789F01WV8</v>
          </cell>
          <cell r="C16829" t="str">
            <v>INF789F01WW6</v>
          </cell>
          <cell r="D16829" t="str">
            <v>UTI FIIF Half Yearly Plan II - Direct Plan - IDCW</v>
          </cell>
          <cell r="E16829">
            <v>10.2065</v>
          </cell>
        </row>
        <row r="16830">
          <cell r="B16830" t="str">
            <v>INF789F01HG0</v>
          </cell>
          <cell r="C16830" t="str">
            <v>INF789F01HH8</v>
          </cell>
          <cell r="D16830" t="str">
            <v>UTI FIIF Half Yearly Plan II - Regular Plan - IDCW</v>
          </cell>
          <cell r="E16830">
            <v>10.063599999999999</v>
          </cell>
        </row>
        <row r="16831">
          <cell r="B16831" t="str">
            <v>INF789F01WX4</v>
          </cell>
          <cell r="C16831" t="str">
            <v>-</v>
          </cell>
          <cell r="D16831" t="str">
            <v>UTI Fixed Income Interval Fund ( Half Yearly Plan-II)- Direct Plan - Growth Option</v>
          </cell>
          <cell r="E16831">
            <v>26.084499999999998</v>
          </cell>
        </row>
        <row r="16832">
          <cell r="B16832" t="str">
            <v>INF789F01HI6</v>
          </cell>
          <cell r="C16832" t="str">
            <v>-</v>
          </cell>
          <cell r="D16832" t="str">
            <v>UTI Fixed Income Interval Fund ( Half Yearly Plan-II)- Regular Plan - Growth Option</v>
          </cell>
          <cell r="E16832">
            <v>26.011800000000001</v>
          </cell>
        </row>
        <row r="16833">
          <cell r="B16833" t="str">
            <v>INF789F01VQ0</v>
          </cell>
          <cell r="C16833" t="str">
            <v>-</v>
          </cell>
          <cell r="D16833" t="str">
            <v>UTI - Fixed Income Interval Fund - Monthly Interval Plan  - Direct Plan - Growth Option</v>
          </cell>
          <cell r="E16833">
            <v>27.349699999999999</v>
          </cell>
        </row>
        <row r="16834">
          <cell r="B16834" t="str">
            <v>INF789F01EU8</v>
          </cell>
          <cell r="C16834" t="str">
            <v>-</v>
          </cell>
          <cell r="D16834" t="str">
            <v>UTI - Fixed Income Interval Fund - Monthly Interval Plan  - Regular Plan - Growth Option</v>
          </cell>
          <cell r="E16834">
            <v>26.846</v>
          </cell>
        </row>
        <row r="16835">
          <cell r="B16835" t="str">
            <v>INF789F01EV6</v>
          </cell>
          <cell r="C16835" t="str">
            <v>INF789F01EW4</v>
          </cell>
          <cell r="D16835" t="str">
            <v>UTI - Fixed Income Interval Fund - Monthly Interval Plan - Institutional Dividend Option</v>
          </cell>
          <cell r="E16835">
            <v>10.032500000000001</v>
          </cell>
        </row>
        <row r="16836">
          <cell r="B16836" t="str">
            <v>INF789F01VO5</v>
          </cell>
          <cell r="C16836" t="str">
            <v>INF789F01VP2</v>
          </cell>
          <cell r="D16836" t="str">
            <v>UTI FIIF Monthly Interval Plan I - Direct Plan - Monthly IDCW</v>
          </cell>
          <cell r="E16836">
            <v>10.0063</v>
          </cell>
        </row>
        <row r="16837">
          <cell r="B16837" t="str">
            <v>INF789F01ES2</v>
          </cell>
          <cell r="C16837" t="str">
            <v>INF789F01ET0</v>
          </cell>
          <cell r="D16837" t="str">
            <v>UTI FIIF Monthly Interval Plan I - Regular Plan - Monthly IDCW</v>
          </cell>
          <cell r="E16837">
            <v>10.0085</v>
          </cell>
        </row>
        <row r="16838">
          <cell r="B16838" t="str">
            <v>INF789F01VL1</v>
          </cell>
          <cell r="C16838" t="str">
            <v>INF789F01VM9</v>
          </cell>
          <cell r="D16838" t="str">
            <v>UTI FIIF Monthly Interval Plan II - Direct Plan - Monthly IDCW</v>
          </cell>
          <cell r="E16838">
            <v>10.028600000000001</v>
          </cell>
        </row>
        <row r="16839">
          <cell r="B16839" t="str">
            <v>INF789F01EM5</v>
          </cell>
          <cell r="C16839" t="str">
            <v>INF789F01EN3</v>
          </cell>
          <cell r="D16839" t="str">
            <v>UTI FIIF Monthly Interval Plan II - Regular Plan - Monthly IDCW</v>
          </cell>
          <cell r="E16839">
            <v>10.016299999999999</v>
          </cell>
        </row>
        <row r="16840">
          <cell r="B16840" t="str">
            <v>INF789F01VN7</v>
          </cell>
          <cell r="C16840" t="str">
            <v>-</v>
          </cell>
          <cell r="D16840" t="str">
            <v>UTI Fixed Income Interval Fund - Monthly Interval Plan II-Direct Plan - Growth Option</v>
          </cell>
          <cell r="E16840">
            <v>26.265499999999999</v>
          </cell>
        </row>
        <row r="16841">
          <cell r="B16841" t="str">
            <v>INF789F01EO1</v>
          </cell>
          <cell r="C16841" t="str">
            <v>-</v>
          </cell>
          <cell r="D16841" t="str">
            <v>UTI Fixed Income Interval Fund - Monthly Interval Plan II-Regular Plan - Growth Option</v>
          </cell>
          <cell r="E16841">
            <v>25.779800000000002</v>
          </cell>
        </row>
        <row r="16842">
          <cell r="B16842" t="str">
            <v>INF789F01WJ3</v>
          </cell>
          <cell r="C16842" t="str">
            <v>INF789F01WK1</v>
          </cell>
          <cell r="D16842" t="str">
            <v>UTI FIIF Quarterly Interval Plan III - Direct Plan - IDCW</v>
          </cell>
          <cell r="E16842">
            <v>10.080299999999999</v>
          </cell>
        </row>
        <row r="16843">
          <cell r="B16843" t="str">
            <v>INF789F01GI8</v>
          </cell>
          <cell r="C16843" t="str">
            <v>INF789F01GJ6</v>
          </cell>
          <cell r="D16843" t="str">
            <v>UTI FIIF Quarterly Interval Plan III - Regular Plan - IDCW</v>
          </cell>
          <cell r="E16843">
            <v>10.075900000000001</v>
          </cell>
        </row>
        <row r="16844">
          <cell r="B16844" t="str">
            <v>INF789F01WL9</v>
          </cell>
          <cell r="C16844" t="str">
            <v>-</v>
          </cell>
          <cell r="D16844" t="str">
            <v>UTI Fixed  Income Interval Fund ( Quarterly Interval Plan - III) - Direct Plan - Growth Option</v>
          </cell>
          <cell r="E16844">
            <v>28.421399999999998</v>
          </cell>
        </row>
        <row r="16845">
          <cell r="B16845" t="str">
            <v>INF789F01GK4</v>
          </cell>
          <cell r="C16845" t="str">
            <v>-</v>
          </cell>
          <cell r="D16845" t="str">
            <v>UTI Fixed  Income Interval Fund ( Quarterly Interval Plan - III) -Regular Plan - Growth Option</v>
          </cell>
          <cell r="E16845">
            <v>27.902000000000001</v>
          </cell>
        </row>
        <row r="16846">
          <cell r="B16846" t="str">
            <v>INF789F01GL2</v>
          </cell>
          <cell r="C16846" t="str">
            <v>INF789F01GM0</v>
          </cell>
          <cell r="D16846" t="str">
            <v>UTI Fixed  Income Interval Fund ( Quarterly Interval Plan -III) - Inst Dividend Plan</v>
          </cell>
          <cell r="E16846">
            <v>10.065</v>
          </cell>
        </row>
        <row r="16847">
          <cell r="B16847" t="str">
            <v>INF789F01WO3</v>
          </cell>
          <cell r="C16847" t="str">
            <v>-</v>
          </cell>
          <cell r="D16847" t="str">
            <v>UTI F I I F Series II -Quarterly Interval Plan - IV -Direct Plan - Growth Option</v>
          </cell>
          <cell r="E16847">
            <v>25.566299999999998</v>
          </cell>
        </row>
        <row r="16848">
          <cell r="B16848" t="str">
            <v>INF789F01GT5</v>
          </cell>
          <cell r="C16848" t="str">
            <v>-</v>
          </cell>
          <cell r="D16848" t="str">
            <v>UTI F I I F Series II -Quarterly Interval Plan - IV -Instn. Growth  Option</v>
          </cell>
          <cell r="E16848">
            <v>20.9434</v>
          </cell>
        </row>
        <row r="16849">
          <cell r="B16849" t="str">
            <v>INF789F01GQ1</v>
          </cell>
          <cell r="C16849" t="str">
            <v>-</v>
          </cell>
          <cell r="D16849" t="str">
            <v>UTI F I I F Series II -Quarterly Interval Plan - IV -Regular Plan - Growth Option</v>
          </cell>
          <cell r="E16849">
            <v>25.0959</v>
          </cell>
        </row>
        <row r="16850">
          <cell r="B16850" t="str">
            <v>INF789F01WM7</v>
          </cell>
          <cell r="C16850" t="str">
            <v>INF789F01WN5</v>
          </cell>
          <cell r="D16850" t="str">
            <v>UTI FIIF Sr-2 Quarterly Interval Plan IV - Direct Plan - IDCW</v>
          </cell>
          <cell r="E16850">
            <v>10.071400000000001</v>
          </cell>
        </row>
        <row r="16851">
          <cell r="B16851" t="str">
            <v>INF789F01GO6</v>
          </cell>
          <cell r="C16851" t="str">
            <v>INF789F01GP3</v>
          </cell>
          <cell r="D16851" t="str">
            <v>UTI FIIF Sr-2 Quarterly Interval Plan IV - Regular Plan - IDCW</v>
          </cell>
          <cell r="E16851">
            <v>10.0671</v>
          </cell>
        </row>
        <row r="16852">
          <cell r="B16852" t="str">
            <v>INF789F01VK3</v>
          </cell>
          <cell r="C16852" t="str">
            <v>-</v>
          </cell>
          <cell r="D16852" t="str">
            <v>UTI F I I F Series II -Quarterly Interval Plan - VII - Direct Plan - Growth Option</v>
          </cell>
          <cell r="E16852">
            <v>25.166</v>
          </cell>
        </row>
        <row r="16853">
          <cell r="B16853" t="str">
            <v>INF789F01EI3</v>
          </cell>
          <cell r="C16853" t="str">
            <v>-</v>
          </cell>
          <cell r="D16853" t="str">
            <v>UTI F I I F Series II -Quarterly Interval Plan - VII - Regular Plan - Growth Option</v>
          </cell>
          <cell r="E16853">
            <v>24.700399999999998</v>
          </cell>
        </row>
        <row r="16854">
          <cell r="B16854" t="str">
            <v>INF789F01VI7</v>
          </cell>
          <cell r="C16854" t="str">
            <v>INF789F01VJ5</v>
          </cell>
          <cell r="D16854" t="str">
            <v>UTI FIIF Sr-2 Quarterly Interval Plan VII - Direct Plan - IDCW</v>
          </cell>
          <cell r="E16854">
            <v>10.061299999999999</v>
          </cell>
        </row>
        <row r="16855">
          <cell r="B16855" t="str">
            <v>INF789F01EG7</v>
          </cell>
          <cell r="C16855" t="str">
            <v>INF789F01EH5</v>
          </cell>
          <cell r="D16855" t="str">
            <v>UTI FIIF Sr-2 Quarterly Interval Plan VII - Regular Plan - IDCW</v>
          </cell>
          <cell r="E16855">
            <v>10.056900000000001</v>
          </cell>
        </row>
        <row r="16856">
          <cell r="B16856" t="str">
            <v>INF789FC13P7</v>
          </cell>
          <cell r="C16856" t="str">
            <v>-</v>
          </cell>
          <cell r="D16856" t="str">
            <v>UTI Fixed Term Income fund - Series XXIX - I (1134 DAYS) - Direct Plan - Annual IDCW</v>
          </cell>
          <cell r="E16856">
            <v>10</v>
          </cell>
        </row>
        <row r="16857">
          <cell r="B16857" t="str">
            <v>INF789FC14P5</v>
          </cell>
          <cell r="C16857" t="str">
            <v>-</v>
          </cell>
          <cell r="D16857" t="str">
            <v>UTI Fixed Term Income fund - Series XXIX - I (1134 DAYS) - Direct Plan - Maturity IDCW</v>
          </cell>
          <cell r="E16857">
            <v>10</v>
          </cell>
        </row>
        <row r="16858">
          <cell r="B16858" t="str">
            <v>INF789FC12P9</v>
          </cell>
          <cell r="C16858" t="str">
            <v>-</v>
          </cell>
          <cell r="D16858" t="str">
            <v>UTI Fixed Term Income fund - Series XXIX - I (1134 DAYS) - Direct Plan - Quarterly IDCW</v>
          </cell>
          <cell r="E16858">
            <v>10</v>
          </cell>
        </row>
        <row r="16859">
          <cell r="B16859" t="str">
            <v>INF789FC18O9</v>
          </cell>
          <cell r="C16859" t="str">
            <v>-</v>
          </cell>
          <cell r="D16859" t="str">
            <v>UTI Fixed Term Income fund - Series XXIX - I (1134 DAYS) - Regular Plan - Annual IDCW</v>
          </cell>
          <cell r="E16859">
            <v>10</v>
          </cell>
        </row>
        <row r="16860">
          <cell r="B16860" t="str">
            <v>INF789FC11P1</v>
          </cell>
          <cell r="C16860" t="str">
            <v>-</v>
          </cell>
          <cell r="D16860" t="str">
            <v>UTI Fixed Term Income fund - Series XXIX - I (1134 DAYS) - Regular Plan - Flexi IDCW</v>
          </cell>
          <cell r="E16860">
            <v>10</v>
          </cell>
        </row>
        <row r="16861">
          <cell r="B16861" t="str">
            <v>INF789FC19O7</v>
          </cell>
          <cell r="C16861" t="str">
            <v>-</v>
          </cell>
          <cell r="D16861" t="str">
            <v>UTI Fixed Term Income fund - Series XXIX - I (1134 DAYS) - Regular Plan - Maturity IDCW</v>
          </cell>
          <cell r="E16861">
            <v>10</v>
          </cell>
        </row>
        <row r="16862">
          <cell r="B16862" t="str">
            <v>INF789FC17O1</v>
          </cell>
          <cell r="C16862" t="str">
            <v>-</v>
          </cell>
          <cell r="D16862" t="str">
            <v>UTI Fixed Term Income fund - Series XXIX - I (1134 DAYS) - Regular Plan - Quarterly IDCW</v>
          </cell>
          <cell r="E16862">
            <v>10</v>
          </cell>
        </row>
        <row r="16863">
          <cell r="B16863" t="str">
            <v>INF789FC15P2</v>
          </cell>
          <cell r="C16863" t="str">
            <v>-</v>
          </cell>
          <cell r="D16863" t="str">
            <v>UTI Fixed Term Income Fund Series XXIX -I (1134 days) - Direct Plan - Growth Option</v>
          </cell>
          <cell r="E16863">
            <v>12.4802</v>
          </cell>
        </row>
        <row r="16864">
          <cell r="B16864" t="str">
            <v>INF789FC10P3</v>
          </cell>
          <cell r="C16864" t="str">
            <v>-</v>
          </cell>
          <cell r="D16864" t="str">
            <v>UTI Fixed Term Income Fund Series XXIX-I (1134 days) - Regular Plan - Growth Opton</v>
          </cell>
          <cell r="E16864">
            <v>12.3558</v>
          </cell>
        </row>
        <row r="16865">
          <cell r="B16865" t="str">
            <v>INF789FC17Q6</v>
          </cell>
          <cell r="C16865" t="str">
            <v>-</v>
          </cell>
          <cell r="D16865" t="str">
            <v>UTI Fixed Term Income fund - Series XXIX - II (1118 DAYS) - Direct Plan - Annual IDCW</v>
          </cell>
          <cell r="E16865">
            <v>9.7360000000000007</v>
          </cell>
        </row>
        <row r="16866">
          <cell r="B16866" t="str">
            <v>INF789FC18Q4</v>
          </cell>
          <cell r="C16866" t="str">
            <v>-</v>
          </cell>
          <cell r="D16866" t="str">
            <v>UTI Fixed Term Income fund - Series XXIX - II (1118 DAYS) - Direct Plan - Maturity IDCW</v>
          </cell>
          <cell r="E16866">
            <v>10</v>
          </cell>
        </row>
        <row r="16867">
          <cell r="B16867" t="str">
            <v>INF789FC16Q8</v>
          </cell>
          <cell r="C16867" t="str">
            <v>-</v>
          </cell>
          <cell r="D16867" t="str">
            <v>UTI Fixed Term Income fund - Series XXIX - II (1118 DAYS) - Direct Plan - Quarterly IDCW</v>
          </cell>
          <cell r="E16867">
            <v>9.7356999999999996</v>
          </cell>
        </row>
        <row r="16868">
          <cell r="B16868" t="str">
            <v>INF789FC12Q7</v>
          </cell>
          <cell r="C16868" t="str">
            <v>-</v>
          </cell>
          <cell r="D16868" t="str">
            <v>UTI Fixed Term Income fund - Series XXIX - II (1118 DAYS) - Regular Plan - Annual IDCW</v>
          </cell>
          <cell r="E16868">
            <v>9.73</v>
          </cell>
        </row>
        <row r="16869">
          <cell r="B16869" t="str">
            <v>INF789FC15Q0</v>
          </cell>
          <cell r="C16869" t="str">
            <v>-</v>
          </cell>
          <cell r="D16869" t="str">
            <v>UTI Fixed Term Income fund - Series XXIX - II (1118 DAYS) - Regular Plan - Flexi IDCW</v>
          </cell>
          <cell r="E16869">
            <v>10</v>
          </cell>
        </row>
        <row r="16870">
          <cell r="B16870" t="str">
            <v>INF789FC13Q5</v>
          </cell>
          <cell r="C16870" t="str">
            <v>-</v>
          </cell>
          <cell r="D16870" t="str">
            <v>UTI Fixed Term Income fund - Series XXIX - II (1118 DAYS) - Regular Plan - Maturity IDCW</v>
          </cell>
          <cell r="E16870">
            <v>10</v>
          </cell>
        </row>
        <row r="16871">
          <cell r="B16871" t="str">
            <v>INF789FC11Q9</v>
          </cell>
          <cell r="C16871" t="str">
            <v>-</v>
          </cell>
          <cell r="D16871" t="str">
            <v>UTI Fixed Term Income fund - Series XXIX - II (1118 DAYS) - Regular Plan - Quarterly IDCW</v>
          </cell>
          <cell r="E16871">
            <v>9.7297999999999991</v>
          </cell>
        </row>
        <row r="16872">
          <cell r="B16872" t="str">
            <v>INF789FC19Q2</v>
          </cell>
          <cell r="C16872" t="str">
            <v>-</v>
          </cell>
          <cell r="D16872" t="str">
            <v>UTI Fixed Term Income Fund Series XXIX-II ( 1118 Days) - Direct Plan - Growth Option</v>
          </cell>
          <cell r="E16872">
            <v>11.419</v>
          </cell>
        </row>
        <row r="16873">
          <cell r="B16873" t="str">
            <v>INF789FC14Q3</v>
          </cell>
          <cell r="C16873" t="str">
            <v>-</v>
          </cell>
          <cell r="D16873" t="str">
            <v>UTI Fixed Term Income Fund Series XXIX-II (1118 days) - Regular Plan - Growth Option</v>
          </cell>
          <cell r="E16873">
            <v>11.305400000000001</v>
          </cell>
        </row>
        <row r="16874">
          <cell r="B16874" t="str">
            <v>INF789FC17R4</v>
          </cell>
          <cell r="C16874" t="str">
            <v>-</v>
          </cell>
          <cell r="D16874" t="str">
            <v>UTI Fixed Term Income fund - Series XXIX - III (1131 DAYS) - Direct Plan - Annual IDCW</v>
          </cell>
          <cell r="E16874">
            <v>10</v>
          </cell>
        </row>
        <row r="16875">
          <cell r="B16875" t="str">
            <v>INF789FC10S7</v>
          </cell>
          <cell r="C16875" t="str">
            <v>-</v>
          </cell>
          <cell r="D16875" t="str">
            <v>UTI Fixed Term Income fund - Series XXIX - III (1131 DAYS) - Direct Plan - Flexi IDCW</v>
          </cell>
          <cell r="E16875">
            <v>10</v>
          </cell>
        </row>
        <row r="16876">
          <cell r="B16876" t="str">
            <v>INF789FC18R2</v>
          </cell>
          <cell r="C16876" t="str">
            <v>-</v>
          </cell>
          <cell r="D16876" t="str">
            <v>UTI Fixed Term Income fund - Series XXIX - III (1131 DAYS) - Direct Plan - Maturity IDCW</v>
          </cell>
          <cell r="E16876">
            <v>10</v>
          </cell>
        </row>
        <row r="16877">
          <cell r="B16877" t="str">
            <v>INF789FC16R6</v>
          </cell>
          <cell r="C16877" t="str">
            <v>-</v>
          </cell>
          <cell r="D16877" t="str">
            <v>UTI Fixed Term Income fund - Series XXIX - III (1131 DAYS) - Direct Plan - Quarterly IDCW</v>
          </cell>
          <cell r="E16877">
            <v>10</v>
          </cell>
        </row>
        <row r="16878">
          <cell r="B16878" t="str">
            <v>INF789FC12R5</v>
          </cell>
          <cell r="C16878" t="str">
            <v>-</v>
          </cell>
          <cell r="D16878" t="str">
            <v>UTI Fixed Term Income fund - Series XXIX - III (1131 DAYS) - Regular Plan - Annual IDCW</v>
          </cell>
          <cell r="E16878">
            <v>10</v>
          </cell>
        </row>
        <row r="16879">
          <cell r="B16879" t="str">
            <v>INF789FC13R3</v>
          </cell>
          <cell r="C16879" t="str">
            <v>-</v>
          </cell>
          <cell r="D16879" t="str">
            <v>UTI Fixed Term Income fund - Series XXIX - III (1131 DAYS) - Regular Plan - Maturity IDCW</v>
          </cell>
          <cell r="E16879">
            <v>10</v>
          </cell>
        </row>
        <row r="16880">
          <cell r="B16880" t="str">
            <v>INF789FC11R7</v>
          </cell>
          <cell r="C16880" t="str">
            <v>-</v>
          </cell>
          <cell r="D16880" t="str">
            <v>UTI Fixed Term Income fund - Series XXIX - III (1131 DAYS) - Regular Plan - Quarterly IDCW</v>
          </cell>
          <cell r="E16880">
            <v>10</v>
          </cell>
        </row>
        <row r="16881">
          <cell r="B16881" t="str">
            <v>INF789FC19R0</v>
          </cell>
          <cell r="C16881" t="str">
            <v>-</v>
          </cell>
          <cell r="D16881" t="str">
            <v>UTI Fixed Term Income Fund Series XXIX-III (1131 days) - Direct Plan - Growth Option</v>
          </cell>
          <cell r="E16881">
            <v>11.395099999999999</v>
          </cell>
        </row>
        <row r="16882">
          <cell r="B16882" t="str">
            <v>INF789FC14R1</v>
          </cell>
          <cell r="C16882" t="str">
            <v>-</v>
          </cell>
          <cell r="D16882" t="str">
            <v>UTI Fixed Term Income Fund Series XXIX-III (1131 days) - Regular Plan - Growth Option</v>
          </cell>
          <cell r="E16882">
            <v>11.281499999999999</v>
          </cell>
        </row>
        <row r="16883">
          <cell r="B16883" t="str">
            <v>INF789FC10T5</v>
          </cell>
          <cell r="C16883" t="str">
            <v>-</v>
          </cell>
          <cell r="D16883" t="str">
            <v>UTI Fixed Term Income fund - Series XXIX - IV (1422 DAYS) - Direct Plan - Flexi IDCW</v>
          </cell>
          <cell r="E16883">
            <v>10</v>
          </cell>
        </row>
        <row r="16884">
          <cell r="B16884" t="str">
            <v>INF789FC12S3</v>
          </cell>
          <cell r="C16884" t="str">
            <v>-</v>
          </cell>
          <cell r="D16884" t="str">
            <v>UTI Fixed Term Income fund - Series XXIX - IV (1422 DAYS) - Regular Plan - Annual IDCW</v>
          </cell>
          <cell r="E16884">
            <v>10</v>
          </cell>
        </row>
        <row r="16885">
          <cell r="B16885" t="str">
            <v>INF789FC19S8</v>
          </cell>
          <cell r="C16885" t="str">
            <v>-</v>
          </cell>
          <cell r="D16885" t="str">
            <v>UTI Fixed Term Income Fund Series XXIX-IV (1422 days) - Direct Plan - Growth Option</v>
          </cell>
          <cell r="E16885">
            <v>13.4977</v>
          </cell>
        </row>
        <row r="16886">
          <cell r="B16886" t="str">
            <v>INF789FC14S9</v>
          </cell>
          <cell r="C16886" t="str">
            <v>-</v>
          </cell>
          <cell r="D16886" t="str">
            <v>UTI Fixed Term Income Fund Series XXIX-IV (1422 days) - Regular Plan - Growth Option</v>
          </cell>
          <cell r="E16886">
            <v>13.394500000000001</v>
          </cell>
        </row>
        <row r="16887">
          <cell r="B16887" t="str">
            <v>INF789FC19X8</v>
          </cell>
          <cell r="C16887" t="str">
            <v>-</v>
          </cell>
          <cell r="D16887" t="str">
            <v>UTI Fixed Term Income fund - Series XXIX - IX (1109 DAYS) - Direct Plan - Annual IDCW</v>
          </cell>
          <cell r="E16887">
            <v>10.0001</v>
          </cell>
        </row>
        <row r="16888">
          <cell r="B16888" t="str">
            <v>INF789FC10Y5</v>
          </cell>
          <cell r="C16888" t="str">
            <v>-</v>
          </cell>
          <cell r="D16888" t="str">
            <v>UTI Fixed Term Income fund - Series XXIX - IX (1109 DAYS) - Direct Plan - Maturity IDCW</v>
          </cell>
          <cell r="E16888">
            <v>10</v>
          </cell>
        </row>
        <row r="16889">
          <cell r="B16889" t="str">
            <v>INF789FC18X0</v>
          </cell>
          <cell r="C16889" t="str">
            <v>-</v>
          </cell>
          <cell r="D16889" t="str">
            <v>UTI Fixed Term Income fund - Series XXIX - IX (1109 DAYS) - Direct Plan - Quarterly IDCW</v>
          </cell>
          <cell r="E16889">
            <v>10</v>
          </cell>
        </row>
        <row r="16890">
          <cell r="B16890" t="str">
            <v>INF789FC14X9</v>
          </cell>
          <cell r="C16890" t="str">
            <v>-</v>
          </cell>
          <cell r="D16890" t="str">
            <v>UTI Fixed Term Income fund - Series XXIX - IX (1109 DAYS) - Regular Plan - Annual IDCW</v>
          </cell>
          <cell r="E16890">
            <v>10</v>
          </cell>
        </row>
        <row r="16891">
          <cell r="B16891" t="str">
            <v>INF789FC15X6</v>
          </cell>
          <cell r="C16891" t="str">
            <v>-</v>
          </cell>
          <cell r="D16891" t="str">
            <v>UTI Fixed Term Income fund - Series XXIX - IX (1109 DAYS) - Regular Plan - Maturity IDCW</v>
          </cell>
          <cell r="E16891">
            <v>10.0001</v>
          </cell>
        </row>
        <row r="16892">
          <cell r="B16892" t="str">
            <v>INF789FC13X1</v>
          </cell>
          <cell r="C16892" t="str">
            <v>-</v>
          </cell>
          <cell r="D16892" t="str">
            <v>UTI Fixed Term Income fund - Series XXIX - IX (1109 DAYS) - Regular Plan - Quarterly IDCW</v>
          </cell>
          <cell r="E16892">
            <v>10</v>
          </cell>
        </row>
        <row r="16893">
          <cell r="B16893" t="str">
            <v>INF789FC11Y3</v>
          </cell>
          <cell r="C16893" t="str">
            <v>-</v>
          </cell>
          <cell r="D16893" t="str">
            <v>UTI Fixed Term Income Fund Series XXIX-IX (1109 days) - Direct Plan - Growth Option</v>
          </cell>
          <cell r="E16893">
            <v>10.966900000000001</v>
          </cell>
        </row>
        <row r="16894">
          <cell r="B16894" t="str">
            <v>INF789FC16X4</v>
          </cell>
          <cell r="C16894" t="str">
            <v>-</v>
          </cell>
          <cell r="D16894" t="str">
            <v>UTI Fixed Term Income Fund Series XXIX-IX (1109 days) - Regular Plan - Growth Option</v>
          </cell>
          <cell r="E16894">
            <v>10.8574</v>
          </cell>
        </row>
        <row r="16895">
          <cell r="B16895" t="str">
            <v>INF789FC19T6</v>
          </cell>
          <cell r="C16895" t="str">
            <v>-</v>
          </cell>
          <cell r="D16895" t="str">
            <v>UTI Fixed Term Income fund - Series XXIX - V (1113 DAYS) - Direct Plan - Annual IDCW</v>
          </cell>
          <cell r="E16895">
            <v>10</v>
          </cell>
        </row>
        <row r="16896">
          <cell r="B16896" t="str">
            <v>INF789FC12U9</v>
          </cell>
          <cell r="C16896" t="str">
            <v>-</v>
          </cell>
          <cell r="D16896" t="str">
            <v>UTI Fixed Term Income fund - Series XXIX - V (1113 DAYS) - Direct Plan - Flexi IDCW</v>
          </cell>
          <cell r="E16896">
            <v>10</v>
          </cell>
        </row>
        <row r="16897">
          <cell r="B16897" t="str">
            <v>INF789FC10U3</v>
          </cell>
          <cell r="C16897" t="str">
            <v>-</v>
          </cell>
          <cell r="D16897" t="str">
            <v>UTI Fixed Term Income fund - Series XXIX - V (1113 DAYS) - Direct Plan - Maturity IDCW</v>
          </cell>
          <cell r="E16897">
            <v>10</v>
          </cell>
        </row>
        <row r="16898">
          <cell r="B16898" t="str">
            <v>INF789FC18T8</v>
          </cell>
          <cell r="C16898" t="str">
            <v>-</v>
          </cell>
          <cell r="D16898" t="str">
            <v>UTI Fixed Term Income fund - Series XXIX - V (1113 DAYS) - Direct Plan - Quarterly IDCW</v>
          </cell>
          <cell r="E16898">
            <v>10</v>
          </cell>
        </row>
        <row r="16899">
          <cell r="B16899" t="str">
            <v>INF789FC14T7</v>
          </cell>
          <cell r="C16899" t="str">
            <v>-</v>
          </cell>
          <cell r="D16899" t="str">
            <v>UTI Fixed Term Income fund - Series XXIX - V (1113 DAYS) - Regular Plan - Annual IDCW</v>
          </cell>
          <cell r="E16899">
            <v>10</v>
          </cell>
        </row>
        <row r="16900">
          <cell r="B16900" t="str">
            <v>INF789FC17T0</v>
          </cell>
          <cell r="C16900" t="str">
            <v>-</v>
          </cell>
          <cell r="D16900" t="str">
            <v>UTI Fixed Term Income fund - Series XXIX - V (1113 DAYS) - Regular Plan - Flexi IDCW</v>
          </cell>
          <cell r="E16900">
            <v>10</v>
          </cell>
        </row>
        <row r="16901">
          <cell r="B16901" t="str">
            <v>INF789FC15T4</v>
          </cell>
          <cell r="C16901" t="str">
            <v>-</v>
          </cell>
          <cell r="D16901" t="str">
            <v>UTI Fixed Term Income fund - Series XXIX - V (1113 DAYS) - Regular Plan - Maturity IDCW</v>
          </cell>
          <cell r="E16901">
            <v>10</v>
          </cell>
        </row>
        <row r="16902">
          <cell r="B16902" t="str">
            <v>INF789FC13T9</v>
          </cell>
          <cell r="C16902" t="str">
            <v>-</v>
          </cell>
          <cell r="D16902" t="str">
            <v>UTI Fixed Term Income fund - Series XXIX - V (1113 DAYS) - Regular Plan - Quarterly IDCW</v>
          </cell>
          <cell r="E16902">
            <v>10</v>
          </cell>
        </row>
        <row r="16903">
          <cell r="B16903" t="str">
            <v>INF789FC11U1</v>
          </cell>
          <cell r="C16903" t="str">
            <v>-</v>
          </cell>
          <cell r="D16903" t="str">
            <v>UTI Fixed Term Income Fund Series XXIX-V (1113 days) - Direct Plan - Growth Option</v>
          </cell>
          <cell r="E16903">
            <v>11.533099999999999</v>
          </cell>
        </row>
        <row r="16904">
          <cell r="B16904" t="str">
            <v>INF789FC16T2</v>
          </cell>
          <cell r="C16904" t="str">
            <v>-</v>
          </cell>
          <cell r="D16904" t="str">
            <v>UTI Fixed Term Income Fund Series XXIX-V (1113 days) - Regular Plan - Growth Option</v>
          </cell>
          <cell r="E16904">
            <v>11.4175</v>
          </cell>
        </row>
        <row r="16905">
          <cell r="B16905" t="str">
            <v>INF789FC19U4</v>
          </cell>
          <cell r="C16905" t="str">
            <v>-</v>
          </cell>
          <cell r="D16905" t="str">
            <v>UTI Fixed Term Income fund - Series XXIX - VI (1135 DAYS) - Direct Plan - Annual IDCW</v>
          </cell>
          <cell r="E16905">
            <v>10</v>
          </cell>
        </row>
        <row r="16906">
          <cell r="B16906" t="str">
            <v>INF789FC14U5</v>
          </cell>
          <cell r="C16906" t="str">
            <v>-</v>
          </cell>
          <cell r="D16906" t="str">
            <v>UTI Fixed Term Income fund - Series XXIX - VI (1135 DAYS) - Regular Plan - Annual IDCW</v>
          </cell>
          <cell r="E16906">
            <v>10</v>
          </cell>
        </row>
        <row r="16907">
          <cell r="B16907" t="str">
            <v>INF789FC11V9</v>
          </cell>
          <cell r="C16907" t="str">
            <v>-</v>
          </cell>
          <cell r="D16907" t="str">
            <v>UTI Fixed Term Income Fund Series XXIX-VI (1135 days) - Direct Plan - Growth Option</v>
          </cell>
          <cell r="E16907">
            <v>12.749000000000001</v>
          </cell>
        </row>
        <row r="16908">
          <cell r="B16908" t="str">
            <v>INF789FC16U0</v>
          </cell>
          <cell r="C16908" t="str">
            <v>-</v>
          </cell>
          <cell r="D16908" t="str">
            <v>UTI Fixed Term Income Fund Series XXIX-VI (1135 days) - Regular Plan - Growth Option</v>
          </cell>
          <cell r="E16908">
            <v>12.711</v>
          </cell>
        </row>
        <row r="16909">
          <cell r="B16909" t="str">
            <v>INF789FC18V4</v>
          </cell>
          <cell r="C16909" t="str">
            <v>-</v>
          </cell>
          <cell r="D16909" t="str">
            <v>UTI Fixed Term Income fund - Series XXIX - VII (1135 DAYS) - Direct Plan - Quarterly IDCW</v>
          </cell>
          <cell r="E16909">
            <v>10</v>
          </cell>
        </row>
        <row r="16910">
          <cell r="B16910" t="str">
            <v>INF789FC14V3</v>
          </cell>
          <cell r="C16910" t="str">
            <v>-</v>
          </cell>
          <cell r="D16910" t="str">
            <v>UTI Fixed Term Income fund - Series XXIX - VII (1135 DAYS) - Regular Plan - Annual IDCW</v>
          </cell>
          <cell r="E16910">
            <v>10</v>
          </cell>
        </row>
        <row r="16911">
          <cell r="B16911" t="str">
            <v>INF789FC13V5</v>
          </cell>
          <cell r="C16911" t="str">
            <v>-</v>
          </cell>
          <cell r="D16911" t="str">
            <v>UTI Fixed Term Income fund - Series XXIX - VII (1135 DAYS) - Regular Plan - Quarterly IDCW</v>
          </cell>
          <cell r="E16911">
            <v>10</v>
          </cell>
        </row>
        <row r="16912">
          <cell r="B16912" t="str">
            <v>INF789FC11W7</v>
          </cell>
          <cell r="C16912" t="str">
            <v>-</v>
          </cell>
          <cell r="D16912" t="str">
            <v>UTI Fixed Term Income Fund Series XXIX-VII (1135 days) - Direct Plan - Growth Option</v>
          </cell>
          <cell r="E16912">
            <v>12.5388</v>
          </cell>
        </row>
        <row r="16913">
          <cell r="B16913" t="str">
            <v>INF789FC16V8</v>
          </cell>
          <cell r="C16913" t="str">
            <v>-</v>
          </cell>
          <cell r="D16913" t="str">
            <v>UTI Fixed Term Income Fund Series XXIX-VII (1135 days) - Regular Plan - Growth Option</v>
          </cell>
          <cell r="E16913">
            <v>12.443199999999999</v>
          </cell>
        </row>
        <row r="16914">
          <cell r="B16914" t="str">
            <v>INF789FC19W0</v>
          </cell>
          <cell r="C16914" t="str">
            <v>-</v>
          </cell>
          <cell r="D16914" t="str">
            <v>UTI Fixed Term Income fund - Series XXIX - VIII (1127 DAYS) - Direct Plan - Annual IDCW</v>
          </cell>
          <cell r="E16914">
            <v>10</v>
          </cell>
        </row>
        <row r="16915">
          <cell r="B16915" t="str">
            <v>INF789FC12X3</v>
          </cell>
          <cell r="C16915" t="str">
            <v>-</v>
          </cell>
          <cell r="D16915" t="str">
            <v>UTI Fixed Term Income fund - Series XXIX - VIII (1127 DAYS) - Direct Plan - Flexi IDCW</v>
          </cell>
          <cell r="E16915">
            <v>10</v>
          </cell>
        </row>
        <row r="16916">
          <cell r="B16916" t="str">
            <v>INF789FC10X7</v>
          </cell>
          <cell r="C16916" t="str">
            <v>-</v>
          </cell>
          <cell r="D16916" t="str">
            <v>UTI Fixed Term Income fund - Series XXIX - VIII (1127 DAYS) - Direct Plan - Maturity IDCW</v>
          </cell>
          <cell r="E16916">
            <v>10</v>
          </cell>
        </row>
        <row r="16917">
          <cell r="B16917" t="str">
            <v>INF789FC18W2</v>
          </cell>
          <cell r="C16917" t="str">
            <v>-</v>
          </cell>
          <cell r="D16917" t="str">
            <v>UTI Fixed Term Income fund - Series XXIX - VIII (1127 DAYS) - Direct Plan - Quarterly IDCW</v>
          </cell>
          <cell r="E16917">
            <v>10</v>
          </cell>
        </row>
        <row r="16918">
          <cell r="B16918" t="str">
            <v>INF789FC14W1</v>
          </cell>
          <cell r="C16918" t="str">
            <v>-</v>
          </cell>
          <cell r="D16918" t="str">
            <v>UTI Fixed Term Income fund - Series XXIX - VIII (1127 DAYS) - Regular Plan - Annual IDCW</v>
          </cell>
          <cell r="E16918">
            <v>10</v>
          </cell>
        </row>
        <row r="16919">
          <cell r="B16919" t="str">
            <v>INF789FC17W4</v>
          </cell>
          <cell r="C16919" t="str">
            <v>-</v>
          </cell>
          <cell r="D16919" t="str">
            <v>UTI Fixed Term Income fund - Series XXIX - VIII (1127 DAYS) - Regular Plan - Flexi IDCW</v>
          </cell>
          <cell r="E16919">
            <v>10</v>
          </cell>
        </row>
        <row r="16920">
          <cell r="B16920" t="str">
            <v>INF789FC13W3</v>
          </cell>
          <cell r="C16920" t="str">
            <v>-</v>
          </cell>
          <cell r="D16920" t="str">
            <v>UTI Fixed Term Income fund - Series XXIX - VIII (1127 DAYS) - Regular Plan - Quarterly IDCW</v>
          </cell>
          <cell r="E16920">
            <v>10</v>
          </cell>
        </row>
        <row r="16921">
          <cell r="B16921" t="str">
            <v>INF789FC11X5</v>
          </cell>
          <cell r="C16921" t="str">
            <v>-</v>
          </cell>
          <cell r="D16921" t="str">
            <v>UTI Fixed Term Income Fund Series XXIX-VIII (1127 days) - Direct Plan - Growth Option</v>
          </cell>
          <cell r="E16921">
            <v>12.765000000000001</v>
          </cell>
        </row>
        <row r="16922">
          <cell r="B16922" t="str">
            <v>INF789FC16W6</v>
          </cell>
          <cell r="C16922" t="str">
            <v>-</v>
          </cell>
          <cell r="D16922" t="str">
            <v>UTI Fixed Term Income Fund Series XXIX-VIII (1127 days) - Regular Plan - Growth Option</v>
          </cell>
          <cell r="E16922">
            <v>12.669499999999999</v>
          </cell>
        </row>
        <row r="16923">
          <cell r="B16923" t="str">
            <v>INF789F1A033</v>
          </cell>
          <cell r="C16923" t="str">
            <v>-</v>
          </cell>
          <cell r="D16923" t="str">
            <v>UTI Fixed Term Income fund - Series XXIX - XI (1112 DAYS) - Direct Plan - Flexi IDCW</v>
          </cell>
          <cell r="E16923">
            <v>10</v>
          </cell>
        </row>
        <row r="16924">
          <cell r="B16924" t="str">
            <v>INF789F1A017</v>
          </cell>
          <cell r="C16924" t="str">
            <v>-</v>
          </cell>
          <cell r="D16924" t="str">
            <v>UTI Fixed Term Income fund - Series XXIX - XI (1112 DAYS) - Direct Plan - Maturity IDCW</v>
          </cell>
          <cell r="E16924">
            <v>10</v>
          </cell>
        </row>
        <row r="16925">
          <cell r="B16925" t="str">
            <v>INF789F1A025</v>
          </cell>
          <cell r="C16925" t="str">
            <v>-</v>
          </cell>
          <cell r="D16925" t="str">
            <v>UTI Fixed Term Income Fund Series XXIX-XI (1112 days) - Direct Plan - Growth Option</v>
          </cell>
          <cell r="E16925">
            <v>11.286799999999999</v>
          </cell>
        </row>
        <row r="16926">
          <cell r="B16926" t="str">
            <v>INF789FC16Z9</v>
          </cell>
          <cell r="C16926" t="str">
            <v>-</v>
          </cell>
          <cell r="D16926" t="str">
            <v>UTI Fixed Term Income Fund Series XXIX-XI (1112 days) - Regular Plan - Growth Option</v>
          </cell>
          <cell r="E16926">
            <v>11.202500000000001</v>
          </cell>
        </row>
        <row r="16927">
          <cell r="B16927" t="str">
            <v>INF789F1A108</v>
          </cell>
          <cell r="C16927" t="str">
            <v>-</v>
          </cell>
          <cell r="D16927" t="str">
            <v>UTI Fixed Term Income fund - Series XXIX - XIII (1122 DAYS) - Direct Plan - Annual IDCW</v>
          </cell>
          <cell r="E16927">
            <v>10</v>
          </cell>
        </row>
        <row r="16928">
          <cell r="B16928" t="str">
            <v>INF789F1A116</v>
          </cell>
          <cell r="C16928" t="str">
            <v>-</v>
          </cell>
          <cell r="D16928" t="str">
            <v>UTI Fixed Term Income fund - Series XXIX - XIII (1122 DAYS) - Direct Plan - Maturity IDCW</v>
          </cell>
          <cell r="E16928">
            <v>10</v>
          </cell>
        </row>
        <row r="16929">
          <cell r="B16929" t="str">
            <v>INF789F1A090</v>
          </cell>
          <cell r="C16929" t="str">
            <v>-</v>
          </cell>
          <cell r="D16929" t="str">
            <v>UTI Fixed Term Income fund - Series XXIX - XIII (1122 DAYS) - Direct Plan - Quarterly IDCW</v>
          </cell>
          <cell r="E16929">
            <v>10</v>
          </cell>
        </row>
        <row r="16930">
          <cell r="B16930" t="str">
            <v>INF789F1A058</v>
          </cell>
          <cell r="C16930" t="str">
            <v>-</v>
          </cell>
          <cell r="D16930" t="str">
            <v>UTI Fixed Term Income fund - Series XXIX - XIII (1122 DAYS) - Regular Plan - Annual IDCW</v>
          </cell>
          <cell r="E16930">
            <v>10</v>
          </cell>
        </row>
        <row r="16931">
          <cell r="B16931" t="str">
            <v>INF789F1A082</v>
          </cell>
          <cell r="C16931" t="str">
            <v>-</v>
          </cell>
          <cell r="D16931" t="str">
            <v>UTI Fixed Term Income fund - Series XXIX - XIII (1122 DAYS) - Regular Plan - Flexi IDCW</v>
          </cell>
          <cell r="E16931">
            <v>10</v>
          </cell>
        </row>
        <row r="16932">
          <cell r="B16932" t="str">
            <v>INF789F1A066</v>
          </cell>
          <cell r="C16932" t="str">
            <v>-</v>
          </cell>
          <cell r="D16932" t="str">
            <v>UTI Fixed Term Income fund - Series XXIX - XIII (1122 DAYS) - Regular Plan - Maturity IDCW</v>
          </cell>
          <cell r="E16932">
            <v>10</v>
          </cell>
        </row>
        <row r="16933">
          <cell r="B16933" t="str">
            <v>INF789F1A041</v>
          </cell>
          <cell r="C16933" t="str">
            <v>-</v>
          </cell>
          <cell r="D16933" t="str">
            <v>UTI Fixed Term Income fund - Series XXIX - XIII (1122 DAYS) - Regular Plan - Quarterly IDCW</v>
          </cell>
          <cell r="E16933">
            <v>10</v>
          </cell>
        </row>
        <row r="16934">
          <cell r="B16934" t="str">
            <v>INF789F1A124</v>
          </cell>
          <cell r="C16934" t="str">
            <v>-</v>
          </cell>
          <cell r="D16934" t="str">
            <v>UTI Fixed Term Income Fund Series XXIX-XIII (1122 days) - Direct Plan - Growth Option</v>
          </cell>
          <cell r="E16934">
            <v>12.2971</v>
          </cell>
        </row>
        <row r="16935">
          <cell r="B16935" t="str">
            <v>INF789F1A074</v>
          </cell>
          <cell r="C16935" t="str">
            <v>-</v>
          </cell>
          <cell r="D16935" t="str">
            <v>UTI Fixed Term Income Fund Series XXIX-XIII (1122 days) - Regular Plan - Growth Option</v>
          </cell>
          <cell r="E16935">
            <v>12.1747</v>
          </cell>
        </row>
        <row r="16936">
          <cell r="B16936" t="str">
            <v>INF789F1A298</v>
          </cell>
          <cell r="C16936" t="str">
            <v>-</v>
          </cell>
          <cell r="D16936" t="str">
            <v>UTI Fixed Term Income fund - Series XXIX - XIV (1131 DAYS) - Direct Plan - Quarterly IDCW</v>
          </cell>
          <cell r="E16936">
            <v>10</v>
          </cell>
        </row>
        <row r="16937">
          <cell r="B16937" t="str">
            <v>INF789F1A264</v>
          </cell>
          <cell r="C16937" t="str">
            <v>-</v>
          </cell>
          <cell r="D16937" t="str">
            <v>UTI Fixed Term Income fund - Series XXIX - XIV (1131 DAYS) - Regular Plan - Maturity IDCW</v>
          </cell>
          <cell r="E16937">
            <v>10</v>
          </cell>
        </row>
        <row r="16938">
          <cell r="B16938" t="str">
            <v>INF789F1A322</v>
          </cell>
          <cell r="C16938" t="str">
            <v>-</v>
          </cell>
          <cell r="D16938" t="str">
            <v>UTI Fixed Term Income Fund Series XXIX-XIV (1131 days) - Direct Plan - Growth Option</v>
          </cell>
          <cell r="E16938">
            <v>12.704000000000001</v>
          </cell>
        </row>
        <row r="16939">
          <cell r="B16939" t="str">
            <v>INF789F1A272</v>
          </cell>
          <cell r="C16939" t="str">
            <v>-</v>
          </cell>
          <cell r="D16939" t="str">
            <v>UTI Fixed Term Income Fund Series XXIX-XIV (1131 days) - Regular Plan - Growth Option</v>
          </cell>
          <cell r="E16939">
            <v>12.609</v>
          </cell>
        </row>
        <row r="16940">
          <cell r="B16940" t="str">
            <v>INF789F1A413</v>
          </cell>
          <cell r="C16940" t="str">
            <v>-</v>
          </cell>
          <cell r="D16940" t="str">
            <v>UTI Fixed Term Income Fund Series XXIX-XV (1124 days) - Direct Plan - Growth Option</v>
          </cell>
          <cell r="E16940">
            <v>12.661799999999999</v>
          </cell>
        </row>
        <row r="16941">
          <cell r="B16941" t="str">
            <v>INF789F1A371</v>
          </cell>
          <cell r="C16941" t="str">
            <v>-</v>
          </cell>
          <cell r="D16941" t="str">
            <v>UTI Fixed Term Income Fund Series XXIX-XV (1124 days) - Regular Plan - Growth Option</v>
          </cell>
          <cell r="E16941">
            <v>12.5669</v>
          </cell>
        </row>
        <row r="16942">
          <cell r="B16942" t="str">
            <v>INF789F1A694</v>
          </cell>
          <cell r="C16942" t="str">
            <v>-</v>
          </cell>
          <cell r="D16942" t="str">
            <v>UTI Fixed Term Income fund - Series XXX - I (1104 DAYS) - Direct Plan - Maturity IDCW</v>
          </cell>
          <cell r="E16942">
            <v>10</v>
          </cell>
        </row>
        <row r="16943">
          <cell r="B16943" t="str">
            <v>INF789F1A678</v>
          </cell>
          <cell r="C16943" t="str">
            <v>-</v>
          </cell>
          <cell r="D16943" t="str">
            <v>UTI Fixed Term Income fund - Series XXX - I (1104 DAYS) - Direct Plan - Quarterly IDCW</v>
          </cell>
          <cell r="E16943">
            <v>10</v>
          </cell>
        </row>
        <row r="16944">
          <cell r="B16944" t="str">
            <v>INF789F1A637</v>
          </cell>
          <cell r="C16944" t="str">
            <v>-</v>
          </cell>
          <cell r="D16944" t="str">
            <v>UTI Fixed Term Income fund - Series XXX - I (1104 DAYS) - Regular Plan - Annual IDCW</v>
          </cell>
          <cell r="E16944">
            <v>10</v>
          </cell>
        </row>
        <row r="16945">
          <cell r="B16945" t="str">
            <v>INF789F1A660</v>
          </cell>
          <cell r="C16945" t="str">
            <v>-</v>
          </cell>
          <cell r="D16945" t="str">
            <v>UTI Fixed Term Income fund - Series XXX - I (1104 DAYS) - Regular Plan - Flexi IDCW</v>
          </cell>
          <cell r="E16945">
            <v>10</v>
          </cell>
        </row>
        <row r="16946">
          <cell r="B16946" t="str">
            <v>INF789F1A645</v>
          </cell>
          <cell r="C16946" t="str">
            <v>-</v>
          </cell>
          <cell r="D16946" t="str">
            <v>UTI Fixed Term Income fund - Series XXX - I (1104 DAYS) - Regular Plan - Maturity IDCW</v>
          </cell>
          <cell r="E16946">
            <v>10</v>
          </cell>
        </row>
        <row r="16947">
          <cell r="B16947" t="str">
            <v>INF789F1A629</v>
          </cell>
          <cell r="C16947" t="str">
            <v>-</v>
          </cell>
          <cell r="D16947" t="str">
            <v>UTI Fixed Term Income fund - Series XXX - I (1104 DAYS) - Regular Plan - Quarterly IDCW</v>
          </cell>
          <cell r="E16947">
            <v>10</v>
          </cell>
        </row>
        <row r="16948">
          <cell r="B16948" t="str">
            <v>INF789F1A702</v>
          </cell>
          <cell r="C16948" t="str">
            <v>-</v>
          </cell>
          <cell r="D16948" t="str">
            <v>UTI Fixed Term Income Fund Series XXX-I (1104 days) - Direct Plan - Growth Option</v>
          </cell>
          <cell r="E16948">
            <v>12.209199999999999</v>
          </cell>
        </row>
        <row r="16949">
          <cell r="B16949" t="str">
            <v>INF789F1A652</v>
          </cell>
          <cell r="C16949" t="str">
            <v>-</v>
          </cell>
          <cell r="D16949" t="str">
            <v>UTI Fixed Term Income Fund Series XXX-I (1104 days) - Regular Plan - Growth Option</v>
          </cell>
          <cell r="E16949">
            <v>12.0875</v>
          </cell>
        </row>
        <row r="16950">
          <cell r="B16950" t="str">
            <v>INF789F1A926</v>
          </cell>
          <cell r="C16950" t="str">
            <v>-</v>
          </cell>
          <cell r="D16950" t="str">
            <v>UTI Fixed Term Income fund - Series XXX - II (1107 DAYS) - Direct Plan - Annual IDCW</v>
          </cell>
          <cell r="E16950">
            <v>10</v>
          </cell>
        </row>
        <row r="16951">
          <cell r="B16951" t="str">
            <v>INF789F1A868</v>
          </cell>
          <cell r="C16951" t="str">
            <v>-</v>
          </cell>
          <cell r="D16951" t="str">
            <v>UTI Fixed Term Income fund - Series XXX - II (1107 DAYS) - Regular Plan - Quarterly IDCW</v>
          </cell>
          <cell r="E16951">
            <v>10</v>
          </cell>
        </row>
        <row r="16952">
          <cell r="B16952" t="str">
            <v>INF789F1A942</v>
          </cell>
          <cell r="C16952" t="str">
            <v>-</v>
          </cell>
          <cell r="D16952" t="str">
            <v>UTI Fixed Term Income Fund Series XXX-II (1107 days) - Direct Plan - Growth Option</v>
          </cell>
          <cell r="E16952">
            <v>12.674799999999999</v>
          </cell>
        </row>
        <row r="16953">
          <cell r="B16953" t="str">
            <v>INF789F1A892</v>
          </cell>
          <cell r="C16953" t="str">
            <v>-</v>
          </cell>
          <cell r="D16953" t="str">
            <v>UTI Fixed Term Income Fund Series XXX-II (1107 days) - Regular Plan - Growth Option</v>
          </cell>
          <cell r="E16953">
            <v>12.5801</v>
          </cell>
        </row>
        <row r="16954">
          <cell r="B16954" t="str">
            <v>INF789F1AAC3</v>
          </cell>
          <cell r="C16954" t="str">
            <v>-</v>
          </cell>
          <cell r="D16954" t="str">
            <v>UTI Fixed Term Income Fund Series XXX-III (1106 Days) - Direct Plan - Annual IDCW</v>
          </cell>
          <cell r="E16954">
            <v>10</v>
          </cell>
        </row>
        <row r="16955">
          <cell r="B16955" t="str">
            <v>INF789F1AAF6</v>
          </cell>
          <cell r="C16955" t="str">
            <v>-</v>
          </cell>
          <cell r="D16955" t="str">
            <v>UTI Fixed Term Income Fund Series XXX-III (1106 Days) - Direct Plan - Flexi IDCW</v>
          </cell>
          <cell r="E16955">
            <v>10</v>
          </cell>
        </row>
        <row r="16956">
          <cell r="B16956" t="str">
            <v>INF789F1AAE9</v>
          </cell>
          <cell r="C16956" t="str">
            <v>-</v>
          </cell>
          <cell r="D16956" t="str">
            <v>UTI Fixed Term Income Fund Series XXX-III (1106 days) - Direct Plan - Growth Option</v>
          </cell>
          <cell r="E16956">
            <v>11.8575</v>
          </cell>
        </row>
        <row r="16957">
          <cell r="B16957" t="str">
            <v>INF789F1AAD1</v>
          </cell>
          <cell r="C16957" t="str">
            <v>-</v>
          </cell>
          <cell r="D16957" t="str">
            <v>UTI Fixed Term Income Fund Series XXX-III (1106 Days) - Direct Plan - Maturity IDCW</v>
          </cell>
          <cell r="E16957">
            <v>10</v>
          </cell>
        </row>
        <row r="16958">
          <cell r="B16958" t="str">
            <v>INF789F1AAB5</v>
          </cell>
          <cell r="C16958" t="str">
            <v>-</v>
          </cell>
          <cell r="D16958" t="str">
            <v>UTI Fixed Term Income Fund Series XXX-III (1106 Days) - Direct Plan - Quarterly IDCW</v>
          </cell>
          <cell r="E16958">
            <v>10</v>
          </cell>
        </row>
        <row r="16959">
          <cell r="B16959" t="str">
            <v>INF789F1A975</v>
          </cell>
          <cell r="C16959" t="str">
            <v>-</v>
          </cell>
          <cell r="D16959" t="str">
            <v>UTI Fixed Term Income Fund Series XXX-III (1106 Days) - Regular Plan - Annual IDCW</v>
          </cell>
          <cell r="E16959">
            <v>10</v>
          </cell>
        </row>
        <row r="16960">
          <cell r="B16960" t="str">
            <v>INF789F1AAA7</v>
          </cell>
          <cell r="C16960" t="str">
            <v>-</v>
          </cell>
          <cell r="D16960" t="str">
            <v>UTI Fixed Term Income Fund Series XXX-III (1106 Days) - Regular Plan - Flexi IDCW</v>
          </cell>
          <cell r="E16960">
            <v>10</v>
          </cell>
        </row>
        <row r="16961">
          <cell r="B16961" t="str">
            <v>INF789F1A991</v>
          </cell>
          <cell r="C16961" t="str">
            <v>-</v>
          </cell>
          <cell r="D16961" t="str">
            <v>UTI Fixed Term Income Fund Series XXX-III (1106 days) - Regular Plan - Growth Option</v>
          </cell>
          <cell r="E16961">
            <v>11.7394</v>
          </cell>
        </row>
        <row r="16962">
          <cell r="B16962" t="str">
            <v>INF789F1A983</v>
          </cell>
          <cell r="C16962" t="str">
            <v>-</v>
          </cell>
          <cell r="D16962" t="str">
            <v>UTI Fixed Term Income Fund Series XXX-III (1106 Days) - Regular Plan - Maturity IDCW</v>
          </cell>
          <cell r="E16962">
            <v>10</v>
          </cell>
        </row>
        <row r="16963">
          <cell r="B16963" t="str">
            <v>INF789F1A967</v>
          </cell>
          <cell r="C16963" t="str">
            <v>-</v>
          </cell>
          <cell r="D16963" t="str">
            <v>UTI Fixed Term Income Fund Series XXX-III (1106 Days) - Regular Plan - Quarterly IDCW</v>
          </cell>
          <cell r="E16963">
            <v>10</v>
          </cell>
        </row>
        <row r="16964">
          <cell r="B16964" t="str">
            <v>INF789F1AAL4</v>
          </cell>
          <cell r="C16964" t="str">
            <v>-</v>
          </cell>
          <cell r="D16964" t="str">
            <v>UTI - Fixed Term Income Fund Series XXX-IV (1125 Days) - Direct Plan - Growth Option</v>
          </cell>
          <cell r="E16964">
            <v>12.8672</v>
          </cell>
        </row>
        <row r="16965">
          <cell r="B16965" t="str">
            <v>INF789F1AAG4</v>
          </cell>
          <cell r="C16965" t="str">
            <v>-</v>
          </cell>
          <cell r="D16965" t="str">
            <v>UTI - Fixed Term Income Fund Series XXX-IV (1125 Days) - Regular Plan - Growth Option</v>
          </cell>
          <cell r="E16965">
            <v>12.7392</v>
          </cell>
        </row>
        <row r="16966">
          <cell r="B16966" t="str">
            <v>INF789F1AAN0</v>
          </cell>
          <cell r="C16966" t="str">
            <v>-</v>
          </cell>
          <cell r="D16966" t="str">
            <v>UTI Fixed Term Income Fund Series XXX-IV (1125 Days) - Direct Plan - Annual IDCW</v>
          </cell>
          <cell r="E16966">
            <v>10</v>
          </cell>
        </row>
        <row r="16967">
          <cell r="B16967" t="str">
            <v>INF789F1AAP5</v>
          </cell>
          <cell r="C16967" t="str">
            <v>-</v>
          </cell>
          <cell r="D16967" t="str">
            <v>UTI Fixed Term Income Fund Series XXX-IV (1125 Days) - Direct Plan - Flexi IDCW</v>
          </cell>
          <cell r="E16967">
            <v>10</v>
          </cell>
        </row>
        <row r="16968">
          <cell r="B16968" t="str">
            <v>INF789F1AAO8</v>
          </cell>
          <cell r="C16968" t="str">
            <v>-</v>
          </cell>
          <cell r="D16968" t="str">
            <v>UTI Fixed Term Income Fund Series XXX-IV (1125 Days) - Direct Plan - Maturity IDCW</v>
          </cell>
          <cell r="E16968">
            <v>10</v>
          </cell>
        </row>
        <row r="16969">
          <cell r="B16969" t="str">
            <v>INF789F1AAM2</v>
          </cell>
          <cell r="C16969" t="str">
            <v>-</v>
          </cell>
          <cell r="D16969" t="str">
            <v>UTI Fixed Term Income Fund Series XXX-IV (1125 Days) - Direct Plan - Quarterly IDCW</v>
          </cell>
          <cell r="E16969">
            <v>10</v>
          </cell>
        </row>
        <row r="16970">
          <cell r="B16970" t="str">
            <v>INF789F1AAI0</v>
          </cell>
          <cell r="C16970" t="str">
            <v>-</v>
          </cell>
          <cell r="D16970" t="str">
            <v>UTI Fixed Term Income Fund Series XXX-IV (1125 Days) - Regular Plan - Annual IDCW</v>
          </cell>
          <cell r="E16970">
            <v>10</v>
          </cell>
        </row>
        <row r="16971">
          <cell r="B16971" t="str">
            <v>INF789F1AAK6</v>
          </cell>
          <cell r="C16971" t="str">
            <v>-</v>
          </cell>
          <cell r="D16971" t="str">
            <v>UTI Fixed Term Income Fund Series XXX-IV (1125 Days) - Regular Plan - Flexi IDCW</v>
          </cell>
          <cell r="E16971">
            <v>10</v>
          </cell>
        </row>
        <row r="16972">
          <cell r="B16972" t="str">
            <v>INF789F1AAJ8</v>
          </cell>
          <cell r="C16972" t="str">
            <v>-</v>
          </cell>
          <cell r="D16972" t="str">
            <v>UTI Fixed Term Income Fund Series XXX-IV (1125 Days) - Regular Plan - Maturity IDCW</v>
          </cell>
          <cell r="E16972">
            <v>10.0001</v>
          </cell>
        </row>
        <row r="16973">
          <cell r="B16973" t="str">
            <v>INF789F1AAH2</v>
          </cell>
          <cell r="C16973" t="str">
            <v>-</v>
          </cell>
          <cell r="D16973" t="str">
            <v>UTI Fixed Term Income Fund Series XXX-IV (1125 Days) - Regular Plan - Quarterly IDCW</v>
          </cell>
          <cell r="E16973">
            <v>10</v>
          </cell>
        </row>
        <row r="16974">
          <cell r="B16974" t="str">
            <v>INF789F1ABZ2</v>
          </cell>
          <cell r="C16974" t="str">
            <v>-</v>
          </cell>
          <cell r="D16974" t="str">
            <v>UTI - Fixed Term Income Fund Series XXX-IX (1266 Days) - Direct Plan - Growth Option</v>
          </cell>
          <cell r="E16974">
            <v>13.377000000000001</v>
          </cell>
        </row>
        <row r="16975">
          <cell r="B16975" t="str">
            <v>INF789F1ABU3</v>
          </cell>
          <cell r="C16975" t="str">
            <v>-</v>
          </cell>
          <cell r="D16975" t="str">
            <v>UTI - Fixed Term Income Fund Series XXX-IX (1266 Days) - Regular Plan - Growth Option</v>
          </cell>
          <cell r="E16975">
            <v>13.215400000000001</v>
          </cell>
        </row>
        <row r="16976">
          <cell r="B16976" t="str">
            <v>INF789F1ACC9</v>
          </cell>
          <cell r="C16976" t="str">
            <v>-</v>
          </cell>
          <cell r="D16976" t="str">
            <v>UTI Fixed Term Income Fund Series XXX-IX (1266 Days) - Direct Plan - Maturity IDCW</v>
          </cell>
          <cell r="E16976">
            <v>10</v>
          </cell>
        </row>
        <row r="16977">
          <cell r="B16977" t="str">
            <v>INF789F1ACA3</v>
          </cell>
          <cell r="C16977" t="str">
            <v>-</v>
          </cell>
          <cell r="D16977" t="str">
            <v>UTI Fixed Term Income Fund Series XXX-IX (1266 Days) - Direct Plan - Quarterly IDCW</v>
          </cell>
          <cell r="E16977">
            <v>10</v>
          </cell>
        </row>
        <row r="16978">
          <cell r="B16978" t="str">
            <v>INF789F1ABW9</v>
          </cell>
          <cell r="C16978" t="str">
            <v>-</v>
          </cell>
          <cell r="D16978" t="str">
            <v>UTI Fixed Term Income Fund Series XXX-IX (1266 Days) - Regular Plan - Annual IDCW</v>
          </cell>
          <cell r="E16978">
            <v>10</v>
          </cell>
        </row>
        <row r="16979">
          <cell r="B16979" t="str">
            <v>INF789F1ABY5</v>
          </cell>
          <cell r="C16979" t="str">
            <v>-</v>
          </cell>
          <cell r="D16979" t="str">
            <v>UTI Fixed Term Income Fund Series XXX-IX (1266 Days) - Regular Plan - Flexi IDCW</v>
          </cell>
          <cell r="E16979">
            <v>10</v>
          </cell>
        </row>
        <row r="16980">
          <cell r="B16980" t="str">
            <v>INF789F1ABX7</v>
          </cell>
          <cell r="C16980" t="str">
            <v>-</v>
          </cell>
          <cell r="D16980" t="str">
            <v>UTI Fixed Term Income Fund Series XXX-IX (1266 Days) - Regular Plan - Maturity IDCW</v>
          </cell>
          <cell r="E16980">
            <v>10</v>
          </cell>
        </row>
        <row r="16981">
          <cell r="B16981" t="str">
            <v>INF789F1ABV1</v>
          </cell>
          <cell r="C16981" t="str">
            <v>-</v>
          </cell>
          <cell r="D16981" t="str">
            <v>UTI Fixed Term Income Fund Series XXX-IX (1266 Days) - Regular Plan - Quarterly IDCW</v>
          </cell>
          <cell r="E16981">
            <v>10</v>
          </cell>
        </row>
        <row r="16982">
          <cell r="B16982" t="str">
            <v>INF789F1AAV3</v>
          </cell>
          <cell r="C16982" t="str">
            <v>-</v>
          </cell>
          <cell r="D16982" t="str">
            <v>UTI - Fixed Term Income Fund Series XXX-V (1135 Days) - Direct Plan - Growth Option</v>
          </cell>
          <cell r="E16982">
            <v>12.7941</v>
          </cell>
        </row>
        <row r="16983">
          <cell r="B16983" t="str">
            <v>INF789F1AAQ3</v>
          </cell>
          <cell r="C16983" t="str">
            <v>-</v>
          </cell>
          <cell r="D16983" t="str">
            <v>UTI - Fixed Term Income Fund Series XXX-V (1135 Days) - Regular Plan - Growth Option</v>
          </cell>
          <cell r="E16983">
            <v>12.698600000000001</v>
          </cell>
        </row>
        <row r="16984">
          <cell r="B16984" t="str">
            <v>INF789F1AAY7</v>
          </cell>
          <cell r="C16984" t="str">
            <v>-</v>
          </cell>
          <cell r="D16984" t="str">
            <v>UTI Fixed Term Income Fund Series XXX-V (1135 Days) - Direct Plan - Maturity IDCW</v>
          </cell>
          <cell r="E16984">
            <v>10</v>
          </cell>
        </row>
        <row r="16985">
          <cell r="B16985" t="str">
            <v>INF789F1AAR1</v>
          </cell>
          <cell r="C16985" t="str">
            <v>-</v>
          </cell>
          <cell r="D16985" t="str">
            <v>UTI Fixed Term Income Fund Series XXX-V (1135 Days) - Regular Plan - Quarterly IDCW</v>
          </cell>
          <cell r="E16985">
            <v>10</v>
          </cell>
        </row>
        <row r="16986">
          <cell r="B16986" t="str">
            <v>INF789F1ABF4</v>
          </cell>
          <cell r="C16986" t="str">
            <v>-</v>
          </cell>
          <cell r="D16986" t="str">
            <v>UTI - Fixed Term Income Fund Series XXX-VI (1107 Days) - Direct Plan - Growth Option</v>
          </cell>
          <cell r="E16986">
            <v>12.313000000000001</v>
          </cell>
        </row>
        <row r="16987">
          <cell r="B16987" t="str">
            <v>INF789F1ABA5</v>
          </cell>
          <cell r="C16987" t="str">
            <v>-</v>
          </cell>
          <cell r="D16987" t="str">
            <v>UTI - Fixed Term Income Fund Series XXX-VI (1107 Days) - Regular Plan - Growth Option</v>
          </cell>
          <cell r="E16987">
            <v>12.1829</v>
          </cell>
        </row>
        <row r="16988">
          <cell r="B16988" t="str">
            <v>INF789F1ABH0</v>
          </cell>
          <cell r="C16988" t="str">
            <v>-</v>
          </cell>
          <cell r="D16988" t="str">
            <v>UTI Fixed Term Income Fund Series XXX-VI (1107 Days) - Direct Plan - Annual IDCW</v>
          </cell>
          <cell r="E16988">
            <v>10</v>
          </cell>
        </row>
        <row r="16989">
          <cell r="B16989" t="str">
            <v>INF789F1ABI8</v>
          </cell>
          <cell r="C16989" t="str">
            <v>-</v>
          </cell>
          <cell r="D16989" t="str">
            <v>UTI Fixed Term Income Fund Series XXX-VI (1107 Days) - Direct Plan - Maturity IDCW</v>
          </cell>
          <cell r="E16989">
            <v>10</v>
          </cell>
        </row>
        <row r="16990">
          <cell r="B16990" t="str">
            <v>INF789F1ABG2</v>
          </cell>
          <cell r="C16990" t="str">
            <v>-</v>
          </cell>
          <cell r="D16990" t="str">
            <v>UTI Fixed Term Income Fund Series XXX-VI (1107 Days) - Direct Plan - Quarterly IDCW</v>
          </cell>
          <cell r="E16990">
            <v>10</v>
          </cell>
        </row>
        <row r="16991">
          <cell r="B16991" t="str">
            <v>INF789F1ABC1</v>
          </cell>
          <cell r="C16991" t="str">
            <v>-</v>
          </cell>
          <cell r="D16991" t="str">
            <v>UTI Fixed Term Income Fund Series XXX-VI (1107 Days) - Regular Plan - Annual IDCW</v>
          </cell>
          <cell r="E16991">
            <v>10</v>
          </cell>
        </row>
        <row r="16992">
          <cell r="B16992" t="str">
            <v>INF789F1ABD9</v>
          </cell>
          <cell r="C16992" t="str">
            <v>-</v>
          </cell>
          <cell r="D16992" t="str">
            <v>UTI Fixed Term Income Fund Series XXX-VI (1107 Days) - Regular Plan - Maturity IDCW</v>
          </cell>
          <cell r="E16992">
            <v>10</v>
          </cell>
        </row>
        <row r="16993">
          <cell r="B16993" t="str">
            <v>INF789F1ABB3</v>
          </cell>
          <cell r="C16993" t="str">
            <v>-</v>
          </cell>
          <cell r="D16993" t="str">
            <v>UTI Fixed Term Income Fund Series XXX-VI (1107 Days) - Regular Plan - Quarterly IDCW</v>
          </cell>
          <cell r="E16993">
            <v>10</v>
          </cell>
        </row>
        <row r="16994">
          <cell r="B16994" t="str">
            <v>INF789F1ACJ4</v>
          </cell>
          <cell r="C16994" t="str">
            <v>-</v>
          </cell>
          <cell r="D16994" t="str">
            <v>UTI - Fixed Term Income Fund Series XXX-VIII (1286 Days) - Direct Plan - Growth Option</v>
          </cell>
          <cell r="E16994">
            <v>13.318899999999999</v>
          </cell>
        </row>
        <row r="16995">
          <cell r="B16995" t="str">
            <v>INF789F1ACE5</v>
          </cell>
          <cell r="C16995" t="str">
            <v>-</v>
          </cell>
          <cell r="D16995" t="str">
            <v>UTI - Fixed Term Income Fund Series XXX-VIII (1286 Days) - Regular Plan - Growth Option</v>
          </cell>
          <cell r="E16995">
            <v>13.202</v>
          </cell>
        </row>
        <row r="16996">
          <cell r="B16996" t="str">
            <v>INF789F1ADL8</v>
          </cell>
          <cell r="C16996" t="str">
            <v>-</v>
          </cell>
          <cell r="D16996" t="str">
            <v>UTI - Fixed Term Income Fund Series XXX-X (1267 Days) - Direct Plan - Growth Option</v>
          </cell>
          <cell r="E16996">
            <v>13.214600000000001</v>
          </cell>
        </row>
        <row r="16997">
          <cell r="B16997" t="str">
            <v>INF789F1ADG8</v>
          </cell>
          <cell r="C16997" t="str">
            <v>-</v>
          </cell>
          <cell r="D16997" t="str">
            <v>UTI - Fixed Term Income Fund Series XXX-X (1267 Days) - Regular Plan - Growth Option</v>
          </cell>
          <cell r="E16997">
            <v>13.100300000000001</v>
          </cell>
        </row>
        <row r="16998">
          <cell r="B16998" t="str">
            <v>INF789F1ADM6</v>
          </cell>
          <cell r="C16998" t="str">
            <v>-</v>
          </cell>
          <cell r="D16998" t="str">
            <v>UTI Fixed Term Income Fund Series XXX-X (1267 Days) - Direct Plan - Quarterly IDCW</v>
          </cell>
          <cell r="E16998">
            <v>10</v>
          </cell>
        </row>
        <row r="16999">
          <cell r="B16999" t="str">
            <v>INF789F1ADI4</v>
          </cell>
          <cell r="C16999" t="str">
            <v>-</v>
          </cell>
          <cell r="D16999" t="str">
            <v>UTI Fixed Term Income Fund Series XXX-X (1267 Days) - Regular Plan - Annual IDCW</v>
          </cell>
          <cell r="E16999">
            <v>10</v>
          </cell>
        </row>
        <row r="17000">
          <cell r="B17000" t="str">
            <v>INF789F1ADH6</v>
          </cell>
          <cell r="C17000" t="str">
            <v>-</v>
          </cell>
          <cell r="D17000" t="str">
            <v>UTI Fixed Term Income Fund Series XXX-X (1267 Days) - Regular Plan - Quarterly IDCW</v>
          </cell>
          <cell r="E17000">
            <v>10</v>
          </cell>
        </row>
        <row r="17001">
          <cell r="B17001" t="str">
            <v>INF789F1ADV7</v>
          </cell>
          <cell r="C17001" t="str">
            <v>-</v>
          </cell>
          <cell r="D17001" t="str">
            <v>UTI - Fixed Term Income Fund Series XXX-XI (1246 Days) - Direct Plan - Growth Option</v>
          </cell>
          <cell r="E17001">
            <v>13.2615</v>
          </cell>
        </row>
        <row r="17002">
          <cell r="B17002" t="str">
            <v>INF789F1ADQ7</v>
          </cell>
          <cell r="C17002" t="str">
            <v>-</v>
          </cell>
          <cell r="D17002" t="str">
            <v>UTI - Fixed Term Income Fund Series XXX-XI (1246 Days) - Regular Plan - Growth Option</v>
          </cell>
          <cell r="E17002">
            <v>13.103899999999999</v>
          </cell>
        </row>
        <row r="17003">
          <cell r="B17003" t="str">
            <v>INF789F1ADX3</v>
          </cell>
          <cell r="C17003" t="str">
            <v>-</v>
          </cell>
          <cell r="D17003" t="str">
            <v>UTI Fixed Term Income Fund Series XXX-XI (1246 Days) - Direct Plan - Annual IDCW</v>
          </cell>
          <cell r="E17003">
            <v>10</v>
          </cell>
        </row>
        <row r="17004">
          <cell r="B17004" t="str">
            <v>INF789F1ADZ8</v>
          </cell>
          <cell r="C17004" t="str">
            <v>-</v>
          </cell>
          <cell r="D17004" t="str">
            <v>UTI Fixed Term Income Fund Series XXX-XI (1246 Days) - Direct Plan - Flexi IDCW</v>
          </cell>
          <cell r="E17004">
            <v>10</v>
          </cell>
        </row>
        <row r="17005">
          <cell r="B17005" t="str">
            <v>INF789F1ADY1</v>
          </cell>
          <cell r="C17005" t="str">
            <v>-</v>
          </cell>
          <cell r="D17005" t="str">
            <v>UTI Fixed Term Income Fund Series XXX-XI (1246 Days) - Direct Plan - Maturity IDCW</v>
          </cell>
          <cell r="E17005">
            <v>10</v>
          </cell>
        </row>
        <row r="17006">
          <cell r="B17006" t="str">
            <v>INF789F1ADW5</v>
          </cell>
          <cell r="C17006" t="str">
            <v>-</v>
          </cell>
          <cell r="D17006" t="str">
            <v>UTI Fixed Term Income Fund Series XXX-XI (1246 Days) - Direct Plan - Quarterly IDCW</v>
          </cell>
          <cell r="E17006">
            <v>10</v>
          </cell>
        </row>
        <row r="17007">
          <cell r="B17007" t="str">
            <v>INF789F1ADS3</v>
          </cell>
          <cell r="C17007" t="str">
            <v>-</v>
          </cell>
          <cell r="D17007" t="str">
            <v>UTI Fixed Term Income Fund Series XXX-XI (1246 Days) - Regular Plan - Annual IDCW</v>
          </cell>
          <cell r="E17007">
            <v>10</v>
          </cell>
        </row>
        <row r="17008">
          <cell r="B17008" t="str">
            <v>INF789F1ADU9</v>
          </cell>
          <cell r="C17008" t="str">
            <v>-</v>
          </cell>
          <cell r="D17008" t="str">
            <v>UTI Fixed Term Income Fund Series XXX-XI (1246 Days) - Regular Plan - Flexi IDCW</v>
          </cell>
          <cell r="E17008">
            <v>10</v>
          </cell>
        </row>
        <row r="17009">
          <cell r="B17009" t="str">
            <v>INF789F1ADR5</v>
          </cell>
          <cell r="C17009" t="str">
            <v>-</v>
          </cell>
          <cell r="D17009" t="str">
            <v>UTI Fixed Term Income Fund Series XXX-XI (1246 Days) - Regular Plan - Quarterly IDCW</v>
          </cell>
          <cell r="E17009">
            <v>10</v>
          </cell>
        </row>
        <row r="17010">
          <cell r="B17010" t="str">
            <v>INF789F1AEF8</v>
          </cell>
          <cell r="C17010" t="str">
            <v>-</v>
          </cell>
          <cell r="D17010" t="str">
            <v>UTI - Fixed Term Income Fund Series XXX-XII (1254 Days) - Direct Plan - Growth Option</v>
          </cell>
          <cell r="E17010">
            <v>13.155900000000001</v>
          </cell>
        </row>
        <row r="17011">
          <cell r="B17011" t="str">
            <v>INF789F1AEA9</v>
          </cell>
          <cell r="C17011" t="str">
            <v>-</v>
          </cell>
          <cell r="D17011" t="str">
            <v>UTI - Fixed Term Income Fund Series XXX-XII (1254 Days) - Regular Plan - Growth Option</v>
          </cell>
          <cell r="E17011">
            <v>13.020899999999999</v>
          </cell>
        </row>
        <row r="17012">
          <cell r="B17012" t="str">
            <v>INF789F1AEC5</v>
          </cell>
          <cell r="C17012" t="str">
            <v>-</v>
          </cell>
          <cell r="D17012" t="str">
            <v>UTI Fixed Term Income Fund Series XXX-XII (1254 Days) - Regular Plan - Annual IDCW</v>
          </cell>
          <cell r="E17012">
            <v>10</v>
          </cell>
        </row>
        <row r="17013">
          <cell r="B17013" t="str">
            <v>INF789F1AEE1</v>
          </cell>
          <cell r="C17013" t="str">
            <v>-</v>
          </cell>
          <cell r="D17013" t="str">
            <v>UTI Fixed Term Income Fund Series XXX-XII (1254 Days) - Regular Plan - Flexi IDCW</v>
          </cell>
          <cell r="E17013">
            <v>10</v>
          </cell>
        </row>
        <row r="17014">
          <cell r="B17014" t="str">
            <v>INF789F1AED3</v>
          </cell>
          <cell r="C17014" t="str">
            <v>-</v>
          </cell>
          <cell r="D17014" t="str">
            <v>UTI Fixed Term Income Fund Series XXX-XII (1254 Days) - Regular Plan - Maturity IDCW</v>
          </cell>
          <cell r="E17014">
            <v>10</v>
          </cell>
        </row>
        <row r="17015">
          <cell r="B17015" t="str">
            <v>INF789F1AEB7</v>
          </cell>
          <cell r="C17015" t="str">
            <v>-</v>
          </cell>
          <cell r="D17015" t="str">
            <v>UTI Fixed Term Income Fund Series XXX-XII (1254 Days) - Regular Plan - Quarterly IDCW</v>
          </cell>
          <cell r="E17015">
            <v>10</v>
          </cell>
        </row>
        <row r="17016">
          <cell r="B17016" t="str">
            <v>INF789F1AEP7</v>
          </cell>
          <cell r="C17016" t="str">
            <v>-</v>
          </cell>
          <cell r="D17016" t="str">
            <v>UTI - Fixed Term Income Fund Series XXX-XIII (1224 Days) - Direct Plan - Growth Option</v>
          </cell>
          <cell r="E17016">
            <v>13.1517</v>
          </cell>
        </row>
        <row r="17017">
          <cell r="B17017" t="str">
            <v>INF789F1AEK8</v>
          </cell>
          <cell r="C17017" t="str">
            <v>-</v>
          </cell>
          <cell r="D17017" t="str">
            <v>UTI - Fixed Term Income Fund Series XXX-XIII (1224 Days) - Regular Plan - Growth Option</v>
          </cell>
          <cell r="E17017">
            <v>12.998200000000001</v>
          </cell>
        </row>
        <row r="17018">
          <cell r="B17018" t="str">
            <v>INF789F1AER3</v>
          </cell>
          <cell r="C17018" t="str">
            <v>-</v>
          </cell>
          <cell r="D17018" t="str">
            <v>UTI Fixed Term Income Fund Series XXX-XIII (1224 Days) - Direct Plan - Annual IDCW</v>
          </cell>
          <cell r="E17018">
            <v>10</v>
          </cell>
        </row>
        <row r="17019">
          <cell r="B17019" t="str">
            <v>INF789F1AES1</v>
          </cell>
          <cell r="C17019" t="str">
            <v>-</v>
          </cell>
          <cell r="D17019" t="str">
            <v>UTI Fixed Term Income Fund Series XXX-XIII (1224 Days) - Direct Plan - Maturity IDCW</v>
          </cell>
          <cell r="E17019">
            <v>10</v>
          </cell>
        </row>
        <row r="17020">
          <cell r="B17020" t="str">
            <v>INF789F1AEM4</v>
          </cell>
          <cell r="C17020" t="str">
            <v>-</v>
          </cell>
          <cell r="D17020" t="str">
            <v>UTI Fixed Term Income Fund Series XXX-XIII (1224 Days) - Regular Plan - Annual IDCW</v>
          </cell>
          <cell r="E17020">
            <v>10</v>
          </cell>
        </row>
        <row r="17021">
          <cell r="B17021" t="str">
            <v>INF789F1AEO0</v>
          </cell>
          <cell r="C17021" t="str">
            <v>-</v>
          </cell>
          <cell r="D17021" t="str">
            <v>UTI Fixed Term Income Fund Series XXX-XIII (1224 Days) - Regular Plan - Flexi IDCW</v>
          </cell>
          <cell r="E17021">
            <v>10</v>
          </cell>
        </row>
        <row r="17022">
          <cell r="B17022" t="str">
            <v>INF789F1AEN2</v>
          </cell>
          <cell r="C17022" t="str">
            <v>-</v>
          </cell>
          <cell r="D17022" t="str">
            <v>UTI Fixed Term Income Fund Series XXX-XIII (1224 Days) - Regular Plan - Maturity IDCW</v>
          </cell>
          <cell r="E17022">
            <v>10</v>
          </cell>
        </row>
        <row r="17023">
          <cell r="B17023" t="str">
            <v>INF789F1AEL6</v>
          </cell>
          <cell r="C17023" t="str">
            <v>-</v>
          </cell>
          <cell r="D17023" t="str">
            <v>UTI Fixed Term Income Fund Series XXX-XIII (1224 Days) - Regular Plan - Quarterly IDCW</v>
          </cell>
          <cell r="E17023">
            <v>10</v>
          </cell>
        </row>
        <row r="17024">
          <cell r="B17024" t="str">
            <v>INF789F1AEZ6</v>
          </cell>
          <cell r="C17024" t="str">
            <v>-</v>
          </cell>
          <cell r="D17024" t="str">
            <v>UTI - Fixed Term Income Fund Series XXX-XIV (1209 Days) - Direct Plan - Growth Option</v>
          </cell>
          <cell r="E17024">
            <v>13.1348</v>
          </cell>
        </row>
        <row r="17025">
          <cell r="B17025" t="str">
            <v>INF789F1AEU7</v>
          </cell>
          <cell r="C17025" t="str">
            <v>-</v>
          </cell>
          <cell r="D17025" t="str">
            <v>UTI - Fixed Term Income Fund Series XXX-XIV (1209 Days) - Regular Plan - Growth Option</v>
          </cell>
          <cell r="E17025">
            <v>12.9832</v>
          </cell>
        </row>
        <row r="17026">
          <cell r="B17026" t="str">
            <v>INF789F1AFB4</v>
          </cell>
          <cell r="C17026" t="str">
            <v>-</v>
          </cell>
          <cell r="D17026" t="str">
            <v>UTI Fixed Term Income Fund Series XXX-XIV (1209 Days) - Direct Plan - Annual IDCW</v>
          </cell>
          <cell r="E17026">
            <v>10</v>
          </cell>
        </row>
        <row r="17027">
          <cell r="B17027" t="str">
            <v>INF789F1AFC2</v>
          </cell>
          <cell r="C17027" t="str">
            <v>-</v>
          </cell>
          <cell r="D17027" t="str">
            <v>UTI Fixed Term Income Fund Series XXX-XIV (1209 Days) - Direct Plan - Maturity IDCW</v>
          </cell>
          <cell r="E17027">
            <v>10</v>
          </cell>
        </row>
        <row r="17028">
          <cell r="B17028" t="str">
            <v>INF789F1AFA6</v>
          </cell>
          <cell r="C17028" t="str">
            <v>-</v>
          </cell>
          <cell r="D17028" t="str">
            <v>UTI Fixed Term Income Fund Series XXX-XIV (1209 Days) - Direct Plan - Quarterly IDCW</v>
          </cell>
          <cell r="E17028">
            <v>10</v>
          </cell>
        </row>
        <row r="17029">
          <cell r="B17029" t="str">
            <v>INF789F1AEW3</v>
          </cell>
          <cell r="C17029" t="str">
            <v>-</v>
          </cell>
          <cell r="D17029" t="str">
            <v>UTI Fixed Term Income Fund Series XXX-XIV (1209 Days) - Regular Plan - Annual IDCW</v>
          </cell>
          <cell r="E17029">
            <v>10</v>
          </cell>
        </row>
        <row r="17030">
          <cell r="B17030" t="str">
            <v>INF789F1AEY9</v>
          </cell>
          <cell r="C17030" t="str">
            <v>-</v>
          </cell>
          <cell r="D17030" t="str">
            <v>UTI Fixed Term Income Fund Series XXX-XIV (1209 Days) - Regular Plan - Flexi IDCW</v>
          </cell>
          <cell r="E17030">
            <v>10</v>
          </cell>
        </row>
        <row r="17031">
          <cell r="B17031" t="str">
            <v>INF789F1AEX1</v>
          </cell>
          <cell r="C17031" t="str">
            <v>-</v>
          </cell>
          <cell r="D17031" t="str">
            <v>UTI Fixed Term Income Fund Series XXX-XIV (1209 Days) - Regular Plan - Maturity IDCW</v>
          </cell>
          <cell r="E17031">
            <v>10</v>
          </cell>
        </row>
        <row r="17032">
          <cell r="B17032" t="str">
            <v>INF789F1AEV5</v>
          </cell>
          <cell r="C17032" t="str">
            <v>-</v>
          </cell>
          <cell r="D17032" t="str">
            <v>UTI Fixed Term Income Fund Series XXX-XIV (1209 Days) - Regular Plan - Quarterly IDCW</v>
          </cell>
          <cell r="E17032">
            <v>10</v>
          </cell>
        </row>
        <row r="17033">
          <cell r="B17033" t="str">
            <v>INF789F1AFJ7</v>
          </cell>
          <cell r="C17033" t="str">
            <v>-</v>
          </cell>
          <cell r="D17033" t="str">
            <v>UTI - Fixed Term Income Fund Series XXX-XV (1223 Days) - Direct Plan - Growth Option</v>
          </cell>
          <cell r="E17033">
            <v>12.9412</v>
          </cell>
        </row>
        <row r="17034">
          <cell r="B17034" t="str">
            <v>INF789F1AFE8</v>
          </cell>
          <cell r="C17034" t="str">
            <v>-</v>
          </cell>
          <cell r="D17034" t="str">
            <v>UTI - Fixed Term Income Fund Series XXX-XV (1223 Days) - Regular Plan - Growth Option</v>
          </cell>
          <cell r="E17034">
            <v>12.8331</v>
          </cell>
        </row>
        <row r="17035">
          <cell r="B17035" t="str">
            <v>INF789F1AFF5</v>
          </cell>
          <cell r="C17035" t="str">
            <v>-</v>
          </cell>
          <cell r="D17035" t="str">
            <v>UTI Fixed Term Income Fund Series XXX-XV (1223 Days) - Regular Plan - Quarterly IDCW</v>
          </cell>
          <cell r="E17035">
            <v>10</v>
          </cell>
        </row>
        <row r="17036">
          <cell r="B17036" t="str">
            <v>INF789F1AFT6</v>
          </cell>
          <cell r="C17036" t="str">
            <v>-</v>
          </cell>
          <cell r="D17036" t="str">
            <v>UTI - Fixed Term Income Fund Series XXXI-I (1209 Days) - Direct Plan - Growth Option</v>
          </cell>
          <cell r="E17036">
            <v>12.889799999999999</v>
          </cell>
        </row>
        <row r="17037">
          <cell r="B17037" t="str">
            <v>INF789F1AFO7</v>
          </cell>
          <cell r="C17037" t="str">
            <v>-</v>
          </cell>
          <cell r="D17037" t="str">
            <v>UTI - Fixed Term Income Fund Series XXXI-I (1209 Days) - Regular Plan - Growth Option</v>
          </cell>
          <cell r="E17037">
            <v>12.7752</v>
          </cell>
        </row>
        <row r="17038">
          <cell r="B17038" t="str">
            <v>INF789F1AFU4</v>
          </cell>
          <cell r="C17038" t="str">
            <v>-</v>
          </cell>
          <cell r="D17038" t="str">
            <v>UTI Fixed Term Income Fund Series XXXI-I (1209 Days) - Direct Plan - Quarterly IDCW</v>
          </cell>
          <cell r="E17038">
            <v>10</v>
          </cell>
        </row>
        <row r="17039">
          <cell r="B17039" t="str">
            <v>INF789F1AFR0</v>
          </cell>
          <cell r="C17039" t="str">
            <v>-</v>
          </cell>
          <cell r="D17039" t="str">
            <v>UTI Fixed Term Income Fund Series XXXI-I (1209 Days) - Regular Plan - Maturity IDCW</v>
          </cell>
          <cell r="E17039">
            <v>10</v>
          </cell>
        </row>
        <row r="17040">
          <cell r="B17040" t="str">
            <v>INF789F1AFP4</v>
          </cell>
          <cell r="C17040" t="str">
            <v>-</v>
          </cell>
          <cell r="D17040" t="str">
            <v>UTI Fixed Term Income Fund Series XXXI-I (1209 Days) - Regular Plan - Quarterly IDCW</v>
          </cell>
          <cell r="E17040">
            <v>10</v>
          </cell>
        </row>
        <row r="17041">
          <cell r="B17041" t="str">
            <v>INF789F1AGE6</v>
          </cell>
          <cell r="C17041" t="str">
            <v>-</v>
          </cell>
          <cell r="D17041" t="str">
            <v>UTI - Fixed Term Income Fund Series XXXI-II (1222 Days) - Direct Plan - Growth Option</v>
          </cell>
          <cell r="E17041">
            <v>13.194100000000001</v>
          </cell>
        </row>
        <row r="17042">
          <cell r="B17042" t="str">
            <v>INF789F1AFY6</v>
          </cell>
          <cell r="C17042" t="str">
            <v>-</v>
          </cell>
          <cell r="D17042" t="str">
            <v>UTI - Fixed Term Income Fund Series XXXI-II (1222 Days) - Regular Plan - Growth Option</v>
          </cell>
          <cell r="E17042">
            <v>13.0375</v>
          </cell>
        </row>
        <row r="17043">
          <cell r="B17043" t="str">
            <v>INF789F1AGG1</v>
          </cell>
          <cell r="C17043" t="str">
            <v>-</v>
          </cell>
          <cell r="D17043" t="str">
            <v>UTI Fixed Term Income Fund Series XXXI-II (1222 Days) - Direct Plan - Annual IDCW</v>
          </cell>
          <cell r="E17043">
            <v>10</v>
          </cell>
        </row>
        <row r="17044">
          <cell r="B17044" t="str">
            <v>INF789F1AGI7</v>
          </cell>
          <cell r="C17044" t="str">
            <v>-</v>
          </cell>
          <cell r="D17044" t="str">
            <v>UTI Fixed Term Income Fund Series XXXI-II (1222 Days) - Direct Plan - Flexi IDCW</v>
          </cell>
          <cell r="E17044">
            <v>10</v>
          </cell>
        </row>
        <row r="17045">
          <cell r="B17045" t="str">
            <v>INF789F1AGH9</v>
          </cell>
          <cell r="C17045" t="str">
            <v>-</v>
          </cell>
          <cell r="D17045" t="str">
            <v>UTI Fixed Term Income Fund Series XXXI-II (1222 Days) - Direct Plan - Maturity IDCW</v>
          </cell>
          <cell r="E17045">
            <v>10</v>
          </cell>
        </row>
        <row r="17046">
          <cell r="B17046" t="str">
            <v>INF789F1AGF3</v>
          </cell>
          <cell r="C17046" t="str">
            <v>-</v>
          </cell>
          <cell r="D17046" t="str">
            <v>UTI Fixed Term Income Fund Series XXXI-II (1222 Days) - Direct Plan - Quarterly IDCW</v>
          </cell>
          <cell r="E17046">
            <v>10</v>
          </cell>
        </row>
        <row r="17047">
          <cell r="B17047" t="str">
            <v>INF789F1AGB2</v>
          </cell>
          <cell r="C17047" t="str">
            <v>-</v>
          </cell>
          <cell r="D17047" t="str">
            <v>UTI Fixed Term Income Fund Series XXXI-II (1222 Days) - Regular Plan - Annual IDCW</v>
          </cell>
          <cell r="E17047">
            <v>10</v>
          </cell>
        </row>
        <row r="17048">
          <cell r="B17048" t="str">
            <v>INF789F1AGD8</v>
          </cell>
          <cell r="C17048" t="str">
            <v>-</v>
          </cell>
          <cell r="D17048" t="str">
            <v>UTI Fixed Term Income Fund Series XXXI-II (1222 Days) - Regular Plan - Flexi IDCW</v>
          </cell>
          <cell r="E17048">
            <v>10</v>
          </cell>
        </row>
        <row r="17049">
          <cell r="B17049" t="str">
            <v>INF789F1AGC0</v>
          </cell>
          <cell r="C17049" t="str">
            <v>-</v>
          </cell>
          <cell r="D17049" t="str">
            <v>UTI Fixed Term Income Fund Series XXXI-II (1222 Days) - Regular Plan - Maturity IDCW</v>
          </cell>
          <cell r="E17049">
            <v>10</v>
          </cell>
        </row>
        <row r="17050">
          <cell r="B17050" t="str">
            <v>INF789F1AFZ3</v>
          </cell>
          <cell r="C17050" t="str">
            <v>-</v>
          </cell>
          <cell r="D17050" t="str">
            <v>UTI Fixed Term Income Fund Series XXXI-II (1222 Days) - Regular Plan - Quarterly IDCW</v>
          </cell>
          <cell r="E17050">
            <v>10</v>
          </cell>
        </row>
        <row r="17051">
          <cell r="B17051" t="str">
            <v>INF789F1AGS6</v>
          </cell>
          <cell r="C17051" t="str">
            <v>-</v>
          </cell>
          <cell r="D17051" t="str">
            <v>UTI - Fixed Term Income Fund Series XXXI-III (1174 Days) - Direct Plan - Growth Option</v>
          </cell>
          <cell r="E17051">
            <v>12.778700000000001</v>
          </cell>
        </row>
        <row r="17052">
          <cell r="B17052" t="str">
            <v>INF789F1AGN7</v>
          </cell>
          <cell r="C17052" t="str">
            <v>-</v>
          </cell>
          <cell r="D17052" t="str">
            <v>UTI - Fixed Term Income Fund Series XXXI-III (1174 Days) - Regular Plan - Growth Option</v>
          </cell>
          <cell r="E17052">
            <v>12.676299999999999</v>
          </cell>
        </row>
        <row r="17053">
          <cell r="B17053" t="str">
            <v>INF789F1AGU2</v>
          </cell>
          <cell r="C17053" t="str">
            <v>-</v>
          </cell>
          <cell r="D17053" t="str">
            <v>UTI Fixed Term Income Fund Series XXXI-III (1174 Days) - Direct Plan - Annual IDCW</v>
          </cell>
          <cell r="E17053">
            <v>10</v>
          </cell>
        </row>
        <row r="17054">
          <cell r="B17054" t="str">
            <v>INF789F1AGV0</v>
          </cell>
          <cell r="C17054" t="str">
            <v>-</v>
          </cell>
          <cell r="D17054" t="str">
            <v>UTI Fixed Term Income Fund Series XXXI-III (1174 Days) - Direct Plan - Maturity IDCW</v>
          </cell>
          <cell r="E17054">
            <v>10</v>
          </cell>
        </row>
        <row r="17055">
          <cell r="B17055" t="str">
            <v>INF789F1AGT4</v>
          </cell>
          <cell r="C17055" t="str">
            <v>-</v>
          </cell>
          <cell r="D17055" t="str">
            <v>UTI Fixed Term Income Fund Series XXXI-III (1174 Days) - Direct Plan - Quarterly IDCW</v>
          </cell>
          <cell r="E17055">
            <v>10</v>
          </cell>
        </row>
        <row r="17056">
          <cell r="B17056" t="str">
            <v>INF789F1AGP2</v>
          </cell>
          <cell r="C17056" t="str">
            <v>-</v>
          </cell>
          <cell r="D17056" t="str">
            <v>UTI Fixed Term Income Fund Series XXXI-III (1174 Days) - Regular Plan - Annual IDCW</v>
          </cell>
          <cell r="E17056">
            <v>10</v>
          </cell>
        </row>
        <row r="17057">
          <cell r="B17057" t="str">
            <v>INF789F1AGR8</v>
          </cell>
          <cell r="C17057" t="str">
            <v>-</v>
          </cell>
          <cell r="D17057" t="str">
            <v>UTI Fixed Term Income Fund Series XXXI-III (1174 Days) - Regular Plan - Flexi IDCW</v>
          </cell>
          <cell r="E17057">
            <v>10</v>
          </cell>
        </row>
        <row r="17058">
          <cell r="B17058" t="str">
            <v>INF789F1AGQ0</v>
          </cell>
          <cell r="C17058" t="str">
            <v>-</v>
          </cell>
          <cell r="D17058" t="str">
            <v>UTI Fixed Term Income Fund Series XXXI-III (1174 Days) - Regular Plan - Maturity IDCW</v>
          </cell>
          <cell r="E17058">
            <v>10</v>
          </cell>
        </row>
        <row r="17059">
          <cell r="B17059" t="str">
            <v>INF789F1AGO5</v>
          </cell>
          <cell r="C17059" t="str">
            <v>-</v>
          </cell>
          <cell r="D17059" t="str">
            <v>UTI Fixed Term Income Fund Series XXXI-III (1174 Days) - Regular Plan - Quarterly IDCW</v>
          </cell>
          <cell r="E17059">
            <v>10</v>
          </cell>
        </row>
        <row r="17060">
          <cell r="B17060" t="str">
            <v>INF789F1AHB0</v>
          </cell>
          <cell r="C17060" t="str">
            <v>-</v>
          </cell>
          <cell r="D17060" t="str">
            <v>UTI - Fixed Term Income Fund Series XXXI-IV (1204 Days) - Direct Plan - Growth Option</v>
          </cell>
          <cell r="E17060">
            <v>13.147500000000001</v>
          </cell>
        </row>
        <row r="17061">
          <cell r="B17061" t="str">
            <v>INF789F1AGX6</v>
          </cell>
          <cell r="C17061" t="str">
            <v>-</v>
          </cell>
          <cell r="D17061" t="str">
            <v>UTI - Fixed Term Income Fund Series XXXI-IV (1204 Days) - Regular Plan - Growth Option</v>
          </cell>
          <cell r="E17061">
            <v>12.996499999999999</v>
          </cell>
        </row>
        <row r="17062">
          <cell r="B17062" t="str">
            <v>INF789F1AHD6</v>
          </cell>
          <cell r="C17062" t="str">
            <v>-</v>
          </cell>
          <cell r="D17062" t="str">
            <v>UTI Fixed Term Income Fund Series XXXI-IV (1204 Days) - Direct Plan - Annual IDCW</v>
          </cell>
          <cell r="E17062">
            <v>10</v>
          </cell>
        </row>
        <row r="17063">
          <cell r="B17063" t="str">
            <v>INF789F1AHF1</v>
          </cell>
          <cell r="C17063" t="str">
            <v>-</v>
          </cell>
          <cell r="D17063" t="str">
            <v>UTI Fixed Term Income Fund Series XXXI-IV (1204 Days) - Direct Plan - Flexi IDCW</v>
          </cell>
          <cell r="E17063">
            <v>10</v>
          </cell>
        </row>
        <row r="17064">
          <cell r="B17064" t="str">
            <v>INF789F1AHE4</v>
          </cell>
          <cell r="C17064" t="str">
            <v>-</v>
          </cell>
          <cell r="D17064" t="str">
            <v>UTI Fixed Term Income Fund Series XXXI-IV (1204 Days) - Direct Plan - Maturity IDCW</v>
          </cell>
          <cell r="E17064">
            <v>10</v>
          </cell>
        </row>
        <row r="17065">
          <cell r="B17065" t="str">
            <v>INF789F1AHC8</v>
          </cell>
          <cell r="C17065" t="str">
            <v>-</v>
          </cell>
          <cell r="D17065" t="str">
            <v>UTI Fixed Term Income Fund Series XXXI-IV (1204 Days) - Direct Plan - Quarterly IDCW</v>
          </cell>
          <cell r="E17065">
            <v>10</v>
          </cell>
        </row>
        <row r="17066">
          <cell r="B17066" t="str">
            <v>INF789F1AGY4</v>
          </cell>
          <cell r="C17066" t="str">
            <v>-</v>
          </cell>
          <cell r="D17066" t="str">
            <v>UTI Fixed Term Income Fund Series XXXI-IV (1204 Days) - Regular Plan - Annual IDCW</v>
          </cell>
          <cell r="E17066">
            <v>10</v>
          </cell>
        </row>
        <row r="17067">
          <cell r="B17067" t="str">
            <v>INF789F1AGZ1</v>
          </cell>
          <cell r="C17067" t="str">
            <v>-</v>
          </cell>
          <cell r="D17067" t="str">
            <v>UTI Fixed Term Income Fund Series XXXI-IV (1204 Days) - Regular Plan - Maturity IDCW</v>
          </cell>
          <cell r="E17067">
            <v>10</v>
          </cell>
        </row>
        <row r="17068">
          <cell r="B17068" t="str">
            <v>INF789F1AHG9</v>
          </cell>
          <cell r="C17068" t="str">
            <v>-</v>
          </cell>
          <cell r="D17068" t="str">
            <v>UTI Fixed Term Income Fund Series XXXI-IV (1204 Days) - Regular Plan - Quarterly IDCW</v>
          </cell>
          <cell r="E17068">
            <v>10</v>
          </cell>
        </row>
        <row r="17069">
          <cell r="B17069" t="str">
            <v>INF789F1AJB6</v>
          </cell>
          <cell r="C17069" t="str">
            <v>-</v>
          </cell>
          <cell r="D17069" t="str">
            <v>UTI - Fixed Term Income Fund Series XXXI-IX (1168 Days) - Direct Plan - Growth Option</v>
          </cell>
          <cell r="E17069">
            <v>12.9603</v>
          </cell>
        </row>
        <row r="17070">
          <cell r="B17070" t="str">
            <v>INF789F1AIW4</v>
          </cell>
          <cell r="C17070" t="str">
            <v>-</v>
          </cell>
          <cell r="D17070" t="str">
            <v>UTI - Fixed Term Income Fund Series XXXI-IX (1168 Days) - Regular Plan - Growth Option</v>
          </cell>
          <cell r="E17070">
            <v>12.8141</v>
          </cell>
        </row>
        <row r="17071">
          <cell r="B17071" t="str">
            <v>INF789F1AJD2</v>
          </cell>
          <cell r="C17071" t="str">
            <v>-</v>
          </cell>
          <cell r="D17071" t="str">
            <v>UTI Fixed Term Income Fund Series XXXI-IX (1168 Days) - Direct Plan - Annual IDCW</v>
          </cell>
          <cell r="E17071">
            <v>10</v>
          </cell>
        </row>
        <row r="17072">
          <cell r="B17072" t="str">
            <v>INF789F1AJF7</v>
          </cell>
          <cell r="C17072" t="str">
            <v>-</v>
          </cell>
          <cell r="D17072" t="str">
            <v>UTI Fixed Term Income Fund Series XXXI-IX (1168 Days) - Direct Plan - Flexi IDCW</v>
          </cell>
          <cell r="E17072">
            <v>10</v>
          </cell>
        </row>
        <row r="17073">
          <cell r="B17073" t="str">
            <v>INF789F1AJE0</v>
          </cell>
          <cell r="C17073" t="str">
            <v>-</v>
          </cell>
          <cell r="D17073" t="str">
            <v>UTI Fixed Term Income Fund Series XXXI-IX (1168 Days) - Direct Plan - Maturity IDCW</v>
          </cell>
          <cell r="E17073">
            <v>10</v>
          </cell>
        </row>
        <row r="17074">
          <cell r="B17074" t="str">
            <v>INF789F1AJC4</v>
          </cell>
          <cell r="C17074" t="str">
            <v>-</v>
          </cell>
          <cell r="D17074" t="str">
            <v>UTI Fixed Term Income Fund Series XXXI-IX (1168 Days) - Direct Plan - Quarterly IDCW</v>
          </cell>
          <cell r="E17074">
            <v>10</v>
          </cell>
        </row>
        <row r="17075">
          <cell r="B17075" t="str">
            <v>INF789F1AIY0</v>
          </cell>
          <cell r="C17075" t="str">
            <v>-</v>
          </cell>
          <cell r="D17075" t="str">
            <v>UTI Fixed Term Income Fund Series XXXI-IX (1168 Days) - Regular Plan - Annual IDCW</v>
          </cell>
          <cell r="E17075">
            <v>10</v>
          </cell>
        </row>
        <row r="17076">
          <cell r="B17076" t="str">
            <v>INF789F1AIZ7</v>
          </cell>
          <cell r="C17076" t="str">
            <v>-</v>
          </cell>
          <cell r="D17076" t="str">
            <v>UTI Fixed Term Income Fund Series XXXI-IX (1168 Days) - Regular Plan - Maturity IDCW</v>
          </cell>
          <cell r="E17076">
            <v>10</v>
          </cell>
        </row>
        <row r="17077">
          <cell r="B17077" t="str">
            <v>INF789F1AIX2</v>
          </cell>
          <cell r="C17077" t="str">
            <v>-</v>
          </cell>
          <cell r="D17077" t="str">
            <v>UTI Fixed Term Income Fund Series XXXI-IX (1168 Days) - Regular Plan - Quarterly IDCW</v>
          </cell>
          <cell r="E17077">
            <v>10</v>
          </cell>
        </row>
        <row r="17078">
          <cell r="B17078" t="str">
            <v>INF789F1AHM7</v>
          </cell>
          <cell r="C17078" t="str">
            <v>-</v>
          </cell>
          <cell r="D17078" t="str">
            <v>UTI - Fixed Term Income Fund Series XXXI-V (1174 Days) - Direct Plan - Growth Option</v>
          </cell>
          <cell r="E17078">
            <v>13.0725</v>
          </cell>
        </row>
        <row r="17079">
          <cell r="B17079" t="str">
            <v>INF789F1AHH7</v>
          </cell>
          <cell r="C17079" t="str">
            <v>-</v>
          </cell>
          <cell r="D17079" t="str">
            <v>UTI - Fixed Term Income Fund Series XXXI-V (1174 Days) - Regular Plan - Growth Option</v>
          </cell>
          <cell r="E17079">
            <v>12.926</v>
          </cell>
        </row>
        <row r="17080">
          <cell r="B17080" t="str">
            <v>INF789F1AHO3</v>
          </cell>
          <cell r="C17080" t="str">
            <v>-</v>
          </cell>
          <cell r="D17080" t="str">
            <v>UTI Fixed Term Income Fund Series XXXI-V (1174 Days) - Direct Plan - Annual IDCW</v>
          </cell>
          <cell r="E17080">
            <v>10</v>
          </cell>
        </row>
        <row r="17081">
          <cell r="B17081" t="str">
            <v>INF789F1AHQ8</v>
          </cell>
          <cell r="C17081" t="str">
            <v>-</v>
          </cell>
          <cell r="D17081" t="str">
            <v>UTI Fixed Term Income Fund Series XXXI-V (1174 Days) - Direct Plan - Flexi IDCW</v>
          </cell>
          <cell r="E17081">
            <v>10</v>
          </cell>
        </row>
        <row r="17082">
          <cell r="B17082" t="str">
            <v>INF789F1AHP0</v>
          </cell>
          <cell r="C17082" t="str">
            <v>-</v>
          </cell>
          <cell r="D17082" t="str">
            <v>UTI Fixed Term Income Fund Series XXXI-V (1174 Days) - Direct Plan - Maturity IDCW</v>
          </cell>
          <cell r="E17082">
            <v>10</v>
          </cell>
        </row>
        <row r="17083">
          <cell r="B17083" t="str">
            <v>INF789F1AHN5</v>
          </cell>
          <cell r="C17083" t="str">
            <v>-</v>
          </cell>
          <cell r="D17083" t="str">
            <v>UTI Fixed Term Income Fund Series XXXI-V (1174 Days) - Direct Plan - Quarterly IDCW</v>
          </cell>
          <cell r="E17083">
            <v>10</v>
          </cell>
        </row>
        <row r="17084">
          <cell r="B17084" t="str">
            <v>INF789F1AHJ3</v>
          </cell>
          <cell r="C17084" t="str">
            <v>-</v>
          </cell>
          <cell r="D17084" t="str">
            <v>UTI Fixed Term Income Fund Series XXXI-V (1174 Days) - Regular Plan - Annual IDCW</v>
          </cell>
          <cell r="E17084">
            <v>10</v>
          </cell>
        </row>
        <row r="17085">
          <cell r="B17085" t="str">
            <v>INF789F1AHK1</v>
          </cell>
          <cell r="C17085" t="str">
            <v>-</v>
          </cell>
          <cell r="D17085" t="str">
            <v>UTI Fixed Term Income Fund Series XXXI-V (1174 Days) - Regular Plan - Maturity IDCW</v>
          </cell>
          <cell r="E17085">
            <v>10</v>
          </cell>
        </row>
        <row r="17086">
          <cell r="B17086" t="str">
            <v>INF789F1AHI5</v>
          </cell>
          <cell r="C17086" t="str">
            <v>-</v>
          </cell>
          <cell r="D17086" t="str">
            <v>UTI Fixed Term Income Fund Series XXXI-V (1174 Days) - Regular Plan - Quarterly IDCW</v>
          </cell>
          <cell r="E17086">
            <v>10</v>
          </cell>
        </row>
        <row r="17087">
          <cell r="B17087" t="str">
            <v>INF789F1AHX4</v>
          </cell>
          <cell r="C17087" t="str">
            <v>-</v>
          </cell>
          <cell r="D17087" t="str">
            <v>UTI - Fixed Term Income Fund Series XXXI-VI (1167 Days) - Direct Plan - Growth Option</v>
          </cell>
          <cell r="E17087">
            <v>12.6927</v>
          </cell>
        </row>
        <row r="17088">
          <cell r="B17088" t="str">
            <v>INF789F1AHS4</v>
          </cell>
          <cell r="C17088" t="str">
            <v>-</v>
          </cell>
          <cell r="D17088" t="str">
            <v>UTI - Fixed Term Income Fund Series XXXI-VI (1167 Days) - Regular Plan - Growth Option</v>
          </cell>
          <cell r="E17088">
            <v>12.5916</v>
          </cell>
        </row>
        <row r="17089">
          <cell r="B17089" t="str">
            <v>INF789F1AHZ9</v>
          </cell>
          <cell r="C17089" t="str">
            <v>-</v>
          </cell>
          <cell r="D17089" t="str">
            <v>UTI Fixed Term Income Fund Series XXXI-VI (1167 Days) - Direct Plan - Annual IDCW</v>
          </cell>
          <cell r="E17089">
            <v>10</v>
          </cell>
        </row>
        <row r="17090">
          <cell r="B17090" t="str">
            <v>INF789F1AIB8</v>
          </cell>
          <cell r="C17090" t="str">
            <v>-</v>
          </cell>
          <cell r="D17090" t="str">
            <v>UTI Fixed Term Income Fund Series XXXI-VI (1167 Days) - Direct Plan - Flexi IDCW</v>
          </cell>
          <cell r="E17090">
            <v>10</v>
          </cell>
        </row>
        <row r="17091">
          <cell r="B17091" t="str">
            <v>INF789F1AIA0</v>
          </cell>
          <cell r="C17091" t="str">
            <v>-</v>
          </cell>
          <cell r="D17091" t="str">
            <v>UTI Fixed Term Income Fund Series XXXI-VI (1167 Days) - Direct Plan - Maturity IDCW</v>
          </cell>
          <cell r="E17091">
            <v>10</v>
          </cell>
        </row>
        <row r="17092">
          <cell r="B17092" t="str">
            <v>INF789F1AHY2</v>
          </cell>
          <cell r="C17092" t="str">
            <v>-</v>
          </cell>
          <cell r="D17092" t="str">
            <v>UTI Fixed Term Income Fund Series XXXI-VI (1167 Days) - Direct Plan - Quarterly IDCW</v>
          </cell>
          <cell r="E17092">
            <v>10</v>
          </cell>
        </row>
        <row r="17093">
          <cell r="B17093" t="str">
            <v>INF789F1AHT2</v>
          </cell>
          <cell r="C17093" t="str">
            <v>-</v>
          </cell>
          <cell r="D17093" t="str">
            <v>UTI Fixed Term Income Fund Series XXXI-VI (1167 Days) - Regular Plan - Quarterly IDCW</v>
          </cell>
          <cell r="E17093">
            <v>10</v>
          </cell>
        </row>
        <row r="17094">
          <cell r="B17094" t="str">
            <v>INF789F1AIH5</v>
          </cell>
          <cell r="C17094" t="str">
            <v>-</v>
          </cell>
          <cell r="D17094" t="str">
            <v>UTI - Fixed Term Income Fund Series XXXI-VII (1155 Days) - Direct Plan - Growth Option</v>
          </cell>
          <cell r="E17094">
            <v>12.8711</v>
          </cell>
        </row>
        <row r="17095">
          <cell r="B17095" t="str">
            <v>INF789F1AIC6</v>
          </cell>
          <cell r="C17095" t="str">
            <v>-</v>
          </cell>
          <cell r="D17095" t="str">
            <v>UTI - Fixed Term Income Fund Series XXXI-VII (1155 Days) - Regular Plan - Growth Option</v>
          </cell>
          <cell r="E17095">
            <v>12.7293</v>
          </cell>
        </row>
        <row r="17096">
          <cell r="B17096" t="str">
            <v>INF789F1AIJ1</v>
          </cell>
          <cell r="C17096" t="str">
            <v>-</v>
          </cell>
          <cell r="D17096" t="str">
            <v>UTI Fixed Term Income Fund Series XXXI-VII (1155 Days) - Direct Plan - Annual IDCW</v>
          </cell>
          <cell r="E17096">
            <v>10</v>
          </cell>
        </row>
        <row r="17097">
          <cell r="B17097" t="str">
            <v>INF789F1AIK9</v>
          </cell>
          <cell r="C17097" t="str">
            <v>-</v>
          </cell>
          <cell r="D17097" t="str">
            <v>UTI Fixed Term Income Fund Series XXXI-VII (1155 Days) - Direct Plan - Maturity IDCW</v>
          </cell>
          <cell r="E17097">
            <v>10</v>
          </cell>
        </row>
        <row r="17098">
          <cell r="B17098" t="str">
            <v>INF789F1AII3</v>
          </cell>
          <cell r="C17098" t="str">
            <v>-</v>
          </cell>
          <cell r="D17098" t="str">
            <v>UTI Fixed Term Income Fund Series XXXI-VII (1155 Days) - Direct Plan - Quarterly IDCW</v>
          </cell>
          <cell r="E17098">
            <v>10</v>
          </cell>
        </row>
        <row r="17099">
          <cell r="B17099" t="str">
            <v>INF789F1AIE2</v>
          </cell>
          <cell r="C17099" t="str">
            <v>-</v>
          </cell>
          <cell r="D17099" t="str">
            <v>UTI Fixed Term Income Fund Series XXXI-VII (1155 Days) - Regular Plan - Annual IDCW</v>
          </cell>
          <cell r="E17099">
            <v>10</v>
          </cell>
        </row>
        <row r="17100">
          <cell r="B17100" t="str">
            <v>INF789F1AIG7</v>
          </cell>
          <cell r="C17100" t="str">
            <v>-</v>
          </cell>
          <cell r="D17100" t="str">
            <v>UTI Fixed Term Income Fund Series XXXI-VII (1155 Days) - Regular Plan - Flexi IDCW</v>
          </cell>
          <cell r="E17100">
            <v>10</v>
          </cell>
        </row>
        <row r="17101">
          <cell r="B17101" t="str">
            <v>INF789F1AIF9</v>
          </cell>
          <cell r="C17101" t="str">
            <v>-</v>
          </cell>
          <cell r="D17101" t="str">
            <v>UTI Fixed Term Income Fund Series XXXI-VII (1155 Days) - Regular Plan - Maturity IDCW</v>
          </cell>
          <cell r="E17101">
            <v>10</v>
          </cell>
        </row>
        <row r="17102">
          <cell r="B17102" t="str">
            <v>INF789F1AID4</v>
          </cell>
          <cell r="C17102" t="str">
            <v>-</v>
          </cell>
          <cell r="D17102" t="str">
            <v>UTI Fixed Term Income Fund Series XXXI-VII (1155 Days) - Regular Plan - Quarterly IDCW</v>
          </cell>
          <cell r="E17102">
            <v>10</v>
          </cell>
        </row>
        <row r="17103">
          <cell r="B17103" t="str">
            <v>INF789F1AIU8</v>
          </cell>
          <cell r="C17103" t="str">
            <v>-</v>
          </cell>
          <cell r="D17103" t="str">
            <v>UTI - Fixed Term Income Fund Series XXXI-VIII (1153 Days) - Direct Plan - Growth Option</v>
          </cell>
          <cell r="E17103">
            <v>12.5966</v>
          </cell>
        </row>
        <row r="17104">
          <cell r="B17104" t="str">
            <v>INF789F1AIP8</v>
          </cell>
          <cell r="C17104" t="str">
            <v>-</v>
          </cell>
          <cell r="D17104" t="str">
            <v>UTI - Fixed Term Income Fund Series XXXI-VIII (1153 Days) - Regular Plan - Growth Option</v>
          </cell>
          <cell r="E17104">
            <v>12.497400000000001</v>
          </cell>
        </row>
        <row r="17105">
          <cell r="B17105" t="str">
            <v>INF789F1AIS2</v>
          </cell>
          <cell r="C17105" t="str">
            <v>-</v>
          </cell>
          <cell r="D17105" t="str">
            <v>UTI Fixed Term Income Fund Series XXXI-VIII (1153 Days) - Direct Plan - Annual IDCW</v>
          </cell>
          <cell r="E17105">
            <v>10</v>
          </cell>
        </row>
        <row r="17106">
          <cell r="B17106" t="str">
            <v>INF789F1AIV6</v>
          </cell>
          <cell r="C17106" t="str">
            <v>-</v>
          </cell>
          <cell r="D17106" t="str">
            <v>UTI Fixed Term Income Fund Series XXXI-VIII (1153 Days) - Direct Plan - Flexi IDCW</v>
          </cell>
          <cell r="E17106">
            <v>10</v>
          </cell>
        </row>
        <row r="17107">
          <cell r="B17107" t="str">
            <v>INF789F1AIT0</v>
          </cell>
          <cell r="C17107" t="str">
            <v>-</v>
          </cell>
          <cell r="D17107" t="str">
            <v>UTI Fixed Term Income Fund Series XXXI-VIII (1153 Days) - Direct Plan - Maturity IDCW</v>
          </cell>
          <cell r="E17107">
            <v>10</v>
          </cell>
        </row>
        <row r="17108">
          <cell r="B17108" t="str">
            <v>INF789F1AIR4</v>
          </cell>
          <cell r="C17108" t="str">
            <v>-</v>
          </cell>
          <cell r="D17108" t="str">
            <v>UTI Fixed Term Income Fund Series XXXI-VIII (1153 Days) - Direct Plan - Quarterly IDCW</v>
          </cell>
          <cell r="E17108">
            <v>10</v>
          </cell>
        </row>
        <row r="17109">
          <cell r="B17109" t="str">
            <v>INF789F1AIQ6</v>
          </cell>
          <cell r="C17109" t="str">
            <v>-</v>
          </cell>
          <cell r="D17109" t="str">
            <v>UTI Fixed Term Income Fund Series XXXI-VIII (1153 Days) - Regular Plan - Flexi IDCW</v>
          </cell>
          <cell r="E17109">
            <v>10.0001</v>
          </cell>
        </row>
        <row r="17110">
          <cell r="B17110" t="str">
            <v>INF789F1AIM5</v>
          </cell>
          <cell r="C17110" t="str">
            <v>-</v>
          </cell>
          <cell r="D17110" t="str">
            <v>UTI Fixed Term Income Fund Series XXXI-VIII (1153 Days) - Regular Plan - Quarterly IDCW</v>
          </cell>
          <cell r="E17110">
            <v>10</v>
          </cell>
        </row>
        <row r="17111">
          <cell r="B17111" t="str">
            <v>INF789F1AJL5</v>
          </cell>
          <cell r="C17111" t="str">
            <v>-</v>
          </cell>
          <cell r="D17111" t="str">
            <v>UTI - Fixed Term Income Fund Series XXXI-X (1168 Days) - Direct Plan - Growth Option</v>
          </cell>
          <cell r="E17111">
            <v>12.6754</v>
          </cell>
        </row>
        <row r="17112">
          <cell r="B17112" t="str">
            <v>INF789F1AJG5</v>
          </cell>
          <cell r="C17112" t="str">
            <v>-</v>
          </cell>
          <cell r="D17112" t="str">
            <v>UTI - Fixed Term Income Fund Series XXXI-X (1168 Days) - Regular Plan - Growth Option</v>
          </cell>
          <cell r="E17112">
            <v>12.574299999999999</v>
          </cell>
        </row>
        <row r="17113">
          <cell r="B17113" t="str">
            <v>INF789F1AJN1</v>
          </cell>
          <cell r="C17113" t="str">
            <v>-</v>
          </cell>
          <cell r="D17113" t="str">
            <v>UTI Fixed Term Income Fund Series XXXI-X (1168 Days) - Direct Plan - Annual IDCW</v>
          </cell>
          <cell r="E17113">
            <v>10</v>
          </cell>
        </row>
        <row r="17114">
          <cell r="B17114" t="str">
            <v>INF789F1AJO9</v>
          </cell>
          <cell r="C17114" t="str">
            <v>-</v>
          </cell>
          <cell r="D17114" t="str">
            <v>UTI Fixed Term Income Fund Series XXXI-X (1168 Days) - Direct Plan - Maturity IDCW</v>
          </cell>
          <cell r="E17114">
            <v>10</v>
          </cell>
        </row>
        <row r="17115">
          <cell r="B17115" t="str">
            <v>INF789F1AJM3</v>
          </cell>
          <cell r="C17115" t="str">
            <v>-</v>
          </cell>
          <cell r="D17115" t="str">
            <v>UTI Fixed Term Income Fund Series XXXI-X (1168 Days) - Direct Plan - Quarterly IDCW</v>
          </cell>
          <cell r="E17115">
            <v>10</v>
          </cell>
        </row>
        <row r="17116">
          <cell r="B17116" t="str">
            <v>INF789F1AJH3</v>
          </cell>
          <cell r="C17116" t="str">
            <v>-</v>
          </cell>
          <cell r="D17116" t="str">
            <v>UTI Fixed Term Income Fund Series XXXI-X (1168 Days) - Regular Plan - Quarterly IDCW</v>
          </cell>
          <cell r="E17116">
            <v>10</v>
          </cell>
        </row>
        <row r="17117">
          <cell r="B17117" t="str">
            <v>INF789F1AJV4</v>
          </cell>
          <cell r="C17117" t="str">
            <v>-</v>
          </cell>
          <cell r="D17117" t="str">
            <v>UTI - Fixed Term Income Fund Series XXXI-XI (1169 Days) - Direct Plan - Growth Option</v>
          </cell>
          <cell r="E17117">
            <v>12.459899999999999</v>
          </cell>
        </row>
        <row r="17118">
          <cell r="B17118" t="str">
            <v>INF789F1AJQ4</v>
          </cell>
          <cell r="C17118" t="str">
            <v>-</v>
          </cell>
          <cell r="D17118" t="str">
            <v>UTI - Fixed Term Income Fund Series XXXI-XI (1169 Days) - Regular Plan - Growth Option</v>
          </cell>
          <cell r="E17118">
            <v>12.3604</v>
          </cell>
        </row>
        <row r="17119">
          <cell r="B17119" t="str">
            <v>INF789F1AJX0</v>
          </cell>
          <cell r="C17119" t="str">
            <v>-</v>
          </cell>
          <cell r="D17119" t="str">
            <v>UTI Fixed Term Income Fund Series XXXI-XI (1169 Days) - Direct Plan - Annual IDCW</v>
          </cell>
          <cell r="E17119">
            <v>10</v>
          </cell>
        </row>
        <row r="17120">
          <cell r="B17120" t="str">
            <v>INF789F1AJY8</v>
          </cell>
          <cell r="C17120" t="str">
            <v>-</v>
          </cell>
          <cell r="D17120" t="str">
            <v>UTI Fixed Term Income Fund Series XXXI-XI (1169 Days) - Direct Plan - Maturity IDCW</v>
          </cell>
          <cell r="E17120">
            <v>10</v>
          </cell>
        </row>
        <row r="17121">
          <cell r="B17121" t="str">
            <v>INF789F1AJW2</v>
          </cell>
          <cell r="C17121" t="str">
            <v>-</v>
          </cell>
          <cell r="D17121" t="str">
            <v>UTI Fixed Term Income Fund Series XXXI-XI (1169 Days) - Direct Plan - Quarterly IDCW</v>
          </cell>
          <cell r="E17121">
            <v>10</v>
          </cell>
        </row>
        <row r="17122">
          <cell r="B17122" t="str">
            <v>INF789F1AJS0</v>
          </cell>
          <cell r="C17122" t="str">
            <v>-</v>
          </cell>
          <cell r="D17122" t="str">
            <v>UTI Fixed Term Income Fund Series XXXI-XI (1169 Days) - Regular Plan - Annual IDCW</v>
          </cell>
          <cell r="E17122">
            <v>10</v>
          </cell>
        </row>
        <row r="17123">
          <cell r="B17123" t="str">
            <v>INF789F1AJT8</v>
          </cell>
          <cell r="C17123" t="str">
            <v>-</v>
          </cell>
          <cell r="D17123" t="str">
            <v>UTI Fixed Term Income Fund Series XXXI-XI (1169 Days) - Regular Plan - Maturity IDCW</v>
          </cell>
          <cell r="E17123">
            <v>10</v>
          </cell>
        </row>
        <row r="17124">
          <cell r="B17124" t="str">
            <v>INF789F1AJR2</v>
          </cell>
          <cell r="C17124" t="str">
            <v>-</v>
          </cell>
          <cell r="D17124" t="str">
            <v>UTI Fixed Term Income Fund Series XXXI-XI (1169 Days) - Regular Plan - Quarterly IDCW</v>
          </cell>
          <cell r="E17124">
            <v>10</v>
          </cell>
        </row>
        <row r="17125">
          <cell r="B17125" t="str">
            <v>INF789F1AKF5</v>
          </cell>
          <cell r="C17125" t="str">
            <v>-</v>
          </cell>
          <cell r="D17125" t="str">
            <v>UTI - Fixed Term Income Fund Series XXXI-XII (1148 Days) - Direct Plan - Growth Option</v>
          </cell>
          <cell r="E17125">
            <v>12.7521</v>
          </cell>
        </row>
        <row r="17126">
          <cell r="B17126" t="str">
            <v>INF789F1AKA6</v>
          </cell>
          <cell r="C17126" t="str">
            <v>-</v>
          </cell>
          <cell r="D17126" t="str">
            <v>UTI - Fixed Term Income Fund Series XXXI-XII (1148 Days) - Regular Plan - Growth Option</v>
          </cell>
          <cell r="E17126">
            <v>12.612399999999999</v>
          </cell>
        </row>
        <row r="17127">
          <cell r="B17127" t="str">
            <v>INF789F1AKH1</v>
          </cell>
          <cell r="C17127" t="str">
            <v>-</v>
          </cell>
          <cell r="D17127" t="str">
            <v>UTI Fixed Term Income Fund Series XXXI-XII (1148 Days) - Direct Plan - Annual IDCW</v>
          </cell>
          <cell r="E17127">
            <v>10</v>
          </cell>
        </row>
        <row r="17128">
          <cell r="B17128" t="str">
            <v>INF789F1AKG3</v>
          </cell>
          <cell r="C17128" t="str">
            <v>-</v>
          </cell>
          <cell r="D17128" t="str">
            <v>UTI Fixed Term Income Fund Series XXXI-XII (1148 Days) - Direct Plan - Quarterly IDCW</v>
          </cell>
          <cell r="E17128">
            <v>10</v>
          </cell>
        </row>
        <row r="17129">
          <cell r="B17129" t="str">
            <v>INF789F1AKC2</v>
          </cell>
          <cell r="C17129" t="str">
            <v>-</v>
          </cell>
          <cell r="D17129" t="str">
            <v>UTI Fixed Term Income Fund Series XXXI-XII (1148 Days) - Regular Plan - Annual IDCW</v>
          </cell>
          <cell r="E17129">
            <v>10</v>
          </cell>
        </row>
        <row r="17130">
          <cell r="B17130" t="str">
            <v>INF789F1AKD0</v>
          </cell>
          <cell r="C17130" t="str">
            <v>-</v>
          </cell>
          <cell r="D17130" t="str">
            <v>UTI Fixed Term Income Fund Series XXXI-XII (1148 Days) - Regular Plan - Maturity IDCW</v>
          </cell>
          <cell r="E17130">
            <v>10</v>
          </cell>
        </row>
        <row r="17131">
          <cell r="B17131" t="str">
            <v>INF789F1AKB4</v>
          </cell>
          <cell r="C17131" t="str">
            <v>-</v>
          </cell>
          <cell r="D17131" t="str">
            <v>UTI Fixed Term Income Fund Series XXXI-XII (1148 Days) - Regular Plan - Quarterly IDCW</v>
          </cell>
          <cell r="E17131">
            <v>10</v>
          </cell>
        </row>
        <row r="17132">
          <cell r="B17132" t="str">
            <v>INF789F1AKP4</v>
          </cell>
          <cell r="C17132" t="str">
            <v>-</v>
          </cell>
          <cell r="D17132" t="str">
            <v>UTI - Fixed Term Income Fund Series XXXI-XIII (1127 Days) - Direct Plan - Growth Option</v>
          </cell>
          <cell r="E17132">
            <v>12.700799999999999</v>
          </cell>
        </row>
        <row r="17133">
          <cell r="B17133" t="str">
            <v>INF789F1AKK5</v>
          </cell>
          <cell r="C17133" t="str">
            <v>-</v>
          </cell>
          <cell r="D17133" t="str">
            <v>UTI - Fixed Term Income Fund Series XXXI-XIII (1127 Days) - Regular Plan - Growth Option</v>
          </cell>
          <cell r="E17133">
            <v>12.5641</v>
          </cell>
        </row>
        <row r="17134">
          <cell r="B17134" t="str">
            <v>INF789F1AKR0</v>
          </cell>
          <cell r="C17134" t="str">
            <v>-</v>
          </cell>
          <cell r="D17134" t="str">
            <v>UTI Fixed Term Income Fund Series XXXI-XIII (1127 Days) - Direct Plan - Annual IDCW</v>
          </cell>
          <cell r="E17134">
            <v>10</v>
          </cell>
        </row>
        <row r="17135">
          <cell r="B17135" t="str">
            <v>INF789F1AKQ2</v>
          </cell>
          <cell r="C17135" t="str">
            <v>-</v>
          </cell>
          <cell r="D17135" t="str">
            <v>UTI Fixed Term Income Fund Series XXXI-XIII (1127 Days) - Direct Plan - Quarterly IDCW</v>
          </cell>
          <cell r="E17135">
            <v>10</v>
          </cell>
        </row>
        <row r="17136">
          <cell r="B17136" t="str">
            <v>INF789F1AKN9</v>
          </cell>
          <cell r="C17136" t="str">
            <v>-</v>
          </cell>
          <cell r="D17136" t="str">
            <v>UTI Fixed Term Income Fund Series XXXI-XIII (1127 Days) - Regular Plan - Maturity IDCW</v>
          </cell>
          <cell r="E17136">
            <v>10</v>
          </cell>
        </row>
        <row r="17137">
          <cell r="B17137" t="str">
            <v>INF789F1AKL3</v>
          </cell>
          <cell r="C17137" t="str">
            <v>-</v>
          </cell>
          <cell r="D17137" t="str">
            <v>UTI Fixed Term Income Fund Series XXXI-XIII (1127 Days) - Regular Plan - Quarterly IDCW</v>
          </cell>
          <cell r="E17137">
            <v>10</v>
          </cell>
        </row>
        <row r="17138">
          <cell r="B17138" t="str">
            <v>INF789F1AKZ3</v>
          </cell>
          <cell r="C17138" t="str">
            <v>-</v>
          </cell>
          <cell r="D17138" t="str">
            <v>UTI - Fixed Term Income Fund Series XXXI-XIV (1111 Days) - Direct Plan - Growth Option</v>
          </cell>
          <cell r="E17138">
            <v>12.633900000000001</v>
          </cell>
        </row>
        <row r="17139">
          <cell r="B17139" t="str">
            <v>INF789F1AKU4</v>
          </cell>
          <cell r="C17139" t="str">
            <v>-</v>
          </cell>
          <cell r="D17139" t="str">
            <v>UTI - Fixed Term Income Fund Series XXXI-XIV (1111 Days) - Regular Plan - Growth Option</v>
          </cell>
          <cell r="E17139">
            <v>12.4998</v>
          </cell>
        </row>
        <row r="17140">
          <cell r="B17140" t="str">
            <v>INF789F1ALC0</v>
          </cell>
          <cell r="C17140" t="str">
            <v>-</v>
          </cell>
          <cell r="D17140" t="str">
            <v>UTI Fixed Term Income Fund Series XXXI-XIV (1111 Days) - Direct Plan - Maturity IDCW</v>
          </cell>
          <cell r="E17140">
            <v>10</v>
          </cell>
        </row>
        <row r="17141">
          <cell r="B17141" t="str">
            <v>INF789F1ALA4</v>
          </cell>
          <cell r="C17141" t="str">
            <v>-</v>
          </cell>
          <cell r="D17141" t="str">
            <v>UTI Fixed Term Income Fund Series XXXI-XIV (1111 Days) - Direct Plan - Quarterly IDCW</v>
          </cell>
          <cell r="E17141">
            <v>10</v>
          </cell>
        </row>
        <row r="17142">
          <cell r="B17142" t="str">
            <v>INF789F1AKW0</v>
          </cell>
          <cell r="C17142" t="str">
            <v>-</v>
          </cell>
          <cell r="D17142" t="str">
            <v>UTI Fixed Term Income Fund Series XXXI-XIV (1111 Days) - Regular Plan - Annual IDCW</v>
          </cell>
          <cell r="E17142">
            <v>10</v>
          </cell>
        </row>
        <row r="17143">
          <cell r="B17143" t="str">
            <v>INF789F1AKY6</v>
          </cell>
          <cell r="C17143" t="str">
            <v>-</v>
          </cell>
          <cell r="D17143" t="str">
            <v>UTI Fixed Term Income Fund Series XXXI-XIV (1111 Days) - Regular Plan - Flexi IDCW</v>
          </cell>
          <cell r="E17143">
            <v>10</v>
          </cell>
        </row>
        <row r="17144">
          <cell r="B17144" t="str">
            <v>INF789F1AKX8</v>
          </cell>
          <cell r="C17144" t="str">
            <v>-</v>
          </cell>
          <cell r="D17144" t="str">
            <v>UTI Fixed Term Income Fund Series XXXI-XIV (1111 Days) - Regular Plan - Maturity IDCW</v>
          </cell>
          <cell r="E17144">
            <v>10</v>
          </cell>
        </row>
        <row r="17145">
          <cell r="B17145" t="str">
            <v>INF789F1AKV2</v>
          </cell>
          <cell r="C17145" t="str">
            <v>-</v>
          </cell>
          <cell r="D17145" t="str">
            <v>UTI Fixed Term Income Fund Series XXXI-XIV (1111 Days) - Regular Plan - Quarterly IDCW</v>
          </cell>
          <cell r="E17145">
            <v>10</v>
          </cell>
        </row>
        <row r="17146">
          <cell r="B17146" t="str">
            <v>INF789F1ALJ5</v>
          </cell>
          <cell r="C17146" t="str">
            <v>-</v>
          </cell>
          <cell r="D17146" t="str">
            <v>UTI - Fixed Term Income Fund Series XXXI-XV (1099 Days) - Direct Plan - Growth Option</v>
          </cell>
          <cell r="E17146">
            <v>12.5504</v>
          </cell>
        </row>
        <row r="17147">
          <cell r="B17147" t="str">
            <v>INF789F1ALE6</v>
          </cell>
          <cell r="C17147" t="str">
            <v>-</v>
          </cell>
          <cell r="D17147" t="str">
            <v>UTI - Fixed Term Income Fund Series XXXI-XV (1099 Days) - Regular Plan - Growth Option</v>
          </cell>
          <cell r="E17147">
            <v>12.418699999999999</v>
          </cell>
        </row>
        <row r="17148">
          <cell r="B17148" t="str">
            <v>INF789F1ALL1</v>
          </cell>
          <cell r="C17148" t="str">
            <v>-</v>
          </cell>
          <cell r="D17148" t="str">
            <v>UTI Fixed Term Income Fund Series XXXI-XV (1099 Days) - Direct Plan - Annual IDCW</v>
          </cell>
          <cell r="E17148">
            <v>10</v>
          </cell>
        </row>
        <row r="17149">
          <cell r="B17149" t="str">
            <v>INF789F1ALM9</v>
          </cell>
          <cell r="C17149" t="str">
            <v>-</v>
          </cell>
          <cell r="D17149" t="str">
            <v>UTI Fixed Term Income Fund Series XXXI-XV (1099 Days) - Direct Plan - Maturity IDCW</v>
          </cell>
          <cell r="E17149">
            <v>10</v>
          </cell>
        </row>
        <row r="17150">
          <cell r="B17150" t="str">
            <v>INF789F1ALK3</v>
          </cell>
          <cell r="C17150" t="str">
            <v>-</v>
          </cell>
          <cell r="D17150" t="str">
            <v>UTI Fixed Term Income Fund Series XXXI-XV (1099 Days) - Direct Plan - Quarterly IDCW</v>
          </cell>
          <cell r="E17150">
            <v>10</v>
          </cell>
        </row>
        <row r="17151">
          <cell r="B17151" t="str">
            <v>INF789F1ALG1</v>
          </cell>
          <cell r="C17151" t="str">
            <v>-</v>
          </cell>
          <cell r="D17151" t="str">
            <v>UTI Fixed Term Income Fund Series XXXI-XV (1099 Days) - Regular Plan - Annual IDCW</v>
          </cell>
          <cell r="E17151">
            <v>10</v>
          </cell>
        </row>
        <row r="17152">
          <cell r="B17152" t="str">
            <v>INF789F1ALI7</v>
          </cell>
          <cell r="C17152" t="str">
            <v>-</v>
          </cell>
          <cell r="D17152" t="str">
            <v>UTI Fixed Term Income Fund Series XXXI-XV (1099 Days) - Regular Plan - Flexi IDCW</v>
          </cell>
          <cell r="E17152">
            <v>10</v>
          </cell>
        </row>
        <row r="17153">
          <cell r="B17153" t="str">
            <v>INF789F1ALH9</v>
          </cell>
          <cell r="C17153" t="str">
            <v>-</v>
          </cell>
          <cell r="D17153" t="str">
            <v>UTI Fixed Term Income Fund Series XXXI-XV (1099 Days) - Regular Plan - Maturity IDCW</v>
          </cell>
          <cell r="E17153">
            <v>10</v>
          </cell>
        </row>
        <row r="17154">
          <cell r="B17154" t="str">
            <v>INF789F1ALF3</v>
          </cell>
          <cell r="C17154" t="str">
            <v>-</v>
          </cell>
          <cell r="D17154" t="str">
            <v>UTI Fixed Term Income Fund Series XXXI-XV (1099 Days) - Regular Plan - Quarterly IDCW</v>
          </cell>
          <cell r="E17154">
            <v>10</v>
          </cell>
        </row>
        <row r="17155">
          <cell r="B17155" t="str">
            <v>INF789F1ALT4</v>
          </cell>
          <cell r="C17155" t="str">
            <v>-</v>
          </cell>
          <cell r="D17155" t="str">
            <v>UTI - Fixed Term Income Fund Series XXXII-I (1126 days) Direct Plan Growth Option</v>
          </cell>
          <cell r="E17155">
            <v>12.577199999999999</v>
          </cell>
        </row>
        <row r="17156">
          <cell r="B17156" t="str">
            <v>INF789F1ALO5</v>
          </cell>
          <cell r="C17156" t="str">
            <v>-</v>
          </cell>
          <cell r="D17156" t="str">
            <v>UTI - Fixed Term Income Fund Series XXXII-I (1126 days) Regular Plan Growth Option</v>
          </cell>
          <cell r="E17156">
            <v>12.442</v>
          </cell>
        </row>
        <row r="17157">
          <cell r="B17157" t="str">
            <v>INF789F1ALV0</v>
          </cell>
          <cell r="C17157" t="str">
            <v>-</v>
          </cell>
          <cell r="D17157" t="str">
            <v>UTI Fixed Term Income Fund Series XXXII-I(1126 Days) - Direct Plan - Annual IDCW</v>
          </cell>
          <cell r="E17157">
            <v>10</v>
          </cell>
        </row>
        <row r="17158">
          <cell r="B17158" t="str">
            <v>INF789F1ALX6</v>
          </cell>
          <cell r="C17158" t="str">
            <v>-</v>
          </cell>
          <cell r="D17158" t="str">
            <v>UTI Fixed Term Income Fund Series XXXII-I(1126 Days) - Direct Plan - Flexi IDCW</v>
          </cell>
          <cell r="E17158">
            <v>10</v>
          </cell>
        </row>
        <row r="17159">
          <cell r="B17159" t="str">
            <v>INF789F1ALW8</v>
          </cell>
          <cell r="C17159" t="str">
            <v>-</v>
          </cell>
          <cell r="D17159" t="str">
            <v>UTI Fixed Term Income Fund Series XXXII-I(1126 Days) - Direct Plan - Maturity IDCW</v>
          </cell>
          <cell r="E17159">
            <v>10</v>
          </cell>
        </row>
        <row r="17160">
          <cell r="B17160" t="str">
            <v>INF789F1ALU2</v>
          </cell>
          <cell r="C17160" t="str">
            <v>-</v>
          </cell>
          <cell r="D17160" t="str">
            <v>UTI Fixed Term Income Fund Series XXXII-I(1126 Days) - Direct Plan - Quarterly IDCW</v>
          </cell>
          <cell r="E17160">
            <v>10</v>
          </cell>
        </row>
        <row r="17161">
          <cell r="B17161" t="str">
            <v>INF789F1ALQ0</v>
          </cell>
          <cell r="C17161" t="str">
            <v>-</v>
          </cell>
          <cell r="D17161" t="str">
            <v>UTI Fixed Term Income Fund Series XXXII-I(1126 Days) - Regular Plan - Annual IDCW</v>
          </cell>
          <cell r="E17161">
            <v>10</v>
          </cell>
        </row>
        <row r="17162">
          <cell r="B17162" t="str">
            <v>INF789F1ALR8</v>
          </cell>
          <cell r="C17162" t="str">
            <v>-</v>
          </cell>
          <cell r="D17162" t="str">
            <v>UTI Fixed Term Income Fund Series XXXII-I(1126 Days) - Regular Plan - Maturity IDCW</v>
          </cell>
          <cell r="E17162">
            <v>10</v>
          </cell>
        </row>
        <row r="17163">
          <cell r="B17163" t="str">
            <v>INF789F1ALP2</v>
          </cell>
          <cell r="C17163" t="str">
            <v>-</v>
          </cell>
          <cell r="D17163" t="str">
            <v>UTI Fixed Term Income Fund Series XXXII-I(1126 Days) - Regular Plan - Quarterly IDCW</v>
          </cell>
          <cell r="E17163">
            <v>10</v>
          </cell>
        </row>
        <row r="17164">
          <cell r="B17164" t="str">
            <v>INF789F1AMD6</v>
          </cell>
          <cell r="C17164" t="str">
            <v>-</v>
          </cell>
          <cell r="D17164" t="str">
            <v>UTI - Fixed Term Income Fund Series XXXII-II (1111 Days) - Direct Plan - Growth Option</v>
          </cell>
          <cell r="E17164">
            <v>12.507199999999999</v>
          </cell>
        </row>
        <row r="17165">
          <cell r="B17165" t="str">
            <v>INF789F1ALY4</v>
          </cell>
          <cell r="C17165" t="str">
            <v>-</v>
          </cell>
          <cell r="D17165" t="str">
            <v>UTI - Fixed Term Income Fund Series XXXII-II (1111 Days) - Regular Plan - Growth Option</v>
          </cell>
          <cell r="E17165">
            <v>12.3749</v>
          </cell>
        </row>
        <row r="17166">
          <cell r="B17166" t="str">
            <v>INF789F1AMF1</v>
          </cell>
          <cell r="C17166" t="str">
            <v>-</v>
          </cell>
          <cell r="D17166" t="str">
            <v>UTI Fixed Term Income Fund Series XXXII-II(1111 Days) - Direct Plan - Annual IDCW</v>
          </cell>
          <cell r="E17166">
            <v>10</v>
          </cell>
        </row>
        <row r="17167">
          <cell r="B17167" t="str">
            <v>INF789F1AMH7</v>
          </cell>
          <cell r="C17167" t="str">
            <v>-</v>
          </cell>
          <cell r="D17167" t="str">
            <v>UTI Fixed Term Income Fund Series XXXII-II(1111 Days) - Direct Plan - Flexi IDCW</v>
          </cell>
          <cell r="E17167">
            <v>10</v>
          </cell>
        </row>
        <row r="17168">
          <cell r="B17168" t="str">
            <v>INF789F1AME4</v>
          </cell>
          <cell r="C17168" t="str">
            <v>-</v>
          </cell>
          <cell r="D17168" t="str">
            <v>UTI Fixed Term Income Fund Series XXXII-II(1111 Days) - Direct Plan - Quarterly IDCW</v>
          </cell>
          <cell r="E17168">
            <v>10</v>
          </cell>
        </row>
        <row r="17169">
          <cell r="B17169" t="str">
            <v>INF789F1AMA2</v>
          </cell>
          <cell r="C17169" t="str">
            <v>-</v>
          </cell>
          <cell r="D17169" t="str">
            <v>UTI Fixed Term Income Fund Series XXXII-II(1111 Days) - Regular Plan - Annual IDCW</v>
          </cell>
          <cell r="E17169">
            <v>10</v>
          </cell>
        </row>
        <row r="17170">
          <cell r="B17170" t="str">
            <v>INF789F1AMC8</v>
          </cell>
          <cell r="C17170" t="str">
            <v>-</v>
          </cell>
          <cell r="D17170" t="str">
            <v>UTI Fixed Term Income Fund Series XXXII-II(1111 Days) - Regular Plan - Flexi IDCW</v>
          </cell>
          <cell r="E17170">
            <v>10</v>
          </cell>
        </row>
        <row r="17171">
          <cell r="B17171" t="str">
            <v>INF789F1AMB0</v>
          </cell>
          <cell r="C17171" t="str">
            <v>-</v>
          </cell>
          <cell r="D17171" t="str">
            <v>UTI Fixed Term Income Fund Series XXXII-II(1111 Days) - Regular Plan - Maturity IDCW</v>
          </cell>
          <cell r="E17171">
            <v>10.0001</v>
          </cell>
        </row>
        <row r="17172">
          <cell r="B17172" t="str">
            <v>INF789F1ALZ1</v>
          </cell>
          <cell r="C17172" t="str">
            <v>-</v>
          </cell>
          <cell r="D17172" t="str">
            <v>UTI Fixed Term Income Fund Series XXXII-II(1111 Days) - Regular Plan - Quarterly IDCW</v>
          </cell>
          <cell r="E17172">
            <v>10</v>
          </cell>
        </row>
        <row r="17173">
          <cell r="B17173" t="str">
            <v>INF789F1ARA1</v>
          </cell>
          <cell r="C17173" t="str">
            <v>-</v>
          </cell>
          <cell r="D17173" t="str">
            <v>UTI - Fixed Term Income Fund Series XXXIII-I (1135 Days) - Direct Plan - Growth Option</v>
          </cell>
          <cell r="E17173">
            <v>12.174200000000001</v>
          </cell>
        </row>
        <row r="17174">
          <cell r="B17174" t="str">
            <v>INF789F1AQV9</v>
          </cell>
          <cell r="C17174" t="str">
            <v>-</v>
          </cell>
          <cell r="D17174" t="str">
            <v>UTI - Fixed Term Income Fund Series XXXIII-I (1135 Days) - Regular Plan - Growth Option</v>
          </cell>
          <cell r="E17174">
            <v>12.0764</v>
          </cell>
        </row>
        <row r="17175">
          <cell r="B17175" t="str">
            <v>INF789F1AQY3</v>
          </cell>
          <cell r="C17175" t="str">
            <v>-</v>
          </cell>
          <cell r="D17175" t="str">
            <v>UTI Fixed Term Income Fund Series XXXIII-I (1135 Days) - Direct Plan - Annual IDCW</v>
          </cell>
          <cell r="E17175">
            <v>10.3742</v>
          </cell>
        </row>
        <row r="17176">
          <cell r="B17176" t="str">
            <v>INF789F1ARB9</v>
          </cell>
          <cell r="C17176" t="str">
            <v>-</v>
          </cell>
          <cell r="D17176" t="str">
            <v>UTI Fixed Term Income Fund Series XXXIII-I (1135 Days) - Direct Plan - Flexi IDCW</v>
          </cell>
          <cell r="E17176">
            <v>10</v>
          </cell>
        </row>
        <row r="17177">
          <cell r="B17177" t="str">
            <v>INF789F1AQZ0</v>
          </cell>
          <cell r="C17177" t="str">
            <v>-</v>
          </cell>
          <cell r="D17177" t="str">
            <v>UTI Fixed Term Income Fund Series XXXIII-I (1135 Days) - Direct Plan - Maturity IDCW</v>
          </cell>
          <cell r="E17177">
            <v>10</v>
          </cell>
        </row>
        <row r="17178">
          <cell r="B17178" t="str">
            <v>INF789F1AQX5</v>
          </cell>
          <cell r="C17178" t="str">
            <v>-</v>
          </cell>
          <cell r="D17178" t="str">
            <v>UTI Fixed Term Income Fund Series XXXIII-I (1135 Days) - Direct Plan - Quarterly IDCW</v>
          </cell>
          <cell r="E17178">
            <v>10.618600000000001</v>
          </cell>
        </row>
        <row r="17179">
          <cell r="B17179" t="str">
            <v>INF789F1AQT3</v>
          </cell>
          <cell r="C17179" t="str">
            <v>-</v>
          </cell>
          <cell r="D17179" t="str">
            <v>UTI Fixed Term Income Fund Series XXXIII-I (1135 Days) - Regular Plan - Annual IDCW</v>
          </cell>
          <cell r="E17179">
            <v>10.377700000000001</v>
          </cell>
        </row>
        <row r="17180">
          <cell r="B17180" t="str">
            <v>INF789F1AQU1</v>
          </cell>
          <cell r="C17180" t="str">
            <v>-</v>
          </cell>
          <cell r="D17180" t="str">
            <v>UTI Fixed Term Income Fund Series XXXIII-I (1135 Days) - Regular Plan - Maturity IDCW</v>
          </cell>
          <cell r="E17180">
            <v>10</v>
          </cell>
        </row>
        <row r="17181">
          <cell r="B17181" t="str">
            <v>INF789F1AQS5</v>
          </cell>
          <cell r="C17181" t="str">
            <v>-</v>
          </cell>
          <cell r="D17181" t="str">
            <v>UTI Fixed Term Income Fund Series XXXIII-I (1135 Days) - Regular Plan - Quarterly IDCW</v>
          </cell>
          <cell r="E17181">
            <v>10.592599999999999</v>
          </cell>
        </row>
        <row r="17182">
          <cell r="B17182" t="str">
            <v>INF789FC1MV5</v>
          </cell>
          <cell r="C17182" t="str">
            <v>-</v>
          </cell>
          <cell r="D17182" t="str">
            <v>UTI FTIF Series XXVI-IX (1113 Days)- Direct Plan - Annual Div Option</v>
          </cell>
          <cell r="E17182">
            <v>10</v>
          </cell>
        </row>
        <row r="17183">
          <cell r="B17183" t="str">
            <v>INF789FC1NB5</v>
          </cell>
          <cell r="C17183" t="str">
            <v>-</v>
          </cell>
          <cell r="D17183" t="str">
            <v>UTI FTIF Series XXVI-IX (1113 Days)- Direct Plan - Growth Option</v>
          </cell>
          <cell r="E17183">
            <v>12.380800000000001</v>
          </cell>
        </row>
        <row r="17184">
          <cell r="B17184" t="str">
            <v>INF789FC1NA7</v>
          </cell>
          <cell r="C17184" t="str">
            <v>-</v>
          </cell>
          <cell r="D17184" t="str">
            <v>UTI FTIF Series XXVI-IX (1113 Days)- Direct Plan - Maturity Div Option</v>
          </cell>
          <cell r="E17184">
            <v>10</v>
          </cell>
        </row>
        <row r="17185">
          <cell r="B17185" t="str">
            <v>INF789FC1MU7</v>
          </cell>
          <cell r="C17185" t="str">
            <v>-</v>
          </cell>
          <cell r="D17185" t="str">
            <v>UTI FTIF Series XXVI-IX (1113 Days)- Direct Plan - Quarterly Div Option</v>
          </cell>
          <cell r="E17185">
            <v>10</v>
          </cell>
        </row>
        <row r="17186">
          <cell r="B17186" t="str">
            <v>INF789FC1MZ6</v>
          </cell>
          <cell r="C17186" t="str">
            <v>-</v>
          </cell>
          <cell r="D17186" t="str">
            <v>UTI FTIF Series XXVI-IX (1113 Days)- Regular Plan - Annual Div Option</v>
          </cell>
          <cell r="E17186">
            <v>10</v>
          </cell>
        </row>
        <row r="17187">
          <cell r="B17187" t="str">
            <v>INF789FC1MX1</v>
          </cell>
          <cell r="C17187" t="str">
            <v>-</v>
          </cell>
          <cell r="D17187" t="str">
            <v>UTI FTIF Series XXVI-IX (1113 Days)- Regular Plan - Flexi Div Option</v>
          </cell>
          <cell r="E17187">
            <v>10</v>
          </cell>
        </row>
        <row r="17188">
          <cell r="B17188" t="str">
            <v>INF789FC1ND1</v>
          </cell>
          <cell r="C17188" t="str">
            <v>-</v>
          </cell>
          <cell r="D17188" t="str">
            <v>UTI FTIF Series XXVI-IX (1113 Days)- Regular Plan - Growth Option</v>
          </cell>
          <cell r="E17188">
            <v>12.2577</v>
          </cell>
        </row>
        <row r="17189">
          <cell r="B17189" t="str">
            <v>INF789FC1NC3</v>
          </cell>
          <cell r="C17189" t="str">
            <v>-</v>
          </cell>
          <cell r="D17189" t="str">
            <v>UTI FTIF Series XXVI-IX (1113 Days)- Regular Plan - Maturity Div Option</v>
          </cell>
          <cell r="E17189">
            <v>10</v>
          </cell>
        </row>
        <row r="17190">
          <cell r="B17190" t="str">
            <v>INF789FC1MY9</v>
          </cell>
          <cell r="C17190" t="str">
            <v>-</v>
          </cell>
          <cell r="D17190" t="str">
            <v>UTI FTIF Series XXVI-IX (1113 Days)- Regular Plan - Quarterly Div Option</v>
          </cell>
          <cell r="E17190">
            <v>10</v>
          </cell>
        </row>
        <row r="17191">
          <cell r="B17191" t="str">
            <v>INF789FC1NF6</v>
          </cell>
          <cell r="C17191" t="str">
            <v>-</v>
          </cell>
          <cell r="D17191" t="str">
            <v>UTI FTIF Series XXVI-X (1107 Days)- Direct Plan - Annual Div Option</v>
          </cell>
          <cell r="E17191">
            <v>10</v>
          </cell>
        </row>
        <row r="17192">
          <cell r="B17192" t="str">
            <v>INF789FC1NG4</v>
          </cell>
          <cell r="C17192" t="str">
            <v>-</v>
          </cell>
          <cell r="D17192" t="str">
            <v>UTI FTIF Series XXVI-X (1107 Days)- Direct Plan - Flexi Div Option</v>
          </cell>
          <cell r="E17192">
            <v>10</v>
          </cell>
        </row>
        <row r="17193">
          <cell r="B17193" t="str">
            <v>INF789FC1NL4</v>
          </cell>
          <cell r="C17193" t="str">
            <v>-</v>
          </cell>
          <cell r="D17193" t="str">
            <v>UTI FTIF Series XXVI-X (1107 Days)- Direct Plan - Growth Option</v>
          </cell>
          <cell r="E17193">
            <v>12.3658</v>
          </cell>
        </row>
        <row r="17194">
          <cell r="B17194" t="str">
            <v>INF789FC1NK6</v>
          </cell>
          <cell r="C17194" t="str">
            <v>-</v>
          </cell>
          <cell r="D17194" t="str">
            <v>UTI FTIF Series XXVI-X (1107 Days)- Direct Plan - Maturity Div Option</v>
          </cell>
          <cell r="E17194">
            <v>10</v>
          </cell>
        </row>
        <row r="17195">
          <cell r="B17195" t="str">
            <v>INF789FC1NE9</v>
          </cell>
          <cell r="C17195" t="str">
            <v>-</v>
          </cell>
          <cell r="D17195" t="str">
            <v>UTI FTIF Series XXVI-X (1107 Days)- Direct Plan - Quarterly Div Option</v>
          </cell>
          <cell r="E17195">
            <v>10</v>
          </cell>
        </row>
        <row r="17196">
          <cell r="B17196" t="str">
            <v>INF789FC1NJ8</v>
          </cell>
          <cell r="C17196" t="str">
            <v>-</v>
          </cell>
          <cell r="D17196" t="str">
            <v>UTI FTIF Series XXVI-X (1107 Days)- Regular Plan - Annual Div Option</v>
          </cell>
          <cell r="E17196">
            <v>10</v>
          </cell>
        </row>
        <row r="17197">
          <cell r="B17197" t="str">
            <v>INF789FC1NN0</v>
          </cell>
          <cell r="C17197" t="str">
            <v>-</v>
          </cell>
          <cell r="D17197" t="str">
            <v>UTI FTIF Series XXVI-X (1107 Days)- Regular Plan - Growth Option</v>
          </cell>
          <cell r="E17197">
            <v>12.242800000000001</v>
          </cell>
        </row>
        <row r="17198">
          <cell r="B17198" t="str">
            <v>INF789FC1NM2</v>
          </cell>
          <cell r="C17198" t="str">
            <v>-</v>
          </cell>
          <cell r="D17198" t="str">
            <v>UTI FTIF Series XXVI-X (1107 Days)- Regular Plan - Maturity Div Option</v>
          </cell>
          <cell r="E17198">
            <v>10</v>
          </cell>
        </row>
        <row r="17199">
          <cell r="B17199" t="str">
            <v>INF789FC1NI0</v>
          </cell>
          <cell r="C17199" t="str">
            <v>-</v>
          </cell>
          <cell r="D17199" t="str">
            <v>UTI FTIF Series XXVI-X (1107 Days)- Regular Plan - Quarterly Div Option</v>
          </cell>
          <cell r="E17199">
            <v>10</v>
          </cell>
        </row>
        <row r="17200">
          <cell r="B17200" t="str">
            <v>INF789FC1ST6</v>
          </cell>
          <cell r="C17200" t="str">
            <v>-</v>
          </cell>
          <cell r="D17200" t="str">
            <v>UTI FTIF Series XXVI-XI (1105 Days)- Direct Plan - Annual Div Option</v>
          </cell>
          <cell r="E17200">
            <v>10</v>
          </cell>
        </row>
        <row r="17201">
          <cell r="B17201" t="str">
            <v>INF789FC1SU4</v>
          </cell>
          <cell r="C17201" t="str">
            <v>-</v>
          </cell>
          <cell r="D17201" t="str">
            <v>UTI FTIF Series XXVI-XI (1105 Days)- Direct Plan - Flexi Div Option</v>
          </cell>
          <cell r="E17201">
            <v>10</v>
          </cell>
        </row>
        <row r="17202">
          <cell r="B17202" t="str">
            <v>INF789FC1SZ3</v>
          </cell>
          <cell r="C17202" t="str">
            <v>-</v>
          </cell>
          <cell r="D17202" t="str">
            <v>UTI FTIF Series XXVI-XI (1105 Days)- Direct Plan - Growth Option</v>
          </cell>
          <cell r="E17202">
            <v>12.3598</v>
          </cell>
        </row>
        <row r="17203">
          <cell r="B17203" t="str">
            <v>INF789FC1SY6</v>
          </cell>
          <cell r="C17203" t="str">
            <v>-</v>
          </cell>
          <cell r="D17203" t="str">
            <v>UTI FTIF Series XXVI-XI (1105 Days)- Direct Plan - Maturity Div Option</v>
          </cell>
          <cell r="E17203">
            <v>10</v>
          </cell>
        </row>
        <row r="17204">
          <cell r="B17204" t="str">
            <v>INF789FC1SS8</v>
          </cell>
          <cell r="C17204" t="str">
            <v>-</v>
          </cell>
          <cell r="D17204" t="str">
            <v>UTI FTIF Series XXVI-XI (1105 Days)- Direct Plan - Quarterly Div  Option</v>
          </cell>
          <cell r="E17204">
            <v>10</v>
          </cell>
        </row>
        <row r="17205">
          <cell r="B17205" t="str">
            <v>INF789FC1SX8</v>
          </cell>
          <cell r="C17205" t="str">
            <v>-</v>
          </cell>
          <cell r="D17205" t="str">
            <v>UTI FTIF Series XXVI-XI (1105 Days)- Regular Plan - Annual Div Option</v>
          </cell>
          <cell r="E17205">
            <v>10</v>
          </cell>
        </row>
        <row r="17206">
          <cell r="B17206" t="str">
            <v>INF789FC1SV2</v>
          </cell>
          <cell r="C17206" t="str">
            <v>-</v>
          </cell>
          <cell r="D17206" t="str">
            <v>UTI FTIF Series XXVI-XI (1105 Days)- Regular Plan - Flexi Div Option</v>
          </cell>
          <cell r="E17206">
            <v>10</v>
          </cell>
        </row>
        <row r="17207">
          <cell r="B17207" t="str">
            <v>INF789FC1TB2</v>
          </cell>
          <cell r="C17207" t="str">
            <v>-</v>
          </cell>
          <cell r="D17207" t="str">
            <v>UTI FTIF Series XXVI-XI (1105 Days)- Regular Plan - Growth Option</v>
          </cell>
          <cell r="E17207">
            <v>12.2369</v>
          </cell>
        </row>
        <row r="17208">
          <cell r="B17208" t="str">
            <v>INF789FC1TA4</v>
          </cell>
          <cell r="C17208" t="str">
            <v>-</v>
          </cell>
          <cell r="D17208" t="str">
            <v>UTI FTIF Series XXVI-XI (1105 Days)- Regular Plan - Maturity Div Option</v>
          </cell>
          <cell r="E17208">
            <v>10</v>
          </cell>
        </row>
        <row r="17209">
          <cell r="B17209" t="str">
            <v>INF789FC1SW0</v>
          </cell>
          <cell r="C17209" t="str">
            <v>-</v>
          </cell>
          <cell r="D17209" t="str">
            <v>UTI FTIF Series XXVI-XI (1105 Days)- Regular Plan - Quarterly Div Option</v>
          </cell>
          <cell r="E17209">
            <v>10</v>
          </cell>
        </row>
        <row r="17210">
          <cell r="B17210" t="str">
            <v>INF789FC1TM9</v>
          </cell>
          <cell r="C17210" t="str">
            <v>-</v>
          </cell>
          <cell r="D17210" t="str">
            <v>UTI FTIF Series XXVI-XII (1096 Days)- Direct Plan  - Maturity Div Option</v>
          </cell>
          <cell r="E17210">
            <v>10</v>
          </cell>
        </row>
        <row r="17211">
          <cell r="B17211" t="str">
            <v>INF789FC1TH9</v>
          </cell>
          <cell r="C17211" t="str">
            <v>-</v>
          </cell>
          <cell r="D17211" t="str">
            <v>UTI FTIF Series XXVI-XII (1096 Days)- Direct Plan - Annual Div Option</v>
          </cell>
          <cell r="E17211">
            <v>10</v>
          </cell>
        </row>
        <row r="17212">
          <cell r="B17212" t="str">
            <v>INF789FC1TI7</v>
          </cell>
          <cell r="C17212" t="str">
            <v>-</v>
          </cell>
          <cell r="D17212" t="str">
            <v>UTI FTIF Series XXVI-XII (1096 Days)- Direct Plan - Flexi Div Option</v>
          </cell>
          <cell r="E17212">
            <v>10</v>
          </cell>
        </row>
        <row r="17213">
          <cell r="B17213" t="str">
            <v>INF789FC1TN7</v>
          </cell>
          <cell r="C17213" t="str">
            <v>-</v>
          </cell>
          <cell r="D17213" t="str">
            <v>UTI FTIF Series XXVI-XII (1096 Days)- Direct Plan - Growth Option</v>
          </cell>
          <cell r="E17213">
            <v>12.3522</v>
          </cell>
        </row>
        <row r="17214">
          <cell r="B17214" t="str">
            <v>INF789FC1TG1</v>
          </cell>
          <cell r="C17214" t="str">
            <v>-</v>
          </cell>
          <cell r="D17214" t="str">
            <v>UTI FTIF Series XXVI-XII (1096 Days)- Direct Plan - Quarterly Div Option</v>
          </cell>
          <cell r="E17214">
            <v>10</v>
          </cell>
        </row>
        <row r="17215">
          <cell r="B17215" t="str">
            <v>INF789FC1TL1</v>
          </cell>
          <cell r="C17215" t="str">
            <v>-</v>
          </cell>
          <cell r="D17215" t="str">
            <v>UTI FTIF Series XXVI-XII (1096 Days)- Regular Plan - Annual Div Option</v>
          </cell>
          <cell r="E17215">
            <v>10</v>
          </cell>
        </row>
        <row r="17216">
          <cell r="B17216" t="str">
            <v>INF789FC1TP2</v>
          </cell>
          <cell r="C17216" t="str">
            <v>-</v>
          </cell>
          <cell r="D17216" t="str">
            <v>UTI FTIF Series XXVI-XII (1096 Days)- Regular Plan - Growth Option</v>
          </cell>
          <cell r="E17216">
            <v>12.2293</v>
          </cell>
        </row>
        <row r="17217">
          <cell r="B17217" t="str">
            <v>INF789FC1TO5</v>
          </cell>
          <cell r="C17217" t="str">
            <v>-</v>
          </cell>
          <cell r="D17217" t="str">
            <v>UTI FTIF Series XXVI-XII (1096 Days)- Regular Plan - Maturity Div Option</v>
          </cell>
          <cell r="E17217">
            <v>10</v>
          </cell>
        </row>
        <row r="17218">
          <cell r="B17218" t="str">
            <v>INF789FC1TK3</v>
          </cell>
          <cell r="C17218" t="str">
            <v>-</v>
          </cell>
          <cell r="D17218" t="str">
            <v>UTI FTIF Series XXVI-XII (1096 Days)- Regular Plan - Quarterly Div Option</v>
          </cell>
          <cell r="E17218">
            <v>10</v>
          </cell>
        </row>
        <row r="17219">
          <cell r="B17219" t="str">
            <v>INF789FC1TR8</v>
          </cell>
          <cell r="C17219" t="str">
            <v>-</v>
          </cell>
          <cell r="D17219" t="str">
            <v>UTI FTIF Series XXVI-XIII (1124 Days)- Direct Plan - Annual Div Option</v>
          </cell>
          <cell r="E17219">
            <v>10</v>
          </cell>
        </row>
        <row r="17220">
          <cell r="B17220" t="str">
            <v>INF789FC1TX6</v>
          </cell>
          <cell r="C17220" t="str">
            <v>-</v>
          </cell>
          <cell r="D17220" t="str">
            <v>UTI FTIF Series XXVI-XIII (1124 Days)- Direct Plan - Growth Option</v>
          </cell>
          <cell r="E17220">
            <v>12.625999999999999</v>
          </cell>
        </row>
        <row r="17221">
          <cell r="B17221" t="str">
            <v>INF789FC1TW8</v>
          </cell>
          <cell r="C17221" t="str">
            <v>-</v>
          </cell>
          <cell r="D17221" t="str">
            <v>UTI FTIF Series XXVI-XIII (1124 Days)- Direct Plan - Maturity Div Option</v>
          </cell>
          <cell r="E17221">
            <v>10</v>
          </cell>
        </row>
        <row r="17222">
          <cell r="B17222" t="str">
            <v>INF789FC1TQ0</v>
          </cell>
          <cell r="C17222" t="str">
            <v>-</v>
          </cell>
          <cell r="D17222" t="str">
            <v>UTI FTIF Series XXVI-XIII (1124 Days)- Direct Plan - Quarterly Div Option</v>
          </cell>
          <cell r="E17222">
            <v>10</v>
          </cell>
        </row>
        <row r="17223">
          <cell r="B17223" t="str">
            <v>INF789FC1TV0</v>
          </cell>
          <cell r="C17223" t="str">
            <v>-</v>
          </cell>
          <cell r="D17223" t="str">
            <v>UTI FTIF Series XXVI-XIII (1124 Days)- Regular Plan - Annual Div Option</v>
          </cell>
          <cell r="E17223">
            <v>10</v>
          </cell>
        </row>
        <row r="17224">
          <cell r="B17224" t="str">
            <v>INF789FC1TT4</v>
          </cell>
          <cell r="C17224" t="str">
            <v>-</v>
          </cell>
          <cell r="D17224" t="str">
            <v>UTI FTIF Series XXVI-XIII (1124 Days)- Regular Plan - Flexi Div Option</v>
          </cell>
          <cell r="E17224">
            <v>10</v>
          </cell>
        </row>
        <row r="17225">
          <cell r="B17225" t="str">
            <v>INF789FC1TZ1</v>
          </cell>
          <cell r="C17225" t="str">
            <v>-</v>
          </cell>
          <cell r="D17225" t="str">
            <v>UTI FTIF Series XXVI-XIII (1124 Days)- Regular Plan - Growth Option</v>
          </cell>
          <cell r="E17225">
            <v>12.500299999999999</v>
          </cell>
        </row>
        <row r="17226">
          <cell r="B17226" t="str">
            <v>INF789FC1TY4</v>
          </cell>
          <cell r="C17226" t="str">
            <v>-</v>
          </cell>
          <cell r="D17226" t="str">
            <v>UTI FTIF Series XXVI-XIII (1124 Days)- Regular Plan - Maturity Div Option</v>
          </cell>
          <cell r="E17226">
            <v>10</v>
          </cell>
        </row>
        <row r="17227">
          <cell r="B17227" t="str">
            <v>INF789FC1TU2</v>
          </cell>
          <cell r="C17227" t="str">
            <v>-</v>
          </cell>
          <cell r="D17227" t="str">
            <v>UTI FTIF Series XXVI-XIII (1124 Days)- Regular Plan - Quarterly Div Option</v>
          </cell>
          <cell r="E17227">
            <v>10</v>
          </cell>
        </row>
        <row r="17228">
          <cell r="B17228" t="str">
            <v>INF789FC1ZP9</v>
          </cell>
          <cell r="C17228" t="str">
            <v>-</v>
          </cell>
          <cell r="D17228" t="str">
            <v>UTI FTIF Series XXVI-XIV (1105 Days) - Direct Plan - Annual Div Option</v>
          </cell>
          <cell r="E17228">
            <v>10</v>
          </cell>
        </row>
        <row r="17229">
          <cell r="B17229" t="str">
            <v>INF789FC1ZQ7</v>
          </cell>
          <cell r="C17229" t="str">
            <v>-</v>
          </cell>
          <cell r="D17229" t="str">
            <v>UTI FTIF Series XXVI-XIV (1105 Days) - Direct Plan - Flexi Div Option</v>
          </cell>
          <cell r="E17229">
            <v>10</v>
          </cell>
        </row>
        <row r="17230">
          <cell r="B17230" t="str">
            <v>INF789FC1ZV7</v>
          </cell>
          <cell r="C17230" t="str">
            <v>-</v>
          </cell>
          <cell r="D17230" t="str">
            <v>UTI FTIF Series XXVI-XIV (1105 Days) - Direct Plan - Growth Option</v>
          </cell>
          <cell r="E17230">
            <v>12.348800000000001</v>
          </cell>
        </row>
        <row r="17231">
          <cell r="B17231" t="str">
            <v>INF789FC1ZU9</v>
          </cell>
          <cell r="C17231" t="str">
            <v>-</v>
          </cell>
          <cell r="D17231" t="str">
            <v>UTI FTIF Series XXVI-XIV (1105 Days) - Direct Plan - Maturity Div Div Option</v>
          </cell>
          <cell r="E17231">
            <v>10</v>
          </cell>
        </row>
        <row r="17232">
          <cell r="B17232" t="str">
            <v>INF789FC1ZO2</v>
          </cell>
          <cell r="C17232" t="str">
            <v>-</v>
          </cell>
          <cell r="D17232" t="str">
            <v>UTI FTIF Series XXVI-XIV (1105 Days) - Direct Plan - Quarterly Div Option</v>
          </cell>
          <cell r="E17232">
            <v>10</v>
          </cell>
        </row>
        <row r="17233">
          <cell r="B17233" t="str">
            <v>INF789FC1ZT1</v>
          </cell>
          <cell r="C17233" t="str">
            <v>-</v>
          </cell>
          <cell r="D17233" t="str">
            <v>UTI FTIF Series XXVI-XIV (1105 Days) - Regular Plan - Annual Div Option</v>
          </cell>
          <cell r="E17233">
            <v>10</v>
          </cell>
        </row>
        <row r="17234">
          <cell r="B17234" t="str">
            <v>INF789FC1ZR5</v>
          </cell>
          <cell r="C17234" t="str">
            <v>-</v>
          </cell>
          <cell r="D17234" t="str">
            <v>UTI FTIF Series XXVI-XIV (1105 Days) - Regular Plan - Flexi Div Option</v>
          </cell>
          <cell r="E17234">
            <v>10</v>
          </cell>
        </row>
        <row r="17235">
          <cell r="B17235" t="str">
            <v>INF789FC1ZX3</v>
          </cell>
          <cell r="C17235" t="str">
            <v>-</v>
          </cell>
          <cell r="D17235" t="str">
            <v>UTI FTIF Series XXVI-XIV (1105 Days) - Regular Plan - Growth Option</v>
          </cell>
          <cell r="E17235">
            <v>12.225899999999999</v>
          </cell>
        </row>
        <row r="17236">
          <cell r="B17236" t="str">
            <v>INF789FC1ZW5</v>
          </cell>
          <cell r="C17236" t="str">
            <v>-</v>
          </cell>
          <cell r="D17236" t="str">
            <v>UTI FTIF Series XXVI-XIV (1105 Days) - Regular Plan - Maturity Div Option</v>
          </cell>
          <cell r="E17236">
            <v>10</v>
          </cell>
        </row>
        <row r="17237">
          <cell r="B17237" t="str">
            <v>INF789FC1ZS3</v>
          </cell>
          <cell r="C17237" t="str">
            <v>-</v>
          </cell>
          <cell r="D17237" t="str">
            <v>UTI FTIF Series XXVI-XIV (1105 Days) - Regular Plan - Quarterly Div Option</v>
          </cell>
          <cell r="E17237">
            <v>10</v>
          </cell>
        </row>
        <row r="17238">
          <cell r="B17238" t="str">
            <v>INF789FC1A38</v>
          </cell>
          <cell r="C17238" t="str">
            <v>-</v>
          </cell>
          <cell r="D17238" t="str">
            <v>UTI FTIF Series XXVI-XV (1097 Days) - Direct Plan - Annual Div Option</v>
          </cell>
          <cell r="E17238">
            <v>10</v>
          </cell>
        </row>
        <row r="17239">
          <cell r="B17239" t="str">
            <v>INF789FC1A95</v>
          </cell>
          <cell r="C17239" t="str">
            <v>-</v>
          </cell>
          <cell r="D17239" t="str">
            <v>UTI FTIF Series XXVI-XV (1097 Days) - Direct Plan - Growth Option</v>
          </cell>
          <cell r="E17239">
            <v>12.3262</v>
          </cell>
        </row>
        <row r="17240">
          <cell r="B17240" t="str">
            <v>INF789FC1A87</v>
          </cell>
          <cell r="C17240" t="str">
            <v>-</v>
          </cell>
          <cell r="D17240" t="str">
            <v>UTI FTIF Series XXVI-XV (1097 Days) - Direct Plan - Maturity Div Option</v>
          </cell>
          <cell r="E17240">
            <v>10.000400000000001</v>
          </cell>
        </row>
        <row r="17241">
          <cell r="B17241" t="str">
            <v>INF789FC1A20</v>
          </cell>
          <cell r="C17241" t="str">
            <v>-</v>
          </cell>
          <cell r="D17241" t="str">
            <v>UTI FTIF Series XXVI-XV (1097 Days) - Direct Plan - Quarterly Div Option</v>
          </cell>
          <cell r="E17241">
            <v>10</v>
          </cell>
        </row>
        <row r="17242">
          <cell r="B17242" t="str">
            <v>INF789FC1A79</v>
          </cell>
          <cell r="C17242" t="str">
            <v>-</v>
          </cell>
          <cell r="D17242" t="str">
            <v>UTI FTIF Series XXVI-XV (1097 Days) - Regular Plan - Annual Div Option</v>
          </cell>
          <cell r="E17242">
            <v>10</v>
          </cell>
        </row>
        <row r="17243">
          <cell r="B17243" t="str">
            <v>INF789FC1A53</v>
          </cell>
          <cell r="C17243" t="str">
            <v>-</v>
          </cell>
          <cell r="D17243" t="str">
            <v>UTI FTIF Series XXVI-XV (1097 Days) - Regular Plan - Flexi Div Option</v>
          </cell>
          <cell r="E17243">
            <v>10</v>
          </cell>
        </row>
        <row r="17244">
          <cell r="B17244" t="str">
            <v>INF789FC1B11</v>
          </cell>
          <cell r="C17244" t="str">
            <v>-</v>
          </cell>
          <cell r="D17244" t="str">
            <v>UTI FTIF Series XXVI-XV (1097 Days) - Regular Plan - Growth Option</v>
          </cell>
          <cell r="E17244">
            <v>12.2034</v>
          </cell>
        </row>
        <row r="17245">
          <cell r="B17245" t="str">
            <v>INF789FC1B03</v>
          </cell>
          <cell r="C17245" t="str">
            <v>-</v>
          </cell>
          <cell r="D17245" t="str">
            <v>UTI FTIF Series XXVI-XV (1097 Days) - Regular Plan - Maturity Div Option</v>
          </cell>
          <cell r="E17245">
            <v>10</v>
          </cell>
        </row>
        <row r="17246">
          <cell r="B17246" t="str">
            <v>INF789FC1A61</v>
          </cell>
          <cell r="C17246" t="str">
            <v>-</v>
          </cell>
          <cell r="D17246" t="str">
            <v>UTI FTIF Series XXVI-XV (1097 Days) - Regular Plan - Quarterly Div Option</v>
          </cell>
          <cell r="E17246">
            <v>10</v>
          </cell>
        </row>
        <row r="17247">
          <cell r="B17247" t="str">
            <v>INF789FC1K93</v>
          </cell>
          <cell r="C17247" t="str">
            <v>-</v>
          </cell>
          <cell r="D17247" t="str">
            <v>UTI FTIF Series XXVII-I (1113 Days) - Direct Plan - Annual Div Option</v>
          </cell>
          <cell r="E17247">
            <v>10</v>
          </cell>
        </row>
        <row r="17248">
          <cell r="B17248" t="str">
            <v>INF789FC1L01</v>
          </cell>
          <cell r="C17248" t="str">
            <v>-</v>
          </cell>
          <cell r="D17248" t="str">
            <v>UTI FTIF Series XXVII-I (1113 Days) - Direct Plan - Flexi Div Option</v>
          </cell>
          <cell r="E17248">
            <v>10</v>
          </cell>
        </row>
        <row r="17249">
          <cell r="B17249" t="str">
            <v>INF789FC1L50</v>
          </cell>
          <cell r="C17249" t="str">
            <v>-</v>
          </cell>
          <cell r="D17249" t="str">
            <v>UTI FTIF Series XXVII-I (1113 Days) - Direct Plan - Growth Option</v>
          </cell>
          <cell r="E17249">
            <v>12.3583</v>
          </cell>
        </row>
        <row r="17250">
          <cell r="B17250" t="str">
            <v>INF789FC1L43</v>
          </cell>
          <cell r="C17250" t="str">
            <v>-</v>
          </cell>
          <cell r="D17250" t="str">
            <v>UTI FTIF Series XXVII-I (1113 Days) - Direct Plan - Maturity Div Option</v>
          </cell>
          <cell r="E17250">
            <v>10</v>
          </cell>
        </row>
        <row r="17251">
          <cell r="B17251" t="str">
            <v>INF789FC1K85</v>
          </cell>
          <cell r="C17251" t="str">
            <v>-</v>
          </cell>
          <cell r="D17251" t="str">
            <v>UTI FTIF Series XXVII-I (1113 Days) - Direct Plan - Quarterly Div Option</v>
          </cell>
          <cell r="E17251">
            <v>10</v>
          </cell>
        </row>
        <row r="17252">
          <cell r="B17252" t="str">
            <v>INF789FC1L35</v>
          </cell>
          <cell r="C17252" t="str">
            <v>-</v>
          </cell>
          <cell r="D17252" t="str">
            <v>UTI FTIF Series XXVII-I (1113 Days) - Regular Plan - Annual Div Option</v>
          </cell>
          <cell r="E17252">
            <v>10</v>
          </cell>
        </row>
        <row r="17253">
          <cell r="B17253" t="str">
            <v>INF789FC1L19</v>
          </cell>
          <cell r="C17253" t="str">
            <v>-</v>
          </cell>
          <cell r="D17253" t="str">
            <v>UTI FTIF Series XXVII-I (1113 Days) - Regular Plan - Flexi Div Option</v>
          </cell>
          <cell r="E17253">
            <v>10</v>
          </cell>
        </row>
        <row r="17254">
          <cell r="B17254" t="str">
            <v>INF789FC1L76</v>
          </cell>
          <cell r="C17254" t="str">
            <v>-</v>
          </cell>
          <cell r="D17254" t="str">
            <v>UTI FTIF Series XXVII-I (1113 Days) - Regular Plan - Growth Option</v>
          </cell>
          <cell r="E17254">
            <v>12.2354</v>
          </cell>
        </row>
        <row r="17255">
          <cell r="B17255" t="str">
            <v>INF789FC1L68</v>
          </cell>
          <cell r="C17255" t="str">
            <v>-</v>
          </cell>
          <cell r="D17255" t="str">
            <v>UTI FTIF Series XXVII-I (1113 Days) - Regular Plan - Maturity Div Option</v>
          </cell>
          <cell r="E17255">
            <v>10</v>
          </cell>
        </row>
        <row r="17256">
          <cell r="B17256" t="str">
            <v>INF789FC1L27</v>
          </cell>
          <cell r="C17256" t="str">
            <v>-</v>
          </cell>
          <cell r="D17256" t="str">
            <v>UTI FTIF Series XXVII-I (1113 Days) - Regular Plan - Quarterly Div Option</v>
          </cell>
          <cell r="E17256">
            <v>10</v>
          </cell>
        </row>
        <row r="17257">
          <cell r="B17257" t="str">
            <v>INF789FC1L92</v>
          </cell>
          <cell r="C17257" t="str">
            <v>-</v>
          </cell>
          <cell r="D17257" t="str">
            <v>UTI FTIF Series XXVII-II (1161 Days) - Direct Plan - Annual Div Option</v>
          </cell>
          <cell r="E17257">
            <v>10</v>
          </cell>
        </row>
        <row r="17258">
          <cell r="B17258" t="str">
            <v>INF789FC1M59</v>
          </cell>
          <cell r="C17258" t="str">
            <v>-</v>
          </cell>
          <cell r="D17258" t="str">
            <v>UTI FTIF Series XXVII-II (1161 Days) - Direct Plan - Growth Option</v>
          </cell>
          <cell r="E17258">
            <v>11.7477</v>
          </cell>
        </row>
        <row r="17259">
          <cell r="B17259" t="str">
            <v>INF789FC1L84</v>
          </cell>
          <cell r="C17259" t="str">
            <v>-</v>
          </cell>
          <cell r="D17259" t="str">
            <v>UTI FTIF Series XXVII-II (1161 Days) - Direct Plan - Quarterly Div Option</v>
          </cell>
          <cell r="E17259">
            <v>10</v>
          </cell>
        </row>
        <row r="17260">
          <cell r="B17260" t="str">
            <v>INF789FC1M34</v>
          </cell>
          <cell r="C17260" t="str">
            <v>-</v>
          </cell>
          <cell r="D17260" t="str">
            <v>UTI FTIF Series XXVII-II (1161 Days) - Regular Plan - Annual Div Option</v>
          </cell>
          <cell r="E17260">
            <v>10</v>
          </cell>
        </row>
        <row r="17261">
          <cell r="B17261" t="str">
            <v>INF789FC1M18</v>
          </cell>
          <cell r="C17261" t="str">
            <v>-</v>
          </cell>
          <cell r="D17261" t="str">
            <v>UTI FTIF Series XXVII-II (1161 Days) - Regular Plan - Flexi Div Option</v>
          </cell>
          <cell r="E17261">
            <v>10</v>
          </cell>
        </row>
        <row r="17262">
          <cell r="B17262" t="str">
            <v>INF789FC1M75</v>
          </cell>
          <cell r="C17262" t="str">
            <v>-</v>
          </cell>
          <cell r="D17262" t="str">
            <v>UTI FTIF Series XXVII-II (1161 Days) - Regular Plan - Growth Option</v>
          </cell>
          <cell r="E17262">
            <v>11.5387</v>
          </cell>
        </row>
        <row r="17263">
          <cell r="B17263" t="str">
            <v>INF789FC1M67</v>
          </cell>
          <cell r="C17263" t="str">
            <v>-</v>
          </cell>
          <cell r="D17263" t="str">
            <v>UTI FTIF Series XXVII-II (1161 Days) - Regular Plan - Maturity Div Option</v>
          </cell>
          <cell r="E17263">
            <v>10</v>
          </cell>
        </row>
        <row r="17264">
          <cell r="B17264" t="str">
            <v>INF789FC1M26</v>
          </cell>
          <cell r="C17264" t="str">
            <v>-</v>
          </cell>
          <cell r="D17264" t="str">
            <v>UTI FTIF Series XXVII-II (1161 Days) - Regular Plan - Quarterly Div Option</v>
          </cell>
          <cell r="E17264">
            <v>10</v>
          </cell>
        </row>
        <row r="17265">
          <cell r="B17265" t="str">
            <v>INF789FC1M91</v>
          </cell>
          <cell r="C17265" t="str">
            <v>-</v>
          </cell>
          <cell r="D17265" t="str">
            <v>UTI FTIF Series XXVII-III (1096 Days) - Direct Plan - Annual Div Option</v>
          </cell>
          <cell r="E17265">
            <v>10</v>
          </cell>
        </row>
        <row r="17266">
          <cell r="B17266" t="str">
            <v>INF789FC1N58</v>
          </cell>
          <cell r="C17266" t="str">
            <v>-</v>
          </cell>
          <cell r="D17266" t="str">
            <v>UTI FTIF Series XXVII-III (1096 Days) - Direct Plan - Growth Option</v>
          </cell>
          <cell r="E17266">
            <v>12.306800000000001</v>
          </cell>
        </row>
        <row r="17267">
          <cell r="B17267" t="str">
            <v>INF789FC1N41</v>
          </cell>
          <cell r="C17267" t="str">
            <v>-</v>
          </cell>
          <cell r="D17267" t="str">
            <v>UTI FTIF Series XXVII-III (1096 Days) - Direct Plan - Maturity Div Option</v>
          </cell>
          <cell r="E17267">
            <v>10</v>
          </cell>
        </row>
        <row r="17268">
          <cell r="B17268" t="str">
            <v>INF789FC1M83</v>
          </cell>
          <cell r="C17268" t="str">
            <v>-</v>
          </cell>
          <cell r="D17268" t="str">
            <v>UTI FTIF Series XXVII-III (1096 Days) - Direct Plan - Quarterly Div Option</v>
          </cell>
          <cell r="E17268">
            <v>10</v>
          </cell>
        </row>
        <row r="17269">
          <cell r="B17269" t="str">
            <v>INF789FC1N33</v>
          </cell>
          <cell r="C17269" t="str">
            <v>-</v>
          </cell>
          <cell r="D17269" t="str">
            <v>UTI FTIF Series XXVII-III (1096 Days) - Regular Plan - Annual Div Option</v>
          </cell>
          <cell r="E17269">
            <v>10</v>
          </cell>
        </row>
        <row r="17270">
          <cell r="B17270" t="str">
            <v>INF789FC1N74</v>
          </cell>
          <cell r="C17270" t="str">
            <v>-</v>
          </cell>
          <cell r="D17270" t="str">
            <v>UTI FTIF Series XXVII-III (1096 Days) - Regular Plan - Growth Option</v>
          </cell>
          <cell r="E17270">
            <v>12.1843</v>
          </cell>
        </row>
        <row r="17271">
          <cell r="B17271" t="str">
            <v>INF789FC1N66</v>
          </cell>
          <cell r="C17271" t="str">
            <v>-</v>
          </cell>
          <cell r="D17271" t="str">
            <v>UTI FTIF Series XXVII-III (1096 Days) - Regular Plan - Maturity Div Option</v>
          </cell>
          <cell r="E17271">
            <v>10</v>
          </cell>
        </row>
        <row r="17272">
          <cell r="B17272" t="str">
            <v>INF789FC1N25</v>
          </cell>
          <cell r="C17272" t="str">
            <v>-</v>
          </cell>
          <cell r="D17272" t="str">
            <v>UTI FTIF Series XXVII-III (1096 Days) - Regular Plan - Quarterly Div Option</v>
          </cell>
          <cell r="E17272">
            <v>10</v>
          </cell>
        </row>
        <row r="17273">
          <cell r="B17273" t="str">
            <v>INF789FC1O08</v>
          </cell>
          <cell r="C17273" t="str">
            <v>-</v>
          </cell>
          <cell r="D17273" t="str">
            <v>UTI FTIF Series XXVII-IV (1113 Days) - Direct Plan - Annual Div Option</v>
          </cell>
          <cell r="E17273">
            <v>10</v>
          </cell>
        </row>
        <row r="17274">
          <cell r="B17274" t="str">
            <v>INF789FC1O16</v>
          </cell>
          <cell r="C17274" t="str">
            <v>-</v>
          </cell>
          <cell r="D17274" t="str">
            <v>UTI FTIF Series XXVII-IV (1113 Days) - Direct Plan - Flexi Div Option</v>
          </cell>
          <cell r="E17274">
            <v>10</v>
          </cell>
        </row>
        <row r="17275">
          <cell r="B17275" t="str">
            <v>INF789FC1O65</v>
          </cell>
          <cell r="C17275" t="str">
            <v>-</v>
          </cell>
          <cell r="D17275" t="str">
            <v>UTI FTIF Series XXVII-IV (1113 Days) - Direct Plan - Growth Option</v>
          </cell>
          <cell r="E17275">
            <v>12.2803</v>
          </cell>
        </row>
        <row r="17276">
          <cell r="B17276" t="str">
            <v>INF789FC1O57</v>
          </cell>
          <cell r="C17276" t="str">
            <v>-</v>
          </cell>
          <cell r="D17276" t="str">
            <v>UTI FTIF Series XXVII-IV (1113 Days) - Direct Plan - Maturity Div Option</v>
          </cell>
          <cell r="E17276">
            <v>10</v>
          </cell>
        </row>
        <row r="17277">
          <cell r="B17277" t="str">
            <v>INF789FC1N90</v>
          </cell>
          <cell r="C17277" t="str">
            <v>-</v>
          </cell>
          <cell r="D17277" t="str">
            <v>UTI FTIF Series XXVII-IV (1113 Days) - Direct Plan - Quarterly Div Option</v>
          </cell>
          <cell r="E17277">
            <v>10</v>
          </cell>
        </row>
        <row r="17278">
          <cell r="B17278" t="str">
            <v>INF789FC1O81</v>
          </cell>
          <cell r="C17278" t="str">
            <v>-</v>
          </cell>
          <cell r="D17278" t="str">
            <v>UTI FTIF Series XXVII-IV (1113 Days) - Regular - Growth Option</v>
          </cell>
          <cell r="E17278">
            <v>12.158099999999999</v>
          </cell>
        </row>
        <row r="17279">
          <cell r="B17279" t="str">
            <v>INF789FC1O40</v>
          </cell>
          <cell r="C17279" t="str">
            <v>-</v>
          </cell>
          <cell r="D17279" t="str">
            <v>UTI FTIF Series XXVII-IV (1113 Days) - Regular Plan - Annual Div Option</v>
          </cell>
          <cell r="E17279">
            <v>10</v>
          </cell>
        </row>
        <row r="17280">
          <cell r="B17280" t="str">
            <v>INF789FC1O24</v>
          </cell>
          <cell r="C17280" t="str">
            <v>-</v>
          </cell>
          <cell r="D17280" t="str">
            <v>UTI FTIF Series XXVII-IV (1113 Days) - Regular Plan - Flexi Div Option</v>
          </cell>
          <cell r="E17280">
            <v>10</v>
          </cell>
        </row>
        <row r="17281">
          <cell r="B17281" t="str">
            <v>INF789FC1O73</v>
          </cell>
          <cell r="C17281" t="str">
            <v>-</v>
          </cell>
          <cell r="D17281" t="str">
            <v>UTI FTIF Series XXVII-IV (1113 Days) - Regular Plan - Maturity Div Option</v>
          </cell>
          <cell r="E17281">
            <v>10</v>
          </cell>
        </row>
        <row r="17282">
          <cell r="B17282" t="str">
            <v>INF789FC1O32</v>
          </cell>
          <cell r="C17282" t="str">
            <v>-</v>
          </cell>
          <cell r="D17282" t="str">
            <v>UTI FTIF Series XXVII-IV (1113 Days) - Regular Plan - Quarterly Div Option</v>
          </cell>
          <cell r="E17282">
            <v>10</v>
          </cell>
        </row>
        <row r="17283">
          <cell r="B17283" t="str">
            <v>INF789FC1O99</v>
          </cell>
          <cell r="C17283" t="str">
            <v>-</v>
          </cell>
          <cell r="D17283" t="str">
            <v>UTI FTIF Series XXVII- V (1097 Days) - Direct Plan - Quarterly Div Option</v>
          </cell>
          <cell r="E17283">
            <v>10</v>
          </cell>
        </row>
        <row r="17284">
          <cell r="B17284" t="str">
            <v>INF789FC1P23</v>
          </cell>
          <cell r="C17284" t="str">
            <v>-</v>
          </cell>
          <cell r="D17284" t="str">
            <v>UTI FTIF Series XXVII- V (1097 Days) - Regular Plan - Flexi Div Option</v>
          </cell>
          <cell r="E17284">
            <v>10</v>
          </cell>
        </row>
        <row r="17285">
          <cell r="B17285" t="str">
            <v>INF789FC1P07</v>
          </cell>
          <cell r="C17285" t="str">
            <v>-</v>
          </cell>
          <cell r="D17285" t="str">
            <v>UTI FTIF Series XXVII-V (1097 Days) - Direct Plan - Annual Div Option</v>
          </cell>
          <cell r="E17285">
            <v>10</v>
          </cell>
        </row>
        <row r="17286">
          <cell r="B17286" t="str">
            <v>INF789FC1P15</v>
          </cell>
          <cell r="C17286" t="str">
            <v>-</v>
          </cell>
          <cell r="D17286" t="str">
            <v>UTI FTIF Series XXVII-V (1097 Days) - Direct Plan - Flexi Div Option</v>
          </cell>
          <cell r="E17286">
            <v>10</v>
          </cell>
        </row>
        <row r="17287">
          <cell r="B17287" t="str">
            <v>INF789FC1P64</v>
          </cell>
          <cell r="C17287" t="str">
            <v>-</v>
          </cell>
          <cell r="D17287" t="str">
            <v>UTI FTIF Series XXVII-V (1097 Days) - Direct Plan - Growth Option</v>
          </cell>
          <cell r="E17287">
            <v>12.2454</v>
          </cell>
        </row>
        <row r="17288">
          <cell r="B17288" t="str">
            <v>INF789FC1P56</v>
          </cell>
          <cell r="C17288" t="str">
            <v>-</v>
          </cell>
          <cell r="D17288" t="str">
            <v>UTI FTIF Series XXVII-V (1097 Days) - Direct Plan - Maturity Div Option</v>
          </cell>
          <cell r="E17288">
            <v>10</v>
          </cell>
        </row>
        <row r="17289">
          <cell r="B17289" t="str">
            <v>INF789FC1P49</v>
          </cell>
          <cell r="C17289" t="str">
            <v>-</v>
          </cell>
          <cell r="D17289" t="str">
            <v>UTI FTIF Series XXVII-V (1097 Days) - Regular Plan - Annual Div Option</v>
          </cell>
          <cell r="E17289">
            <v>10</v>
          </cell>
        </row>
        <row r="17290">
          <cell r="B17290" t="str">
            <v>INF789FC1P80</v>
          </cell>
          <cell r="C17290" t="str">
            <v>-</v>
          </cell>
          <cell r="D17290" t="str">
            <v>UTI FTIF Series XXVII-V (1097 Days) - Regular Plan - Growth Option</v>
          </cell>
          <cell r="E17290">
            <v>12.1235</v>
          </cell>
        </row>
        <row r="17291">
          <cell r="B17291" t="str">
            <v>INF789FC1P72</v>
          </cell>
          <cell r="C17291" t="str">
            <v>-</v>
          </cell>
          <cell r="D17291" t="str">
            <v>UTI FTIF Series XXVII-V (1097 Days) - Regular Plan - Maturity Div Option</v>
          </cell>
          <cell r="E17291">
            <v>10</v>
          </cell>
        </row>
        <row r="17292">
          <cell r="B17292" t="str">
            <v>INF789FC1P31</v>
          </cell>
          <cell r="C17292" t="str">
            <v>-</v>
          </cell>
          <cell r="D17292" t="str">
            <v>UTI FTIF Series XXVII-V (1097 Days) - Regular Plan - Quarterly Div Option</v>
          </cell>
          <cell r="E17292">
            <v>10</v>
          </cell>
        </row>
        <row r="17293">
          <cell r="B17293" t="str">
            <v>INF789FC1R39</v>
          </cell>
          <cell r="C17293" t="str">
            <v>-</v>
          </cell>
          <cell r="D17293" t="str">
            <v>UTI FTIF Series XXVII-VI (1113 Days) - Direct Plan - Annual Div Option</v>
          </cell>
          <cell r="E17293">
            <v>10</v>
          </cell>
        </row>
        <row r="17294">
          <cell r="B17294" t="str">
            <v>INF789FC1R62</v>
          </cell>
          <cell r="C17294" t="str">
            <v>-</v>
          </cell>
          <cell r="D17294" t="str">
            <v>UTI FTIF Series XXVII-VI (1113 Days) - Direct Plan - Flexi Div Option</v>
          </cell>
          <cell r="E17294">
            <v>10</v>
          </cell>
        </row>
        <row r="17295">
          <cell r="B17295" t="str">
            <v>INF789FC1R54</v>
          </cell>
          <cell r="C17295" t="str">
            <v>-</v>
          </cell>
          <cell r="D17295" t="str">
            <v>UTI FTIF Series XXVII-VI (1113 Days) - Direct Plan - Growth Option</v>
          </cell>
          <cell r="E17295">
            <v>11.3005</v>
          </cell>
        </row>
        <row r="17296">
          <cell r="B17296" t="str">
            <v>INF789FC1R47</v>
          </cell>
          <cell r="C17296" t="str">
            <v>-</v>
          </cell>
          <cell r="D17296" t="str">
            <v>UTI FTIF Series XXVII-VI (1113 Days) - Direct Plan - Maturity Div Option</v>
          </cell>
          <cell r="E17296">
            <v>10</v>
          </cell>
        </row>
        <row r="17297">
          <cell r="B17297" t="str">
            <v>INF789FC1R21</v>
          </cell>
          <cell r="C17297" t="str">
            <v>-</v>
          </cell>
          <cell r="D17297" t="str">
            <v>UTI FTIF Series XXVII-VI (1113 Days) - Direct Plan - Quarterly Div Option</v>
          </cell>
          <cell r="E17297">
            <v>9.8832000000000004</v>
          </cell>
        </row>
        <row r="17298">
          <cell r="B17298" t="str">
            <v>INF789FC1Q89</v>
          </cell>
          <cell r="C17298" t="str">
            <v>-</v>
          </cell>
          <cell r="D17298" t="str">
            <v>UTI FTIF Series XXVII-VI (1113 Days) - Regular Plan - Annual Div Option</v>
          </cell>
          <cell r="E17298">
            <v>10</v>
          </cell>
        </row>
        <row r="17299">
          <cell r="B17299" t="str">
            <v>INF789FC1R13</v>
          </cell>
          <cell r="C17299" t="str">
            <v>-</v>
          </cell>
          <cell r="D17299" t="str">
            <v>UTI FTIF Series XXVII-VI (1113 Days) - Regular Plan - Flexi Div Option</v>
          </cell>
          <cell r="E17299">
            <v>10</v>
          </cell>
        </row>
        <row r="17300">
          <cell r="B17300" t="str">
            <v>INF789FC1R05</v>
          </cell>
          <cell r="C17300" t="str">
            <v>-</v>
          </cell>
          <cell r="D17300" t="str">
            <v>UTI FTIF Series XXVII-VI (1113 Days) - Regular Plan - Growth Option</v>
          </cell>
          <cell r="E17300">
            <v>11.187900000000001</v>
          </cell>
        </row>
        <row r="17301">
          <cell r="B17301" t="str">
            <v>INF789FC1Q97</v>
          </cell>
          <cell r="C17301" t="str">
            <v>-</v>
          </cell>
          <cell r="D17301" t="str">
            <v>UTI FTIF Series XXVII-VI (1113 Days) - Regular Plan - Maturity Div Option</v>
          </cell>
          <cell r="E17301">
            <v>10</v>
          </cell>
        </row>
        <row r="17302">
          <cell r="B17302" t="str">
            <v>INF789FC1Q71</v>
          </cell>
          <cell r="C17302" t="str">
            <v>-</v>
          </cell>
          <cell r="D17302" t="str">
            <v>UTI FTIF Series XXVII-VI (1113 Days) - Regular Plan - Quarterly Div Option</v>
          </cell>
          <cell r="E17302">
            <v>9.8783999999999992</v>
          </cell>
        </row>
        <row r="17303">
          <cell r="B17303" t="str">
            <v>INF789FC1S38</v>
          </cell>
          <cell r="C17303" t="str">
            <v>-</v>
          </cell>
          <cell r="D17303" t="str">
            <v>UTI FTIF Series XXVII-VII (1104 Days) - Direct Plan - Annual Div Option</v>
          </cell>
          <cell r="E17303">
            <v>10</v>
          </cell>
        </row>
        <row r="17304">
          <cell r="B17304" t="str">
            <v>INF789FC1S53</v>
          </cell>
          <cell r="C17304" t="str">
            <v>-</v>
          </cell>
          <cell r="D17304" t="str">
            <v>UTI FTIF Series XXVII-VII (1104 Days) - Direct Plan - Growth Option</v>
          </cell>
          <cell r="E17304">
            <v>12.253500000000001</v>
          </cell>
        </row>
        <row r="17305">
          <cell r="B17305" t="str">
            <v>INF789FC1S46</v>
          </cell>
          <cell r="C17305" t="str">
            <v>-</v>
          </cell>
          <cell r="D17305" t="str">
            <v>UTI FTIF Series XXVII-VII (1104 Days) - Direct Plan - Maturity Div Option</v>
          </cell>
          <cell r="E17305">
            <v>10</v>
          </cell>
        </row>
        <row r="17306">
          <cell r="B17306" t="str">
            <v>INF789FC1S20</v>
          </cell>
          <cell r="C17306" t="str">
            <v>-</v>
          </cell>
          <cell r="D17306" t="str">
            <v>UTI FTIF Series XXVII-VII (1104 Days) - Direct Plan - Quarterly Div Option</v>
          </cell>
          <cell r="E17306">
            <v>10</v>
          </cell>
        </row>
        <row r="17307">
          <cell r="B17307" t="str">
            <v>INF789FC1R88</v>
          </cell>
          <cell r="C17307" t="str">
            <v>-</v>
          </cell>
          <cell r="D17307" t="str">
            <v>UTI FTIF Series XXVII-VII (1104 Days) - Regular Plan - Annual Div Option</v>
          </cell>
          <cell r="E17307">
            <v>10</v>
          </cell>
        </row>
        <row r="17308">
          <cell r="B17308" t="str">
            <v>INF789FC1S12</v>
          </cell>
          <cell r="C17308" t="str">
            <v>-</v>
          </cell>
          <cell r="D17308" t="str">
            <v>UTI FTIF Series XXVII-VII (1104 Days) - Regular Plan - Flexi Div Option</v>
          </cell>
          <cell r="E17308">
            <v>10</v>
          </cell>
        </row>
        <row r="17309">
          <cell r="B17309" t="str">
            <v>INF789FC1S04</v>
          </cell>
          <cell r="C17309" t="str">
            <v>-</v>
          </cell>
          <cell r="D17309" t="str">
            <v>UTI FTIF Series XXVII-VII (1104 Days) - Regular Plan - Growth Option</v>
          </cell>
          <cell r="E17309">
            <v>12.131600000000001</v>
          </cell>
        </row>
        <row r="17310">
          <cell r="B17310" t="str">
            <v>INF789FC1R96</v>
          </cell>
          <cell r="C17310" t="str">
            <v>-</v>
          </cell>
          <cell r="D17310" t="str">
            <v>UTI FTIF Series XXVII-VII (1104 Days) - Regular Plan - Maturity Div Option</v>
          </cell>
          <cell r="E17310">
            <v>10</v>
          </cell>
        </row>
        <row r="17311">
          <cell r="B17311" t="str">
            <v>INF789FC1R70</v>
          </cell>
          <cell r="C17311" t="str">
            <v>-</v>
          </cell>
          <cell r="D17311" t="str">
            <v>UTI FTIF Series XXVII-VII (1104 Days) - Regular Plan - Quarterly Div Option</v>
          </cell>
          <cell r="E17311">
            <v>10</v>
          </cell>
        </row>
        <row r="17312">
          <cell r="B17312" t="str">
            <v>INF789FC1AD8</v>
          </cell>
          <cell r="C17312" t="str">
            <v>-</v>
          </cell>
          <cell r="D17312" t="str">
            <v>UTI FTIF Series XXIV - XIV (1831 Days) - Direct Plan - Maturity IDCW</v>
          </cell>
          <cell r="E17312">
            <v>10</v>
          </cell>
        </row>
        <row r="17313">
          <cell r="B17313" t="str">
            <v>INF789FC1972</v>
          </cell>
          <cell r="C17313" t="str">
            <v>-</v>
          </cell>
          <cell r="D17313" t="str">
            <v>UTI FTIF Series XXIV - XIV (1831 Days) - Direct Plan - Quarterly IDCW</v>
          </cell>
          <cell r="E17313">
            <v>10</v>
          </cell>
        </row>
        <row r="17314">
          <cell r="B17314" t="str">
            <v>INF789FC1AC0</v>
          </cell>
          <cell r="C17314" t="str">
            <v>-</v>
          </cell>
          <cell r="D17314" t="str">
            <v>UTI FTIF Series XXIV - XIV (1831 Days) - Regular Plan - Annual IDCW</v>
          </cell>
          <cell r="E17314">
            <v>10</v>
          </cell>
        </row>
        <row r="17315">
          <cell r="B17315" t="str">
            <v>INF789FC1AA4</v>
          </cell>
          <cell r="C17315" t="str">
            <v>-</v>
          </cell>
          <cell r="D17315" t="str">
            <v>UTI FTIF Series XXIV - XIV (1831 Days) - Regular Plan - Flexi IDCW</v>
          </cell>
          <cell r="E17315">
            <v>10</v>
          </cell>
        </row>
        <row r="17316">
          <cell r="B17316" t="str">
            <v>INF789FC1AF3</v>
          </cell>
          <cell r="C17316" t="str">
            <v>-</v>
          </cell>
          <cell r="D17316" t="str">
            <v>UTI FTIF Series XXIV - XIV (1831 Days) - Regular Plan - Maturity IDCW</v>
          </cell>
          <cell r="E17316">
            <v>10</v>
          </cell>
        </row>
        <row r="17317">
          <cell r="B17317" t="str">
            <v>INF789FC1AB2</v>
          </cell>
          <cell r="C17317" t="str">
            <v>-</v>
          </cell>
          <cell r="D17317" t="str">
            <v>UTI FTIF Series XXIV - XIV (1831 Days) - Regular Plan - Quarterly IDCW</v>
          </cell>
          <cell r="E17317">
            <v>10</v>
          </cell>
        </row>
        <row r="17318">
          <cell r="B17318" t="str">
            <v>INF789FC1AE6</v>
          </cell>
          <cell r="C17318" t="str">
            <v>-</v>
          </cell>
          <cell r="D17318" t="str">
            <v>UTI FTIF Series XXIV-XIV (1831 Days)- Direct Plan - Growth Option</v>
          </cell>
          <cell r="E17318">
            <v>14.6692</v>
          </cell>
        </row>
        <row r="17319">
          <cell r="B17319" t="str">
            <v>INF789FC1AG1</v>
          </cell>
          <cell r="C17319" t="str">
            <v>-</v>
          </cell>
          <cell r="D17319" t="str">
            <v>UTI FTIF Series XXIV-XIV (1831 Days)- Regular Plan - Growth Option</v>
          </cell>
          <cell r="E17319">
            <v>14.596</v>
          </cell>
        </row>
        <row r="17320">
          <cell r="B17320" t="str">
            <v>INF789FC1FQ9</v>
          </cell>
          <cell r="C17320" t="str">
            <v>-</v>
          </cell>
          <cell r="D17320" t="str">
            <v>UTI FTIF Series XXV-X (1229 Days)- Direct Plan - Annual Div Option</v>
          </cell>
          <cell r="E17320">
            <v>10</v>
          </cell>
        </row>
        <row r="17321">
          <cell r="B17321" t="str">
            <v>INF789FC1FW7</v>
          </cell>
          <cell r="C17321" t="str">
            <v>-</v>
          </cell>
          <cell r="D17321" t="str">
            <v>UTI FTIF Series XXV-X (1229 Days)- Direct Plan - Growth Option</v>
          </cell>
          <cell r="E17321">
            <v>12.622299999999999</v>
          </cell>
        </row>
        <row r="17322">
          <cell r="B17322" t="str">
            <v>INF789FC1FP1</v>
          </cell>
          <cell r="C17322" t="str">
            <v>-</v>
          </cell>
          <cell r="D17322" t="str">
            <v>UTI FTIF Series XXV-X (1229 Days)- Direct Plan - Quarterly Div Option</v>
          </cell>
          <cell r="E17322">
            <v>10</v>
          </cell>
        </row>
        <row r="17323">
          <cell r="B17323" t="str">
            <v>INF789FC1FU1</v>
          </cell>
          <cell r="C17323" t="str">
            <v>-</v>
          </cell>
          <cell r="D17323" t="str">
            <v>UTI FTIF Series XXV-X (1229 Days)- Regular Plan - Annual Div Option</v>
          </cell>
          <cell r="E17323">
            <v>10</v>
          </cell>
        </row>
        <row r="17324">
          <cell r="B17324" t="str">
            <v>INF789FC1FS5</v>
          </cell>
          <cell r="C17324" t="str">
            <v>-</v>
          </cell>
          <cell r="D17324" t="str">
            <v>UTI FTIF Series XXV-X (1229 Days)- Regular Plan - Flexi Div Option</v>
          </cell>
          <cell r="E17324">
            <v>10</v>
          </cell>
        </row>
        <row r="17325">
          <cell r="B17325" t="str">
            <v>INF789FC1FY3</v>
          </cell>
          <cell r="C17325" t="str">
            <v>-</v>
          </cell>
          <cell r="D17325" t="str">
            <v>UTI FTIF Series XXV-X (1229 Days)- Regular Plan - Growth Option</v>
          </cell>
          <cell r="E17325">
            <v>12.496700000000001</v>
          </cell>
        </row>
        <row r="17326">
          <cell r="B17326" t="str">
            <v>INF789FC1FX5</v>
          </cell>
          <cell r="C17326" t="str">
            <v>-</v>
          </cell>
          <cell r="D17326" t="str">
            <v>UTI FTIF Series XXV-X (1229 Days)- Regular Plan - Maturity Div Option</v>
          </cell>
          <cell r="E17326">
            <v>10</v>
          </cell>
        </row>
        <row r="17327">
          <cell r="B17327" t="str">
            <v>INF789FC1FT3</v>
          </cell>
          <cell r="C17327" t="str">
            <v>-</v>
          </cell>
          <cell r="D17327" t="str">
            <v>UTI FTIF Series XXV-X (1229 Days)- Regular Plan - Quarterly Div Option</v>
          </cell>
          <cell r="E17327">
            <v>10</v>
          </cell>
        </row>
        <row r="17328">
          <cell r="B17328" t="str">
            <v>INF789FC1GJ2</v>
          </cell>
          <cell r="C17328" t="str">
            <v>-</v>
          </cell>
          <cell r="D17328" t="str">
            <v>UTI FTIF Series XXV-XI (1211 Days)- Direct Plan - Annual Div Option</v>
          </cell>
          <cell r="E17328">
            <v>10</v>
          </cell>
        </row>
        <row r="17329">
          <cell r="B17329" t="str">
            <v>INF789FC1GK0</v>
          </cell>
          <cell r="C17329" t="str">
            <v>-</v>
          </cell>
          <cell r="D17329" t="str">
            <v>UTI FTIF Series XXV-XI (1211 Days)- Direct Plan - Flexi Div Option</v>
          </cell>
          <cell r="E17329">
            <v>10.0001</v>
          </cell>
        </row>
        <row r="17330">
          <cell r="B17330" t="str">
            <v>INF789FC1GP9</v>
          </cell>
          <cell r="C17330" t="str">
            <v>-</v>
          </cell>
          <cell r="D17330" t="str">
            <v>UTI FTIF Series XXV-XI (1211 Days)- Direct Plan - Growth Option</v>
          </cell>
          <cell r="E17330">
            <v>12.5936</v>
          </cell>
        </row>
        <row r="17331">
          <cell r="B17331" t="str">
            <v>INF789FC1GO2</v>
          </cell>
          <cell r="C17331" t="str">
            <v>-</v>
          </cell>
          <cell r="D17331" t="str">
            <v>UTI FTIF Series XXV-XI (1211 Days)- Direct Plan - Maturity Div Option</v>
          </cell>
          <cell r="E17331">
            <v>10.0001</v>
          </cell>
        </row>
        <row r="17332">
          <cell r="B17332" t="str">
            <v>INF789FC1GI4</v>
          </cell>
          <cell r="C17332" t="str">
            <v>-</v>
          </cell>
          <cell r="D17332" t="str">
            <v>UTI FTIF Series XXV-XI (1211 Days)- Direct Plan - Quarterly Div Option</v>
          </cell>
          <cell r="E17332">
            <v>10</v>
          </cell>
        </row>
        <row r="17333">
          <cell r="B17333" t="str">
            <v>INF789FC1GN4</v>
          </cell>
          <cell r="C17333" t="str">
            <v>-</v>
          </cell>
          <cell r="D17333" t="str">
            <v>UTI FTIF Series XXV-XI (1211 Days)- Regular Plan - Annual Div Option</v>
          </cell>
          <cell r="E17333">
            <v>10</v>
          </cell>
        </row>
        <row r="17334">
          <cell r="B17334" t="str">
            <v>INF789FC1GL8</v>
          </cell>
          <cell r="C17334" t="str">
            <v>-</v>
          </cell>
          <cell r="D17334" t="str">
            <v>UTI FTIF Series XXV-XI (1211 Days)- Regular Plan - Flexi Div Option</v>
          </cell>
          <cell r="E17334">
            <v>10.0001</v>
          </cell>
        </row>
        <row r="17335">
          <cell r="B17335" t="str">
            <v>INF789FC1GR5</v>
          </cell>
          <cell r="C17335" t="str">
            <v>-</v>
          </cell>
          <cell r="D17335" t="str">
            <v>UTI FTIF Series XXV-XI (1211 Days)- Regular Plan - Growth Option</v>
          </cell>
          <cell r="E17335">
            <v>12.4679</v>
          </cell>
        </row>
        <row r="17336">
          <cell r="B17336" t="str">
            <v>INF789FC1GQ7</v>
          </cell>
          <cell r="C17336" t="str">
            <v>-</v>
          </cell>
          <cell r="D17336" t="str">
            <v>UTI FTIF Series XXV-XI (1211 Days)- Regular Plan - Maturity Div Option</v>
          </cell>
          <cell r="E17336">
            <v>10.0001</v>
          </cell>
        </row>
        <row r="17337">
          <cell r="B17337" t="str">
            <v>INF789FC1GM6</v>
          </cell>
          <cell r="C17337" t="str">
            <v>-</v>
          </cell>
          <cell r="D17337" t="str">
            <v>UTI FTIF Series XXV-XI (1211 Days)- Regular Plan - Quarterly Div Option</v>
          </cell>
          <cell r="E17337">
            <v>10</v>
          </cell>
        </row>
        <row r="17338">
          <cell r="B17338" t="str">
            <v>INF789FC1GW5</v>
          </cell>
          <cell r="C17338" t="str">
            <v>-</v>
          </cell>
          <cell r="D17338" t="str">
            <v>UTI FTIF Series XXV-XII (1198 Days) - Regular Plan - Quarterly Div Option</v>
          </cell>
          <cell r="E17338">
            <v>10</v>
          </cell>
        </row>
        <row r="17339">
          <cell r="B17339" t="str">
            <v>INF789FC1GT1</v>
          </cell>
          <cell r="C17339" t="str">
            <v>-</v>
          </cell>
          <cell r="D17339" t="str">
            <v>UTI FTIF Series XXV-XII (1198 Days)- Direct Plan - Annual Div Option</v>
          </cell>
          <cell r="E17339">
            <v>10</v>
          </cell>
        </row>
        <row r="17340">
          <cell r="B17340" t="str">
            <v>INF789FC1GZ8</v>
          </cell>
          <cell r="C17340" t="str">
            <v>-</v>
          </cell>
          <cell r="D17340" t="str">
            <v>UTI FTIF Series XXV-XII (1198 Days)- Direct Plan - Growth Option</v>
          </cell>
          <cell r="E17340">
            <v>12.595700000000001</v>
          </cell>
        </row>
        <row r="17341">
          <cell r="B17341" t="str">
            <v>INF789FC1GY1</v>
          </cell>
          <cell r="C17341" t="str">
            <v>-</v>
          </cell>
          <cell r="D17341" t="str">
            <v>UTI FTIF Series XXV-XII (1198 Days)- Direct Plan - Maturity Div Option</v>
          </cell>
          <cell r="E17341">
            <v>10.0001</v>
          </cell>
        </row>
        <row r="17342">
          <cell r="B17342" t="str">
            <v>INF789FC1GS3</v>
          </cell>
          <cell r="C17342" t="str">
            <v>-</v>
          </cell>
          <cell r="D17342" t="str">
            <v>UTI FTIF Series XXV-XII (1198 Days)- Direct Plan - Quarterly Div Option</v>
          </cell>
          <cell r="E17342">
            <v>10</v>
          </cell>
        </row>
        <row r="17343">
          <cell r="B17343" t="str">
            <v>INF789FC1GX3</v>
          </cell>
          <cell r="C17343" t="str">
            <v>-</v>
          </cell>
          <cell r="D17343" t="str">
            <v>UTI FTIF Series XXV-XII (1198 Days)- Regular Plan - Annual Div Option</v>
          </cell>
          <cell r="E17343">
            <v>10</v>
          </cell>
        </row>
        <row r="17344">
          <cell r="B17344" t="str">
            <v>INF789FC1GV7</v>
          </cell>
          <cell r="C17344" t="str">
            <v>-</v>
          </cell>
          <cell r="D17344" t="str">
            <v>UTI FTIF Series XXV-XII (1198 Days)- Regular Plan - Flexi Div Option</v>
          </cell>
          <cell r="E17344">
            <v>10.0001</v>
          </cell>
        </row>
        <row r="17345">
          <cell r="B17345" t="str">
            <v>INF789FC1HB7</v>
          </cell>
          <cell r="C17345" t="str">
            <v>-</v>
          </cell>
          <cell r="D17345" t="str">
            <v>UTI FTIF Series XXV-XII (1198 Days)- Regular Plan - Growth Option</v>
          </cell>
          <cell r="E17345">
            <v>12.47</v>
          </cell>
        </row>
        <row r="17346">
          <cell r="B17346" t="str">
            <v>INF789FC1HA9</v>
          </cell>
          <cell r="C17346" t="str">
            <v>-</v>
          </cell>
          <cell r="D17346" t="str">
            <v>UTI FTIF Series XXV-XII (1198 Days)- Regular Plan - Maturity Div Option</v>
          </cell>
          <cell r="E17346">
            <v>10.0001</v>
          </cell>
        </row>
        <row r="17347">
          <cell r="B17347" t="str">
            <v>INF789FC1HH4</v>
          </cell>
          <cell r="C17347" t="str">
            <v>-</v>
          </cell>
          <cell r="D17347" t="str">
            <v>UTI FTIF Series XXVI-I (1182 Days)- Direct Plan - Annual Div Option</v>
          </cell>
          <cell r="E17347">
            <v>10</v>
          </cell>
        </row>
        <row r="17348">
          <cell r="B17348" t="str">
            <v>INF789FC1HI2</v>
          </cell>
          <cell r="C17348" t="str">
            <v>-</v>
          </cell>
          <cell r="D17348" t="str">
            <v>UTI FTIF Series XXVI-I (1182 Days)- Direct Plan - Flexi Div Option</v>
          </cell>
          <cell r="E17348">
            <v>10.0001</v>
          </cell>
        </row>
        <row r="17349">
          <cell r="B17349" t="str">
            <v>INF789FC1HN2</v>
          </cell>
          <cell r="C17349" t="str">
            <v>-</v>
          </cell>
          <cell r="D17349" t="str">
            <v>UTI FTIF Series XXVI-I (1182 Days)- Direct Plan - Growth Option</v>
          </cell>
          <cell r="E17349">
            <v>12.481199999999999</v>
          </cell>
        </row>
        <row r="17350">
          <cell r="B17350" t="str">
            <v>INF789FC1HM4</v>
          </cell>
          <cell r="C17350" t="str">
            <v>-</v>
          </cell>
          <cell r="D17350" t="str">
            <v>UTI FTIF Series XXVI-I (1182 Days)- Direct Plan - Maturity Div Option</v>
          </cell>
          <cell r="E17350">
            <v>10.0001</v>
          </cell>
        </row>
        <row r="17351">
          <cell r="B17351" t="str">
            <v>INF789FC1HG6</v>
          </cell>
          <cell r="C17351" t="str">
            <v>-</v>
          </cell>
          <cell r="D17351" t="str">
            <v>UTI FTIF Series XXVI-I (1182 Days)- Direct Plan - Quarterly Div Option</v>
          </cell>
          <cell r="E17351">
            <v>10</v>
          </cell>
        </row>
        <row r="17352">
          <cell r="B17352" t="str">
            <v>INF789FC1HL6</v>
          </cell>
          <cell r="C17352" t="str">
            <v>-</v>
          </cell>
          <cell r="D17352" t="str">
            <v>UTI FTIF Series XXVI-I (1182 Days)- Regular Plan - Annual Div Option</v>
          </cell>
          <cell r="E17352">
            <v>10</v>
          </cell>
        </row>
        <row r="17353">
          <cell r="B17353" t="str">
            <v>INF789FC1HJ0</v>
          </cell>
          <cell r="C17353" t="str">
            <v>-</v>
          </cell>
          <cell r="D17353" t="str">
            <v>UTI FTIF Series XXVI-I (1182 Days)- Regular Plan - Flexi Div Option</v>
          </cell>
          <cell r="E17353">
            <v>10.0001</v>
          </cell>
        </row>
        <row r="17354">
          <cell r="B17354" t="str">
            <v>INF789FC1HP7</v>
          </cell>
          <cell r="C17354" t="str">
            <v>-</v>
          </cell>
          <cell r="D17354" t="str">
            <v>UTI FTIF Series XXVI-I (1182 Days)- Regular Plan - Growth Option</v>
          </cell>
          <cell r="E17354">
            <v>12.356999999999999</v>
          </cell>
        </row>
        <row r="17355">
          <cell r="B17355" t="str">
            <v>INF789FC1HO0</v>
          </cell>
          <cell r="C17355" t="str">
            <v>-</v>
          </cell>
          <cell r="D17355" t="str">
            <v>UTI FTIF Series XXVI-I (1182 Days)- Regular Plan - Maturity Div Option</v>
          </cell>
          <cell r="E17355">
            <v>10.0001</v>
          </cell>
        </row>
        <row r="17356">
          <cell r="B17356" t="str">
            <v>INF789FC1HK8</v>
          </cell>
          <cell r="C17356" t="str">
            <v>-</v>
          </cell>
          <cell r="D17356" t="str">
            <v>UTI FTIF Series XXVI-I (1182 Days)- Regular Plan - Quarterly Div Option</v>
          </cell>
          <cell r="E17356">
            <v>10</v>
          </cell>
        </row>
        <row r="17357">
          <cell r="B17357" t="str">
            <v>INF789FC1HZ6</v>
          </cell>
          <cell r="C17357" t="str">
            <v>-</v>
          </cell>
          <cell r="D17357" t="str">
            <v>UTI FTIF Series XXVI-II (1176 Days)- Direct Plan - Annual Div Option</v>
          </cell>
          <cell r="E17357">
            <v>10</v>
          </cell>
        </row>
        <row r="17358">
          <cell r="B17358" t="str">
            <v>INF789FC1IA7</v>
          </cell>
          <cell r="C17358" t="str">
            <v>-</v>
          </cell>
          <cell r="D17358" t="str">
            <v>UTI FTIF Series XXVI-II (1176 Days)- Direct Plan - Flexi Div Option</v>
          </cell>
          <cell r="E17358">
            <v>10</v>
          </cell>
        </row>
        <row r="17359">
          <cell r="B17359" t="str">
            <v>INF789FC1IF6</v>
          </cell>
          <cell r="C17359" t="str">
            <v>-</v>
          </cell>
          <cell r="D17359" t="str">
            <v>UTI FTIF Series XXVI-II (1176 Days)- Direct Plan - Growth Option</v>
          </cell>
          <cell r="E17359">
            <v>12.4847</v>
          </cell>
        </row>
        <row r="17360">
          <cell r="B17360" t="str">
            <v>INF789FC1IE9</v>
          </cell>
          <cell r="C17360" t="str">
            <v>-</v>
          </cell>
          <cell r="D17360" t="str">
            <v>UTI FTIF Series XXVI-II (1176 Days)- Direct Plan - Maturity Div Option</v>
          </cell>
          <cell r="E17360">
            <v>10</v>
          </cell>
        </row>
        <row r="17361">
          <cell r="B17361" t="str">
            <v>INF789FC1HY9</v>
          </cell>
          <cell r="C17361" t="str">
            <v>-</v>
          </cell>
          <cell r="D17361" t="str">
            <v>UTI FTIF Series XXVI-II (1176 Days)- Direct Plan - Quarterly Div Option</v>
          </cell>
          <cell r="E17361">
            <v>10</v>
          </cell>
        </row>
        <row r="17362">
          <cell r="B17362" t="str">
            <v>INF789FC1ID1</v>
          </cell>
          <cell r="C17362" t="str">
            <v>-</v>
          </cell>
          <cell r="D17362" t="str">
            <v>UTI FTIF Series XXVI-II (1176 Days)- Regular Plan - Annual Div Option</v>
          </cell>
          <cell r="E17362">
            <v>10</v>
          </cell>
        </row>
        <row r="17363">
          <cell r="B17363" t="str">
            <v>INF789FC1IB5</v>
          </cell>
          <cell r="C17363" t="str">
            <v>-</v>
          </cell>
          <cell r="D17363" t="str">
            <v>UTI FTIF Series XXVI-II (1176 Days)- Regular Plan - Flexi Div Option</v>
          </cell>
          <cell r="E17363">
            <v>10</v>
          </cell>
        </row>
        <row r="17364">
          <cell r="B17364" t="str">
            <v>INF789FC1IH2</v>
          </cell>
          <cell r="C17364" t="str">
            <v>-</v>
          </cell>
          <cell r="D17364" t="str">
            <v>UTI FTIF Series XXVI-II (1176 Days)- Regular Plan - Growth Option</v>
          </cell>
          <cell r="E17364">
            <v>12.3599</v>
          </cell>
        </row>
        <row r="17365">
          <cell r="B17365" t="str">
            <v>INF789FC1IG4</v>
          </cell>
          <cell r="C17365" t="str">
            <v>-</v>
          </cell>
          <cell r="D17365" t="str">
            <v>UTI FTIF Series XXVI-II (1176 Days)- Regular Plan - Maturity Div Option</v>
          </cell>
          <cell r="E17365">
            <v>10</v>
          </cell>
        </row>
        <row r="17366">
          <cell r="B17366" t="str">
            <v>INF789FC1IC3</v>
          </cell>
          <cell r="C17366" t="str">
            <v>-</v>
          </cell>
          <cell r="D17366" t="str">
            <v>UTI FTIF Series XXVI-II (1176 Days)- Regular Plan - Quarterly Div Option</v>
          </cell>
          <cell r="E17366">
            <v>10</v>
          </cell>
        </row>
        <row r="17367">
          <cell r="B17367" t="str">
            <v>INF789FC1IX9</v>
          </cell>
          <cell r="C17367" t="str">
            <v>-</v>
          </cell>
          <cell r="D17367" t="str">
            <v>UTI FTIF Series XXVI-III (1169 Days)- Direct Plan - Growth Option</v>
          </cell>
          <cell r="E17367">
            <v>12.4915</v>
          </cell>
        </row>
        <row r="17368">
          <cell r="B17368" t="str">
            <v>INF789FC1IQ3</v>
          </cell>
          <cell r="C17368" t="str">
            <v>-</v>
          </cell>
          <cell r="D17368" t="str">
            <v>UTI FTIF Series XXVI-III (1169 Days)- Direct Plan - Quarterly Div Option</v>
          </cell>
          <cell r="E17368">
            <v>10</v>
          </cell>
        </row>
        <row r="17369">
          <cell r="B17369" t="str">
            <v>INF789FC1IV3</v>
          </cell>
          <cell r="C17369" t="str">
            <v>-</v>
          </cell>
          <cell r="D17369" t="str">
            <v>UTI FTIF Series XXVI-III (1169 Days)- Regular Plan - Annual Div Option</v>
          </cell>
          <cell r="E17369">
            <v>10</v>
          </cell>
        </row>
        <row r="17370">
          <cell r="B17370" t="str">
            <v>INF789FC1IT7</v>
          </cell>
          <cell r="C17370" t="str">
            <v>-</v>
          </cell>
          <cell r="D17370" t="str">
            <v>UTI FTIF Series XXVI-III (1169 Days)- Regular Plan - Flexi Div Option</v>
          </cell>
          <cell r="E17370">
            <v>10</v>
          </cell>
        </row>
        <row r="17371">
          <cell r="B17371" t="str">
            <v>INF789FC1IZ4</v>
          </cell>
          <cell r="C17371" t="str">
            <v>-</v>
          </cell>
          <cell r="D17371" t="str">
            <v>UTI FTIF Series XXVI-III (1169 Days)- Regular Plan - Growth Option</v>
          </cell>
          <cell r="E17371">
            <v>12.3666</v>
          </cell>
        </row>
        <row r="17372">
          <cell r="B17372" t="str">
            <v>INF789FC1IY7</v>
          </cell>
          <cell r="C17372" t="str">
            <v>-</v>
          </cell>
          <cell r="D17372" t="str">
            <v>UTI FTIF Series XXVI-III (1169 Days)- Regular Plan - Maturity Div Option</v>
          </cell>
          <cell r="E17372">
            <v>10</v>
          </cell>
        </row>
        <row r="17373">
          <cell r="B17373" t="str">
            <v>INF789FC1IU5</v>
          </cell>
          <cell r="C17373" t="str">
            <v>-</v>
          </cell>
          <cell r="D17373" t="str">
            <v>UTI FTIF Series XXVI-III (1169 Days)- Regular Plan - Quarterly Div Option</v>
          </cell>
          <cell r="E17373">
            <v>10</v>
          </cell>
        </row>
        <row r="17374">
          <cell r="B17374" t="str">
            <v>INF789FC1JL2</v>
          </cell>
          <cell r="C17374" t="str">
            <v>-</v>
          </cell>
          <cell r="D17374" t="str">
            <v>UTI FTIF Series XXVI-V (1160 Days)- Direct Plan - Annual Div Option</v>
          </cell>
          <cell r="E17374">
            <v>10</v>
          </cell>
        </row>
        <row r="17375">
          <cell r="B17375" t="str">
            <v>INF789FC1JM0</v>
          </cell>
          <cell r="C17375" t="str">
            <v>-</v>
          </cell>
          <cell r="D17375" t="str">
            <v>UTI FTIF Series XXVI-V (1160 Days)- Direct Plan - Flexi Div Option</v>
          </cell>
          <cell r="E17375">
            <v>10</v>
          </cell>
        </row>
        <row r="17376">
          <cell r="B17376" t="str">
            <v>INF789FC1JR9</v>
          </cell>
          <cell r="C17376" t="str">
            <v>-</v>
          </cell>
          <cell r="D17376" t="str">
            <v>UTI FTIF Series XXVI-V (1160 Days)- Direct Plan - Growth Option</v>
          </cell>
          <cell r="E17376">
            <v>12.793200000000001</v>
          </cell>
        </row>
        <row r="17377">
          <cell r="B17377" t="str">
            <v>INF789FC1JQ1</v>
          </cell>
          <cell r="C17377" t="str">
            <v>-</v>
          </cell>
          <cell r="D17377" t="str">
            <v>UTI FTIF Series XXVI-V (1160 Days)- Direct Plan - Maturity Div Option</v>
          </cell>
          <cell r="E17377">
            <v>10</v>
          </cell>
        </row>
        <row r="17378">
          <cell r="B17378" t="str">
            <v>INF789FC1JK4</v>
          </cell>
          <cell r="C17378" t="str">
            <v>-</v>
          </cell>
          <cell r="D17378" t="str">
            <v>UTI FTIF Series XXVI-V (1160 Days)- Direct Plan - Quarterly Div Option</v>
          </cell>
          <cell r="E17378">
            <v>10</v>
          </cell>
        </row>
        <row r="17379">
          <cell r="B17379" t="str">
            <v>INF789FC1JP3</v>
          </cell>
          <cell r="C17379" t="str">
            <v>-</v>
          </cell>
          <cell r="D17379" t="str">
            <v>UTI FTIF Series XXVI-V (1160 Days)- Regular Plan - Annual Div Option</v>
          </cell>
          <cell r="E17379">
            <v>10</v>
          </cell>
        </row>
        <row r="17380">
          <cell r="B17380" t="str">
            <v>INF789FC1JT5</v>
          </cell>
          <cell r="C17380" t="str">
            <v>-</v>
          </cell>
          <cell r="D17380" t="str">
            <v>UTI FTIF Series XXVI-V (1160 Days)- Regular Plan - Growth Option</v>
          </cell>
          <cell r="E17380">
            <v>12.666</v>
          </cell>
        </row>
        <row r="17381">
          <cell r="B17381" t="str">
            <v>INF789FC1JS7</v>
          </cell>
          <cell r="C17381" t="str">
            <v>-</v>
          </cell>
          <cell r="D17381" t="str">
            <v>UTI FTIF Series XXVI-V (1160 Days)- Regular Plan - Maturity Div Option</v>
          </cell>
          <cell r="E17381">
            <v>10</v>
          </cell>
        </row>
        <row r="17382">
          <cell r="B17382" t="str">
            <v>INF789FC1JO6</v>
          </cell>
          <cell r="C17382" t="str">
            <v>-</v>
          </cell>
          <cell r="D17382" t="str">
            <v>UTI FTIF Series XXVI-V (1160 Days)- Regular Plan - Quarterly Div Option</v>
          </cell>
          <cell r="E17382">
            <v>10</v>
          </cell>
        </row>
        <row r="17383">
          <cell r="B17383" t="str">
            <v>INF789FC1JV1</v>
          </cell>
          <cell r="C17383" t="str">
            <v>-</v>
          </cell>
          <cell r="D17383" t="str">
            <v>UTI FTIF Series XXVI-VI (1146 Days)- Direct Plan - Annual Div Option</v>
          </cell>
          <cell r="E17383">
            <v>10</v>
          </cell>
        </row>
        <row r="17384">
          <cell r="B17384" t="str">
            <v>INF789FC1KB1</v>
          </cell>
          <cell r="C17384" t="str">
            <v>-</v>
          </cell>
          <cell r="D17384" t="str">
            <v>UTI FTIF Series XXVI-VI (1146 Days)- Direct Plan - Growth Option</v>
          </cell>
          <cell r="E17384">
            <v>12.458299999999999</v>
          </cell>
        </row>
        <row r="17385">
          <cell r="B17385" t="str">
            <v>INF789FC1KA3</v>
          </cell>
          <cell r="C17385" t="str">
            <v>-</v>
          </cell>
          <cell r="D17385" t="str">
            <v>UTI FTIF Series XXVI-VI (1146 Days)- Direct Plan - Maturity Div Option</v>
          </cell>
          <cell r="E17385">
            <v>10</v>
          </cell>
        </row>
        <row r="17386">
          <cell r="B17386" t="str">
            <v>INF789FC1JU3</v>
          </cell>
          <cell r="C17386" t="str">
            <v>-</v>
          </cell>
          <cell r="D17386" t="str">
            <v>UTI FTIF Series XXVI-VI (1146 Days)- Direct Plan - Quarterly Div Option</v>
          </cell>
          <cell r="E17386">
            <v>10</v>
          </cell>
        </row>
        <row r="17387">
          <cell r="B17387" t="str">
            <v>INF789FC1JX7</v>
          </cell>
          <cell r="C17387" t="str">
            <v>-</v>
          </cell>
          <cell r="D17387" t="str">
            <v>UTI FTIF Series XXVI-VI (1146 Days)- Regular Plan - Flexi Div Option</v>
          </cell>
          <cell r="E17387">
            <v>10</v>
          </cell>
        </row>
        <row r="17388">
          <cell r="B17388" t="str">
            <v>INF789FC1KD7</v>
          </cell>
          <cell r="C17388" t="str">
            <v>-</v>
          </cell>
          <cell r="D17388" t="str">
            <v>UTI FTIF Series XXVI-VI (1146 Days)- Regular Plan - Growth Option</v>
          </cell>
          <cell r="E17388">
            <v>12.4397</v>
          </cell>
        </row>
        <row r="17389">
          <cell r="B17389" t="str">
            <v>INF789FC1KC9</v>
          </cell>
          <cell r="C17389" t="str">
            <v>-</v>
          </cell>
          <cell r="D17389" t="str">
            <v>UTI FTIF Series XXVI-VI (1146 Days)- Regular Plan - Maturity Div Option</v>
          </cell>
          <cell r="E17389">
            <v>10</v>
          </cell>
        </row>
        <row r="17390">
          <cell r="B17390" t="str">
            <v>INF789FC1JY5</v>
          </cell>
          <cell r="C17390" t="str">
            <v>-</v>
          </cell>
          <cell r="D17390" t="str">
            <v>UTI FTIF Series XXVI-VI (1146 Days)- Regular Plan - Quarterly Div Option</v>
          </cell>
          <cell r="E17390">
            <v>10</v>
          </cell>
        </row>
        <row r="17391">
          <cell r="B17391" t="str">
            <v>INF789FC1KF2</v>
          </cell>
          <cell r="C17391" t="str">
            <v>-</v>
          </cell>
          <cell r="D17391" t="str">
            <v>UTI FTIF Series XXVI-VII (1140 Days)- Direct Plan - Annual Div Option</v>
          </cell>
          <cell r="E17391">
            <v>10</v>
          </cell>
        </row>
        <row r="17392">
          <cell r="B17392" t="str">
            <v>INF789FC1KL0</v>
          </cell>
          <cell r="C17392" t="str">
            <v>-</v>
          </cell>
          <cell r="D17392" t="str">
            <v>UTI FTIF Series XXVI-VII (1140 Days)- Direct Plan - Growth Option</v>
          </cell>
          <cell r="E17392">
            <v>12.724</v>
          </cell>
        </row>
        <row r="17393">
          <cell r="B17393" t="str">
            <v>INF789FC1KK2</v>
          </cell>
          <cell r="C17393" t="str">
            <v>-</v>
          </cell>
          <cell r="D17393" t="str">
            <v>UTI FTIF Series XXVI-VII (1140 Days)- Direct Plan - Maturity Div Option</v>
          </cell>
          <cell r="E17393">
            <v>10</v>
          </cell>
        </row>
        <row r="17394">
          <cell r="B17394" t="str">
            <v>INF789FC1KE5</v>
          </cell>
          <cell r="C17394" t="str">
            <v>-</v>
          </cell>
          <cell r="D17394" t="str">
            <v>UTI FTIF Series XXVI-VII (1140 Days)- Direct Plan - Quarterly Div Option</v>
          </cell>
          <cell r="E17394">
            <v>10</v>
          </cell>
        </row>
        <row r="17395">
          <cell r="B17395" t="str">
            <v>INF789FC1KJ4</v>
          </cell>
          <cell r="C17395" t="str">
            <v>-</v>
          </cell>
          <cell r="D17395" t="str">
            <v>UTI FTIF Series XXVI-VII (1140 Days)- Regular Plan - Annual Div Option</v>
          </cell>
          <cell r="E17395">
            <v>10</v>
          </cell>
        </row>
        <row r="17396">
          <cell r="B17396" t="str">
            <v>INF789FC1KH8</v>
          </cell>
          <cell r="C17396" t="str">
            <v>-</v>
          </cell>
          <cell r="D17396" t="str">
            <v>UTI FTIF Series XXVI-VII (1140 Days)- Regular Plan - Flexi Div Option</v>
          </cell>
          <cell r="E17396">
            <v>10</v>
          </cell>
        </row>
        <row r="17397">
          <cell r="B17397" t="str">
            <v>INF789FC1KN6</v>
          </cell>
          <cell r="C17397" t="str">
            <v>-</v>
          </cell>
          <cell r="D17397" t="str">
            <v>UTI FTIF Series XXVI-VII (1140 Days)- Regular Plan - Growth Option</v>
          </cell>
          <cell r="E17397">
            <v>12.5974</v>
          </cell>
        </row>
        <row r="17398">
          <cell r="B17398" t="str">
            <v>INF789FC1KM8</v>
          </cell>
          <cell r="C17398" t="str">
            <v>-</v>
          </cell>
          <cell r="D17398" t="str">
            <v>UTI FTIF Series XXVI-VII (1140 Days)- Regular Plan - Maturity Div Option</v>
          </cell>
          <cell r="E17398">
            <v>10</v>
          </cell>
        </row>
        <row r="17399">
          <cell r="B17399" t="str">
            <v>INF789FC1KI6</v>
          </cell>
          <cell r="C17399" t="str">
            <v>-</v>
          </cell>
          <cell r="D17399" t="str">
            <v>UTI FTIF Series XXVI-VII (1140 Days)- Regular Plan - Quarterly Div Option</v>
          </cell>
          <cell r="E17399">
            <v>10</v>
          </cell>
        </row>
        <row r="17400">
          <cell r="B17400" t="str">
            <v>INF789FC1ML6</v>
          </cell>
          <cell r="C17400" t="str">
            <v>-</v>
          </cell>
          <cell r="D17400" t="str">
            <v>UTI FTIF Series XXVI-VIII (1154 Days)- Direct Plan - Annual Div Option</v>
          </cell>
          <cell r="E17400">
            <v>10</v>
          </cell>
        </row>
        <row r="17401">
          <cell r="B17401" t="str">
            <v>INF789FC1MM4</v>
          </cell>
          <cell r="C17401" t="str">
            <v>-</v>
          </cell>
          <cell r="D17401" t="str">
            <v>UTI FTIF Series XXVI-VIII (1154 Days)- Direct Plan - Flexi Div Option</v>
          </cell>
          <cell r="E17401">
            <v>10</v>
          </cell>
        </row>
        <row r="17402">
          <cell r="B17402" t="str">
            <v>INF789FC1MR3</v>
          </cell>
          <cell r="C17402" t="str">
            <v>-</v>
          </cell>
          <cell r="D17402" t="str">
            <v>UTI FTIF Series XXVI-VIII (1154 Days)- Direct Plan - Growth Option</v>
          </cell>
          <cell r="E17402">
            <v>12.450900000000001</v>
          </cell>
        </row>
        <row r="17403">
          <cell r="B17403" t="str">
            <v>INF789FC1MQ5</v>
          </cell>
          <cell r="C17403" t="str">
            <v>-</v>
          </cell>
          <cell r="D17403" t="str">
            <v>UTI FTIF Series XXVI-VIII (1154 Days)- Direct Plan - Maturity Div Option</v>
          </cell>
          <cell r="E17403">
            <v>10</v>
          </cell>
        </row>
        <row r="17404">
          <cell r="B17404" t="str">
            <v>INF789FC1MK8</v>
          </cell>
          <cell r="C17404" t="str">
            <v>-</v>
          </cell>
          <cell r="D17404" t="str">
            <v>UTI FTIF Series XXVI-VIII (1154 Days)- Direct Plan - Quarterly Div Option</v>
          </cell>
          <cell r="E17404">
            <v>10</v>
          </cell>
        </row>
        <row r="17405">
          <cell r="B17405" t="str">
            <v>INF789FC1MP7</v>
          </cell>
          <cell r="C17405" t="str">
            <v>-</v>
          </cell>
          <cell r="D17405" t="str">
            <v>UTI FTIF Series XXVI-VIII (1154 Days)- Regular Plan - Annual Div Option</v>
          </cell>
          <cell r="E17405">
            <v>10</v>
          </cell>
        </row>
        <row r="17406">
          <cell r="B17406" t="str">
            <v>INF789FC1MT9</v>
          </cell>
          <cell r="C17406" t="str">
            <v>-</v>
          </cell>
          <cell r="D17406" t="str">
            <v>UTI FTIF Series XXVI-VIII (1154 Days)- Regular Plan - Growth Option</v>
          </cell>
          <cell r="E17406">
            <v>12.3269</v>
          </cell>
        </row>
        <row r="17407">
          <cell r="B17407" t="str">
            <v>INF789FC1MS1</v>
          </cell>
          <cell r="C17407" t="str">
            <v>-</v>
          </cell>
          <cell r="D17407" t="str">
            <v>UTI FTIF Series XXVI-VIII (1154 Days)- Regular Plan - Maturity Div Option</v>
          </cell>
          <cell r="E17407">
            <v>10</v>
          </cell>
        </row>
        <row r="17408">
          <cell r="B17408" t="str">
            <v>INF789FC1MO0</v>
          </cell>
          <cell r="C17408" t="str">
            <v>-</v>
          </cell>
          <cell r="D17408" t="str">
            <v>UTI FTIF Series XXVI-VIII (1154 Days)- Regular Plan - Quarterly Div Option</v>
          </cell>
          <cell r="E17408">
            <v>10</v>
          </cell>
        </row>
        <row r="17409">
          <cell r="B17409" t="str">
            <v>INF789FC1V33</v>
          </cell>
          <cell r="C17409" t="str">
            <v>-</v>
          </cell>
          <cell r="D17409" t="str">
            <v>UTI FTIF Series XXVII-IX (1160 Days) - Direct Plan - Growth Option</v>
          </cell>
          <cell r="E17409">
            <v>11.3089</v>
          </cell>
        </row>
        <row r="17410">
          <cell r="B17410" t="str">
            <v>INF789FC1V09</v>
          </cell>
          <cell r="C17410" t="str">
            <v>-</v>
          </cell>
          <cell r="D17410" t="str">
            <v>UTI FTIF Series XXVII-IX (1160 Days) - Direct Plan - Quarterly Div Option</v>
          </cell>
          <cell r="E17410">
            <v>9.8003</v>
          </cell>
        </row>
        <row r="17411">
          <cell r="B17411" t="str">
            <v>INF789FC1U83</v>
          </cell>
          <cell r="C17411" t="str">
            <v>-</v>
          </cell>
          <cell r="D17411" t="str">
            <v>UTI FTIF Series XXVII-IX (1160 Days) - Regular Plan - Growth Option</v>
          </cell>
          <cell r="E17411">
            <v>11.1288</v>
          </cell>
        </row>
        <row r="17412">
          <cell r="B17412" t="str">
            <v>INF789FC1U18</v>
          </cell>
          <cell r="C17412" t="str">
            <v>-</v>
          </cell>
          <cell r="D17412" t="str">
            <v>UTI FTIF Series XXVII-VIII (1117 Days) - Direct Plan - Annual Div Option</v>
          </cell>
          <cell r="E17412">
            <v>10</v>
          </cell>
        </row>
        <row r="17413">
          <cell r="B17413" t="str">
            <v>INF789FC1U34</v>
          </cell>
          <cell r="C17413" t="str">
            <v>-</v>
          </cell>
          <cell r="D17413" t="str">
            <v>UTI FTIF Series XXVII-VIII (1117 Days) - Direct Plan - Growth Option</v>
          </cell>
          <cell r="E17413">
            <v>12.2882</v>
          </cell>
        </row>
        <row r="17414">
          <cell r="B17414" t="str">
            <v>INF789FC1U26</v>
          </cell>
          <cell r="C17414" t="str">
            <v>-</v>
          </cell>
          <cell r="D17414" t="str">
            <v>UTI FTIF Series XXVII-VIII (1117 Days) - Direct Plan - Maturity Div Option</v>
          </cell>
          <cell r="E17414">
            <v>10</v>
          </cell>
        </row>
        <row r="17415">
          <cell r="B17415" t="str">
            <v>INF789FC1U00</v>
          </cell>
          <cell r="C17415" t="str">
            <v>-</v>
          </cell>
          <cell r="D17415" t="str">
            <v>UTI FTIF Series XXVII-VIII (1117 Days) - Direct Plan - Quarterly Div Option</v>
          </cell>
          <cell r="E17415">
            <v>10</v>
          </cell>
        </row>
        <row r="17416">
          <cell r="B17416" t="str">
            <v>INF789FC1T60</v>
          </cell>
          <cell r="C17416" t="str">
            <v>-</v>
          </cell>
          <cell r="D17416" t="str">
            <v>UTI FTIF Series XXVII-VIII (1117 Days) - Regular Plan - Annual Div Option</v>
          </cell>
          <cell r="E17416">
            <v>10</v>
          </cell>
        </row>
        <row r="17417">
          <cell r="B17417" t="str">
            <v>INF789FC1T94</v>
          </cell>
          <cell r="C17417" t="str">
            <v>-</v>
          </cell>
          <cell r="D17417" t="str">
            <v>UTI FTIF Series XXVII-VIII (1117 Days) - Regular Plan - Flexi Div Option</v>
          </cell>
          <cell r="E17417">
            <v>10</v>
          </cell>
        </row>
        <row r="17418">
          <cell r="B17418" t="str">
            <v>INF789FC1T86</v>
          </cell>
          <cell r="C17418" t="str">
            <v>-</v>
          </cell>
          <cell r="D17418" t="str">
            <v>UTI FTIF Series XXVII-VIII (1117 Days) - Regular Plan - Growth Option</v>
          </cell>
          <cell r="E17418">
            <v>12.165800000000001</v>
          </cell>
        </row>
        <row r="17419">
          <cell r="B17419" t="str">
            <v>INF789FC1T78</v>
          </cell>
          <cell r="C17419" t="str">
            <v>-</v>
          </cell>
          <cell r="D17419" t="str">
            <v>UTI FTIF Series XXVII-VIII (1117 Days) - Regular Plan - Maturity Div Option</v>
          </cell>
          <cell r="E17419">
            <v>10</v>
          </cell>
        </row>
        <row r="17420">
          <cell r="B17420" t="str">
            <v>INF789FC1T52</v>
          </cell>
          <cell r="C17420" t="str">
            <v>-</v>
          </cell>
          <cell r="D17420" t="str">
            <v>UTI FTIF Series XXVII-VIII (1117 Days) - Regular Plan - Quarterly Div Option</v>
          </cell>
          <cell r="E17420">
            <v>10</v>
          </cell>
        </row>
        <row r="17421">
          <cell r="B17421" t="str">
            <v>INF789FC1W57</v>
          </cell>
          <cell r="C17421" t="str">
            <v>-</v>
          </cell>
          <cell r="D17421" t="str">
            <v>UTI FTIF Series XXVII-X (1118 Days) - Direct Plan - Annual Div Option</v>
          </cell>
          <cell r="E17421">
            <v>10</v>
          </cell>
        </row>
        <row r="17422">
          <cell r="B17422" t="str">
            <v>INF789FC1W73</v>
          </cell>
          <cell r="C17422" t="str">
            <v>-</v>
          </cell>
          <cell r="D17422" t="str">
            <v>UTI FTIF Series XXVII-X (1118 Days) - Direct Plan - Growth Option</v>
          </cell>
          <cell r="E17422">
            <v>12.138299999999999</v>
          </cell>
        </row>
        <row r="17423">
          <cell r="B17423" t="str">
            <v>INF789FC1W65</v>
          </cell>
          <cell r="C17423" t="str">
            <v>-</v>
          </cell>
          <cell r="D17423" t="str">
            <v>UTI FTIF Series XXVII-X (1118 Days) - Direct Plan - Maturity Div Option</v>
          </cell>
          <cell r="E17423">
            <v>10</v>
          </cell>
        </row>
        <row r="17424">
          <cell r="B17424" t="str">
            <v>INF789FC1W40</v>
          </cell>
          <cell r="C17424" t="str">
            <v>-</v>
          </cell>
          <cell r="D17424" t="str">
            <v>UTI FTIF Series XXVII-X (1118 Days) - Direct Plan - Quarterly Div Option</v>
          </cell>
          <cell r="E17424">
            <v>10</v>
          </cell>
        </row>
        <row r="17425">
          <cell r="B17425" t="str">
            <v>INF789FC1W08</v>
          </cell>
          <cell r="C17425" t="str">
            <v>-</v>
          </cell>
          <cell r="D17425" t="str">
            <v>UTI FTIF Series XXVII-X (1118 Days) - Regular Plan - Annual Div Option</v>
          </cell>
          <cell r="E17425">
            <v>10</v>
          </cell>
        </row>
        <row r="17426">
          <cell r="B17426" t="str">
            <v>INF789FC1W32</v>
          </cell>
          <cell r="C17426" t="str">
            <v>-</v>
          </cell>
          <cell r="D17426" t="str">
            <v>UTI FTIF Series XXVII-X (1118 Days) - Regular Plan - Flexi Div Option</v>
          </cell>
          <cell r="E17426">
            <v>10</v>
          </cell>
        </row>
        <row r="17427">
          <cell r="B17427" t="str">
            <v>INF789FC1W24</v>
          </cell>
          <cell r="C17427" t="str">
            <v>-</v>
          </cell>
          <cell r="D17427" t="str">
            <v>UTI FTIF Series XXVII-X (1118 Days) - Regular Plan - Growth Option</v>
          </cell>
          <cell r="E17427">
            <v>12.017300000000001</v>
          </cell>
        </row>
        <row r="17428">
          <cell r="B17428" t="str">
            <v>INF789FC1W16</v>
          </cell>
          <cell r="C17428" t="str">
            <v>-</v>
          </cell>
          <cell r="D17428" t="str">
            <v>UTI FTIF Series XXVII-X (1118 Days) - Regular Plan - Maturity Div Option</v>
          </cell>
          <cell r="E17428">
            <v>10</v>
          </cell>
        </row>
        <row r="17429">
          <cell r="B17429" t="str">
            <v>INF789FC1V90</v>
          </cell>
          <cell r="C17429" t="str">
            <v>-</v>
          </cell>
          <cell r="D17429" t="str">
            <v>UTI FTIF Series XXVII-X (1118 Days) - Regular Plan - Quarterly Div Option</v>
          </cell>
          <cell r="E17429">
            <v>10</v>
          </cell>
        </row>
        <row r="17430">
          <cell r="B17430" t="str">
            <v>INF789FC1X98</v>
          </cell>
          <cell r="C17430" t="str">
            <v>-</v>
          </cell>
          <cell r="D17430" t="str">
            <v>UTI FTIF SERIES XXVIII - PLAN I (1230 DAYS) - Direct Plan - Annual IDCW</v>
          </cell>
          <cell r="E17430">
            <v>9.7828999999999997</v>
          </cell>
        </row>
        <row r="17431">
          <cell r="B17431" t="str">
            <v>INF789FC1X80</v>
          </cell>
          <cell r="C17431" t="str">
            <v>-</v>
          </cell>
          <cell r="D17431" t="str">
            <v>UTI FTIF SERIES XXVIII - PLAN I (1230 DAYS) - Direct Plan - Quarterly IDCW</v>
          </cell>
          <cell r="E17431">
            <v>9.7827999999999999</v>
          </cell>
        </row>
        <row r="17432">
          <cell r="B17432" t="str">
            <v>INF789FC1X49</v>
          </cell>
          <cell r="C17432" t="str">
            <v>-</v>
          </cell>
          <cell r="D17432" t="str">
            <v>UTI FTIF SERIES XXVIII - PLAN I (1230 DAYS) - Regular Plan - Annual IDCW</v>
          </cell>
          <cell r="E17432">
            <v>9.7817000000000007</v>
          </cell>
        </row>
        <row r="17433">
          <cell r="B17433" t="str">
            <v>INF789FC1X72</v>
          </cell>
          <cell r="C17433" t="str">
            <v>-</v>
          </cell>
          <cell r="D17433" t="str">
            <v>UTI FTIF SERIES XXVIII - PLAN I (1230 DAYS) - Regular Plan - Flexi IDCW</v>
          </cell>
          <cell r="E17433">
            <v>10</v>
          </cell>
        </row>
        <row r="17434">
          <cell r="B17434" t="str">
            <v>INF789FC1X56</v>
          </cell>
          <cell r="C17434" t="str">
            <v>-</v>
          </cell>
          <cell r="D17434" t="str">
            <v>UTI FTIF SERIES XXVIII - PLAN I (1230 DAYS) - Regular Plan - Maturity IDCW</v>
          </cell>
          <cell r="E17434">
            <v>10</v>
          </cell>
        </row>
        <row r="17435">
          <cell r="B17435" t="str">
            <v>INF789FC1X31</v>
          </cell>
          <cell r="C17435" t="str">
            <v>-</v>
          </cell>
          <cell r="D17435" t="str">
            <v>UTI FTIF SERIES XXVIII - PLAN I (1230 DAYS) - Regular Plan - Quarterly IDCW</v>
          </cell>
          <cell r="E17435">
            <v>9.7815999999999992</v>
          </cell>
        </row>
        <row r="17436">
          <cell r="B17436" t="str">
            <v>INF789FC1Y14</v>
          </cell>
          <cell r="C17436" t="str">
            <v>-</v>
          </cell>
          <cell r="D17436" t="str">
            <v>UTI FTIF Series XXVIII-I (1230 Days) - Direct Plan - Growth Option</v>
          </cell>
          <cell r="E17436">
            <v>11.5113</v>
          </cell>
        </row>
        <row r="17437">
          <cell r="B17437" t="str">
            <v>INF789FC1X64</v>
          </cell>
          <cell r="C17437" t="str">
            <v>-</v>
          </cell>
          <cell r="D17437" t="str">
            <v>UTI FTIF Series XXVIII-I (1230 Days) - Regular Plan - Growth Option</v>
          </cell>
          <cell r="E17437">
            <v>11.396800000000001</v>
          </cell>
        </row>
        <row r="17438">
          <cell r="B17438" t="str">
            <v>INF789FC1Y48</v>
          </cell>
          <cell r="C17438" t="str">
            <v>-</v>
          </cell>
          <cell r="D17438" t="str">
            <v>UTI FTIF SERIES XXVIII - PLAN II (1210 DAYS) - Direct Plan - Annual IDCW</v>
          </cell>
          <cell r="E17438">
            <v>9.7940000000000005</v>
          </cell>
        </row>
        <row r="17439">
          <cell r="B17439" t="str">
            <v>INF789FC1Y71</v>
          </cell>
          <cell r="C17439" t="str">
            <v>-</v>
          </cell>
          <cell r="D17439" t="str">
            <v>UTI FTIF SERIES XXVIII - PLAN II (1210 DAYS) - Direct Plan - Flexi IDCW</v>
          </cell>
          <cell r="E17439">
            <v>10</v>
          </cell>
        </row>
        <row r="17440">
          <cell r="B17440" t="str">
            <v>INF789FC1Y55</v>
          </cell>
          <cell r="C17440" t="str">
            <v>-</v>
          </cell>
          <cell r="D17440" t="str">
            <v>UTI FTIF SERIES XXVIII - PLAN II (1210 DAYS) - Direct Plan - Maturity IDCW</v>
          </cell>
          <cell r="E17440">
            <v>10</v>
          </cell>
        </row>
        <row r="17441">
          <cell r="B17441" t="str">
            <v>INF789FC1Y30</v>
          </cell>
          <cell r="C17441" t="str">
            <v>-</v>
          </cell>
          <cell r="D17441" t="str">
            <v>UTI FTIF SERIES XXVIII - PLAN II (1210 DAYS) - Direct Plan - Quarterly IDCW</v>
          </cell>
          <cell r="E17441">
            <v>9.7939000000000007</v>
          </cell>
        </row>
        <row r="17442">
          <cell r="B17442" t="str">
            <v>INF789FC1Y97</v>
          </cell>
          <cell r="C17442" t="str">
            <v>-</v>
          </cell>
          <cell r="D17442" t="str">
            <v>UTI FTIF SERIES XXVIII - PLAN II (1210 DAYS) - Regular Plan - Annual IDCW</v>
          </cell>
          <cell r="E17442">
            <v>9.7927</v>
          </cell>
        </row>
        <row r="17443">
          <cell r="B17443" t="str">
            <v>INF789FC1Z21</v>
          </cell>
          <cell r="C17443" t="str">
            <v>-</v>
          </cell>
          <cell r="D17443" t="str">
            <v>UTI FTIF SERIES XXVIII - PLAN II (1210 DAYS) - Regular Plan - Flexi IDCW</v>
          </cell>
          <cell r="E17443">
            <v>10</v>
          </cell>
        </row>
        <row r="17444">
          <cell r="B17444" t="str">
            <v>INF789FC1Z05</v>
          </cell>
          <cell r="C17444" t="str">
            <v>-</v>
          </cell>
          <cell r="D17444" t="str">
            <v>UTI FTIF SERIES XXVIII - PLAN II (1210 DAYS) - Regular Plan - Maturity IDCW</v>
          </cell>
          <cell r="E17444">
            <v>10</v>
          </cell>
        </row>
        <row r="17445">
          <cell r="B17445" t="str">
            <v>INF789FC1Y89</v>
          </cell>
          <cell r="C17445" t="str">
            <v>-</v>
          </cell>
          <cell r="D17445" t="str">
            <v>UTI FTIF SERIES XXVIII - PLAN II (1210 DAYS) - Regular Plan - Quarterly IDCW</v>
          </cell>
          <cell r="E17445">
            <v>9.7927</v>
          </cell>
        </row>
        <row r="17446">
          <cell r="B17446" t="str">
            <v>INF789FC1Y63</v>
          </cell>
          <cell r="C17446" t="str">
            <v>-</v>
          </cell>
          <cell r="D17446" t="str">
            <v>UTI FTIF Series XXVIII-II (1210 Days) - Direct Plan - Growth Option</v>
          </cell>
          <cell r="E17446">
            <v>11.507</v>
          </cell>
        </row>
        <row r="17447">
          <cell r="B17447" t="str">
            <v>INF789FC1Z13</v>
          </cell>
          <cell r="C17447" t="str">
            <v>-</v>
          </cell>
          <cell r="D17447" t="str">
            <v>UTI FTIF Series XXVIII-II (1210 Days) - Regular Plan - Growth Option</v>
          </cell>
          <cell r="E17447">
            <v>11.392300000000001</v>
          </cell>
        </row>
        <row r="17448">
          <cell r="B17448" t="str">
            <v>INF789FC19A6</v>
          </cell>
          <cell r="C17448" t="str">
            <v>-</v>
          </cell>
          <cell r="D17448" t="str">
            <v>UTI FTIF SERIES XXVIII - PLAN III (1203 DAYS) - Direct Plan - Annual IDCW</v>
          </cell>
          <cell r="E17448">
            <v>9.8801000000000005</v>
          </cell>
        </row>
        <row r="17449">
          <cell r="B17449" t="str">
            <v>INF789FC12B9</v>
          </cell>
          <cell r="C17449" t="str">
            <v>-</v>
          </cell>
          <cell r="D17449" t="str">
            <v>UTI FTIF SERIES XXVIII - PLAN III (1203 DAYS) - Direct Plan - Flexi IDCW</v>
          </cell>
          <cell r="E17449">
            <v>10</v>
          </cell>
        </row>
        <row r="17450">
          <cell r="B17450" t="str">
            <v>INF789FC10B3</v>
          </cell>
          <cell r="C17450" t="str">
            <v>-</v>
          </cell>
          <cell r="D17450" t="str">
            <v>UTI FTIF SERIES XXVIII - PLAN III (1203 DAYS) - Direct Plan - Maturity IDCW</v>
          </cell>
          <cell r="E17450">
            <v>10.0001</v>
          </cell>
        </row>
        <row r="17451">
          <cell r="B17451" t="str">
            <v>INF789FC18A8</v>
          </cell>
          <cell r="C17451" t="str">
            <v>-</v>
          </cell>
          <cell r="D17451" t="str">
            <v>UTI FTIF SERIES XXVIII - PLAN III (1203 DAYS) - Direct Plan - Quarterly IDCW</v>
          </cell>
          <cell r="E17451">
            <v>9.8801000000000005</v>
          </cell>
        </row>
        <row r="17452">
          <cell r="B17452" t="str">
            <v>INF789FC14A7</v>
          </cell>
          <cell r="C17452" t="str">
            <v>-</v>
          </cell>
          <cell r="D17452" t="str">
            <v>UTI FTIF SERIES XXVIII - PLAN III (1203 DAYS) - Regular Plan - Annual IDCW</v>
          </cell>
          <cell r="E17452">
            <v>9.8780999999999999</v>
          </cell>
        </row>
        <row r="17453">
          <cell r="B17453" t="str">
            <v>INF789FC17A0</v>
          </cell>
          <cell r="C17453" t="str">
            <v>-</v>
          </cell>
          <cell r="D17453" t="str">
            <v>UTI FTIF SERIES XXVIII - PLAN III (1203 DAYS) - Regular Plan - Flexi IDCW</v>
          </cell>
          <cell r="E17453">
            <v>10.0001</v>
          </cell>
        </row>
        <row r="17454">
          <cell r="B17454" t="str">
            <v>INF789FC15A4</v>
          </cell>
          <cell r="C17454" t="str">
            <v>-</v>
          </cell>
          <cell r="D17454" t="str">
            <v>UTI FTIF SERIES XXVIII - PLAN III (1203 DAYS) - Regular Plan - Maturity IDCW</v>
          </cell>
          <cell r="E17454">
            <v>10.0001</v>
          </cell>
        </row>
        <row r="17455">
          <cell r="B17455" t="str">
            <v>INF789FC13A9</v>
          </cell>
          <cell r="C17455" t="str">
            <v>-</v>
          </cell>
          <cell r="D17455" t="str">
            <v>UTI FTIF SERIES XXVIII - PLAN III (1203 DAYS) - Regular Plan - Quarterly IDCW</v>
          </cell>
          <cell r="E17455">
            <v>9.8780999999999999</v>
          </cell>
        </row>
        <row r="17456">
          <cell r="B17456" t="str">
            <v>INF789FC11B1</v>
          </cell>
          <cell r="C17456" t="str">
            <v>-</v>
          </cell>
          <cell r="D17456" t="str">
            <v>UTI FTIF Series XXVIII-III (1203 Days) - Direct Plan - Growth Option</v>
          </cell>
          <cell r="E17456">
            <v>11.901999999999999</v>
          </cell>
        </row>
        <row r="17457">
          <cell r="B17457" t="str">
            <v>INF789FC16A2</v>
          </cell>
          <cell r="C17457" t="str">
            <v>-</v>
          </cell>
          <cell r="D17457" t="str">
            <v>UTI FTIF Series XXVIII-III (1203 Days) - Regular Plan - Growth Option</v>
          </cell>
          <cell r="E17457">
            <v>11.7835</v>
          </cell>
        </row>
        <row r="17458">
          <cell r="B17458" t="str">
            <v>INF789FC13C5</v>
          </cell>
          <cell r="C17458" t="str">
            <v>-</v>
          </cell>
          <cell r="D17458" t="str">
            <v>UTI FTIF Series XXVIII-IV (1204 Days) Direct Plan - Growth Option</v>
          </cell>
          <cell r="E17458">
            <v>12.6427</v>
          </cell>
        </row>
        <row r="17459">
          <cell r="B17459" t="str">
            <v>INF789FC18B6</v>
          </cell>
          <cell r="C17459" t="str">
            <v>-</v>
          </cell>
          <cell r="D17459" t="str">
            <v>UTI FTIF Series XXVIII-IV (1204 Days) Regular Plan - Growth Option</v>
          </cell>
          <cell r="E17459">
            <v>12.623699999999999</v>
          </cell>
        </row>
        <row r="17460">
          <cell r="B17460" t="str">
            <v>INF789FC17H5</v>
          </cell>
          <cell r="C17460" t="str">
            <v>-</v>
          </cell>
          <cell r="D17460" t="str">
            <v>UTI FTIF SERIES XXVIII - PLAN IX (1168 DAYS) - Regular Plan - Quarterly IDCW</v>
          </cell>
          <cell r="E17460">
            <v>10</v>
          </cell>
        </row>
        <row r="17461">
          <cell r="B17461" t="str">
            <v>INF789FC15I7</v>
          </cell>
          <cell r="C17461" t="str">
            <v>-</v>
          </cell>
          <cell r="D17461" t="str">
            <v>UTI FTIF Series XXVIII-IX (1168 Days) - Direct Plan - Growth Option</v>
          </cell>
          <cell r="E17461">
            <v>12.670199999999999</v>
          </cell>
        </row>
        <row r="17462">
          <cell r="B17462" t="str">
            <v>INF789FC10I8</v>
          </cell>
          <cell r="C17462" t="str">
            <v>-</v>
          </cell>
          <cell r="D17462" t="str">
            <v>UTI FTIF Series XXVIII-IX (1168 Days) - Regular Plan - Growth Option</v>
          </cell>
          <cell r="E17462">
            <v>12.6511</v>
          </cell>
        </row>
        <row r="17463">
          <cell r="B17463" t="str">
            <v>INF789FC11D7</v>
          </cell>
          <cell r="C17463" t="str">
            <v>-</v>
          </cell>
          <cell r="D17463" t="str">
            <v>UTI FTIF SERIES XXVIII - PLAN V (1190 DAYS) - Direct Plan - Annual IDCW</v>
          </cell>
          <cell r="E17463">
            <v>9.8238000000000003</v>
          </cell>
        </row>
        <row r="17464">
          <cell r="B17464" t="str">
            <v>INF789FC12D5</v>
          </cell>
          <cell r="C17464" t="str">
            <v>-</v>
          </cell>
          <cell r="D17464" t="str">
            <v>UTI FTIF SERIES XXVIII - PLAN V (1190 DAYS) - Direct Plan - Maturity IDCW</v>
          </cell>
          <cell r="E17464">
            <v>10</v>
          </cell>
        </row>
        <row r="17465">
          <cell r="B17465" t="str">
            <v>INF789FC10D9</v>
          </cell>
          <cell r="C17465" t="str">
            <v>-</v>
          </cell>
          <cell r="D17465" t="str">
            <v>UTI FTIF SERIES XXVIII - PLAN V (1190 DAYS) - Direct Plan - Quarterly IDCW</v>
          </cell>
          <cell r="E17465">
            <v>9.8237000000000005</v>
          </cell>
        </row>
        <row r="17466">
          <cell r="B17466" t="str">
            <v>INF789FC16C8</v>
          </cell>
          <cell r="C17466" t="str">
            <v>-</v>
          </cell>
          <cell r="D17466" t="str">
            <v>UTI FTIF SERIES XXVIII - PLAN V (1190 DAYS) - Regular Plan - Annual IDCW</v>
          </cell>
          <cell r="E17466">
            <v>9.8216999999999999</v>
          </cell>
        </row>
        <row r="17467">
          <cell r="B17467" t="str">
            <v>INF789FC17C6</v>
          </cell>
          <cell r="C17467" t="str">
            <v>-</v>
          </cell>
          <cell r="D17467" t="str">
            <v>UTI FTIF SERIES XXVIII - PLAN V (1190 DAYS) - Regular Plan - Maturity IDCW</v>
          </cell>
          <cell r="E17467">
            <v>10.0001</v>
          </cell>
        </row>
        <row r="17468">
          <cell r="B17468" t="str">
            <v>INF789FC15C0</v>
          </cell>
          <cell r="C17468" t="str">
            <v>-</v>
          </cell>
          <cell r="D17468" t="str">
            <v>UTI FTIF SERIES XXVIII - PLAN V (1190 DAYS) - Regular Plan - Quarterly IDCW</v>
          </cell>
          <cell r="E17468">
            <v>9.8216000000000001</v>
          </cell>
        </row>
        <row r="17469">
          <cell r="B17469" t="str">
            <v>INF789FC13D3</v>
          </cell>
          <cell r="C17469" t="str">
            <v>-</v>
          </cell>
          <cell r="D17469" t="str">
            <v>UTI FTIF Series XXVIII-V (1190 Days) Direct Plan - Growth Option</v>
          </cell>
          <cell r="E17469">
            <v>11.587199999999999</v>
          </cell>
        </row>
        <row r="17470">
          <cell r="B17470" t="str">
            <v>INF789FC18C4</v>
          </cell>
          <cell r="C17470" t="str">
            <v>-</v>
          </cell>
          <cell r="D17470" t="str">
            <v>UTI FTIF Series XXVIII-V (1190 Days) Regular Plan - Growth Option</v>
          </cell>
          <cell r="E17470">
            <v>11.4718</v>
          </cell>
        </row>
        <row r="17471">
          <cell r="B17471" t="str">
            <v>INF789FC18E0</v>
          </cell>
          <cell r="C17471" t="str">
            <v>-</v>
          </cell>
          <cell r="D17471" t="str">
            <v>UTI FTIF SERIES XXVIII - PLAN VI (1190 DAYS) - Direct Plan - Flexi IDCW</v>
          </cell>
          <cell r="E17471">
            <v>10</v>
          </cell>
        </row>
        <row r="17472">
          <cell r="B17472" t="str">
            <v>INF789FC14E9</v>
          </cell>
          <cell r="C17472" t="str">
            <v>-</v>
          </cell>
          <cell r="D17472" t="str">
            <v>UTI FTIF SERIES XXVIII - PLAN VI (1190 DAYS) - Direct Plan - Quarterly IDCW</v>
          </cell>
          <cell r="E17472">
            <v>10</v>
          </cell>
        </row>
        <row r="17473">
          <cell r="B17473" t="str">
            <v>INF789FC19D0</v>
          </cell>
          <cell r="C17473" t="str">
            <v>-</v>
          </cell>
          <cell r="D17473" t="str">
            <v>UTI FTIF SERIES XXVIII - PLAN VI (1190 DAYS) - Regular Plan - Quarterly IDCW</v>
          </cell>
          <cell r="E17473">
            <v>10</v>
          </cell>
        </row>
        <row r="17474">
          <cell r="B17474" t="str">
            <v>INF789FC17E2</v>
          </cell>
          <cell r="C17474" t="str">
            <v>-</v>
          </cell>
          <cell r="D17474" t="str">
            <v>UTI FTIF Series XXVIII-VI (1190 Days) - Direct Plan - Growth Option</v>
          </cell>
          <cell r="E17474">
            <v>12.627599999999999</v>
          </cell>
        </row>
        <row r="17475">
          <cell r="B17475" t="str">
            <v>INF789FC12E3</v>
          </cell>
          <cell r="C17475" t="str">
            <v>-</v>
          </cell>
          <cell r="D17475" t="str">
            <v>UTI FTIF Series XXVIII-VI (1190 Days) - Regular Plan - Growth Option</v>
          </cell>
          <cell r="E17475">
            <v>12.608599999999999</v>
          </cell>
        </row>
        <row r="17476">
          <cell r="B17476" t="str">
            <v>INF789FC15F3</v>
          </cell>
          <cell r="C17476" t="str">
            <v>-</v>
          </cell>
          <cell r="D17476" t="str">
            <v>UTI FTIF SERIES XXVIII - PLAN VII (1169 DAYS) - Direct Plan - Annual IDCW</v>
          </cell>
          <cell r="E17476">
            <v>9.8204999999999991</v>
          </cell>
        </row>
        <row r="17477">
          <cell r="B17477" t="str">
            <v>INF789FC18F7</v>
          </cell>
          <cell r="C17477" t="str">
            <v>-</v>
          </cell>
          <cell r="D17477" t="str">
            <v>UTI FTIF SERIES XXVIII - PLAN VII (1169 DAYS) - Direct Plan - Flexi IDCW</v>
          </cell>
          <cell r="E17477">
            <v>10</v>
          </cell>
        </row>
        <row r="17478">
          <cell r="B17478" t="str">
            <v>INF789FC16F1</v>
          </cell>
          <cell r="C17478" t="str">
            <v>-</v>
          </cell>
          <cell r="D17478" t="str">
            <v>UTI FTIF SERIES XXVIII - PLAN VII (1169 DAYS) - Direct Plan - Maturity IDCW</v>
          </cell>
          <cell r="E17478">
            <v>10</v>
          </cell>
        </row>
        <row r="17479">
          <cell r="B17479" t="str">
            <v>INF789FC14F6</v>
          </cell>
          <cell r="C17479" t="str">
            <v>-</v>
          </cell>
          <cell r="D17479" t="str">
            <v>UTI FTIF SERIES XXVIII - PLAN VII (1169 DAYS) - Direct Plan - Quarterly IDCW</v>
          </cell>
          <cell r="E17479">
            <v>9.8203999999999994</v>
          </cell>
        </row>
        <row r="17480">
          <cell r="B17480" t="str">
            <v>INF789FC10F4</v>
          </cell>
          <cell r="C17480" t="str">
            <v>-</v>
          </cell>
          <cell r="D17480" t="str">
            <v>UTI FTIF SERIES XXVIII - PLAN VII (1169 DAYS) - Regular Plan - Annual IDCW</v>
          </cell>
          <cell r="E17480">
            <v>9.8183000000000007</v>
          </cell>
        </row>
        <row r="17481">
          <cell r="B17481" t="str">
            <v>INF789FC13F8</v>
          </cell>
          <cell r="C17481" t="str">
            <v>-</v>
          </cell>
          <cell r="D17481" t="str">
            <v>UTI FTIF SERIES XXVIII - PLAN VII (1169 DAYS) - Regular Plan - Flexi IDCW</v>
          </cell>
          <cell r="E17481">
            <v>10.0001</v>
          </cell>
        </row>
        <row r="17482">
          <cell r="B17482" t="str">
            <v>INF789FC11F2</v>
          </cell>
          <cell r="C17482" t="str">
            <v>-</v>
          </cell>
          <cell r="D17482" t="str">
            <v>UTI FTIF SERIES XXVIII - PLAN VII (1169 DAYS) - Regular Plan - Maturity IDCW</v>
          </cell>
          <cell r="E17482">
            <v>10.0001</v>
          </cell>
        </row>
        <row r="17483">
          <cell r="B17483" t="str">
            <v>INF789FC19E8</v>
          </cell>
          <cell r="C17483" t="str">
            <v>-</v>
          </cell>
          <cell r="D17483" t="str">
            <v>UTI FTIF SERIES XXVIII - PLAN VII (1169 DAYS) - Regular Plan - Quarterly IDCW</v>
          </cell>
          <cell r="E17483">
            <v>9.8180999999999994</v>
          </cell>
        </row>
        <row r="17484">
          <cell r="B17484" t="str">
            <v>INF789FC17F9</v>
          </cell>
          <cell r="C17484" t="str">
            <v>-</v>
          </cell>
          <cell r="D17484" t="str">
            <v>UTI FTIF Series XXVIII-VII (1169 Days) - Direct Plan - Growth Option</v>
          </cell>
          <cell r="E17484">
            <v>11.5425</v>
          </cell>
        </row>
        <row r="17485">
          <cell r="B17485" t="str">
            <v>INF789FC12F0</v>
          </cell>
          <cell r="C17485" t="str">
            <v>-</v>
          </cell>
          <cell r="D17485" t="str">
            <v>UTI FTIF Series XXVIII-VII (1169 Days) - Regular Plan - Growth Option</v>
          </cell>
          <cell r="E17485">
            <v>11.4274</v>
          </cell>
        </row>
        <row r="17486">
          <cell r="B17486" t="str">
            <v>INF789FC18G5</v>
          </cell>
          <cell r="C17486" t="str">
            <v>-</v>
          </cell>
          <cell r="D17486" t="str">
            <v>UTI FTIF SERIES XXVIII - PLAN VIII (1171 DAYS) - Direct Plan - Quarterly IDCW</v>
          </cell>
          <cell r="E17486">
            <v>10</v>
          </cell>
        </row>
        <row r="17487">
          <cell r="B17487" t="str">
            <v>INF789FC15G1</v>
          </cell>
          <cell r="C17487" t="str">
            <v>-</v>
          </cell>
          <cell r="D17487" t="str">
            <v>UTI FTIF SERIES XXVIII - PLAN VIII (1171 DAYS) - Regular Plan - Maturity IDCW</v>
          </cell>
          <cell r="E17487">
            <v>10</v>
          </cell>
        </row>
        <row r="17488">
          <cell r="B17488" t="str">
            <v>INF789FC13G6</v>
          </cell>
          <cell r="C17488" t="str">
            <v>-</v>
          </cell>
          <cell r="D17488" t="str">
            <v>UTI FTIF SERIES XXVIII - PLAN VIII (1171 DAYS) - Regular Plan - Quarterly IDCW</v>
          </cell>
          <cell r="E17488">
            <v>10</v>
          </cell>
        </row>
        <row r="17489">
          <cell r="B17489" t="str">
            <v>INF789FC11H8</v>
          </cell>
          <cell r="C17489" t="str">
            <v>-</v>
          </cell>
          <cell r="D17489" t="str">
            <v>UTI FTIF Series XXVIII-VIII (1171 Days) - Direct Plan - Growth Option</v>
          </cell>
          <cell r="E17489">
            <v>12.643800000000001</v>
          </cell>
        </row>
        <row r="17490">
          <cell r="B17490" t="str">
            <v>INF789FC16G9</v>
          </cell>
          <cell r="C17490" t="str">
            <v>-</v>
          </cell>
          <cell r="D17490" t="str">
            <v>UTI FTIF Series XXVIII-VIII (1171 Days) - Regular Plan - Growth Option</v>
          </cell>
          <cell r="E17490">
            <v>12.6249</v>
          </cell>
        </row>
        <row r="17491">
          <cell r="B17491" t="str">
            <v>INF789FC16J3</v>
          </cell>
          <cell r="C17491" t="str">
            <v>-</v>
          </cell>
          <cell r="D17491" t="str">
            <v>UTI FTIF SERIES XXVIII - PLAN X (1153 DAYS) - Direct Plan - Flexi IDCW</v>
          </cell>
          <cell r="E17491">
            <v>10</v>
          </cell>
        </row>
        <row r="17492">
          <cell r="B17492" t="str">
            <v>INF789FC14J8</v>
          </cell>
          <cell r="C17492" t="str">
            <v>-</v>
          </cell>
          <cell r="D17492" t="str">
            <v>UTI FTIF SERIES XXVIII - PLAN X (1153 DAYS) - Direct Plan - Maturity IDCW</v>
          </cell>
          <cell r="E17492">
            <v>10</v>
          </cell>
        </row>
        <row r="17493">
          <cell r="B17493" t="str">
            <v>INF789FC12J2</v>
          </cell>
          <cell r="C17493" t="str">
            <v>-</v>
          </cell>
          <cell r="D17493" t="str">
            <v>UTI FTIF SERIES XXVIII - PLAN X (1153 DAYS) - Direct Plan - Quarterly IDCW</v>
          </cell>
          <cell r="E17493">
            <v>9.5648999999999997</v>
          </cell>
        </row>
        <row r="17494">
          <cell r="B17494" t="str">
            <v>INF789FC18I1</v>
          </cell>
          <cell r="C17494" t="str">
            <v>-</v>
          </cell>
          <cell r="D17494" t="str">
            <v>UTI FTIF SERIES XXVIII - PLAN X (1153 DAYS) - Regular Plan - Annual IDCW</v>
          </cell>
          <cell r="E17494">
            <v>9.5559999999999992</v>
          </cell>
        </row>
        <row r="17495">
          <cell r="B17495" t="str">
            <v>INF789FC19I9</v>
          </cell>
          <cell r="C17495" t="str">
            <v>-</v>
          </cell>
          <cell r="D17495" t="str">
            <v>UTI FTIF SERIES XXVIII - PLAN X (1153 DAYS) - Regular Plan - Maturity IDCW</v>
          </cell>
          <cell r="E17495">
            <v>10</v>
          </cell>
        </row>
        <row r="17496">
          <cell r="B17496" t="str">
            <v>INF789FC17I3</v>
          </cell>
          <cell r="C17496" t="str">
            <v>-</v>
          </cell>
          <cell r="D17496" t="str">
            <v>UTI FTIF SERIES XXVIII - PLAN X (1153 DAYS) - Regular Plan - Quarterly IDCW</v>
          </cell>
          <cell r="E17496">
            <v>9.5557999999999996</v>
          </cell>
        </row>
        <row r="17497">
          <cell r="B17497" t="str">
            <v>INF789FC15J5</v>
          </cell>
          <cell r="C17497" t="str">
            <v>-</v>
          </cell>
          <cell r="D17497" t="str">
            <v>UTI FTIF Series XXVIII-X (1153 Days) - Direct Plan - Growth Option</v>
          </cell>
          <cell r="E17497">
            <v>10.972799999999999</v>
          </cell>
        </row>
        <row r="17498">
          <cell r="B17498" t="str">
            <v>INF789FC10J6</v>
          </cell>
          <cell r="C17498" t="str">
            <v>-</v>
          </cell>
          <cell r="D17498" t="str">
            <v>UTI FTIF Series XXVIII-X (1153 Days) - Regular Plan - Growth Option</v>
          </cell>
          <cell r="E17498">
            <v>10.857799999999999</v>
          </cell>
        </row>
        <row r="17499">
          <cell r="B17499" t="str">
            <v>INF789FC13K8</v>
          </cell>
          <cell r="C17499" t="str">
            <v>-</v>
          </cell>
          <cell r="D17499" t="str">
            <v>UTI FTIF SERIES XXVIII - PLAN XI (1161 DAYS) - Direct Plan - Annual IDCW</v>
          </cell>
          <cell r="E17499">
            <v>10</v>
          </cell>
        </row>
        <row r="17500">
          <cell r="B17500" t="str">
            <v>INF789FC18J9</v>
          </cell>
          <cell r="C17500" t="str">
            <v>-</v>
          </cell>
          <cell r="D17500" t="str">
            <v>UTI FTIF SERIES XXVIII - PLAN XI (1161 DAYS) - Regular Plan - Annual IDCW</v>
          </cell>
          <cell r="E17500">
            <v>10</v>
          </cell>
        </row>
        <row r="17501">
          <cell r="B17501" t="str">
            <v>INF789FC11K2</v>
          </cell>
          <cell r="C17501" t="str">
            <v>-</v>
          </cell>
          <cell r="D17501" t="str">
            <v>UTI FTIF SERIES XXVIII - PLAN XI (1161 DAYS) - Regular Plan - Flexi IDCW</v>
          </cell>
          <cell r="E17501">
            <v>10</v>
          </cell>
        </row>
        <row r="17502">
          <cell r="B17502" t="str">
            <v>INF789FC19J7</v>
          </cell>
          <cell r="C17502" t="str">
            <v>-</v>
          </cell>
          <cell r="D17502" t="str">
            <v>UTI FTIF SERIES XXVIII - PLAN XI (1161 DAYS) - Regular Plan - Maturity IDCW</v>
          </cell>
          <cell r="E17502">
            <v>10</v>
          </cell>
        </row>
        <row r="17503">
          <cell r="B17503" t="str">
            <v>INF789FC17J1</v>
          </cell>
          <cell r="C17503" t="str">
            <v>-</v>
          </cell>
          <cell r="D17503" t="str">
            <v>UTI FTIF SERIES XXVIII - PLAN XI (1161 DAYS) - Regular Plan - Quarterly IDCW</v>
          </cell>
          <cell r="E17503">
            <v>10</v>
          </cell>
        </row>
        <row r="17504">
          <cell r="B17504" t="str">
            <v>INF789FC15K3</v>
          </cell>
          <cell r="C17504" t="str">
            <v>-</v>
          </cell>
          <cell r="D17504" t="str">
            <v>UTI FTIF Series XXVIII-XI (1161 Days) - Direct Plan - Growth Option</v>
          </cell>
          <cell r="E17504">
            <v>12.6449</v>
          </cell>
        </row>
        <row r="17505">
          <cell r="B17505" t="str">
            <v>INF789FC10K4</v>
          </cell>
          <cell r="C17505" t="str">
            <v>-</v>
          </cell>
          <cell r="D17505" t="str">
            <v>UTI FTIF Series XXVIII-XI (1161 Days) - Regular Plan - Growth Option</v>
          </cell>
          <cell r="E17505">
            <v>12.625999999999999</v>
          </cell>
        </row>
        <row r="17506">
          <cell r="B17506" t="str">
            <v>INF789FC14L4</v>
          </cell>
          <cell r="C17506" t="str">
            <v>-</v>
          </cell>
          <cell r="D17506" t="str">
            <v>UTI FTIF SERIES XXVIII - PLAN XII (1154 DAYS) - Direct Plan - Maturity IDCW</v>
          </cell>
          <cell r="E17506">
            <v>10</v>
          </cell>
        </row>
        <row r="17507">
          <cell r="B17507" t="str">
            <v>INF789FC18K7</v>
          </cell>
          <cell r="C17507" t="str">
            <v>-</v>
          </cell>
          <cell r="D17507" t="str">
            <v>UTI FTIF SERIES XXVIII - PLAN XII (1154 DAYS) - Regular Plan - Annual IDCW</v>
          </cell>
          <cell r="E17507">
            <v>10</v>
          </cell>
        </row>
        <row r="17508">
          <cell r="B17508" t="str">
            <v>INF789FC19K5</v>
          </cell>
          <cell r="C17508" t="str">
            <v>-</v>
          </cell>
          <cell r="D17508" t="str">
            <v>UTI FTIF SERIES XXVIII - PLAN XII (1154 DAYS) - Regular Plan - Maturity IDCW</v>
          </cell>
          <cell r="E17508">
            <v>10</v>
          </cell>
        </row>
        <row r="17509">
          <cell r="B17509" t="str">
            <v>INF789FC17K9</v>
          </cell>
          <cell r="C17509" t="str">
            <v>-</v>
          </cell>
          <cell r="D17509" t="str">
            <v>UTI FTIF SERIES XXVIII - PLAN XII (1154 DAYS) - Regular Plan - Quarterly IDCW</v>
          </cell>
          <cell r="E17509">
            <v>10</v>
          </cell>
        </row>
        <row r="17510">
          <cell r="B17510" t="str">
            <v>INF789FC15L1</v>
          </cell>
          <cell r="C17510" t="str">
            <v>-</v>
          </cell>
          <cell r="D17510" t="str">
            <v>UTI FTIF Series XXVIII-XII (1154 Days) - Direct Plan - Growth Option</v>
          </cell>
          <cell r="E17510">
            <v>12.621600000000001</v>
          </cell>
        </row>
        <row r="17511">
          <cell r="B17511" t="str">
            <v>INF789FC10L2</v>
          </cell>
          <cell r="C17511" t="str">
            <v>-</v>
          </cell>
          <cell r="D17511" t="str">
            <v>UTI FTIF Series XXVIII-XII (1154 Days) - Regular Plan - Growth Option</v>
          </cell>
          <cell r="E17511">
            <v>12.6027</v>
          </cell>
        </row>
        <row r="17512">
          <cell r="B17512" t="str">
            <v>INF789FC13M4</v>
          </cell>
          <cell r="C17512" t="str">
            <v>-</v>
          </cell>
          <cell r="D17512" t="str">
            <v>UTI FTIF SERIES XXVIII - PLAN XIII (1134 DAYS) - Direct Plan - Annual IDCW</v>
          </cell>
          <cell r="E17512">
            <v>9.8841999999999999</v>
          </cell>
        </row>
        <row r="17513">
          <cell r="B17513" t="str">
            <v>INF789FC16M7</v>
          </cell>
          <cell r="C17513" t="str">
            <v>-</v>
          </cell>
          <cell r="D17513" t="str">
            <v>UTI FTIF SERIES XXVIII - PLAN XIII (1134 DAYS) - Direct Plan - Flexi IDCW</v>
          </cell>
          <cell r="E17513">
            <v>10</v>
          </cell>
        </row>
        <row r="17514">
          <cell r="B17514" t="str">
            <v>INF789FC14M2</v>
          </cell>
          <cell r="C17514" t="str">
            <v>-</v>
          </cell>
          <cell r="D17514" t="str">
            <v>UTI FTIF SERIES XXVIII - PLAN XIII (1134 DAYS) - Direct Plan - Maturity IDCW</v>
          </cell>
          <cell r="E17514">
            <v>10</v>
          </cell>
        </row>
        <row r="17515">
          <cell r="B17515" t="str">
            <v>INF789FC12M6</v>
          </cell>
          <cell r="C17515" t="str">
            <v>-</v>
          </cell>
          <cell r="D17515" t="str">
            <v>UTI FTIF SERIES XXVIII - PLAN XIII (1134 DAYS) - Direct Plan - Quarterly IDCW</v>
          </cell>
          <cell r="E17515">
            <v>9.8840000000000003</v>
          </cell>
        </row>
        <row r="17516">
          <cell r="B17516" t="str">
            <v>INF789FC18L5</v>
          </cell>
          <cell r="C17516" t="str">
            <v>-</v>
          </cell>
          <cell r="D17516" t="str">
            <v>UTI FTIF SERIES XXVIII - PLAN XIII (1134 DAYS) - Regular Plan - Annual IDCW</v>
          </cell>
          <cell r="E17516">
            <v>9.8788999999999998</v>
          </cell>
        </row>
        <row r="17517">
          <cell r="B17517" t="str">
            <v>INF789FC11M8</v>
          </cell>
          <cell r="C17517" t="str">
            <v>-</v>
          </cell>
          <cell r="D17517" t="str">
            <v>UTI FTIF SERIES XXVIII - PLAN XIII (1134 DAYS) - Regular Plan - Flexi IDCW</v>
          </cell>
          <cell r="E17517">
            <v>10</v>
          </cell>
        </row>
        <row r="17518">
          <cell r="B17518" t="str">
            <v>INF789FC19L3</v>
          </cell>
          <cell r="C17518" t="str">
            <v>-</v>
          </cell>
          <cell r="D17518" t="str">
            <v>UTI FTIF SERIES XXVIII - PLAN XIII (1134 DAYS) - Regular Plan - Maturity IDCW</v>
          </cell>
          <cell r="E17518">
            <v>10</v>
          </cell>
        </row>
        <row r="17519">
          <cell r="B17519" t="str">
            <v>INF789FC17L7</v>
          </cell>
          <cell r="C17519" t="str">
            <v>-</v>
          </cell>
          <cell r="D17519" t="str">
            <v>UTI FTIF SERIES XXVIII - PLAN XIII (1134 DAYS) - Regular Plan - Quarterly IDCW</v>
          </cell>
          <cell r="E17519">
            <v>9.8786000000000005</v>
          </cell>
        </row>
        <row r="17520">
          <cell r="B17520" t="str">
            <v>INF789FC15M9</v>
          </cell>
          <cell r="C17520" t="str">
            <v>-</v>
          </cell>
          <cell r="D17520" t="str">
            <v>UTI FTIF Series XXVIII-XIII (1134 Days) - Direct Plan - Growth Option</v>
          </cell>
          <cell r="E17520">
            <v>12.2163</v>
          </cell>
        </row>
        <row r="17521">
          <cell r="B17521" t="str">
            <v>INF789FC10M0</v>
          </cell>
          <cell r="C17521" t="str">
            <v>-</v>
          </cell>
          <cell r="D17521" t="str">
            <v>UTI FTIF Series XXVIII-XIII (1134 Days) - Regular Plan - Growth Option</v>
          </cell>
          <cell r="E17521">
            <v>12.0578</v>
          </cell>
        </row>
        <row r="17522">
          <cell r="B17522" t="str">
            <v>INF789FC17M5</v>
          </cell>
          <cell r="C17522" t="str">
            <v>-</v>
          </cell>
          <cell r="D17522" t="str">
            <v>UTI FTIF SERIES XXVIII - PLAN XIV (1147 DAYS) - Regular Plan - Quarterly IDCW</v>
          </cell>
          <cell r="E17522">
            <v>10</v>
          </cell>
        </row>
        <row r="17523">
          <cell r="B17523" t="str">
            <v>INF789FC15N7</v>
          </cell>
          <cell r="C17523" t="str">
            <v>-</v>
          </cell>
          <cell r="D17523" t="str">
            <v>UTI FTIF Series XXVIII-XIV (1147 Days) - Direct Plan - Growth OptionI</v>
          </cell>
          <cell r="E17523">
            <v>12.5555</v>
          </cell>
        </row>
        <row r="17524">
          <cell r="B17524" t="str">
            <v>INF789FC10N8</v>
          </cell>
          <cell r="C17524" t="str">
            <v>-</v>
          </cell>
          <cell r="D17524" t="str">
            <v>UTI FTIF Series XXVIII-XIV (1147 Days) - Regular Plan - Growth Option</v>
          </cell>
          <cell r="E17524">
            <v>12.5367</v>
          </cell>
        </row>
        <row r="17525">
          <cell r="B17525" t="str">
            <v>INF789F01FJ8</v>
          </cell>
          <cell r="C17525" t="str">
            <v>-</v>
          </cell>
          <cell r="D17525" t="str">
            <v>UTI Annual Interval Fund - I - ( Instn Growth Option )</v>
          </cell>
          <cell r="E17525">
            <v>37.726100000000002</v>
          </cell>
        </row>
        <row r="17526">
          <cell r="B17526" t="str">
            <v>INF789F01VU2</v>
          </cell>
          <cell r="C17526" t="str">
            <v>INF789F01VV0</v>
          </cell>
          <cell r="D17526" t="str">
            <v>UTI Annual Interval Fund - I - Direct Plan - Dividend Option</v>
          </cell>
          <cell r="E17526">
            <v>11.4132</v>
          </cell>
        </row>
        <row r="17527">
          <cell r="B17527" t="str">
            <v>INF789F01VW8</v>
          </cell>
          <cell r="C17527" t="str">
            <v>-</v>
          </cell>
          <cell r="D17527" t="str">
            <v>UTI Annual Interval Fund - I - Direct Plan - Growth Option</v>
          </cell>
          <cell r="E17527">
            <v>36.730699999999999</v>
          </cell>
        </row>
        <row r="17528">
          <cell r="B17528" t="str">
            <v>INF789F01FG4</v>
          </cell>
          <cell r="C17528" t="str">
            <v>-</v>
          </cell>
          <cell r="D17528" t="str">
            <v>UTI Annual Interval Fund - I - Regular Plan - Growth Option</v>
          </cell>
          <cell r="E17528">
            <v>36.267699999999998</v>
          </cell>
        </row>
        <row r="17529">
          <cell r="B17529" t="str">
            <v>INF789F01FE9</v>
          </cell>
          <cell r="C17529" t="str">
            <v>INF789F01FF6</v>
          </cell>
          <cell r="D17529" t="str">
            <v>UTI Annual Interval Fund - I - Regular Plan - IDCW</v>
          </cell>
          <cell r="E17529">
            <v>11.0349</v>
          </cell>
        </row>
        <row r="17530">
          <cell r="B17530" t="str">
            <v>INF789F01WC8</v>
          </cell>
          <cell r="C17530" t="str">
            <v>-</v>
          </cell>
          <cell r="D17530" t="str">
            <v>UTI Annual Interval Fund - II - Direct Plan - Growth Option</v>
          </cell>
          <cell r="E17530">
            <v>33.746400000000001</v>
          </cell>
        </row>
        <row r="17531">
          <cell r="B17531" t="str">
            <v>INF789F01WA2</v>
          </cell>
          <cell r="C17531" t="str">
            <v>INF789F01WB0</v>
          </cell>
          <cell r="D17531" t="str">
            <v>UTI Annual Interval Fund - II - Direct Plan - IDCW</v>
          </cell>
          <cell r="E17531">
            <v>11.1845</v>
          </cell>
        </row>
        <row r="17532">
          <cell r="B17532" t="str">
            <v>INF789F01FS9</v>
          </cell>
          <cell r="C17532" t="str">
            <v>-</v>
          </cell>
          <cell r="D17532" t="str">
            <v>UTI Annual Interval Fund - II - Regular Plan - Growth Option</v>
          </cell>
          <cell r="E17532">
            <v>33.305500000000002</v>
          </cell>
        </row>
        <row r="17533">
          <cell r="B17533" t="str">
            <v>INF789F01FQ3</v>
          </cell>
          <cell r="C17533" t="str">
            <v>INF789F01FR1</v>
          </cell>
          <cell r="D17533" t="str">
            <v>UTI Annual Interval Fund - II - Regular Plan - IDCW</v>
          </cell>
          <cell r="E17533">
            <v>11.117599999999999</v>
          </cell>
        </row>
        <row r="17534">
          <cell r="B17534" t="str">
            <v>INF789F01FV3</v>
          </cell>
          <cell r="C17534" t="str">
            <v>-</v>
          </cell>
          <cell r="D17534" t="str">
            <v>UTI Fixed Interval Income Fund (Annual Interval Fund)  Series III - Instn Growth Option</v>
          </cell>
          <cell r="E17534">
            <v>28.4328</v>
          </cell>
        </row>
        <row r="17535">
          <cell r="B17535" t="str">
            <v>INF789F1AWI4</v>
          </cell>
          <cell r="C17535" t="str">
            <v>-</v>
          </cell>
          <cell r="D17535" t="str">
            <v>UTI Fixed Term Income Fund - Series XXXV-I (1260 Days) - Direct Plan - Annual IDCW Option</v>
          </cell>
          <cell r="E17535">
            <v>11.257400000000001</v>
          </cell>
        </row>
        <row r="17536">
          <cell r="B17536" t="str">
            <v>INF789F1AWK0</v>
          </cell>
          <cell r="C17536" t="str">
            <v>-</v>
          </cell>
          <cell r="D17536" t="str">
            <v>UTI Fixed Term Income Fund - Series XXXV-I (1260 Days) - Direct Plan - Growth Option</v>
          </cell>
          <cell r="E17536">
            <v>12.7362</v>
          </cell>
        </row>
        <row r="17537">
          <cell r="B17537" t="str">
            <v>INF789F1AWJ2</v>
          </cell>
          <cell r="C17537" t="str">
            <v>-</v>
          </cell>
          <cell r="D17537" t="str">
            <v>UTI Fixed Term Income Fund - Series XXXV-I (1260 Days) - Direct Plan - Maturity IDCW Option</v>
          </cell>
          <cell r="E17537">
            <v>12.7362</v>
          </cell>
        </row>
        <row r="17538">
          <cell r="B17538" t="str">
            <v>INF789F1AWH6</v>
          </cell>
          <cell r="C17538" t="str">
            <v>-</v>
          </cell>
          <cell r="D17538" t="str">
            <v>UTI Fixed Term Income Fund - Series XXXV-I (1260 Days) - Direct Plan - Quarterly IDCW Option</v>
          </cell>
          <cell r="E17538">
            <v>12.7363</v>
          </cell>
        </row>
        <row r="17539">
          <cell r="B17539" t="str">
            <v>INF789F1AWD5</v>
          </cell>
          <cell r="C17539" t="str">
            <v>-</v>
          </cell>
          <cell r="D17539" t="str">
            <v>UTI Fixed Term Income Fund - Series XXXV-I (1260 days) - Regular Plan - Annual IDCW Option</v>
          </cell>
          <cell r="E17539">
            <v>10.966200000000001</v>
          </cell>
        </row>
        <row r="17540">
          <cell r="B17540" t="str">
            <v>INF789F1AWG8</v>
          </cell>
          <cell r="C17540" t="str">
            <v>-</v>
          </cell>
          <cell r="D17540" t="str">
            <v>UTI Fixed Term Income Fund - Series XXXV-I (1260 Days) - Regular Plan - Flexi IDCW Option</v>
          </cell>
          <cell r="E17540">
            <v>12.569599999999999</v>
          </cell>
        </row>
        <row r="17541">
          <cell r="B17541" t="str">
            <v>INF789F1AWF0</v>
          </cell>
          <cell r="C17541" t="str">
            <v>-</v>
          </cell>
          <cell r="D17541" t="str">
            <v>UTI Fixed Term Income Fund - Series XXXV-I (1260 Days) - Regular Plan - Growth Option</v>
          </cell>
          <cell r="E17541">
            <v>12.5708</v>
          </cell>
        </row>
        <row r="17542">
          <cell r="B17542" t="str">
            <v>INF789F1AWE3</v>
          </cell>
          <cell r="C17542" t="str">
            <v>-</v>
          </cell>
          <cell r="D17542" t="str">
            <v>UTI Fixed Term Income Fund - Series XXXV-I (1260 Days) - Regular Plan - Maturity IDCW Option</v>
          </cell>
          <cell r="E17542">
            <v>12.5708</v>
          </cell>
        </row>
        <row r="17543">
          <cell r="B17543" t="str">
            <v>INF789F1AWC7</v>
          </cell>
          <cell r="C17543" t="str">
            <v>-</v>
          </cell>
          <cell r="D17543" t="str">
            <v>UTI Fixed Term Income Fund - Series XXXV-I (1260 Days) - Regular Plan - Quarterly IDCW Option</v>
          </cell>
          <cell r="E17543">
            <v>12.5708</v>
          </cell>
        </row>
        <row r="17544">
          <cell r="B17544" t="str">
            <v>INF789F1AWS3</v>
          </cell>
          <cell r="C17544" t="str">
            <v>-</v>
          </cell>
          <cell r="D17544" t="str">
            <v>UTI Fixed Term Income Fund - Series XXXV-II (1223 Days) - Direct Plan - Annual IDCW Option</v>
          </cell>
          <cell r="E17544">
            <v>11.069100000000001</v>
          </cell>
        </row>
        <row r="17545">
          <cell r="B17545" t="str">
            <v>INF789F1AWV7</v>
          </cell>
          <cell r="C17545" t="str">
            <v>-</v>
          </cell>
          <cell r="D17545" t="str">
            <v>UTI Fixed Term Income Fund - Series XXXV-II (1223 Days) - Direct Plan - Flexi IDCW Option</v>
          </cell>
          <cell r="E17545">
            <v>12.6037</v>
          </cell>
        </row>
        <row r="17546">
          <cell r="B17546" t="str">
            <v>INF789F1AWU9</v>
          </cell>
          <cell r="C17546" t="str">
            <v>-</v>
          </cell>
          <cell r="D17546" t="str">
            <v>UTI Fixed Term Income Fund - Series XXXV-II (1223 Days) - Direct Plan - Growth Option</v>
          </cell>
          <cell r="E17546">
            <v>12.5862</v>
          </cell>
        </row>
        <row r="17547">
          <cell r="B17547" t="str">
            <v>INF789F1AWT1</v>
          </cell>
          <cell r="C17547" t="str">
            <v>-</v>
          </cell>
          <cell r="D17547" t="str">
            <v>UTI Fixed Term Income Fund - Series XXXV-II (1223 Days) - Direct Plan - Maturity IDCW Option</v>
          </cell>
          <cell r="E17547">
            <v>12.5861</v>
          </cell>
        </row>
        <row r="17548">
          <cell r="B17548" t="str">
            <v>INF789F1AWR5</v>
          </cell>
          <cell r="C17548" t="str">
            <v>-</v>
          </cell>
          <cell r="D17548" t="str">
            <v>UTI Fixed Term Income Fund - Series XXXV-II (1223 Days) - Direct Plan - Quarterly IDCW Option</v>
          </cell>
          <cell r="E17548">
            <v>12.5877</v>
          </cell>
        </row>
        <row r="17549">
          <cell r="B17549" t="str">
            <v>INF789F1AWN4</v>
          </cell>
          <cell r="C17549" t="str">
            <v>-</v>
          </cell>
          <cell r="D17549" t="str">
            <v>UTI Fixed Term Income Fund - Series XXXV-II (1223 Days) - Regular Plan - Annual IDCW Option</v>
          </cell>
          <cell r="E17549">
            <v>10.9217</v>
          </cell>
        </row>
        <row r="17550">
          <cell r="B17550" t="str">
            <v>INF789F1AWQ7</v>
          </cell>
          <cell r="C17550" t="str">
            <v>-</v>
          </cell>
          <cell r="D17550" t="str">
            <v>UTI Fixed Term Income Fund - Series XXXV-II (1223 Days) - Regular Plan - Flexi IDCW Option</v>
          </cell>
          <cell r="E17550">
            <v>12.432700000000001</v>
          </cell>
        </row>
        <row r="17551">
          <cell r="B17551" t="str">
            <v>INF789F1AWP9</v>
          </cell>
          <cell r="C17551" t="str">
            <v>-</v>
          </cell>
          <cell r="D17551" t="str">
            <v>UTI Fixed Term Income Fund - Series XXXV-II (1223 Days) - Regular Plan - Growth Option</v>
          </cell>
          <cell r="E17551">
            <v>12.4314</v>
          </cell>
        </row>
        <row r="17552">
          <cell r="B17552" t="str">
            <v>INF789F1AWO2</v>
          </cell>
          <cell r="C17552" t="str">
            <v>-</v>
          </cell>
          <cell r="D17552" t="str">
            <v>UTI Fixed Term Income Fund - Series XXXV-II (1223 Days) - Regular Plan - Maturity IDCW Option</v>
          </cell>
          <cell r="E17552">
            <v>12.4305</v>
          </cell>
        </row>
        <row r="17553">
          <cell r="B17553" t="str">
            <v>INF789F1AWM6</v>
          </cell>
          <cell r="C17553" t="str">
            <v>-</v>
          </cell>
          <cell r="D17553" t="str">
            <v>UTI Fixed Term Income Fund - Series XXXV-II (1223 Days) - Regular Plan - Quarterly IDCW Option</v>
          </cell>
          <cell r="E17553">
            <v>12.4314</v>
          </cell>
        </row>
        <row r="17554">
          <cell r="B17554" t="str">
            <v>INF789F1AXF8</v>
          </cell>
          <cell r="C17554" t="str">
            <v>-</v>
          </cell>
          <cell r="D17554" t="str">
            <v>UTI Fixed Term Income Fund - Series XXXV-III (1176 Days) - Direct Plan - Annual IDCW Option</v>
          </cell>
          <cell r="E17554">
            <v>10.9953</v>
          </cell>
        </row>
        <row r="17555">
          <cell r="B17555" t="str">
            <v>INF789F1AXH4</v>
          </cell>
          <cell r="C17555" t="str">
            <v>-</v>
          </cell>
          <cell r="D17555" t="str">
            <v>UTI Fixed Term Income Fund - Series XXXV-III (1176 Days) - Direct Plan - Growth Option</v>
          </cell>
          <cell r="E17555">
            <v>12.478199999999999</v>
          </cell>
        </row>
        <row r="17556">
          <cell r="B17556" t="str">
            <v>INF789F1AXG6</v>
          </cell>
          <cell r="C17556" t="str">
            <v>-</v>
          </cell>
          <cell r="D17556" t="str">
            <v>UTI Fixed Term Income Fund - Series XXXV-III (1176 Days) - Direct Plan - Maturity IDCW Option</v>
          </cell>
          <cell r="E17556">
            <v>12.478199999999999</v>
          </cell>
        </row>
        <row r="17557">
          <cell r="B17557" t="str">
            <v>INF789F1AXE1</v>
          </cell>
          <cell r="C17557" t="str">
            <v>-</v>
          </cell>
          <cell r="D17557" t="str">
            <v>UTI Fixed Term Income Fund - Series XXXV-III (1176 Days) - Direct Plan - Quarterly IDCW Option</v>
          </cell>
          <cell r="E17557">
            <v>12.4809</v>
          </cell>
        </row>
        <row r="17558">
          <cell r="B17558" t="str">
            <v>INF789F1AXJ0</v>
          </cell>
          <cell r="C17558" t="str">
            <v>-</v>
          </cell>
          <cell r="D17558" t="str">
            <v>UTI Fixed Term Income Fund - Series XXXV-III (1176 Days) - Regular Plan - Annual IDCW Option</v>
          </cell>
          <cell r="E17558">
            <v>10.857200000000001</v>
          </cell>
        </row>
        <row r="17559">
          <cell r="B17559" t="str">
            <v>INF789F1AXD3</v>
          </cell>
          <cell r="C17559" t="str">
            <v>-</v>
          </cell>
          <cell r="D17559" t="str">
            <v>UTI Fixed Term Income Fund - Series XXXV-III (1176 Days) - Regular Plan - Flexi IDCW Option</v>
          </cell>
          <cell r="E17559">
            <v>12.332800000000001</v>
          </cell>
        </row>
        <row r="17560">
          <cell r="B17560" t="str">
            <v>INF789F1AXC5</v>
          </cell>
          <cell r="C17560" t="str">
            <v>-</v>
          </cell>
          <cell r="D17560" t="str">
            <v>UTI Fixed Term Income Fund - Series XXXV-III (1176 Days) - Regular Plan - Growth Option</v>
          </cell>
          <cell r="E17560">
            <v>12.332599999999999</v>
          </cell>
        </row>
        <row r="17561">
          <cell r="B17561" t="str">
            <v>INF789F1AXA9</v>
          </cell>
          <cell r="C17561" t="str">
            <v>-</v>
          </cell>
          <cell r="D17561" t="str">
            <v>UTI Fixed Term Income Fund - Series XXXV-III (1176 Days) - Regular Plan - Quarterly IDCW Option</v>
          </cell>
          <cell r="E17561">
            <v>12.334899999999999</v>
          </cell>
        </row>
        <row r="17562">
          <cell r="B17562" t="str">
            <v>INF789F1AXP7</v>
          </cell>
          <cell r="C17562" t="str">
            <v>-</v>
          </cell>
          <cell r="D17562" t="str">
            <v>UTI Fixed Term Income Fund Series XXXVI - I (1574 Days) - Direct Plan - Growth Option</v>
          </cell>
          <cell r="E17562">
            <v>12.966900000000001</v>
          </cell>
        </row>
        <row r="17563">
          <cell r="B17563" t="str">
            <v>INF789F1AXO0</v>
          </cell>
          <cell r="C17563" t="str">
            <v>-</v>
          </cell>
          <cell r="D17563" t="str">
            <v>UTI Fixed Term Income Fund Series XXXVI - I (1574 Days) - Direct Plan - Payout of IDCW Option</v>
          </cell>
          <cell r="E17563">
            <v>12.4011</v>
          </cell>
        </row>
        <row r="17564">
          <cell r="B17564" t="str">
            <v>INF789F1AXN2</v>
          </cell>
          <cell r="C17564" t="str">
            <v>-</v>
          </cell>
          <cell r="D17564" t="str">
            <v>UTI Fixed Term Income Fund Series XXXVI - I (1574 Days) - Regular Plan - Growth Option</v>
          </cell>
          <cell r="E17564">
            <v>12.793100000000001</v>
          </cell>
        </row>
        <row r="17565">
          <cell r="B17565" t="str">
            <v>INF789F1AXM4</v>
          </cell>
          <cell r="C17565" t="str">
            <v>-</v>
          </cell>
          <cell r="D17565" t="str">
            <v>UTI Fixed Term Income Fund Series XXXVI - I (1574 Days) - Regular Plan - Payout of IDCW Option</v>
          </cell>
          <cell r="E17565">
            <v>12.2324</v>
          </cell>
        </row>
        <row r="17566">
          <cell r="B17566" t="str">
            <v>INF789F01WG9</v>
          </cell>
          <cell r="C17566" t="str">
            <v>INF789F01WH7</v>
          </cell>
          <cell r="D17566" t="str">
            <v>UTI Quarterly Interval Fund - I - Direct Plan - IDCW</v>
          </cell>
          <cell r="E17566">
            <v>11.1076</v>
          </cell>
        </row>
        <row r="17567">
          <cell r="B17567" t="str">
            <v>INF789F01GE7</v>
          </cell>
          <cell r="C17567" t="str">
            <v>-</v>
          </cell>
          <cell r="D17567" t="str">
            <v>UTI Quarterly Interval Fund - I - Regular Plan - Growth Option</v>
          </cell>
          <cell r="E17567">
            <v>33.3446</v>
          </cell>
        </row>
        <row r="17568">
          <cell r="B17568" t="str">
            <v>INF789F01GC1</v>
          </cell>
          <cell r="C17568" t="str">
            <v>INF789F01GD9</v>
          </cell>
          <cell r="D17568" t="str">
            <v>UTI Quarterly Interval Fund - I - Regular Plan - IDCW</v>
          </cell>
          <cell r="E17568">
            <v>11.0342</v>
          </cell>
        </row>
        <row r="17569">
          <cell r="B17569" t="str">
            <v>INF789F01WI5</v>
          </cell>
          <cell r="C17569" t="str">
            <v>-</v>
          </cell>
          <cell r="D17569" t="str">
            <v>UTI Quarterly Interval Fund - I -Direct Plan - Growth Option</v>
          </cell>
          <cell r="E17569">
            <v>34.088799999999999</v>
          </cell>
        </row>
        <row r="17570">
          <cell r="B17570" t="str">
            <v>INF789F01WR6</v>
          </cell>
          <cell r="C17570" t="str">
            <v>-</v>
          </cell>
          <cell r="D17570" t="str">
            <v>UTI Quarterly Interval Fund - II - Direct Plan - Growth Option</v>
          </cell>
          <cell r="E17570">
            <v>30.6249</v>
          </cell>
        </row>
        <row r="17571">
          <cell r="B17571" t="str">
            <v>INF789F01WP0</v>
          </cell>
          <cell r="C17571" t="str">
            <v>INF789F01WQ8</v>
          </cell>
          <cell r="D17571" t="str">
            <v>UTI Quarterly Interval Fund - II - Direct Plan - IDCW</v>
          </cell>
          <cell r="E17571">
            <v>11.038600000000001</v>
          </cell>
        </row>
        <row r="17572">
          <cell r="B17572" t="str">
            <v>INF789F01GW9</v>
          </cell>
          <cell r="C17572" t="str">
            <v>-</v>
          </cell>
          <cell r="D17572" t="str">
            <v>UTI Quarterly Interval Fund - II - Regular Plan - Growth Option</v>
          </cell>
          <cell r="E17572">
            <v>29.937100000000001</v>
          </cell>
        </row>
        <row r="17573">
          <cell r="B17573" t="str">
            <v>INF789F01GU3</v>
          </cell>
          <cell r="C17573" t="str">
            <v>INF789F01GV1</v>
          </cell>
          <cell r="D17573" t="str">
            <v>UTI Quarterly Interval Fund - II - Regular Plan - IDCW</v>
          </cell>
          <cell r="E17573">
            <v>10.9879</v>
          </cell>
        </row>
        <row r="17574">
          <cell r="B17574" t="str">
            <v>INF789F01WU0</v>
          </cell>
          <cell r="C17574" t="str">
            <v>-</v>
          </cell>
          <cell r="D17574" t="str">
            <v>UTI Quarterly Interval Fund - III -Direct Plan - Growth Option</v>
          </cell>
          <cell r="E17574">
            <v>31.2226</v>
          </cell>
        </row>
        <row r="17575">
          <cell r="B17575" t="str">
            <v>INF789F01WS4</v>
          </cell>
          <cell r="C17575" t="str">
            <v>INF789F01WT2</v>
          </cell>
          <cell r="D17575" t="str">
            <v>UTI Quarterly Interval Fund - III -Direct Plan - IDCW</v>
          </cell>
          <cell r="E17575">
            <v>11.132199999999999</v>
          </cell>
        </row>
        <row r="17576">
          <cell r="B17576" t="str">
            <v>INF789F01HC9</v>
          </cell>
          <cell r="C17576" t="str">
            <v>-</v>
          </cell>
          <cell r="D17576" t="str">
            <v>UTI Quarterly Interval Fund - III -Regular Plan - Growth Option</v>
          </cell>
          <cell r="E17576">
            <v>30.4741</v>
          </cell>
        </row>
        <row r="17577">
          <cell r="B17577" t="str">
            <v>INF789F01HA3</v>
          </cell>
          <cell r="C17577" t="str">
            <v>INF789F01HB1</v>
          </cell>
          <cell r="D17577" t="str">
            <v>UTI Quarterly Interval Fund - III -Regular Plan - IDCW</v>
          </cell>
          <cell r="E17577">
            <v>11.061299999999999</v>
          </cell>
        </row>
        <row r="17578">
          <cell r="B17578" t="str">
            <v/>
          </cell>
          <cell r="C17578" t="str">
            <v/>
          </cell>
          <cell r="D17578" t="str">
            <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 Deepak"/>
      <sheetName val="Hold - Deepak"/>
      <sheetName val="Sold - Deepak"/>
      <sheetName val="IRR - Sold Stocks (Deepak)"/>
      <sheetName val="Dividend - Deepak"/>
      <sheetName val="Pivot - Neha"/>
      <sheetName val="Hold - Neha"/>
      <sheetName val="Sold - Neha"/>
      <sheetName val="IRR - Sold Stocks (Neha)"/>
      <sheetName val="Dividend - Neha"/>
      <sheetName val="Hold - Deepak ESPP"/>
      <sheetName val="Sold - Deepak ESPP"/>
      <sheetName val="ESPP"/>
    </sheetNames>
    <sheetDataSet>
      <sheetData sheetId="0" refreshError="1"/>
      <sheetData sheetId="1"/>
      <sheetData sheetId="2">
        <row r="331">
          <cell r="O331">
            <v>746035.89894500037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39">
  <rv s="0">
    <v>https://www.bing.com/financeapi/forcetrigger?t=ahgwsm&amp;q=XNSE%3aAPOLLOHOSP&amp;form=skydnc</v>
    <v>Learn more on Bing</v>
  </rv>
  <rv s="1">
    <v>en-US</v>
    <v>ahgwsm</v>
    <v>268435456</v>
    <v>1</v>
    <v>Powered by Refinitiv</v>
    <v>0</v>
    <v>APOLLO HOSPITALS ENTERPRISE LIMITED (XNSE:APOLLOHOSP)</v>
    <v>2</v>
    <v>3</v>
    <v>Finance</v>
    <v>4</v>
    <v>9009</v>
    <v>6696.5</v>
    <v>0.74229999999999996</v>
    <v>-76</v>
    <v>-8.5030000000000001E-3</v>
    <v>INR</v>
    <v>Apollo Hospitals Enterprise Limited is an integrated healthcare company. It is engaged in the business of providing hospital services and selling pharma and wellness products through a network of pharmacies, including the operation of multidisciplinary private hospitals, clinics, diagnostic centers and pharmacies. It is engaged in hospitals and hospitals-based services. The Company's segments include Healthcare Services, Retail Health and Diagnostics, Digital Health and Pharmacy Distribution, and Others. The Retail Health and Diagnostics segment include clinics, diagnostics, Spectra, Cradle, Sugar, Dental and Dialysis business. The Digital Health and Pharmacy Distribution segment is engaged in the business of procurement and distribution of pharmaceuticals, fast-moving consumer goods and private label products business from various services using the digital platform. The Company has approximately 10,100 plus beds across 73 hospitals and 6,600 plus pharmacies.</v>
    <v>42497</v>
    <v>National Stock Exchange of India</v>
    <v>XNSE</v>
    <v>XNSE</v>
    <v>"Ali Towers" Ill Floor, #55, Greams Road, CHENNAI, TAMIL NADU, 600006 IN</v>
    <v>8920</v>
    <v>Healthcare Providers &amp; Services</v>
    <v>Stock</v>
    <v>46226.47347222222</v>
    <v>0</v>
    <v>8800</v>
    <v>1285147000000</v>
    <v>APOLLO HOSPITALS ENTERPRISE LIMITED</v>
    <v>APOLLO HOSPITALS ENTERPRISE LIMITED</v>
    <v>8895</v>
    <v>65.620099999999994</v>
    <v>8938</v>
    <v>8862</v>
    <v>143784700</v>
    <v>APOLLOHOSP</v>
    <v>APOLLO HOSPITALS ENTERPRISE LIMITED (XNSE:APOLLOHOSP)</v>
    <v>148922</v>
    <v>333450</v>
    <v>1979</v>
  </rv>
  <rv s="2">
    <v>1</v>
  </rv>
  <rv s="0">
    <v>https://creativecommons.org/licenses/by-sa/4.0</v>
    <v>CC BY-SA 4.0</v>
  </rv>
  <rv s="0">
    <v>http://ja.wikipedia.org/wiki/バジャージ・オート</v>
    <v>Wikipedia</v>
  </rv>
  <rv s="3">
    <v>3</v>
    <v>4</v>
  </rv>
  <rv s="4">
    <v>9</v>
    <v>https://www.bing.com/th?id=AMMS_bf8c7b0a287214e88ed81aee6f721048&amp;qlt=95</v>
    <v>5</v>
    <v>0</v>
    <v>https://www.bing.com/images/search?form=xlimg&amp;q=bajaj+auto</v>
    <v>Image of BAJAJ AUTO LIMITED.</v>
  </rv>
  <rv s="0">
    <v>https://www.bing.com/financeapi/forcetrigger?t=ahh31h&amp;q=XNSE%3aBAJAJ-AUTO&amp;form=skydnc</v>
    <v>Learn more on Bing</v>
  </rv>
  <rv s="5">
    <v>en-US</v>
    <v>ahh31h</v>
    <v>268435456</v>
    <v>1</v>
    <v>Powered by Refinitiv</v>
    <v>5</v>
    <v>BAJAJ AUTO LIMITED. (XNSE:BAJAJ-AUTO)</v>
    <v>7</v>
    <v>8</v>
    <v>Finance</v>
    <v>4</v>
    <v>11331</v>
    <v>7858.5</v>
    <v>0.97299999999999998</v>
    <v>285</v>
    <v>2.5912999999999999E-2</v>
    <v>INR</v>
    <v>Bajaj Auto Limited is an India-based company which is engaged in the business of the development, manufacturing, and distribution of automobiles, such as motorcycles, commercial vehicles, electric vehicles, and parts. It is a manufacturer of two-wheelers, three-wheelers, and quadri-cycles. The Company sells its products in India as well as in various other global markets. Its segments include Automotive, Financing and Investment and others. The Automotive segment includes all activities related to the development, design, manufacture, assembly, and sale of two-wheelers/three-wheelers as well as the sale of related parts and accessories. Its products include Motorcycles, Chetak, 3 Wheelers &amp; Qute, KTM, and Triumph. Its motorcycles include Plusar, CT, Platina, Avenger, KTM, and Dominar. Its 3 Wheelers &amp; Qute include Gogo, RE, Maxima Z, Riki, Maxima X Wide, and Maxima C. Its subsidiaries include Bajaj Auto Credit Ltd., Chetak Technology Ltd., and others.</v>
    <v>5231</v>
    <v>National Stock Exchange of India</v>
    <v>XNSE</v>
    <v>XNSE</v>
    <v>Akurdi,, PUNE, MAHARASHTRA, 411035 IN</v>
    <v>11331</v>
    <v>6</v>
    <v>Automobiles &amp; Auto Parts</v>
    <v>Stock</v>
    <v>46226.473506944443</v>
    <v>7</v>
    <v>10967</v>
    <v>3074057000000</v>
    <v>BAJAJ AUTO LIMITED.</v>
    <v>BAJAJ AUTO LIMITED.</v>
    <v>10999.5</v>
    <v>26.8368</v>
    <v>10998.5</v>
    <v>11283.5</v>
    <v>279497800</v>
    <v>BAJAJ-AUTO</v>
    <v>BAJAJ AUTO LIMITED. (XNSE:BAJAJ-AUTO)</v>
    <v>1025555</v>
    <v>506250</v>
    <v>2007</v>
  </rv>
  <rv s="2">
    <v>8</v>
  </rv>
  <rv s="0">
    <v>https://www.bing.com/financeapi/forcetrigger?t=ahh4qh&amp;q=XNSE%3aBANKBEES&amp;form=skydnc</v>
    <v>Learn more on Bing</v>
  </rv>
  <rv s="6">
    <v>en-US</v>
    <v>ahh4qh</v>
    <v>268435456</v>
    <v>1</v>
    <v>Powered by Refinitiv</v>
    <v>10</v>
    <v>Nippon IN ETF Nifty Bank BeES (XNSE:BANKBEES)</v>
    <v>11</v>
    <v>12</v>
    <v>Finance</v>
    <v>4</v>
    <v>638.99</v>
    <v>515.98</v>
    <v>1.0199</v>
    <v>-5.52</v>
    <v>-9.3210000000000012E-3</v>
    <v>INR</v>
    <v>National Stock Exchange of India</v>
    <v>XNSE</v>
    <v>1.9E-3</v>
    <v>591.03</v>
    <v>ETF</v>
    <v>46226.522974537038</v>
    <v>10</v>
    <v>584.62</v>
    <v>83194188000</v>
    <v>Nippon IN ETF Nifty Bank BeES</v>
    <v>590.58000000000004</v>
    <v>592.24</v>
    <v>586.72</v>
    <v>BANKBEES</v>
    <v>Nippon IN ETF Nifty Bank BeES (XNSE:BANKBEES)</v>
    <v>729317</v>
  </rv>
  <rv s="2">
    <v>11</v>
  </rv>
  <rv s="0">
    <v>https://www.bing.com/financeapi/forcetrigger?t=ahh7a2&amp;q=XNSE%3aBHARTIARTL&amp;form=skydnc</v>
    <v>Learn more on Bing</v>
  </rv>
  <rv s="1">
    <v>en-US</v>
    <v>ahh7a2</v>
    <v>268435456</v>
    <v>1</v>
    <v>Powered by Refinitiv</v>
    <v>0</v>
    <v>BHARTI AIRTEL LIMITED (XNSE:BHARTIARTL)</v>
    <v>2</v>
    <v>3</v>
    <v>Finance</v>
    <v>4</v>
    <v>2174.5</v>
    <v>1740.5</v>
    <v>0.872</v>
    <v>-18</v>
    <v>-9.2359999999999994E-3</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705, comprising 99 HD channels, 36 SVOD services, four international channels and 4K channel. Its Airtel Business segment offers fixed-line voice (PRIs), data and other connectivity solutions, such as Multi-Protocol Label Switching, Voice over Internet Protocol, SIP trucking. Its South Asia segment represents its operation in Bangladesh.</v>
    <v>28730</v>
    <v>National Stock Exchange of India</v>
    <v>XNSE</v>
    <v>XNSE</v>
    <v>Bharti Crescent 1 Nelson Mandela Road, Vasant Kunj, Phase II, NEW DELHI, DELHI, 110070 IN</v>
    <v>1948.9</v>
    <v>Telecommunications Services</v>
    <v>Stock</v>
    <v>46226.523495370369</v>
    <v>13</v>
    <v>1925.8</v>
    <v>11872990000000</v>
    <v>BHARTI AIRTEL LIMITED</v>
    <v>BHARTI AIRTEL LIMITED</v>
    <v>1948</v>
    <v>42.026000000000003</v>
    <v>1949</v>
    <v>1931</v>
    <v>6092046000</v>
    <v>BHARTIARTL</v>
    <v>BHARTI AIRTEL LIMITED (XNSE:BHARTIARTL)</v>
    <v>5612121</v>
    <v>6560430</v>
    <v>1995</v>
  </rv>
  <rv s="2">
    <v>14</v>
  </rv>
  <rv s="0">
    <v>https://www.bing.com/financeapi/forcetrigger?t=ahherw&amp;q=XNSE%3aCOALINDIA&amp;form=skydnc</v>
    <v>Learn more on Bing</v>
  </rv>
  <rv s="1">
    <v>en-US</v>
    <v>ahherw</v>
    <v>268435456</v>
    <v>1</v>
    <v>Powered by Refinitiv</v>
    <v>0</v>
    <v>COAL INDIA LTD (XNSE:COALINDIA)</v>
    <v>2</v>
    <v>3</v>
    <v>Finance</v>
    <v>4</v>
    <v>491.25</v>
    <v>368.65</v>
    <v>0.64600000000000002</v>
    <v>-1.35</v>
    <v>-3.1509999999999997E-3</v>
    <v>INR</v>
    <v>Coal India Limited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Its consumers include power and steel sectors, cement, fertilizers, brick kilns and others. The Company has approximately 21 training institutes and 76 vocational training centers.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BHAWAN,PREMISES NO-04-MAR, PLOT-AF-III ACTION AREA-1A, NEW TOWN RAJARHAT, WEST BENGAL, 700156 IN</v>
    <v>430.5</v>
    <v>Coal</v>
    <v>Stock</v>
    <v>46226.47351851852</v>
    <v>16</v>
    <v>424.5</v>
    <v>2640113000000</v>
    <v>COAL INDIA LTD</v>
    <v>COAL INDIA LTD</v>
    <v>428.85</v>
    <v>8.49</v>
    <v>428.4</v>
    <v>427.05</v>
    <v>6162729000</v>
    <v>COALINDIA</v>
    <v>COAL INDIA LTD (XNSE:COALINDIA)</v>
    <v>6064005</v>
    <v>4947260</v>
    <v>1973</v>
  </rv>
  <rv s="2">
    <v>17</v>
  </rv>
  <rv s="0">
    <v>https://www.bing.com/financeapi/forcetrigger?t=ahhg3m&amp;q=XNSE%3aCPSEETF&amp;form=skydnc</v>
    <v>Learn more on Bing</v>
  </rv>
  <rv s="6">
    <v>en-US</v>
    <v>ahhg3m</v>
    <v>268435456</v>
    <v>1</v>
    <v>Powered by Refinitiv</v>
    <v>10</v>
    <v>CPSE ETF (XNSE:CPSEETF)</v>
    <v>11</v>
    <v>12</v>
    <v>Finance</v>
    <v>4</v>
    <v>112</v>
    <v>85.67</v>
    <v>0.99860000000000004</v>
    <v>-0.01</v>
    <v>-1.033E-4</v>
    <v>INR</v>
    <v>National Stock Exchange of India</v>
    <v>XNSE</v>
    <v>5.9999999999999995E-4</v>
    <v>98.7</v>
    <v>ETF</v>
    <v>46226.522974537038</v>
    <v>19</v>
    <v>95</v>
    <v>199950514000</v>
    <v>CPSE ETF</v>
    <v>98.7</v>
    <v>96.76</v>
    <v>96.75</v>
    <v>CPSEETF</v>
    <v>CPSE ETF (XNSE:CPSEETF)</v>
    <v>459385</v>
  </rv>
  <rv s="2">
    <v>20</v>
  </rv>
  <rv s="0">
    <v>https://www.bing.com/financeapi/forcetrigger?t=ahhxpr&amp;q=XNSE%3aGOLDBEES&amp;form=skydnc</v>
    <v>Learn more on Bing</v>
  </rv>
  <rv s="6">
    <v>en-US</v>
    <v>ahhxpr</v>
    <v>268435456</v>
    <v>1</v>
    <v>Powered by Refinitiv</v>
    <v>10</v>
    <v>Nippon India ETF Gold BeES (XNSE:GOLDBEES)</v>
    <v>11</v>
    <v>12</v>
    <v>Finance</v>
    <v>4</v>
    <v>148.13999999999999</v>
    <v>79.67</v>
    <v>0.80259999999999998</v>
    <v>-0.45</v>
    <v>-3.777E-3</v>
    <v>INR</v>
    <v>National Stock Exchange of India</v>
    <v>XNSE</v>
    <v>8.0000000000000002E-3</v>
    <v>119.79</v>
    <v>ETF</v>
    <v>46226.522974537038</v>
    <v>22</v>
    <v>118.54</v>
    <v>527170134000</v>
    <v>Nippon India ETF Gold BeES</v>
    <v>119.48</v>
    <v>119.14</v>
    <v>118.69</v>
    <v>GOLDBEES</v>
    <v>Nippon India ETF Gold BeES (XNSE:GOLDBEES)</v>
    <v>13642771</v>
  </rv>
  <rv s="2">
    <v>23</v>
  </rv>
  <rv s="0">
    <v>https://www.bing.com/financeapi/forcetrigger?t=ahi3dm&amp;q=XNSE%3aHCLTECH&amp;form=skydnc</v>
    <v>Learn more on Bing</v>
  </rv>
  <rv s="1">
    <v>en-US</v>
    <v>ahi3dm</v>
    <v>268435456</v>
    <v>1</v>
    <v>Powered by Refinitiv</v>
    <v>0</v>
    <v>HCL TECHNOLOGIES LIMITED (XNSE:HCLTECH)</v>
    <v>2</v>
    <v>3</v>
    <v>Finance</v>
    <v>4</v>
    <v>1780.1</v>
    <v>1030</v>
    <v>0.76819999999999999</v>
    <v>7.4</v>
    <v>5.9809999999999993E-3</v>
    <v>INR</v>
    <v>HCL Technologies Limited is an India-based global technology company, delivering capabilities centered around artificial intelligence (AI), digital, engineering, cloud and software, powered by a broad portfolio of technology services and products. The Company’s segments include IT and Business Services, Engineering and R&amp;D services, and HCL Software. The IT and Business Services segment includes Digital Business Services (DBS), Digital Foundation Services (DFS), Digital Process Operations (DPO) and HCLTech Career Shaper. The Engineering and R&amp;D services segment offerings comprise product engineering, digital engineering, among others, comprehensively covering the entire engineering spectrum. The HCL Software segment is an enterprise software business, helping the Digital+ Economy. Its offerings include total experience, business applications and industry, data and analytics, intelligent operations, security and compliance, specialized software and sovereign collaboration.</v>
    <v>227181</v>
    <v>National Stock Exchange of India</v>
    <v>XNSE</v>
    <v>XNSE</v>
    <v>Technology Hub, SEZ, Plot No. 3A, Sector 126, NOIDA, UTTAR PRADESH, 201304 IN</v>
    <v>1248.8</v>
    <v>Software &amp; IT Services</v>
    <v>Stock</v>
    <v>46226.473483796297</v>
    <v>25</v>
    <v>1228.8</v>
    <v>3347845000000</v>
    <v>HCL TECHNOLOGIES LIMITED</v>
    <v>HCL TECHNOLOGIES LIMITED</v>
    <v>1236</v>
    <v>19.3384</v>
    <v>1237.3</v>
    <v>1244.7</v>
    <v>2705767000</v>
    <v>HCLTECH</v>
    <v>HCL TECHNOLOGIES LIMITED (XNSE:HCLTECH)</v>
    <v>1878476</v>
    <v>4958140</v>
    <v>1991</v>
  </rv>
  <rv s="2">
    <v>26</v>
  </rv>
  <rv s="0">
    <v>https://www.bing.com/financeapi/forcetrigger?t=ahi3jc&amp;q=XNSE%3aHDFCBANK&amp;form=skydnc</v>
    <v>Learn more on Bing</v>
  </rv>
  <rv s="1">
    <v>en-US</v>
    <v>ahi3jc</v>
    <v>268435456</v>
    <v>1</v>
    <v>Powered by Refinitiv</v>
    <v>0</v>
    <v>HDFC BANK LIMITED (XNSE:HDFCBANK)</v>
    <v>2</v>
    <v>3</v>
    <v>Finance</v>
    <v>4</v>
    <v>1020.5</v>
    <v>726.65</v>
    <v>1.0094000000000001</v>
    <v>-5.9</v>
    <v>-7.8340000000000007E-3</v>
    <v>INR</v>
    <v>HDFC Bank Limited (the Bank) is an India-based banking company. The Bank, along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211178</v>
    <v>National Stock Exchange of India</v>
    <v>XNSE</v>
    <v>XNSE</v>
    <v>'Hdfc Bank House', Senapati Bapat Road, Lower Parel (West), Mumbai India, MUMBAI, MAHARASHTRA, 400013 IN</v>
    <v>751</v>
    <v>Banking Services</v>
    <v>Stock</v>
    <v>46226.47347222222</v>
    <v>28</v>
    <v>743.25</v>
    <v>11599420000000</v>
    <v>HDFC BANK LIMITED</v>
    <v>HDFC BANK LIMITED</v>
    <v>749.4</v>
    <v>14.66</v>
    <v>753.15</v>
    <v>747.25</v>
    <v>15401210000</v>
    <v>HDFCBANK</v>
    <v>HDFC BANK LIMITED (XNSE:HDFCBANK)</v>
    <v>32532090</v>
    <v>29013020</v>
    <v>1994</v>
  </rv>
  <rv s="2">
    <v>29</v>
  </rv>
  <rv s="0">
    <v>https://www.bing.com/financeapi/forcetrigger?t=ahi65r&amp;q=XNSE%3aHINDZINC&amp;form=skydnc</v>
    <v>Learn more on Bing</v>
  </rv>
  <rv s="1">
    <v>en-US</v>
    <v>ahi65r</v>
    <v>268435456</v>
    <v>1</v>
    <v>Powered by Refinitiv</v>
    <v>0</v>
    <v>HINDUSTAN ZINC LIMITED (XNSE:HINDZINC)</v>
    <v>2</v>
    <v>3</v>
    <v>Finance</v>
    <v>4</v>
    <v>733</v>
    <v>413.5</v>
    <v>0.7036</v>
    <v>-4.25</v>
    <v>-7.9379999999999989E-3</v>
    <v>INR</v>
    <v>Hindustan Zinc Limited is an India-based energy transition metals company. The Company is engaged in exploring, extracting and processing of minerals and manufacturing of metals and alloys. Its segments include Zinc, Lead and Silver, and Wind Energy. Its operations include five zinc-lead mines, four zinc smelters, one lead smelter, one zinc-lead smelter, eight sulfuric acid plants, one silver refinery plant, six captive thermal power plants and four captive solar plants in the state of Rajasthan. It also has a rock-phosphate mine in Matoon, near Udaipur in Rajasthan and zinc, lead, silver processing and refining facilities in the state of Uttarakhand. It also has wind power plants in the states of Rajasthan, Gujarat, Karnataka, Tamil Nadu and Maharashtra and solar power plants in the state of Rajasthan. It has expanded its critical minerals portfolio with two mineral blocks - one for potash and halite and the other for rare earth elements. Its EcoZen is a low carbon green zinc brand.</v>
    <v>3303</v>
    <v>National Stock Exchange of India</v>
    <v>XNSE</v>
    <v>XNSE</v>
    <v>YASHAD BHAWAN YASHADGARH, RAJASTHAN, 313004 IN</v>
    <v>541.29999999999995</v>
    <v>Metals &amp; Mining</v>
    <v>Stock</v>
    <v>46226.47347222222</v>
    <v>31</v>
    <v>530.1</v>
    <v>2262236000000</v>
    <v>HINDUSTAN ZINC LIMITED</v>
    <v>HINDUSTAN ZINC LIMITED</v>
    <v>535.85</v>
    <v>16.37</v>
    <v>535.4</v>
    <v>531.15</v>
    <v>4225319000</v>
    <v>HINDZINC</v>
    <v>HINDUSTAN ZINC LIMITED (XNSE:HINDZINC)</v>
    <v>2075073</v>
    <v>2628480</v>
    <v>1966</v>
  </rv>
  <rv s="2">
    <v>32</v>
  </rv>
  <rv s="0">
    <v>http://en.wikipedia.org/wiki/Public_domain</v>
    <v>Public domain</v>
  </rv>
  <rv s="0">
    <v>http://zh.wikipedia.org/wiki/ICICI银行</v>
    <v>Wikipedia</v>
  </rv>
  <rv s="3">
    <v>34</v>
    <v>35</v>
  </rv>
  <rv s="4">
    <v>9</v>
    <v>https://www.bing.com/th?id=AMMS_7a55564cbcf9b185c2bd50f7f3a85b23&amp;qlt=95</v>
    <v>36</v>
    <v>0</v>
    <v>https://www.bing.com/images/search?form=xlimg&amp;q=icici+bank</v>
    <v>Image of ICICI BANK LIMITED</v>
  </rv>
  <rv s="0">
    <v>https://www.bing.com/financeapi/forcetrigger?t=ahi877&amp;q=XNSE%3aICICIBANK&amp;form=skydnc</v>
    <v>Learn more on Bing</v>
  </rv>
  <rv s="5">
    <v>en-US</v>
    <v>ahi877</v>
    <v>268435456</v>
    <v>1</v>
    <v>Powered by Refinitiv</v>
    <v>5</v>
    <v>ICICI BANK LIMITED (XNSE:ICICIBANK)</v>
    <v>7</v>
    <v>8</v>
    <v>Finance</v>
    <v>4</v>
    <v>1500</v>
    <v>1187.5999999999999</v>
    <v>0.94189999999999996</v>
    <v>-6.1</v>
    <v>-4.2339999999999999E-3</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124029</v>
    <v>National Stock Exchange of India</v>
    <v>XNSE</v>
    <v>XNSE</v>
    <v>ICICI Bank Towers, Bandra-Kurla Complex, MUMBAI, MAHARASHTRA, 400051 IN</v>
    <v>1446</v>
    <v>37</v>
    <v>Banking Services</v>
    <v>Stock</v>
    <v>46226.473483796297</v>
    <v>38</v>
    <v>1426.6</v>
    <v>10336350000000</v>
    <v>ICICI BANK LIMITED</v>
    <v>ICICI BANK LIMITED</v>
    <v>1432.5</v>
    <v>18.296900000000001</v>
    <v>1440.7</v>
    <v>1434.6</v>
    <v>7174531000</v>
    <v>ICICIBANK</v>
    <v>ICICI BANK LIMITED (XNSE:ICICIBANK)</v>
    <v>12409328</v>
    <v>12990190</v>
    <v>1994</v>
  </rv>
  <rv s="2">
    <v>39</v>
  </rv>
  <rv s="7">
    <v>en-US</v>
    <v>camq9c</v>
    <v>268435456</v>
    <v>1</v>
    <v>Powered by Refinitiv</v>
    <v>13</v>
    <v>JIO FINANCIAL SERVICES LIMITED (XNSE:JIOFIN)</v>
    <v>14</v>
    <v>3</v>
    <v>Finance</v>
    <v>4</v>
    <v>338.6</v>
    <v>223.3</v>
    <v>1.4</v>
    <v>-1.64</v>
    <v>-6.9849999999999999E-3</v>
    <v>INR</v>
    <v>Jio Financial Services Ltd. is an India-based core investment company. The Company provides full-stack financial services to customers, enabling them to borrow, transact, save and invest. The Company operates its financial services business through consumer-facing entities. Through Jio Finance Limited (JFL) and Jio Leasing Services Limited (JLSL), it aims to meet the financing needs of customers and merchants by offering digital lending and operating lease solutions. Through its insurance broking arm - Jio Insurance Broking Limited (JIBL) - it offers a comprehensive range of insurance products, including general, life, health, auto, home, and insurance on consumer durable products. Its transacting solutions, through Jio Payment Solutions Limited and Jio Payments Bank Limited (JPBL), include checking accounts, debit and credit cards and payment solutions. It has a joint venture with BlackRock (asset manager) to offer asset management, wealth management and broking services in India.</v>
    <v>1000</v>
    <v>National Stock Exchange of India</v>
    <v>XNSE</v>
    <v>XNSE</v>
    <v>1ST FLOOR, BUILDING 4NA, MAKER MAXITY,BANDRA KURLA COMPLEX,, BANDRA(EAST), MUMBAI,, MAHARASHTRA, 400051 IN</v>
    <v>235.78</v>
    <v>Banking Services</v>
    <v>Stock</v>
    <v>46226.47351851852</v>
    <v>232.35</v>
    <v>1550418000000</v>
    <v>JIO FINANCIAL SERVICES LIMITED</v>
    <v>JIO FINANCIAL SERVICES LIMITED</v>
    <v>234</v>
    <v>72.92</v>
    <v>234.8</v>
    <v>233.16</v>
    <v>6603142000</v>
    <v>JIOFIN</v>
    <v>JIO FINANCIAL SERVICES LIMITED (XNSE:JIOFIN)</v>
    <v>9274393</v>
    <v>23243300</v>
    <v>1999</v>
  </rv>
  <rv s="2">
    <v>41</v>
  </rv>
  <rv s="0">
    <v>https://www.bing.com/financeapi/forcetrigger?t=ahirxm&amp;q=XNSE%3aLT&amp;form=skydnc</v>
    <v>Learn more on Bing</v>
  </rv>
  <rv s="1">
    <v>en-US</v>
    <v>ahirxm</v>
    <v>268435456</v>
    <v>1</v>
    <v>Powered by Refinitiv</v>
    <v>0</v>
    <v>LARSEN AND TOUBRO LIMITED (XNSE:LT)</v>
    <v>2</v>
    <v>3</v>
    <v>Finance</v>
    <v>4</v>
    <v>4440</v>
    <v>3288.1</v>
    <v>1.1329</v>
    <v>-25</v>
    <v>-6.5490000000000001E-3</v>
    <v>INR</v>
    <v>Larsen and Toubro Limited is a multinational company which is engaged in engineering, procurement, and construction (EPC) projects, and hi-tech manufacturing. The Company’s segments include Infrastructure Projects, Energy Projects, Hi-Tech Manufacturing, IT &amp; Technology Services, Financial Services, Development Projects, and Others. Energy Projects segment comprises Hydrocarbon Onshore and Offshore businesses covering EPC solutions in oil &amp; gas, refineries, petrochemicals &amp; offshore wind energy sectors, procurement, construction, installation and commissioning; CarbonLite Solutions business covering BTG scope for power generation plants including associated systems and/or carbon capture utilization &amp; utility packages, and EPC solutions in clean energy space. IT &amp; Technology Services segment comprises information technology and integrated engineering services (including smart world and communication projects), e-commerce/digital platforms &amp; data centers, and semiconductor chip design.</v>
    <v>55662</v>
    <v>National Stock Exchange of India</v>
    <v>XNSE</v>
    <v>XNSE</v>
    <v>L&amp;T House, Ballard Estate, P. O. Box: 278, MUMBAI, MAHARASHTRA, 400001 IN</v>
    <v>3827.6</v>
    <v>Construction &amp; Engineering</v>
    <v>Stock</v>
    <v>46226.473495370374</v>
    <v>43</v>
    <v>3777.7</v>
    <v>5251709000000</v>
    <v>LARSEN AND TOUBRO LIMITED</v>
    <v>LARSEN AND TOUBRO LIMITED</v>
    <v>3800</v>
    <v>32.65</v>
    <v>3817.4</v>
    <v>3792.4</v>
    <v>1375729000</v>
    <v>LT</v>
    <v>LARSEN AND TOUBRO LIMITED (XNSE:LT)</v>
    <v>1278355</v>
    <v>2303910</v>
    <v>1946</v>
  </rv>
  <rv s="2">
    <v>44</v>
  </rv>
  <rv s="0">
    <v>https://www.bing.com/financeapi/forcetrigger?t=ahizgh&amp;q=XNSE%3aM%26M&amp;form=skydnc</v>
    <v>Learn more on Bing</v>
  </rv>
  <rv s="1">
    <v>en-US</v>
    <v>ahizgh</v>
    <v>268435456</v>
    <v>1</v>
    <v>Powered by Refinitiv</v>
    <v>0</v>
    <v>MAHINDRA AND MAHINDRA LIMITED (XNSE:M&amp;M)</v>
    <v>2</v>
    <v>3</v>
    <v>Finance</v>
    <v>4</v>
    <v>3839.9</v>
    <v>2896</v>
    <v>0.95030000000000003</v>
    <v>54.4</v>
    <v>1.7132000000000001E-2</v>
    <v>INR</v>
    <v>Mahindra and Mahindra Ltd is an India-based automotive and farm equipment company. The Company provides mobility products and farm solutions. Its segments include Automotive, Farm Equipment, Auto Investments, Farm Investments, Financial Services, and Industrial Businesses and Consumer Services. The Automotive segment comprises the sale of automobiles, two-wheelers, spares, construction equipment and related services. The Farm Equipment segment consists of the sale of tractors, implements, spares, powerol, and related services. Industrial Businesses and Consumer Services segment comprises all other segments like IT services, real estate, hospitality, logistics, steel trading and processing, renewables, after-market, defense, and agri. Financial Services segment comprises offering financial products ranging from retail and other loans, small and medium-sized enterprise finance, housing finance, mutual funds, and life and non-life insurance broking services.</v>
    <v>26765</v>
    <v>National Stock Exchange of India</v>
    <v>XNSE</v>
    <v>XNSE</v>
    <v>Gateway Building, Apollo Bunder, MUMBAI, MAHARASHTRA, 400001 IN</v>
    <v>3250</v>
    <v>Automobiles &amp; Auto Parts</v>
    <v>Stock</v>
    <v>46226.47347222222</v>
    <v>46</v>
    <v>3156</v>
    <v>3812781000000</v>
    <v>MAHINDRA AND MAHINDRA LIMITED</v>
    <v>MAHINDRA AND MAHINDRA LIMITED</v>
    <v>3156</v>
    <v>20.74</v>
    <v>3175.3</v>
    <v>3229.7</v>
    <v>1200762000</v>
    <v>M&amp;M</v>
    <v>MAHINDRA AND MAHINDRA LIMITED (XNSE:M&amp;M)</v>
    <v>2705691</v>
    <v>2019720</v>
    <v>1945</v>
  </rv>
  <rv s="2">
    <v>47</v>
  </rv>
  <rv s="0">
    <v>https://www.bing.com/financeapi/forcetrigger?t=ahiwa2&amp;q=XNSE%3aMARUTI&amp;form=skydnc</v>
    <v>Learn more on Bing</v>
  </rv>
  <rv s="1">
    <v>en-US</v>
    <v>ahiwa2</v>
    <v>268435456</v>
    <v>1</v>
    <v>Powered by Refinitiv</v>
    <v>0</v>
    <v>MARUTI SUZUKI INDIA LIMITED (XNSE:MARUTI)</v>
    <v>2</v>
    <v>3</v>
    <v>Finance</v>
    <v>4</v>
    <v>17370</v>
    <v>12201</v>
    <v>0.54300000000000004</v>
    <v>-142</v>
    <v>-1.0484E-2</v>
    <v>INR</v>
    <v>Maruti Suzuki India Limited is engaged in the manufacturing, purchasing and sale of motor vehicles, components, and spare parts. The other activities of the Company comprise facilitation of pre-owned car sales, fleet management. and car financing. The Company is focused on the business of manufacturing and sale of passenger and commercial vehicles. The Company's vehicles are offered through three channels: NEXA, Arena, and Commercial. It also sells aftermarket parts and accessories under the brand name of Maruti Suzuki Genuine Parts, and Maruti Suzuki Genuine Accessories. Its portfolio of Nexa products includes XL6, e VITARA, Ciaz, Baleno, Brezza, Ignis, Grand Vitara, FRONX, Jimny, and Invicto. Its portfolio of Arena products includes Alto K10, Brezza, Celerio, WagonR, Swift, Dzire, S-Presso, Eeco, Dezire, and Ertiga. Its portfolio of Commercial products includes Super Carry and Eeco Cargo. Its service offerings include Maruti Suzuki Smart Finance, Maruti Suzuki Leasing, and more.</v>
    <v>20171</v>
    <v>National Stock Exchange of India</v>
    <v>XNSE</v>
    <v>XNSE</v>
    <v>1, Nelson Mandela Road,, Vasant Kunj,, NEW DELHI, DELHI, 110070 IN</v>
    <v>13568</v>
    <v>Automobiles &amp; Auto Parts</v>
    <v>Stock</v>
    <v>46226.473495370374</v>
    <v>49</v>
    <v>13372</v>
    <v>4258583000000</v>
    <v>MARUTI SUZUKI INDIA LIMITED</v>
    <v>MARUTI SUZUKI INDIA LIMITED</v>
    <v>13541</v>
    <v>29.01</v>
    <v>13545</v>
    <v>13403</v>
    <v>314402600</v>
    <v>MARUTI</v>
    <v>MARUTI SUZUKI INDIA LIMITED (XNSE:MARUTI)</v>
    <v>327912</v>
    <v>404270</v>
    <v>1981</v>
  </rv>
  <rv s="2">
    <v>50</v>
  </rv>
  <rv s="0">
    <v>https://www.bing.com/financeapi/forcetrigger?t=c24ppr&amp;q=XNSE%3aMAFANG&amp;form=skydnc</v>
    <v>Learn more on Bing</v>
  </rv>
  <rv s="6">
    <v>en-US</v>
    <v>c24ppr</v>
    <v>268435456</v>
    <v>1</v>
    <v>Powered by Refinitiv</v>
    <v>10</v>
    <v>Mirae Asset NYSE FANG+ ETF (XNSE:MAFANG)</v>
    <v>11</v>
    <v>12</v>
    <v>Finance</v>
    <v>4</v>
    <v>208.38</v>
    <v>147.44</v>
    <v>1.4016</v>
    <v>1.5</v>
    <v>7.6429999999999996E-3</v>
    <v>INR</v>
    <v>National Stock Exchange of India</v>
    <v>XNSE</v>
    <v>1.1599999999999999E-2</v>
    <v>197.77</v>
    <v>ETF</v>
    <v>46226.522974537038</v>
    <v>52</v>
    <v>197.59</v>
    <v>38818856000</v>
    <v>Mirae Asset NYSE FANG+ ETF</v>
    <v>197.77</v>
    <v>196.27</v>
    <v>197.77</v>
    <v>MAFANG</v>
    <v>Mirae Asset NYSE FANG+ ETF (XNSE:MAFANG)</v>
    <v>225072</v>
  </rv>
  <rv s="2">
    <v>53</v>
  </rv>
  <rv s="0">
    <v>https://www.bing.com/financeapi/forcetrigger?t=ahij52&amp;q=XNSE%3aJUNIORBEES&amp;form=skydnc</v>
    <v>Learn more on Bing</v>
  </rv>
  <rv s="6">
    <v>en-US</v>
    <v>ahij52</v>
    <v>268435456</v>
    <v>1</v>
    <v>Powered by Refinitiv</v>
    <v>10</v>
    <v>NipponETFNifty Next 50 Jr BeES (XNSE:JUNIORBEES)</v>
    <v>11</v>
    <v>12</v>
    <v>Finance</v>
    <v>4</v>
    <v>798.07</v>
    <v>632.34</v>
    <v>1.2833000000000001</v>
    <v>-3.37</v>
    <v>-4.3230000000000005E-3</v>
    <v>INR</v>
    <v>National Stock Exchange of India</v>
    <v>XNSE</v>
    <v>1.7000000000000001E-3</v>
    <v>784.24</v>
    <v>ETF</v>
    <v>46226.522974537038</v>
    <v>55</v>
    <v>774.39</v>
    <v>82970374000</v>
    <v>NipponETFNifty Next 50 Jr BeES</v>
    <v>783</v>
    <v>779.61</v>
    <v>776.24</v>
    <v>JUNIORBEES</v>
    <v>NipponETFNifty Next 50 Jr BeES (XNSE:JUNIORBEES)</v>
    <v>447617</v>
  </rv>
  <rv s="2">
    <v>56</v>
  </rv>
  <rv s="0">
    <v>https://www.bing.com/financeapi/forcetrigger?t=bv1g2w&amp;q=XNSE%3aITBEES&amp;form=skydnc</v>
    <v>Learn more on Bing</v>
  </rv>
  <rv s="6">
    <v>en-US</v>
    <v>bv1g2w</v>
    <v>268435456</v>
    <v>1</v>
    <v>Powered by Refinitiv</v>
    <v>10</v>
    <v>Nippon India ETF Nifty IT (XNSE:ITBEES)</v>
    <v>11</v>
    <v>12</v>
    <v>Finance</v>
    <v>4</v>
    <v>44.27</v>
    <v>28.55</v>
    <v>1.0544</v>
    <v>0.03</v>
    <v>9.4609999999999996E-4</v>
    <v>INR</v>
    <v>National Stock Exchange of India</v>
    <v>XNSE</v>
    <v>2.2000000000000001E-3</v>
    <v>31.98</v>
    <v>ETF</v>
    <v>46226.522974537038</v>
    <v>58</v>
    <v>31.44</v>
    <v>35326518000</v>
    <v>Nippon India ETF Nifty IT</v>
    <v>31.98</v>
    <v>31.71</v>
    <v>31.74</v>
    <v>ITBEES</v>
    <v>Nippon India ETF Nifty IT (XNSE:ITBEES)</v>
    <v>9135288</v>
  </rv>
  <rv s="2">
    <v>59</v>
  </rv>
  <rv s="0">
    <v>https://www.bing.com/financeapi/forcetrigger?t=c2p28m&amp;q=XNSE%3aPHARMABEES&amp;form=skydnc</v>
    <v>Learn more on Bing</v>
  </rv>
  <rv s="6">
    <v>en-US</v>
    <v>c2p28m</v>
    <v>268435456</v>
    <v>1</v>
    <v>Powered by Refinitiv</v>
    <v>10</v>
    <v>Nippon India Nifty Pharma ETF (XNSE:PHARMABEES)</v>
    <v>11</v>
    <v>12</v>
    <v>Finance</v>
    <v>4</v>
    <v>27.25</v>
    <v>21.46</v>
    <v>0.95030000000000003</v>
    <v>-0.19</v>
    <v>-7.1669999999999998E-3</v>
    <v>INR</v>
    <v>National Stock Exchange of India</v>
    <v>XNSE</v>
    <v>2.0999999999999999E-3</v>
    <v>26.84</v>
    <v>ETF</v>
    <v>46226.522974537038</v>
    <v>61</v>
    <v>25.83</v>
    <v>16223073000</v>
    <v>Nippon India Nifty Pharma ETF</v>
    <v>25.84</v>
    <v>26.51</v>
    <v>26.32</v>
    <v>PHARMABEES</v>
    <v>Nippon India Nifty Pharma ETF (XNSE:PHARMABEES)</v>
    <v>8950859</v>
  </rv>
  <rv s="2">
    <v>62</v>
  </rv>
  <rv s="0">
    <v>https://www.bing.com/financeapi/forcetrigger?t=c53tpr&amp;q=XNSE%3aSILVERBEES&amp;form=skydnc</v>
    <v>Learn more on Bing</v>
  </rv>
  <rv s="6">
    <v>en-US</v>
    <v>c53tpr</v>
    <v>268435456</v>
    <v>1</v>
    <v>Powered by Refinitiv</v>
    <v>10</v>
    <v>Nippon India Silver ETF (XNSE:SILVERBEES)</v>
    <v>11</v>
    <v>12</v>
    <v>Finance</v>
    <v>4</v>
    <v>360</v>
    <v>105.42</v>
    <v>1.1331</v>
    <v>-2.0699999999999998</v>
    <v>-9.7149999999999997E-3</v>
    <v>INR</v>
    <v>National Stock Exchange of India</v>
    <v>XNSE</v>
    <v>5.5000000000000005E-3</v>
    <v>214.6</v>
    <v>ETF</v>
    <v>46226.522986111115</v>
    <v>64</v>
    <v>209.78</v>
    <v>300116452000</v>
    <v>Nippon India Silver ETF</v>
    <v>214.6</v>
    <v>213.07</v>
    <v>211</v>
    <v>SILVERBEES</v>
    <v>Nippon India Silver ETF (XNSE:SILVERBEES)</v>
    <v>20431638</v>
  </rv>
  <rv s="2">
    <v>65</v>
  </rv>
  <rv s="0">
    <v>https://www.bing.com/financeapi/forcetrigger?t=ahj8rw&amp;q=XNSE%3aNTPC&amp;form=skydnc</v>
    <v>Learn more on Bing</v>
  </rv>
  <rv s="1">
    <v>en-US</v>
    <v>ahj8rw</v>
    <v>268435456</v>
    <v>1</v>
    <v>Powered by Refinitiv</v>
    <v>0</v>
    <v>NTPC LIMITED (XNSE:NTPC)</v>
    <v>2</v>
    <v>3</v>
    <v>Finance</v>
    <v>4</v>
    <v>414.4</v>
    <v>315.55</v>
    <v>0.79990000000000006</v>
    <v>-1.9</v>
    <v>-5.4210000000000005E-3</v>
    <v>INR</v>
    <v>NTPC Limited is an India-based power generating company. The Company is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and gas exploration, and coal mining. The Company operates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National Stock Exchange of India</v>
    <v>XNSE</v>
    <v>XNSE</v>
    <v>NTPC Bhawan, SCOPE Complex, Institutional Area, Lodhi Road, NEW DELHI, DELHI, 110003 IN</v>
    <v>350.7</v>
    <v>Electrical Utilities &amp; IPPs</v>
    <v>Stock</v>
    <v>46226.473495370374</v>
    <v>67</v>
    <v>347.1</v>
    <v>3398682000000</v>
    <v>NTPC LIMITED</v>
    <v>NTPC LIMITED</v>
    <v>348.55</v>
    <v>12.56</v>
    <v>350.5</v>
    <v>348.6</v>
    <v>9696666000</v>
    <v>NTPC</v>
    <v>NTPC LIMITED (XNSE:NTPC)</v>
    <v>6863144</v>
    <v>10703160</v>
    <v>1975</v>
  </rv>
  <rv s="2">
    <v>68</v>
  </rv>
  <rv s="0">
    <v>https://www.bing.com/financeapi/forcetrigger?t=ahj9zr&amp;q=XNSE%3aONGC&amp;form=skydnc</v>
    <v>Learn more on Bing</v>
  </rv>
  <rv s="1">
    <v>en-US</v>
    <v>ahj9zr</v>
    <v>268435456</v>
    <v>1</v>
    <v>Powered by Refinitiv</v>
    <v>0</v>
    <v>OIL AND NATURAL GAS CORPORATION LIMITED (XNSE:ONGC)</v>
    <v>2</v>
    <v>3</v>
    <v>Finance</v>
    <v>4</v>
    <v>307.5</v>
    <v>227.65</v>
    <v>0.56599999999999995</v>
    <v>0.47</v>
    <v>1.8659999999999998E-3</v>
    <v>INR</v>
    <v>Oil and Natural Gas Corporation Limited is an India-based integrated oil and gas company. The Company is engaged in exploration, development and production of crude oil, natural gas and value-added products in India and acquisition of oil and gas acreages outside India for exploration, development and production, downstream (Refining and marketing of petroleum products), Petrochemicals, Power Generation, liquefied natural gas (LNG) supply, Pipeline Transportation, special economic zone (SEZ) development, Helicopter services, Manufacturing of Ethanol and Sugar, Green and Renewable energy business. Its segments include Exploration and Production, Refining &amp; Marketing, and Petrochemicals. Its geographical segments consist of India, which includes offshore and onshore, and Outside India. Its subsidiaries include ONGC Videsh Limited, ONGC Green Limited, Mangalore Refinery and Petrochemicals Limited, Hindustan Petroleum Corporation Limited, HPCL Biofuels Limited, and among others.</v>
    <v>25319</v>
    <v>National Stock Exchange of India</v>
    <v>XNSE</v>
    <v>XNSE</v>
    <v>Deendayal Urja Bhawan, 5A, Nelson Mandela Marg, Vasant Kunj, NEW DELHI, DELHI, 110070 IN</v>
    <v>254.2</v>
    <v>Oil &amp; Gas</v>
    <v>Stock</v>
    <v>46226.473483796297</v>
    <v>70</v>
    <v>252.01</v>
    <v>3168972000000</v>
    <v>OIL AND NATURAL GAS CORPORATION LIMITED</v>
    <v>OIL AND NATURAL GAS CORPORATION LIMITED</v>
    <v>253.94</v>
    <v>7.65</v>
    <v>251.9</v>
    <v>252.37</v>
    <v>12580280000</v>
    <v>ONGC</v>
    <v>OIL AND NATURAL GAS CORPORATION LIMITED (XNSE:ONGC)</v>
    <v>9104521</v>
    <v>11059490</v>
    <v>1993</v>
  </rv>
  <rv s="2">
    <v>71</v>
  </rv>
  <rv s="0">
    <v>https://www.bing.com/financeapi/forcetrigger?t=bprqu2&amp;q=XNSE%3aPOLYCAB&amp;form=skydnc</v>
    <v>Learn more on Bing</v>
  </rv>
  <rv s="1">
    <v>en-US</v>
    <v>bprqu2</v>
    <v>268435456</v>
    <v>1</v>
    <v>Powered by Refinitiv</v>
    <v>0</v>
    <v>POLYCAB INDIA LIMITED (XNSE:POLYCAB)</v>
    <v>2</v>
    <v>3</v>
    <v>Finance</v>
    <v>4</v>
    <v>10126</v>
    <v>6620</v>
    <v>1.1473</v>
    <v>-155.5</v>
    <v>-1.7106E-2</v>
    <v>INR</v>
    <v>Polycab India Limited is a manufacturer of wires and cables. It is engaged in fast-moving electrical goods (FMEG). Its segment includes Wires and cables, FMEG, and Other. Wire and cable segment is engaged in the manufacturing and selling of wires and cables. FMEG segment is engaged in fans, light-emitting diode (LED) lighting and luminaires, switches, switchgear, solar products, pumps, conduits, and domestic appliances. Other segment consists of the engineering, procurement, and construction (EPC) business, which includes design, engineering, supply of materials, survey, execution and commissioning of power distribution, and rural electrification projects on a trunky basis. It is also in the business of engineering, procurement, and construction (EPC) projects. It owns over 28 manufacturing facilities, located across the states of Gujarat, Maharashtra, Uttarakhand, and the union territory of Daman. Its products include Flexible Wires, Building Wires LV and MV Power Cables, and others.</v>
    <v>5630</v>
    <v>National Stock Exchange of India</v>
    <v>XNSE</v>
    <v>XNSE</v>
    <v>#29, The Ruby, 21st Floor,, Senapati Bapat Marg, Tulsi Pipe Road,, Dadar (West),, MUMBAI, MAHARASHTRA, 400028 IN</v>
    <v>9162</v>
    <v>Machinery, Equipment &amp; Components</v>
    <v>Stock</v>
    <v>46226.473495370374</v>
    <v>73</v>
    <v>8908</v>
    <v>1369459000000</v>
    <v>POLYCAB INDIA LIMITED</v>
    <v>POLYCAB INDIA LIMITED</v>
    <v>9088</v>
    <v>46.9621</v>
    <v>9090.5</v>
    <v>8935</v>
    <v>150647200</v>
    <v>POLYCAB</v>
    <v>POLYCAB INDIA LIMITED (XNSE:POLYCAB)</v>
    <v>361089</v>
    <v>476780</v>
    <v>1996</v>
  </rv>
  <rv s="2">
    <v>74</v>
  </rv>
  <rv s="8">
    <v>en-US</v>
    <v>ccpprw</v>
    <v>268435456</v>
    <v>1</v>
    <v>Powered by Refinitiv</v>
    <v>15</v>
    <v>POPULAR VEHICLES AND SERVICES LIMITED (XNSE:PVSL)</v>
    <v>14</v>
    <v>16</v>
    <v>Finance</v>
    <v>4</v>
    <v>163</v>
    <v>82.41</v>
    <v>-0.1</v>
    <v>-9.4850000000000002E-4</v>
    <v>INR</v>
    <v>Popular Vehicles and Services Limited is an India-based company, which is a diversified automobile dealership in India. The Company is engaged in the business of the sale and service of automobiles, sale of spare parts and accessories, finance and insurance commissions. The Company’s segments include passenger cars (excluding luxury vehicles), luxury vehicles, commercial vehicles and others. It operates passenger vehicle dealerships of Maruti Suzuki India Limited, Honda Cars India Limited and Jaguar Land Rover India Limited. Its passenger vehicle offerings cover a complete spectrum of vehicles ranging from economy to premium and luxury vehicles, including electric vehicles. It operates commercial vehicle dealerships of Tata Motors Limited and Daimler India Commercial Vehicles Private Limited. Others primarily comprise spares parts retail sales-other than through the respective business segments and sale of electric vehicles-two-wheelers and three-wheelers.</v>
    <v>5533</v>
    <v>National Stock Exchange of India</v>
    <v>XNSE</v>
    <v>XNSE</v>
    <v>KUTTUKARAN CENTRE MAMANGALAM, ERNAKULAM, KERALA, 682025 IN</v>
    <v>106.78</v>
    <v>Passenger Transportation Services</v>
    <v>Stock</v>
    <v>46226.473530092589</v>
    <v>103.18</v>
    <v>7506426000</v>
    <v>POPULAR VEHICLES AND SERVICES LIMITED</v>
    <v>POPULAR VEHICLES AND SERVICES LIMITED</v>
    <v>105.89</v>
    <v>0</v>
    <v>105.43</v>
    <v>105.33</v>
    <v>71198200</v>
    <v>PVSL</v>
    <v>POPULAR VEHICLES AND SERVICES LIMITED (XNSE:PVSL)</v>
    <v>57960</v>
    <v>127890</v>
    <v>1983</v>
  </rv>
  <rv s="2">
    <v>76</v>
  </rv>
  <rv s="9">
    <v>en-US</v>
    <v>cbfxa2</v>
    <v>268435456</v>
    <v>1</v>
    <v>Powered by Refinitiv</v>
    <v>17</v>
    <v>PROTEAN EGOV TECHNOLOGIES LIMITED (XBOM:544021)</v>
    <v>14</v>
    <v>18</v>
    <v>Finance</v>
    <v>19</v>
    <v>945</v>
    <v>445</v>
    <v>1.3120000000000001</v>
    <v>-14.4</v>
    <v>-1.4000000000000002E-3</v>
    <v>-2.4620000000000003E-2</v>
    <v>-0.8</v>
    <v>INR</v>
    <v>Protean eGov Technologies Limited is an India-based information technology (IT)-enabled solutions company. The Company is engaged in conceptualizing, developing, and executing nationally critical and population-scale greenfield technology solutions. The Company offers citizen services, e-governance solutions, system integration, business process re-engineering, data centre co-location and IT consulting services for citizens, corporates and the government. The Company has 21 critical projects across several key ministries of citizen services nationwide with deep capabilities in policy-tech execution, citizen-scale security, and last-mile service delivery. Its solutions include e-governance platforms, digital identity, open digital ecosystems, and enterprise digitization.</v>
    <v>711</v>
    <v>Bombay Stock Exchange</v>
    <v>XBOM</v>
    <v>XBOM</v>
    <v>Times Tower, 1st Floor, Kamala Mills Compound, Lower Parel, MUMBAI, MAHARASHTRA, 400013 IN</v>
    <v>582.1</v>
    <v>Software &amp; IT Services</v>
    <v>Stock</v>
    <v>46226.438321759262</v>
    <v>570</v>
    <v>23743090000</v>
    <v>PROTEAN EGOV TECHNOLOGIES LIMITED</v>
    <v>PROTEAN EGOV TECHNOLOGIES LIMITED</v>
    <v>582.1</v>
    <v>23.004000000000001</v>
    <v>584.9</v>
    <v>570.5</v>
    <v>570.5</v>
    <v>40621190</v>
    <v>544021</v>
    <v>PROTEAN EGOV TECHNOLOGIES LIMITED (XBOM:544021)</v>
    <v>10153</v>
    <v>162920</v>
    <v>1995</v>
  </rv>
  <rv s="2">
    <v>78</v>
  </rv>
  <rv s="0">
    <v>https://www.bing.com/financeapi/forcetrigger?t=ahjo52&amp;q=XNSE%3aRELIANCE&amp;form=skydnc</v>
    <v>Learn more on Bing</v>
  </rv>
  <rv s="1">
    <v>en-US</v>
    <v>ahjo52</v>
    <v>268435456</v>
    <v>1</v>
    <v>Powered by Refinitiv</v>
    <v>0</v>
    <v>RELIANCE INDUSTRIES LIMITED (XNSE:RELIANCE)</v>
    <v>2</v>
    <v>3</v>
    <v>Finance</v>
    <v>4</v>
    <v>1611.8</v>
    <v>1253.2</v>
    <v>1.0333000000000001</v>
    <v>-16.399999999999999</v>
    <v>-1.2726999999999999E-2</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290293</v>
    <v>National Stock Exchange of India</v>
    <v>XNSE</v>
    <v>XNSE</v>
    <v>Maker Chambers IV, Nariman Point, MUMBAI, MAHARASHTRA, 400021 IN</v>
    <v>1287.3</v>
    <v>Oil &amp; Gas</v>
    <v>Stock</v>
    <v>46226.473483796297</v>
    <v>80</v>
    <v>1268</v>
    <v>17438030000000</v>
    <v>RELIANCE INDUSTRIES LIMITED</v>
    <v>RELIANCE INDUSTRIES LIMITED</v>
    <v>1283</v>
    <v>23.34</v>
    <v>1288.5999999999999</v>
    <v>1272.2</v>
    <v>13532810000</v>
    <v>RELIANCE</v>
    <v>RELIANCE INDUSTRIES LIMITED (XNSE:RELIANCE)</v>
    <v>12580741</v>
    <v>12747500</v>
    <v>1973</v>
  </rv>
  <rv s="2">
    <v>81</v>
  </rv>
  <rv s="0">
    <v>https://www.bing.com/financeapi/forcetrigger?t=aheuk2&amp;q=XBOM%3a534618&amp;form=skydnc</v>
    <v>Learn more on Bing</v>
  </rv>
  <rv s="10">
    <v>en-US</v>
    <v>aheuk2</v>
    <v>268435456</v>
    <v>1</v>
    <v>Powered by Refinitiv</v>
    <v>20</v>
    <v>WAAREE RENEWABLE TECHNOLOGIES LIMITED (XBOM:534618)</v>
    <v>2</v>
    <v>16</v>
    <v>Finance</v>
    <v>21</v>
    <v>1358.5</v>
    <v>780</v>
    <v>-74.45</v>
    <v>-7.3037000000000005E-2</v>
    <v>INR</v>
    <v>Waaree Renewable Technologies Limited is an India-based company. The Company is a solar developer that finances, constructs, owns, and operates solar projects. The Company's segments include EPC Contracts and Power Sale. Its solutions and services include Ground-Mounted solar, Floating Solar, RESCO Model, CAPEX Model, Rooftop Solar, and Operations and Maintenance. It provides both on-site solar projects (rooftop and ground-mounted) and off-site solar farms (open-access solar plants). The Company operates across geographies, focusing on long-term investments within the commercial and industrial customer segments. Its projects include 140 megawatts (MW) - Continuum Green Energy, 51 MW - Renew Power, 540MW - Conntinum Green Energy, BAPS Temple - 50 + sites Roof top Solar, Babaji Shivram -70KW, 27 MW - Roha Dyechem, NTPC, Kawas 1000KWP, 14 MW - MSL (Maharashtra Seamless Limited), and 1.1MW - Rubamin Project, Vadodara.</v>
    <v>171</v>
    <v>Bombay Stock Exchange</v>
    <v>XBOM</v>
    <v>XBOM</v>
    <v>504, WESTERN EDGE-1 OFF WESTERN EXPRESS HIGHWAY, BORIVALI (EAST), MAHARASHTRA, 400066 IN</v>
    <v>995</v>
    <v>Electrical Utilities &amp; IPPs</v>
    <v>Stock</v>
    <v>46226.438333333332</v>
    <v>83</v>
    <v>936</v>
    <v>106349200000</v>
    <v>WAAREE RENEWABLE TECHNOLOGIES LIMITED</v>
    <v>WAAREE RENEWABLE TECHNOLOGIES LIMITED</v>
    <v>989.35</v>
    <v>20.92</v>
    <v>1019.35</v>
    <v>944.9</v>
    <v>104345800</v>
    <v>534618</v>
    <v>WAAREE RENEWABLE TECHNOLOGIES LIMITED (XBOM:534618)</v>
    <v>133046</v>
    <v>183160</v>
    <v>1999</v>
  </rv>
  <rv s="2">
    <v>84</v>
  </rv>
  <rv s="0">
    <v>https://www.bing.com/financeapi/forcetrigger?t=ahjzmw&amp;q=XNSE%3aSJVN&amp;form=skydnc</v>
    <v>Learn more on Bing</v>
  </rv>
  <rv s="1">
    <v>en-US</v>
    <v>ahjzmw</v>
    <v>268435456</v>
    <v>1</v>
    <v>Powered by Refinitiv</v>
    <v>0</v>
    <v>SJVN Limited (XNSE:SJVN)</v>
    <v>2</v>
    <v>3</v>
    <v>Finance</v>
    <v>4</v>
    <v>101.45</v>
    <v>63.02</v>
    <v>1.2182999999999999</v>
    <v>-0.98</v>
    <v>-1.4273000000000001E-2</v>
    <v>INR</v>
    <v>SJVN Limited is an India-based company, which is principally engaged in electricity generation and sale of electricity. It is also engaged in providing consultancy services and power transmission. It provides consultancy services to hydro electric projects and infrastructure projects like highway tunnels and railway tunnels. Its businesses include thermal power, hydro power, wind power, solar power, power transmission, consultancy, and power trading. Its wind power projects include the over 47.6 megawatts (MW) khirvire wind power projects at Khirvire and Kombhalne villages in Ahmednagar, Maharashtra and the Sadla Wind Power Project of over 50 MW capacity, situated in the village Sadla, Surendranagar, Gujarat. The Company has over eight solar projects with a total installed capacity of approximately 396.91 MW under operation. The Company has commissioned approximately 89 projects with a total installed capacity of over 56802 MW and around 340 kilometers of transmission line.</v>
    <v>1349</v>
    <v>National Stock Exchange of India</v>
    <v>XNSE</v>
    <v>XNSE</v>
    <v>SJVN CORPORATE OFFCIE COMPLEX SHANAN SHIMLA SHIMLA HP, HIMACHAL PRADESH, 171006 IN</v>
    <v>68.739999999999995</v>
    <v>Electrical Utilities &amp; IPPs</v>
    <v>Stock</v>
    <v>46226.47351851852</v>
    <v>86</v>
    <v>67.5</v>
    <v>269819800000</v>
    <v>SJVN Limited</v>
    <v>SJVN Limited</v>
    <v>68.56</v>
    <v>41.777799999999999</v>
    <v>68.66</v>
    <v>67.680000000000007</v>
    <v>3929795000</v>
    <v>SJVN</v>
    <v>SJVN Limited (XNSE:SJVN)</v>
    <v>2449655</v>
    <v>1692730</v>
    <v>1988</v>
  </rv>
  <rv s="2">
    <v>87</v>
  </rv>
  <rv s="0">
    <v>https://www.bing.com/financeapi/forcetrigger?t=ahk6a2&amp;q=XNSE%3aSUNPHARMA&amp;form=skydnc</v>
    <v>Learn more on Bing</v>
  </rv>
  <rv s="1">
    <v>en-US</v>
    <v>ahk6a2</v>
    <v>268435456</v>
    <v>1</v>
    <v>Powered by Refinitiv</v>
    <v>0</v>
    <v>SUN PHARMACEUTICAL INDUSTRIES LIMITED (XNSE:SUNPHARMA)</v>
    <v>2</v>
    <v>3</v>
    <v>Finance</v>
    <v>4</v>
    <v>1966.5</v>
    <v>1548</v>
    <v>0.76090000000000002</v>
    <v>11</v>
    <v>5.6610000000000002E-3</v>
    <v>INR</v>
    <v>Sun Pharmaceutical Industries Limited is an India-based specialty generic pharmaceutical company with a presence in specialty therapies,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and others. Its portfolio also includes UNLOXCYTTM, an anti-PD-L1 treatment for advanced cutaneous squamous cell carcinoma.</v>
    <v>47000</v>
    <v>National Stock Exchange of India</v>
    <v>XNSE</v>
    <v>XNSE</v>
    <v>Sun House,, CTS No. 201 B/1,, Western Express Highway,Goregaon (E),, MUMBAI, MAHARASHTRA, 400063 IN</v>
    <v>1958.5</v>
    <v>Pharmaceuticals</v>
    <v>Stock</v>
    <v>46226.473483796297</v>
    <v>89</v>
    <v>1926.8</v>
    <v>4661908000000</v>
    <v>SUN PHARMACEUTICAL INDUSTRIES LIMITED</v>
    <v>SUN PHARMACEUTICAL INDUSTRIES LIMITED</v>
    <v>1929.1</v>
    <v>42.258000000000003</v>
    <v>1943</v>
    <v>1954</v>
    <v>2399335000</v>
    <v>SUNPHARMA</v>
    <v>SUN PHARMACEUTICAL INDUSTRIES LIMITED (XNSE:SUNPHARMA)</v>
    <v>2057288</v>
    <v>2128210</v>
    <v>1993</v>
  </rv>
  <rv s="2">
    <v>90</v>
  </rv>
  <rv s="7">
    <v>en-US</v>
    <v>cinvhw</v>
    <v>268435456</v>
    <v>1</v>
    <v>Powered by Refinitiv</v>
    <v>13</v>
    <v>TATA MOTORS LIMITED (XNSE:TMCV)</v>
    <v>14</v>
    <v>3</v>
    <v>Finance</v>
    <v>4</v>
    <v>509</v>
    <v>306.3</v>
    <v>1.8140000000000001</v>
    <v>2.4500000000000002</v>
    <v>6.0429999999999998E-3</v>
    <v>INR</v>
    <v>Tata Motors Limited is an India-based commercial mobility company. The Company is a manufacturer of trucks and buses. The Company’s portfolio offers applications from last-mile delivery to long-haul freight and public transportation. The Company’s vehicular business includes small trucks, trucks, buses and vans. Its non-vehicular businesses include services, spares, aggregates, fleet edge, TATA OK and REWIRE. Its small trucks portfolio includes Tata ACE, Tata Intra and Tata Yodha. Its trucks include Haulage, ILMCV Trucks, Tipper and Tractor. Its vans include school vans, tourist vans and ambulance vans. Its aggregates include Gensets, Trailer Axles and Components and Industrial Engines. Its service offerings include Fleetcare, Tata Alert, Tata Zippy, Tata Kavach, Tata Delight, Tata Motors Genuine Oil and Sampoorna Seva 2.0.</v>
    <v>20635</v>
    <v>National Stock Exchange of India</v>
    <v>XNSE</v>
    <v>XNSE</v>
    <v>BOMBAY HOUSE, 24 HOMI MODY STREET,, MAHARASHTRA, 400001 IN</v>
    <v>409.5</v>
    <v>Automobiles &amp; Auto Parts</v>
    <v>Stock</v>
    <v>46226.473576388889</v>
    <v>400.25</v>
    <v>1493151000000</v>
    <v>TATA MOTORS LIMITED</v>
    <v>TATA MOTORS LIMITED</v>
    <v>403</v>
    <v>49.571599999999997</v>
    <v>405.45</v>
    <v>407.9</v>
    <v>3682700000</v>
    <v>TMCV</v>
    <v>TATA MOTORS LIMITED (XNSE:TMCV)</v>
    <v>3208517</v>
    <v>6468050</v>
    <v>2024</v>
  </rv>
  <rv s="2">
    <v>92</v>
  </rv>
  <rv s="0">
    <v>https://www.bing.com/financeapi/forcetrigger?t=ahk9xm&amp;q=XNSE%3aTATAMOTORS&amp;form=skydnc</v>
    <v>Learn more on Bing</v>
  </rv>
  <rv s="1">
    <v>en-US</v>
    <v>ahk9xm</v>
    <v>268435456</v>
    <v>1</v>
    <v>Powered by Refinitiv</v>
    <v>0</v>
    <v>TATA MOTORS PASSENGER VEHICLES LIMITED (XNSE:TMPV)</v>
    <v>2</v>
    <v>3</v>
    <v>Finance</v>
    <v>4</v>
    <v>447.79</v>
    <v>294.3</v>
    <v>1.2557</v>
    <v>-3.4</v>
    <v>-1.0375000000000001E-2</v>
    <v>INR</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60332</v>
    <v>National Stock Exchange of India</v>
    <v>XNSE</v>
    <v>XNSE</v>
    <v>A Block, Shivasagar Estate, Dr. Annie Besant Road, Worli, MUMBAI, MAHARASHTRA, 400018 IN</v>
    <v>328.5</v>
    <v>Automobiles &amp; Auto Parts</v>
    <v>Stock</v>
    <v>46226.473483796297</v>
    <v>94</v>
    <v>323.8</v>
    <v>1206782000000</v>
    <v>TATA MOTORS PASSENGER VEHICLES LIMITED</v>
    <v>TATA MOTORS PASSENGER VEHICLES LIMITED</v>
    <v>326.95</v>
    <v>0</v>
    <v>327.7</v>
    <v>324.3</v>
    <v>3682583000</v>
    <v>TMPV</v>
    <v>TATA MOTORS PASSENGER VEHICLES LIMITED (XNSE:TMPV)</v>
    <v>6985396</v>
    <v>9465160</v>
    <v>1945</v>
  </rv>
  <rv s="2">
    <v>95</v>
  </rv>
  <rv s="0">
    <v>https://www.bing.com/financeapi/forcetrigger?t=ahka4c&amp;q=XNSE%3aTATAPOWER&amp;form=skydnc</v>
    <v>Learn more on Bing</v>
  </rv>
  <rv s="1">
    <v>en-US</v>
    <v>ahka4c</v>
    <v>268435456</v>
    <v>1</v>
    <v>Powered by Refinitiv</v>
    <v>0</v>
    <v>THE TATA POWER COMPANY LIMITED (XNSE:TATAPOWER)</v>
    <v>2</v>
    <v>3</v>
    <v>Finance</v>
    <v>4</v>
    <v>464.9</v>
    <v>342.5</v>
    <v>1.1658999999999999</v>
    <v>-2.4</v>
    <v>-6.3400000000000001E-3</v>
    <v>INR</v>
    <v>The Tata Power Company Limited is an India-based integrated power company. The principal business of the Company is generation, transmission and distribution of electricity. Its segments include Thermal &amp; Hydro, Renewables, Transmission and Distribution, and Others. Its Thermal &amp; Hydro segment comprises of generation of power from hydroelectric sources and thermal sources (coal, gas and oil) from plants owned and operated under lease arrangement and related ancillary services. Its Renewables segment comprises of generation of power from renewable energy sources, such as wind and solar. Its Transmission and Distribution comprises of transmission and distribution network, sale of power to retail customers through distribution network and related ancillary services. Its Others segment comprises of project management contracts/infrastructure management services, property under development and satellite communication.</v>
    <v>22501</v>
    <v>National Stock Exchange of India</v>
    <v>XNSE</v>
    <v>XNSE</v>
    <v>Bombay House, 24,, Homi Mody Street, MUMBAI, MAHARASHTRA, 400001 IN</v>
    <v>379.5</v>
    <v>Electrical Utilities &amp; IPPs</v>
    <v>Stock</v>
    <v>46226.473483796297</v>
    <v>97</v>
    <v>374</v>
    <v>1209596000000</v>
    <v>THE TATA POWER COMPANY LIMITED</v>
    <v>THE TATA POWER COMPANY LIMITED</v>
    <v>376</v>
    <v>32.103200000000001</v>
    <v>378.55</v>
    <v>376.15</v>
    <v>3195340000</v>
    <v>TATAPOWER</v>
    <v>THE TATA POWER COMPANY LIMITED (XNSE:TATAPOWER)</v>
    <v>1687994</v>
    <v>3929170</v>
    <v>1919</v>
  </rv>
  <rv s="2">
    <v>98</v>
  </rv>
  <rv s="0">
    <v>https://www.bing.com/financeapi/forcetrigger?t=ahkdxm&amp;q=XNSE%3aTITAN&amp;form=skydnc</v>
    <v>Learn more on Bing</v>
  </rv>
  <rv s="1">
    <v>en-US</v>
    <v>ahkdxm</v>
    <v>268435456</v>
    <v>1</v>
    <v>Powered by Refinitiv</v>
    <v>0</v>
    <v>TITAN COMPANY LIMITED (XNSE:TITAN)</v>
    <v>2</v>
    <v>3</v>
    <v>Finance</v>
    <v>4</v>
    <v>4733</v>
    <v>3303.1</v>
    <v>1.226</v>
    <v>-14.3</v>
    <v>-3.0349999999999999E-3</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9352</v>
    <v>National Stock Exchange of India</v>
    <v>XNSE</v>
    <v>XNSE</v>
    <v>Integrity, #193, Veerasandra, Electronic City P.O.,, Off Hosur Main Road, BANGALORE, KARNATAKA, 560100 IN</v>
    <v>4709.8</v>
    <v>Textiles &amp; Apparel</v>
    <v>Stock</v>
    <v>46226.473483796297</v>
    <v>100</v>
    <v>4671.6000000000004</v>
    <v>4180661000000</v>
    <v>TITAN COMPANY LIMITED</v>
    <v>TITAN COMPANY LIMITED</v>
    <v>4700</v>
    <v>82.39</v>
    <v>4711.6000000000004</v>
    <v>4697.3</v>
    <v>887312300</v>
    <v>TITAN</v>
    <v>TITAN COMPANY LIMITED (XNSE:TITAN)</v>
    <v>421185</v>
    <v>805480</v>
    <v>1984</v>
  </rv>
  <rv s="2">
    <v>101</v>
  </rv>
  <rv s="0">
    <v>https://www.bing.com/financeapi/forcetrigger?t=ahkjqh&amp;q=XNSE%3aVBL&amp;form=skydnc</v>
    <v>Learn more on Bing</v>
  </rv>
  <rv s="1">
    <v>en-US</v>
    <v>ahkjqh</v>
    <v>268435456</v>
    <v>1</v>
    <v>Powered by Refinitiv</v>
    <v>0</v>
    <v>VARUN BEVERAGES LIMITED (XNSE:VBL)</v>
    <v>2</v>
    <v>3</v>
    <v>Finance</v>
    <v>4</v>
    <v>555.79999999999995</v>
    <v>381</v>
    <v>1.1592</v>
    <v>0.8</v>
    <v>1.7460000000000002E-3</v>
    <v>INR</v>
    <v>Varun Beverages Limited is an India-based company, which is a franchisee of PepsiCo. It produces and distributes a range of carbonated soft drinks (CSDs), as well as non-carbonated beverages (NCBs), including packaged drinking water sold under trademarks owned by PepsiCo. PepsiCo CSD brands produced and sold by the Company include Pepsi, Pepsi Black, Mountain Dew, Sting, Seven-Up, Mirinda Orange, Seven-Up Nimbooz Masala Soda and Evervess. PepsiCo NCB brands produced and sold by it include Tropicana Slice, Tropicana Juices (100% and Delight), Seven-Up Nimbooz, Gatorade as well as packaged drinking water under the brand Aquafina. It is also engaged in co-manufacturing of Kurkure puffcorn in India.Its subsidiaries include Varun Beverages (Nepal) Private Limited, The Beverage Company Proprietary Limited, and Varun Beverages Lanka (Private) Limited, and others.</v>
    <v>10654</v>
    <v>National Stock Exchange of India</v>
    <v>XNSE</v>
    <v>XNSE</v>
    <v>F-2/7 PHASE I, OKHLA INDUSTRIAL AREA, DELHI, 110020 IN</v>
    <v>464.75</v>
    <v>Beverages</v>
    <v>Stock</v>
    <v>46226.47351851852</v>
    <v>103</v>
    <v>457.45</v>
    <v>1550015000000</v>
    <v>VARUN BEVERAGES LIMITED</v>
    <v>VARUN BEVERAGES LIMITED</v>
    <v>461</v>
    <v>48.72</v>
    <v>458.25</v>
    <v>459.05</v>
    <v>3382465000</v>
    <v>VBL</v>
    <v>VARUN BEVERAGES LIMITED (XNSE:VBL)</v>
    <v>2932300</v>
    <v>6154050</v>
    <v>1995</v>
  </rv>
  <rv s="2">
    <v>104</v>
  </rv>
  <rv s="0">
    <v>https://www.bing.com/financeapi/forcetrigger?t=ahkok2&amp;q=XNSE%3aWIPRO&amp;form=skydnc</v>
    <v>Learn more on Bing</v>
  </rv>
  <rv s="1">
    <v>en-US</v>
    <v>ahkok2</v>
    <v>268435456</v>
    <v>1</v>
    <v>Powered by Refinitiv</v>
    <v>0</v>
    <v>WIPRO LIMITED (XNSE:WIPRO)</v>
    <v>2</v>
    <v>3</v>
    <v>Finance</v>
    <v>4</v>
    <v>273.10000000000002</v>
    <v>169</v>
    <v>0.92310000000000003</v>
    <v>0.38</v>
    <v>2.1779999999999998E-3</v>
    <v>INR</v>
    <v>Wipro Limited is an AI-powered technology services and consulting company. Its segments include IT Services and IT Products. Its IT Services segment provides a range of AI-powered IT and IT-enabled services, including digital strategy advisory, customer-centric design, custom application design, development, re-engineering, maintenance, systems integration, package implementation, infrastructure services, cybersecurity services, data and analytics services, business process services, research and development, and hardware and software design. Its IT Products segment provides a range of third-party IT products, including computing platforms and storage, networking solutions, enterprise information security and software products, such as databases and operating systems. Its services include applications, Wipro Intelligence, business process services, cloud, consulting, cybersecurity, data &amp; analytics, digital experiences, engineering, global capability centers and sustainability.</v>
    <v>240000</v>
    <v>National Stock Exchange of India</v>
    <v>XNSE</v>
    <v>XNSE</v>
    <v>Survey #76P &amp; #80P Doddakanahalli Villag, Varthur Hobli Sarjapur Rd, BANGALORE, KARNATAKA, 560035 IN</v>
    <v>175.56</v>
    <v>Software &amp; IT Services</v>
    <v>Stock</v>
    <v>46226.473483796297</v>
    <v>106</v>
    <v>173.31</v>
    <v>1725601000000</v>
    <v>WIPRO LIMITED</v>
    <v>WIPRO LIMITED</v>
    <v>173.81</v>
    <v>13.850300000000001</v>
    <v>174.44</v>
    <v>174.82</v>
    <v>9892233000</v>
    <v>WIPRO</v>
    <v>WIPRO LIMITED (XNSE:WIPRO)</v>
    <v>9055905</v>
    <v>14595920</v>
    <v>1945</v>
  </rv>
  <rv s="2">
    <v>107</v>
  </rv>
  <rv s="11">
    <v>12</v>
    <v>Price</v>
    <v>0</v>
  </rv>
  <rv s="0">
    <v>https://www.bing.com/financeapi/forcetrigger?t=brfnrw&amp;q=Axis+Small+Cap-Direct-Growth&amp;form=skydnc</v>
    <v>Learn more on Bing</v>
  </rv>
  <rv s="12">
    <v>en-US</v>
    <v>brfnrw</v>
    <v>268435456</v>
    <v>1</v>
    <v>Powered by Refinitiv</v>
    <v>22</v>
    <v>Axis Small Cap-Direct-Growth</v>
    <v>23</v>
    <v>24</v>
    <v>Finance</v>
    <v>25</v>
    <v>0.52</v>
    <v>3.9300000000000003E-3</v>
    <v>IN</v>
    <v>INR</v>
    <v>5.5000000000000005E-3</v>
    <v>Mutual Fund</v>
    <v>46223</v>
    <v>46225.585986105471</v>
    <v>110</v>
    <v>Axis Small Cap-Direct-Growth</v>
    <v>293937938000</v>
    <v>132.30000000000001</v>
    <v>132.82</v>
    <v>4.6241000000000003</v>
    <v>2.445E-2</v>
    <v>-5.8379999999999994E-3</v>
    <v>5.2577999999999993E-2</v>
    <v>9.9868000000000012E-2</v>
    <v>0.16851500000000003</v>
    <v>0.172545</v>
    <v>9.1999999999999998E-2</v>
    <v>Axis Small Cap-Direct-Growth</v>
  </rv>
  <rv s="2">
    <v>111</v>
  </rv>
  <rv s="0">
    <v>https://www.bing.com/financeapi/forcetrigger?t=ahmrdm&amp;q=Canara+Robeco+Flexi+Cap-Regular-Growth&amp;form=skydnc</v>
    <v>Learn more on Bing</v>
  </rv>
  <rv s="12">
    <v>en-US</v>
    <v>ahmrdm</v>
    <v>268435456</v>
    <v>1</v>
    <v>Powered by Refinitiv</v>
    <v>22</v>
    <v>Canara Robeco Flexi Cap-Regular-Growth</v>
    <v>23</v>
    <v>24</v>
    <v>Finance</v>
    <v>25</v>
    <v>0.22</v>
    <v>6.4369999999999998E-4</v>
    <v>IN</v>
    <v>INR</v>
    <v>1.8200000000000001E-2</v>
    <v>Mutual Fund</v>
    <v>46224</v>
    <v>46226.208692868749</v>
    <v>113</v>
    <v>Canara Robeco Flexi Cap-Regular-Growth</v>
    <v>133277158000</v>
    <v>341.79</v>
    <v>342.01</v>
    <v>3.4131999999999998</v>
    <v>1.3363E-2</v>
    <v>6.7410000000000005E-3</v>
    <v>-2.2170000000000002E-3</v>
    <v>1.4685999999999999E-2</v>
    <v>0.11256000000000001</v>
    <v>0.108387</v>
    <v>-2.1206999999999997E-2</v>
    <v>Canara Robeco Flexi Cap-Regular-Growth</v>
  </rv>
  <rv s="2">
    <v>114</v>
  </rv>
  <rv s="0">
    <v>https://www.bing.com/financeapi/forcetrigger?t=bp6dcw&amp;q=Canara+Robeco+Small+Cap+Fund-Growth&amp;form=skydnc</v>
    <v>Learn more on Bing</v>
  </rv>
  <rv s="12">
    <v>en-US</v>
    <v>bp6dcw</v>
    <v>268435456</v>
    <v>1</v>
    <v>Powered by Refinitiv</v>
    <v>22</v>
    <v>Canara Robeco Small Cap Fund-Growth</v>
    <v>23</v>
    <v>24</v>
    <v>Finance</v>
    <v>25</v>
    <v>0.19</v>
    <v>4.7089999999999996E-3</v>
    <v>IN</v>
    <v>INR</v>
    <v>2.0400000000000001E-2</v>
    <v>Mutual Fund</v>
    <v>46223</v>
    <v>46224.979120915625</v>
    <v>116</v>
    <v>Canara Robeco Small Cap Fund-Growth</v>
    <v>139670533000</v>
    <v>40.35</v>
    <v>40.54</v>
    <v>0</v>
    <v>2.1158999999999997E-2</v>
    <v>-6.1289999999999999E-3</v>
    <v>8.9110000000000005E-3</v>
    <v>7.1919999999999998E-2</v>
    <v>0.130494</v>
    <v>0.152617</v>
    <v>5.4630999999999999E-2</v>
    <v>Canara Robeco Small Cap Fund-Growth</v>
  </rv>
  <rv s="2">
    <v>117</v>
  </rv>
  <rv s="13">
    <v>en-US</v>
    <v>c9zpvh</v>
    <v>268435456</v>
    <v>1</v>
    <v>Powered by Refinitiv</v>
    <v>26</v>
    <v>HDFC Defence Fund - Direct Plan - Growth Option</v>
    <v>27</v>
    <v>24</v>
    <v>Finance</v>
    <v>25</v>
    <v>7.1999999999999995E-2</v>
    <v>2.392E-3</v>
    <v>IN</v>
    <v>INR</v>
    <v>7.7000000000000002E-3</v>
    <v>Mutual Fund</v>
    <v>46223</v>
    <v>46225.846498591403</v>
    <v>HDFC Defence Fund - Direct Plan - Growth Option</v>
    <v>105292483000</v>
    <v>30.100999999999999</v>
    <v>30.172999999999998</v>
    <v>0</v>
    <v>-9.8119999999999995E-3</v>
    <v>-2.2489999999999997E-3</v>
    <v>0.221526</v>
    <v>0.122132</v>
    <v>0.41283099999999995</v>
    <v>0</v>
    <v>0.25375999999999999</v>
    <v>HDFC Defence Fund - Direct Plan - Growth Option</v>
  </rv>
  <rv s="2">
    <v>119</v>
  </rv>
  <rv s="0">
    <v>https://www.bing.com/financeapi/forcetrigger?t=ahxk3m&amp;q=ICICI+Prudential+Multi-Asset+Fund-Dir-Growth&amp;form=skydnc</v>
    <v>Learn more on Bing</v>
  </rv>
  <rv s="12">
    <v>en-US</v>
    <v>ahxk3m</v>
    <v>268435456</v>
    <v>1</v>
    <v>Powered by Refinitiv</v>
    <v>22</v>
    <v>ICICI Prudential Multi-Asset Fund-Dir-Growth</v>
    <v>23</v>
    <v>24</v>
    <v>Finance</v>
    <v>25</v>
    <v>-4.2205000000000004</v>
    <v>-4.6999999999999993E-3</v>
    <v>IN</v>
    <v>INR</v>
    <v>1.1699999999999999E-2</v>
    <v>Mutual Fund</v>
    <v>46225</v>
    <v>46226.460997055467</v>
    <v>121</v>
    <v>ICICI Prudential Multi-Asset Fund-Dir-Growth</v>
    <v>849905728741.24097</v>
    <v>897.96180000000004</v>
    <v>893.74130000000002</v>
    <v>3.2612999999999999</v>
    <v>-1.8700000000000002E-4</v>
    <v>-3.3909999999999999E-3</v>
    <v>6.7295999999999995E-2</v>
    <v>-7.7640000000000001E-3</v>
    <v>0.15995200000000001</v>
    <v>0.17909800000000001</v>
    <v>-1.3306E-2</v>
    <v>ICICI Prudential Multi-Asset Fund-Dir-Growth</v>
  </rv>
  <rv s="2">
    <v>122</v>
  </rv>
  <rv s="0">
    <v>https://www.bing.com/financeapi/forcetrigger?t=ahnenm&amp;q=ICICI+Prudential+Multi-Asset+Fund-Growth&amp;form=skydnc</v>
    <v>Learn more on Bing</v>
  </rv>
  <rv s="12">
    <v>en-US</v>
    <v>ahnenm</v>
    <v>268435456</v>
    <v>1</v>
    <v>Powered by Refinitiv</v>
    <v>22</v>
    <v>ICICI Prudential Multi-Asset Fund-Growth</v>
    <v>23</v>
    <v>24</v>
    <v>Finance</v>
    <v>25</v>
    <v>-3.823</v>
    <v>-4.7160000000000006E-3</v>
    <v>IN</v>
    <v>INR</v>
    <v>1.83E-2</v>
    <v>Mutual Fund</v>
    <v>46225</v>
    <v>46226.460996431248</v>
    <v>124</v>
    <v>ICICI Prudential Multi-Asset Fund-Growth</v>
    <v>849905728741.24097</v>
    <v>810.59310000000005</v>
    <v>806.77009999999996</v>
    <v>3.1981999999999999</v>
    <v>-6.7699999999999998E-4</v>
    <v>-3.5039999999999997E-3</v>
    <v>6.0178000000000002E-2</v>
    <v>-9.2659999999999999E-3</v>
    <v>0.15157500000000002</v>
    <v>0.17097699999999999</v>
    <v>-1.6830999999999999E-2</v>
    <v>ICICI Prudential Multi-Asset Fund-Growth</v>
  </rv>
  <rv s="2">
    <v>125</v>
  </rv>
  <rv s="0">
    <v>https://www.bing.com/financeapi/forcetrigger?t=ahrbpr&amp;q=Mirae+Asset+Large+Cap-Regular-Growth&amp;form=skydnc</v>
    <v>Learn more on Bing</v>
  </rv>
  <rv s="12">
    <v>en-US</v>
    <v>ahrbpr</v>
    <v>268435456</v>
    <v>1</v>
    <v>Powered by Refinitiv</v>
    <v>22</v>
    <v>Mirae Asset Large Cap-Regular-Growth</v>
    <v>23</v>
    <v>24</v>
    <v>Finance</v>
    <v>25</v>
    <v>-0.157</v>
    <v>-1.3960000000000001E-3</v>
    <v>IN</v>
    <v>INR</v>
    <v>1.21E-2</v>
    <v>Mutual Fund</v>
    <v>46224</v>
    <v>46226.083585909379</v>
    <v>127</v>
    <v>Mirae Asset Large Cap-Regular-Growth</v>
    <v>383792743000</v>
    <v>112.46599999999999</v>
    <v>112.309</v>
    <v>2.3752</v>
    <v>1.3912000000000001E-2</v>
    <v>6.0740000000000004E-3</v>
    <v>-9.8569999999999994E-3</v>
    <v>8.9480000000000011E-3</v>
    <v>8.9388000000000009E-2</v>
    <v>9.4700000000000006E-2</v>
    <v>-4.6685999999999998E-2</v>
    <v>Mirae Asset Large Cap-Regular-Growth</v>
  </rv>
  <rv s="2">
    <v>128</v>
  </rv>
  <rv s="0">
    <v>https://www.bing.com/financeapi/forcetrigger?t=ahmo4c&amp;q=Parag+Parikh+Flexi+Cap-Direct-Growth&amp;form=skydnc</v>
    <v>Learn more on Bing</v>
  </rv>
  <rv s="12">
    <v>en-US</v>
    <v>ahmo4c</v>
    <v>268435456</v>
    <v>1</v>
    <v>Powered by Refinitiv</v>
    <v>22</v>
    <v>Parag Parikh Flexi Cap-Direct-Growth</v>
    <v>23</v>
    <v>24</v>
    <v>Finance</v>
    <v>25</v>
    <v>-0.58799999999999997</v>
    <v>-6.463E-3</v>
    <v>IN</v>
    <v>INR</v>
    <v>6.4000000000000003E-3</v>
    <v>Mutual Fund</v>
    <v>46225</v>
    <v>46226.459988347655</v>
    <v>130</v>
    <v>Parag Parikh Flexi Cap-Direct-Growth</v>
    <v>1433884335000</v>
    <v>90.974299999999999</v>
    <v>90.386300000000006</v>
    <v>4.8752000000000004</v>
    <v>3.2640000000000004E-3</v>
    <v>-8.1200000000000005E-3</v>
    <v>-2.2581000000000004E-2</v>
    <v>-1.1988E-2</v>
    <v>0.14197399999999999</v>
    <v>0.135884</v>
    <v>-5.0273999999999999E-2</v>
    <v>Parag Parikh Flexi Cap-Direct-Growth</v>
  </rv>
  <rv s="2">
    <v>131</v>
  </rv>
  <rv s="0">
    <v>https://www.bing.com/financeapi/forcetrigger?t=c2342w&amp;q=Quant+Quantamental+Fund-Direct+Plan-Growth+Option&amp;form=skydnc</v>
    <v>Learn more on Bing</v>
  </rv>
  <rv s="12">
    <v>en-US</v>
    <v>c2342w</v>
    <v>268435456</v>
    <v>1</v>
    <v>Powered by Refinitiv</v>
    <v>22</v>
    <v>Quant Quantamental Fund-Direct Plan-Growth Option</v>
    <v>23</v>
    <v>24</v>
    <v>Finance</v>
    <v>25</v>
    <v>0.1042</v>
    <v>3.7699999999999999E-3</v>
    <v>IN</v>
    <v>INR</v>
    <v>5.3499999999999999E-2</v>
    <v>Mutual Fund</v>
    <v>46223</v>
    <v>46225.842409139063</v>
    <v>133</v>
    <v>Quant Quantamental Fund-Direct Plan-Growth Option</v>
    <v>16528164000</v>
    <v>27.642700000000001</v>
    <v>27.7469</v>
    <v>4.9945000000000004</v>
    <v>1.5090000000000001E-3</v>
    <v>9.9569999999999997E-4</v>
    <v>0.133659</v>
    <v>0.111138</v>
    <v>0.188609</v>
    <v>0.21284900000000001</v>
    <v>9.6911000000000011E-2</v>
    <v>Quant Quantamental Fund-Direct Plan-Growth Option</v>
  </rv>
  <rv s="2">
    <v>134</v>
  </rv>
  <rv s="0">
    <v>https://www.bing.com/financeapi/forcetrigger?t=ai26jc&amp;q=SBI+Contra+Fund-Direct-Growth&amp;form=skydnc</v>
    <v>Learn more on Bing</v>
  </rv>
  <rv s="12">
    <v>en-US</v>
    <v>ai26jc</v>
    <v>268435456</v>
    <v>1</v>
    <v>Powered by Refinitiv</v>
    <v>22</v>
    <v>SBI Contra Fund-Direct-Growth</v>
    <v>23</v>
    <v>24</v>
    <v>Finance</v>
    <v>25</v>
    <v>-4.1470000000000002</v>
    <v>-9.9369999999999997E-3</v>
    <v>IN</v>
    <v>INR</v>
    <v>7.4999999999999997E-3</v>
    <v>Mutual Fund</v>
    <v>46225</v>
    <v>46226.461035960157</v>
    <v>136</v>
    <v>SBI Contra Fund-Direct-Growth</v>
    <v>473616814000</v>
    <v>417.32229999999998</v>
    <v>413.17529999999999</v>
    <v>4.5509000000000004</v>
    <v>6.1800000000000006E-4</v>
    <v>-4.6740000000000002E-3</v>
    <v>-1.9518999999999998E-2</v>
    <v>8.6209999999999998E-4</v>
    <v>0.13308899999999999</v>
    <v>0.16723500000000002</v>
    <v>-5.5067000000000005E-2</v>
    <v>SBI Contra Fund-Direct-Growth</v>
  </rv>
  <rv s="2">
    <v>137</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error">
    <k n="errorType" t="i"/>
    <k n="field" t="s"/>
    <k n="subType" t="i"/>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UniqueName" t="s"/>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Name" t="s"/>
    <k n="Net assets"/>
    <k n="Previous close"/>
    <k n="Price"/>
    <k n="Rating"/>
    <k n="Return (1m)"/>
    <k n="Return (1w)"/>
    <k n="Return (1y)"/>
    <k n="Return (3m)"/>
    <k n="Return (3y)"/>
    <k n="Return (5y)"/>
    <k n="Return (YTD)"/>
    <k n="UniqueName" t="s"/>
  </s>
</rvStructures>
</file>

<file path=xl/richData/rdsupportingpropertybag.xml><?xml version="1.0" encoding="utf-8"?>
<supportingPropertyBags xmlns="http://schemas.microsoft.com/office/spreadsheetml/2017/richdata2">
  <spbArrays count="9">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2">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%ProviderInfo</v>
    </a>
  </spbArrays>
  <spbData count="28">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1</v>
      <v>1</v>
    </spb>
    <spb s="10">
      <v>1</v>
      <v>2</v>
      <v>1</v>
      <v>3</v>
      <v>1</v>
      <v>1</v>
      <v>1</v>
      <v>4</v>
      <v>5</v>
      <v>6</v>
      <v>1</v>
      <v>1</v>
      <v>5</v>
      <v>1</v>
      <v>7</v>
      <v>9</v>
    </spb>
    <spb s="11">
      <v>3</v>
      <v>Name</v>
    </spb>
    <spb s="12">
      <v>1</v>
      <v>1</v>
      <v>1</v>
    </spb>
    <spb s="11">
      <v>4</v>
      <v>Name</v>
    </spb>
    <spb s="13">
      <v>1</v>
      <v>2</v>
      <v>1</v>
      <v>3</v>
      <v>1</v>
      <v>1</v>
      <v>1</v>
      <v>4</v>
      <v>4</v>
      <v>5</v>
      <v>6</v>
      <v>1</v>
      <v>1</v>
      <v>1</v>
      <v>4</v>
      <v>7</v>
      <v>8</v>
      <v>9</v>
      <v>4</v>
    </spb>
    <spb s="11">
      <v>5</v>
      <v>Name</v>
    </spb>
    <spb s="14">
      <v>1</v>
      <v>2</v>
      <v>2</v>
      <v>1</v>
      <v>3</v>
      <v>1</v>
      <v>1</v>
      <v>1</v>
      <v>4</v>
      <v>4</v>
      <v>5</v>
      <v>6</v>
      <v>1</v>
      <v>1</v>
      <v>1</v>
      <v>4</v>
      <v>7</v>
      <v>8</v>
      <v>9</v>
      <v>4</v>
      <v>1</v>
      <v>1</v>
      <v>5</v>
    </spb>
    <spb s="15">
      <v>at close</v>
      <v>from previous close</v>
      <v>from previous close</v>
      <v>GMT</v>
      <v>Delayed 15 minutes</v>
      <v>from close</v>
      <v>from close</v>
    </spb>
    <spb s="0">
      <v>6</v>
      <v>Name</v>
      <v>LearnMoreOnLink</v>
    </spb>
    <spb s="4">
      <v>Delayed 15 minutes</v>
      <v>from previous close</v>
      <v>from previous close</v>
      <v>GMT</v>
    </spb>
    <spb s="0">
      <v>7</v>
      <v>Name</v>
      <v>LearnMoreOnLink</v>
    </spb>
    <spb s="16">
      <v>1</v>
      <v>1</v>
      <v>1</v>
      <v>1</v>
    </spb>
    <spb s="17">
      <v>3</v>
      <v>1</v>
      <v>1</v>
      <v>4</v>
      <v>5</v>
      <v>6</v>
      <v>5</v>
      <v>5</v>
      <v>5</v>
      <v>5</v>
      <v>5</v>
      <v>5</v>
      <v>5</v>
      <v>5</v>
      <v>1</v>
      <v>11</v>
      <v>7</v>
      <v>9</v>
    </spb>
    <spb s="18">
      <v>from previous close</v>
      <v>from previous close</v>
      <v>GMT</v>
      <v>GMT</v>
    </spb>
    <spb s="11">
      <v>8</v>
      <v>Name</v>
    </spb>
    <spb s="19">
      <v>1</v>
      <v>1</v>
      <v>1</v>
    </spb>
  </spbData>
</supportingPropertyBags>
</file>

<file path=xl/richData/rdsupportingpropertybagstructure.xml><?xml version="1.0" encoding="utf-8"?>
<spbStructures xmlns="http://schemas.microsoft.com/office/spreadsheetml/2017/richdata2" count="2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Order" t="spba"/>
    <k n="TitleProperty" t="s"/>
  </s>
  <s>
    <k n="ExchangeID" t="spb"/>
    <k n="UniqueName" t="spb"/>
    <k n="`%ProviderInfo" t="spb"/>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UniqueName" t="spb"/>
    <k n="`%ProviderInfo" t="spb"/>
    <k n="Last update time"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3" formatCode="#,##0"/>
    </x:dxf>
    <x:dxf>
      <x:numFmt numFmtId="14" formatCode="0.00%"/>
    </x:dxf>
    <x:dxf>
      <x:numFmt numFmtId="19" formatCode="m/d/yyyy"/>
    </x:dxf>
    <x:dxf>
      <x:numFmt numFmtId="27" formatCode="m/d/yyyy\ h:mm"/>
    </x:dxf>
    <x:dxf>
      <x:numFmt numFmtId="2" formatCode="0.00"/>
    </x:dxf>
    <x:dxf>
      <x:numFmt numFmtId="4" formatCode="#,##0.00"/>
    </x:dxf>
    <x:dxf>
      <x:numFmt numFmtId="1" formatCode="0"/>
    </x:dxf>
  </dxfs>
  <richProperties>
    <rPr n="NumberFormat" t="s"/>
    <rPr n="IsTitleField" t="b"/>
    <rPr n="IsHeroField" t="b"/>
  </richProperties>
  <richStyles>
    <rSty dxfid="0">
      <rpv i="0" xml:space="preserve">_ [$₹-as-IN] * #,##0.00_ ;_ [$₹-as-IN] * -#,##0.00_ ;_ [$₹-as-IN] * "-"??_ ;_ @_ </rpv>
    </rSty>
    <rSty dxfid="6">
      <rpv i="0">#,##0.00</rpv>
    </rSty>
    <rSty>
      <rpv i="1">1</rpv>
    </rSty>
    <rSty dxfid="1">
      <rpv i="0">#,##0</rpv>
    </rSty>
    <rSty dxfid="2"/>
    <rSty dxfid="0">
      <rpv i="0" xml:space="preserve">_ [$₹-as-IN] * #,##0_ ;_ [$₹-as-IN] * -#,##0_ ;_ [$₹-as-IN] * "-"_ ;_ @_ </rpv>
    </rSty>
    <rSty dxfid="4"/>
    <rSty dxfid="7">
      <rpv i="0">0</rpv>
    </rSty>
    <rSty dxfid="5">
      <rpv i="0">0.00</rpv>
    </rSty>
    <rSty>
      <rpv i="2">1</rpv>
    </rSty>
    <rSty dxfid="3"/>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0B237-D3AE-4DCC-A16A-D974482B668D}">
  <sheetPr>
    <pageSetUpPr autoPageBreaks="0"/>
  </sheetPr>
  <dimension ref="A2:W577"/>
  <sheetViews>
    <sheetView zoomScale="90" zoomScaleNormal="90" workbookViewId="0">
      <pane xSplit="2" ySplit="2" topLeftCell="C558" activePane="bottomRight" state="frozen"/>
      <selection activeCell="I263" sqref="I263"/>
      <selection pane="topRight" activeCell="I263" sqref="I263"/>
      <selection pane="bottomLeft" activeCell="I263" sqref="I263"/>
      <selection pane="bottomRight" activeCell="B572" sqref="B572"/>
    </sheetView>
  </sheetViews>
  <sheetFormatPr defaultColWidth="14.28515625" defaultRowHeight="15" x14ac:dyDescent="0.3"/>
  <cols>
    <col min="1" max="1" width="14.28515625" style="124"/>
    <col min="2" max="2" width="71.7109375" style="124" bestFit="1" customWidth="1"/>
    <col min="3" max="3" width="11" style="124" bestFit="1" customWidth="1"/>
    <col min="4" max="4" width="10.140625" style="124" bestFit="1" customWidth="1"/>
    <col min="5" max="5" width="11.7109375" style="124" bestFit="1" customWidth="1"/>
    <col min="6" max="6" width="14" style="124" bestFit="1" customWidth="1"/>
    <col min="7" max="7" width="14.7109375" style="124" bestFit="1" customWidth="1"/>
    <col min="8" max="8" width="16.140625" style="124" bestFit="1" customWidth="1"/>
    <col min="9" max="9" width="17.7109375" style="124" bestFit="1" customWidth="1"/>
    <col min="10" max="10" width="19.140625" style="124" bestFit="1" customWidth="1"/>
    <col min="11" max="11" width="19.140625" style="124" customWidth="1"/>
    <col min="12" max="12" width="11.28515625" style="124" bestFit="1" customWidth="1"/>
    <col min="13" max="13" width="17.140625" style="124" bestFit="1" customWidth="1"/>
    <col min="14" max="14" width="20.42578125" style="124" bestFit="1" customWidth="1"/>
    <col min="15" max="15" width="11" style="124" bestFit="1" customWidth="1"/>
    <col min="16" max="16" width="18" style="124" bestFit="1" customWidth="1"/>
    <col min="17" max="18" width="14.5703125" style="124" bestFit="1" customWidth="1"/>
    <col min="19" max="19" width="14.42578125" style="135" bestFit="1" customWidth="1"/>
    <col min="20" max="20" width="14.42578125" style="124" bestFit="1" customWidth="1"/>
    <col min="21" max="22" width="14.42578125" style="124" customWidth="1"/>
    <col min="23" max="23" width="21" style="124" bestFit="1" customWidth="1"/>
    <col min="24" max="258" width="14.28515625" style="124"/>
    <col min="259" max="259" width="12.5703125" style="124" bestFit="1" customWidth="1"/>
    <col min="260" max="260" width="11" style="124" bestFit="1" customWidth="1"/>
    <col min="261" max="261" width="10.140625" style="124" bestFit="1" customWidth="1"/>
    <col min="262" max="262" width="11.7109375" style="124" bestFit="1" customWidth="1"/>
    <col min="263" max="263" width="14" style="124" bestFit="1" customWidth="1"/>
    <col min="264" max="264" width="14.7109375" style="124" bestFit="1" customWidth="1"/>
    <col min="265" max="265" width="16.140625" style="124" bestFit="1" customWidth="1"/>
    <col min="266" max="266" width="12.7109375" style="124" bestFit="1" customWidth="1"/>
    <col min="267" max="267" width="19.140625" style="124" bestFit="1" customWidth="1"/>
    <col min="268" max="268" width="11.28515625" style="124" bestFit="1" customWidth="1"/>
    <col min="269" max="269" width="17.140625" style="124" bestFit="1" customWidth="1"/>
    <col min="270" max="270" width="20.42578125" style="124" bestFit="1" customWidth="1"/>
    <col min="271" max="271" width="11" style="124" bestFit="1" customWidth="1"/>
    <col min="272" max="272" width="18" style="124" bestFit="1" customWidth="1"/>
    <col min="273" max="274" width="14.5703125" style="124" bestFit="1" customWidth="1"/>
    <col min="275" max="276" width="14.42578125" style="124" bestFit="1" customWidth="1"/>
    <col min="277" max="278" width="14.42578125" style="124" customWidth="1"/>
    <col min="279" max="279" width="14.42578125" style="124" bestFit="1" customWidth="1"/>
    <col min="280" max="514" width="14.28515625" style="124"/>
    <col min="515" max="515" width="12.5703125" style="124" bestFit="1" customWidth="1"/>
    <col min="516" max="516" width="11" style="124" bestFit="1" customWidth="1"/>
    <col min="517" max="517" width="10.140625" style="124" bestFit="1" customWidth="1"/>
    <col min="518" max="518" width="11.7109375" style="124" bestFit="1" customWidth="1"/>
    <col min="519" max="519" width="14" style="124" bestFit="1" customWidth="1"/>
    <col min="520" max="520" width="14.7109375" style="124" bestFit="1" customWidth="1"/>
    <col min="521" max="521" width="16.140625" style="124" bestFit="1" customWidth="1"/>
    <col min="522" max="522" width="12.7109375" style="124" bestFit="1" customWidth="1"/>
    <col min="523" max="523" width="19.140625" style="124" bestFit="1" customWidth="1"/>
    <col min="524" max="524" width="11.28515625" style="124" bestFit="1" customWidth="1"/>
    <col min="525" max="525" width="17.140625" style="124" bestFit="1" customWidth="1"/>
    <col min="526" max="526" width="20.42578125" style="124" bestFit="1" customWidth="1"/>
    <col min="527" max="527" width="11" style="124" bestFit="1" customWidth="1"/>
    <col min="528" max="528" width="18" style="124" bestFit="1" customWidth="1"/>
    <col min="529" max="530" width="14.5703125" style="124" bestFit="1" customWidth="1"/>
    <col min="531" max="532" width="14.42578125" style="124" bestFit="1" customWidth="1"/>
    <col min="533" max="534" width="14.42578125" style="124" customWidth="1"/>
    <col min="535" max="535" width="14.42578125" style="124" bestFit="1" customWidth="1"/>
    <col min="536" max="770" width="14.28515625" style="124"/>
    <col min="771" max="771" width="12.5703125" style="124" bestFit="1" customWidth="1"/>
    <col min="772" max="772" width="11" style="124" bestFit="1" customWidth="1"/>
    <col min="773" max="773" width="10.140625" style="124" bestFit="1" customWidth="1"/>
    <col min="774" max="774" width="11.7109375" style="124" bestFit="1" customWidth="1"/>
    <col min="775" max="775" width="14" style="124" bestFit="1" customWidth="1"/>
    <col min="776" max="776" width="14.7109375" style="124" bestFit="1" customWidth="1"/>
    <col min="777" max="777" width="16.140625" style="124" bestFit="1" customWidth="1"/>
    <col min="778" max="778" width="12.7109375" style="124" bestFit="1" customWidth="1"/>
    <col min="779" max="779" width="19.140625" style="124" bestFit="1" customWidth="1"/>
    <col min="780" max="780" width="11.28515625" style="124" bestFit="1" customWidth="1"/>
    <col min="781" max="781" width="17.140625" style="124" bestFit="1" customWidth="1"/>
    <col min="782" max="782" width="20.42578125" style="124" bestFit="1" customWidth="1"/>
    <col min="783" max="783" width="11" style="124" bestFit="1" customWidth="1"/>
    <col min="784" max="784" width="18" style="124" bestFit="1" customWidth="1"/>
    <col min="785" max="786" width="14.5703125" style="124" bestFit="1" customWidth="1"/>
    <col min="787" max="788" width="14.42578125" style="124" bestFit="1" customWidth="1"/>
    <col min="789" max="790" width="14.42578125" style="124" customWidth="1"/>
    <col min="791" max="791" width="14.42578125" style="124" bestFit="1" customWidth="1"/>
    <col min="792" max="1026" width="14.28515625" style="124"/>
    <col min="1027" max="1027" width="12.5703125" style="124" bestFit="1" customWidth="1"/>
    <col min="1028" max="1028" width="11" style="124" bestFit="1" customWidth="1"/>
    <col min="1029" max="1029" width="10.140625" style="124" bestFit="1" customWidth="1"/>
    <col min="1030" max="1030" width="11.7109375" style="124" bestFit="1" customWidth="1"/>
    <col min="1031" max="1031" width="14" style="124" bestFit="1" customWidth="1"/>
    <col min="1032" max="1032" width="14.7109375" style="124" bestFit="1" customWidth="1"/>
    <col min="1033" max="1033" width="16.140625" style="124" bestFit="1" customWidth="1"/>
    <col min="1034" max="1034" width="12.7109375" style="124" bestFit="1" customWidth="1"/>
    <col min="1035" max="1035" width="19.140625" style="124" bestFit="1" customWidth="1"/>
    <col min="1036" max="1036" width="11.28515625" style="124" bestFit="1" customWidth="1"/>
    <col min="1037" max="1037" width="17.140625" style="124" bestFit="1" customWidth="1"/>
    <col min="1038" max="1038" width="20.42578125" style="124" bestFit="1" customWidth="1"/>
    <col min="1039" max="1039" width="11" style="124" bestFit="1" customWidth="1"/>
    <col min="1040" max="1040" width="18" style="124" bestFit="1" customWidth="1"/>
    <col min="1041" max="1042" width="14.5703125" style="124" bestFit="1" customWidth="1"/>
    <col min="1043" max="1044" width="14.42578125" style="124" bestFit="1" customWidth="1"/>
    <col min="1045" max="1046" width="14.42578125" style="124" customWidth="1"/>
    <col min="1047" max="1047" width="14.42578125" style="124" bestFit="1" customWidth="1"/>
    <col min="1048" max="1282" width="14.28515625" style="124"/>
    <col min="1283" max="1283" width="12.5703125" style="124" bestFit="1" customWidth="1"/>
    <col min="1284" max="1284" width="11" style="124" bestFit="1" customWidth="1"/>
    <col min="1285" max="1285" width="10.140625" style="124" bestFit="1" customWidth="1"/>
    <col min="1286" max="1286" width="11.7109375" style="124" bestFit="1" customWidth="1"/>
    <col min="1287" max="1287" width="14" style="124" bestFit="1" customWidth="1"/>
    <col min="1288" max="1288" width="14.7109375" style="124" bestFit="1" customWidth="1"/>
    <col min="1289" max="1289" width="16.140625" style="124" bestFit="1" customWidth="1"/>
    <col min="1290" max="1290" width="12.7109375" style="124" bestFit="1" customWidth="1"/>
    <col min="1291" max="1291" width="19.140625" style="124" bestFit="1" customWidth="1"/>
    <col min="1292" max="1292" width="11.28515625" style="124" bestFit="1" customWidth="1"/>
    <col min="1293" max="1293" width="17.140625" style="124" bestFit="1" customWidth="1"/>
    <col min="1294" max="1294" width="20.42578125" style="124" bestFit="1" customWidth="1"/>
    <col min="1295" max="1295" width="11" style="124" bestFit="1" customWidth="1"/>
    <col min="1296" max="1296" width="18" style="124" bestFit="1" customWidth="1"/>
    <col min="1297" max="1298" width="14.5703125" style="124" bestFit="1" customWidth="1"/>
    <col min="1299" max="1300" width="14.42578125" style="124" bestFit="1" customWidth="1"/>
    <col min="1301" max="1302" width="14.42578125" style="124" customWidth="1"/>
    <col min="1303" max="1303" width="14.42578125" style="124" bestFit="1" customWidth="1"/>
    <col min="1304" max="1538" width="14.28515625" style="124"/>
    <col min="1539" max="1539" width="12.5703125" style="124" bestFit="1" customWidth="1"/>
    <col min="1540" max="1540" width="11" style="124" bestFit="1" customWidth="1"/>
    <col min="1541" max="1541" width="10.140625" style="124" bestFit="1" customWidth="1"/>
    <col min="1542" max="1542" width="11.7109375" style="124" bestFit="1" customWidth="1"/>
    <col min="1543" max="1543" width="14" style="124" bestFit="1" customWidth="1"/>
    <col min="1544" max="1544" width="14.7109375" style="124" bestFit="1" customWidth="1"/>
    <col min="1545" max="1545" width="16.140625" style="124" bestFit="1" customWidth="1"/>
    <col min="1546" max="1546" width="12.7109375" style="124" bestFit="1" customWidth="1"/>
    <col min="1547" max="1547" width="19.140625" style="124" bestFit="1" customWidth="1"/>
    <col min="1548" max="1548" width="11.28515625" style="124" bestFit="1" customWidth="1"/>
    <col min="1549" max="1549" width="17.140625" style="124" bestFit="1" customWidth="1"/>
    <col min="1550" max="1550" width="20.42578125" style="124" bestFit="1" customWidth="1"/>
    <col min="1551" max="1551" width="11" style="124" bestFit="1" customWidth="1"/>
    <col min="1552" max="1552" width="18" style="124" bestFit="1" customWidth="1"/>
    <col min="1553" max="1554" width="14.5703125" style="124" bestFit="1" customWidth="1"/>
    <col min="1555" max="1556" width="14.42578125" style="124" bestFit="1" customWidth="1"/>
    <col min="1557" max="1558" width="14.42578125" style="124" customWidth="1"/>
    <col min="1559" max="1559" width="14.42578125" style="124" bestFit="1" customWidth="1"/>
    <col min="1560" max="1794" width="14.28515625" style="124"/>
    <col min="1795" max="1795" width="12.5703125" style="124" bestFit="1" customWidth="1"/>
    <col min="1796" max="1796" width="11" style="124" bestFit="1" customWidth="1"/>
    <col min="1797" max="1797" width="10.140625" style="124" bestFit="1" customWidth="1"/>
    <col min="1798" max="1798" width="11.7109375" style="124" bestFit="1" customWidth="1"/>
    <col min="1799" max="1799" width="14" style="124" bestFit="1" customWidth="1"/>
    <col min="1800" max="1800" width="14.7109375" style="124" bestFit="1" customWidth="1"/>
    <col min="1801" max="1801" width="16.140625" style="124" bestFit="1" customWidth="1"/>
    <col min="1802" max="1802" width="12.7109375" style="124" bestFit="1" customWidth="1"/>
    <col min="1803" max="1803" width="19.140625" style="124" bestFit="1" customWidth="1"/>
    <col min="1804" max="1804" width="11.28515625" style="124" bestFit="1" customWidth="1"/>
    <col min="1805" max="1805" width="17.140625" style="124" bestFit="1" customWidth="1"/>
    <col min="1806" max="1806" width="20.42578125" style="124" bestFit="1" customWidth="1"/>
    <col min="1807" max="1807" width="11" style="124" bestFit="1" customWidth="1"/>
    <col min="1808" max="1808" width="18" style="124" bestFit="1" customWidth="1"/>
    <col min="1809" max="1810" width="14.5703125" style="124" bestFit="1" customWidth="1"/>
    <col min="1811" max="1812" width="14.42578125" style="124" bestFit="1" customWidth="1"/>
    <col min="1813" max="1814" width="14.42578125" style="124" customWidth="1"/>
    <col min="1815" max="1815" width="14.42578125" style="124" bestFit="1" customWidth="1"/>
    <col min="1816" max="2050" width="14.28515625" style="124"/>
    <col min="2051" max="2051" width="12.5703125" style="124" bestFit="1" customWidth="1"/>
    <col min="2052" max="2052" width="11" style="124" bestFit="1" customWidth="1"/>
    <col min="2053" max="2053" width="10.140625" style="124" bestFit="1" customWidth="1"/>
    <col min="2054" max="2054" width="11.7109375" style="124" bestFit="1" customWidth="1"/>
    <col min="2055" max="2055" width="14" style="124" bestFit="1" customWidth="1"/>
    <col min="2056" max="2056" width="14.7109375" style="124" bestFit="1" customWidth="1"/>
    <col min="2057" max="2057" width="16.140625" style="124" bestFit="1" customWidth="1"/>
    <col min="2058" max="2058" width="12.7109375" style="124" bestFit="1" customWidth="1"/>
    <col min="2059" max="2059" width="19.140625" style="124" bestFit="1" customWidth="1"/>
    <col min="2060" max="2060" width="11.28515625" style="124" bestFit="1" customWidth="1"/>
    <col min="2061" max="2061" width="17.140625" style="124" bestFit="1" customWidth="1"/>
    <col min="2062" max="2062" width="20.42578125" style="124" bestFit="1" customWidth="1"/>
    <col min="2063" max="2063" width="11" style="124" bestFit="1" customWidth="1"/>
    <col min="2064" max="2064" width="18" style="124" bestFit="1" customWidth="1"/>
    <col min="2065" max="2066" width="14.5703125" style="124" bestFit="1" customWidth="1"/>
    <col min="2067" max="2068" width="14.42578125" style="124" bestFit="1" customWidth="1"/>
    <col min="2069" max="2070" width="14.42578125" style="124" customWidth="1"/>
    <col min="2071" max="2071" width="14.42578125" style="124" bestFit="1" customWidth="1"/>
    <col min="2072" max="2306" width="14.28515625" style="124"/>
    <col min="2307" max="2307" width="12.5703125" style="124" bestFit="1" customWidth="1"/>
    <col min="2308" max="2308" width="11" style="124" bestFit="1" customWidth="1"/>
    <col min="2309" max="2309" width="10.140625" style="124" bestFit="1" customWidth="1"/>
    <col min="2310" max="2310" width="11.7109375" style="124" bestFit="1" customWidth="1"/>
    <col min="2311" max="2311" width="14" style="124" bestFit="1" customWidth="1"/>
    <col min="2312" max="2312" width="14.7109375" style="124" bestFit="1" customWidth="1"/>
    <col min="2313" max="2313" width="16.140625" style="124" bestFit="1" customWidth="1"/>
    <col min="2314" max="2314" width="12.7109375" style="124" bestFit="1" customWidth="1"/>
    <col min="2315" max="2315" width="19.140625" style="124" bestFit="1" customWidth="1"/>
    <col min="2316" max="2316" width="11.28515625" style="124" bestFit="1" customWidth="1"/>
    <col min="2317" max="2317" width="17.140625" style="124" bestFit="1" customWidth="1"/>
    <col min="2318" max="2318" width="20.42578125" style="124" bestFit="1" customWidth="1"/>
    <col min="2319" max="2319" width="11" style="124" bestFit="1" customWidth="1"/>
    <col min="2320" max="2320" width="18" style="124" bestFit="1" customWidth="1"/>
    <col min="2321" max="2322" width="14.5703125" style="124" bestFit="1" customWidth="1"/>
    <col min="2323" max="2324" width="14.42578125" style="124" bestFit="1" customWidth="1"/>
    <col min="2325" max="2326" width="14.42578125" style="124" customWidth="1"/>
    <col min="2327" max="2327" width="14.42578125" style="124" bestFit="1" customWidth="1"/>
    <col min="2328" max="2562" width="14.28515625" style="124"/>
    <col min="2563" max="2563" width="12.5703125" style="124" bestFit="1" customWidth="1"/>
    <col min="2564" max="2564" width="11" style="124" bestFit="1" customWidth="1"/>
    <col min="2565" max="2565" width="10.140625" style="124" bestFit="1" customWidth="1"/>
    <col min="2566" max="2566" width="11.7109375" style="124" bestFit="1" customWidth="1"/>
    <col min="2567" max="2567" width="14" style="124" bestFit="1" customWidth="1"/>
    <col min="2568" max="2568" width="14.7109375" style="124" bestFit="1" customWidth="1"/>
    <col min="2569" max="2569" width="16.140625" style="124" bestFit="1" customWidth="1"/>
    <col min="2570" max="2570" width="12.7109375" style="124" bestFit="1" customWidth="1"/>
    <col min="2571" max="2571" width="19.140625" style="124" bestFit="1" customWidth="1"/>
    <col min="2572" max="2572" width="11.28515625" style="124" bestFit="1" customWidth="1"/>
    <col min="2573" max="2573" width="17.140625" style="124" bestFit="1" customWidth="1"/>
    <col min="2574" max="2574" width="20.42578125" style="124" bestFit="1" customWidth="1"/>
    <col min="2575" max="2575" width="11" style="124" bestFit="1" customWidth="1"/>
    <col min="2576" max="2576" width="18" style="124" bestFit="1" customWidth="1"/>
    <col min="2577" max="2578" width="14.5703125" style="124" bestFit="1" customWidth="1"/>
    <col min="2579" max="2580" width="14.42578125" style="124" bestFit="1" customWidth="1"/>
    <col min="2581" max="2582" width="14.42578125" style="124" customWidth="1"/>
    <col min="2583" max="2583" width="14.42578125" style="124" bestFit="1" customWidth="1"/>
    <col min="2584" max="2818" width="14.28515625" style="124"/>
    <col min="2819" max="2819" width="12.5703125" style="124" bestFit="1" customWidth="1"/>
    <col min="2820" max="2820" width="11" style="124" bestFit="1" customWidth="1"/>
    <col min="2821" max="2821" width="10.140625" style="124" bestFit="1" customWidth="1"/>
    <col min="2822" max="2822" width="11.7109375" style="124" bestFit="1" customWidth="1"/>
    <col min="2823" max="2823" width="14" style="124" bestFit="1" customWidth="1"/>
    <col min="2824" max="2824" width="14.7109375" style="124" bestFit="1" customWidth="1"/>
    <col min="2825" max="2825" width="16.140625" style="124" bestFit="1" customWidth="1"/>
    <col min="2826" max="2826" width="12.7109375" style="124" bestFit="1" customWidth="1"/>
    <col min="2827" max="2827" width="19.140625" style="124" bestFit="1" customWidth="1"/>
    <col min="2828" max="2828" width="11.28515625" style="124" bestFit="1" customWidth="1"/>
    <col min="2829" max="2829" width="17.140625" style="124" bestFit="1" customWidth="1"/>
    <col min="2830" max="2830" width="20.42578125" style="124" bestFit="1" customWidth="1"/>
    <col min="2831" max="2831" width="11" style="124" bestFit="1" customWidth="1"/>
    <col min="2832" max="2832" width="18" style="124" bestFit="1" customWidth="1"/>
    <col min="2833" max="2834" width="14.5703125" style="124" bestFit="1" customWidth="1"/>
    <col min="2835" max="2836" width="14.42578125" style="124" bestFit="1" customWidth="1"/>
    <col min="2837" max="2838" width="14.42578125" style="124" customWidth="1"/>
    <col min="2839" max="2839" width="14.42578125" style="124" bestFit="1" customWidth="1"/>
    <col min="2840" max="3074" width="14.28515625" style="124"/>
    <col min="3075" max="3075" width="12.5703125" style="124" bestFit="1" customWidth="1"/>
    <col min="3076" max="3076" width="11" style="124" bestFit="1" customWidth="1"/>
    <col min="3077" max="3077" width="10.140625" style="124" bestFit="1" customWidth="1"/>
    <col min="3078" max="3078" width="11.7109375" style="124" bestFit="1" customWidth="1"/>
    <col min="3079" max="3079" width="14" style="124" bestFit="1" customWidth="1"/>
    <col min="3080" max="3080" width="14.7109375" style="124" bestFit="1" customWidth="1"/>
    <col min="3081" max="3081" width="16.140625" style="124" bestFit="1" customWidth="1"/>
    <col min="3082" max="3082" width="12.7109375" style="124" bestFit="1" customWidth="1"/>
    <col min="3083" max="3083" width="19.140625" style="124" bestFit="1" customWidth="1"/>
    <col min="3084" max="3084" width="11.28515625" style="124" bestFit="1" customWidth="1"/>
    <col min="3085" max="3085" width="17.140625" style="124" bestFit="1" customWidth="1"/>
    <col min="3086" max="3086" width="20.42578125" style="124" bestFit="1" customWidth="1"/>
    <col min="3087" max="3087" width="11" style="124" bestFit="1" customWidth="1"/>
    <col min="3088" max="3088" width="18" style="124" bestFit="1" customWidth="1"/>
    <col min="3089" max="3090" width="14.5703125" style="124" bestFit="1" customWidth="1"/>
    <col min="3091" max="3092" width="14.42578125" style="124" bestFit="1" customWidth="1"/>
    <col min="3093" max="3094" width="14.42578125" style="124" customWidth="1"/>
    <col min="3095" max="3095" width="14.42578125" style="124" bestFit="1" customWidth="1"/>
    <col min="3096" max="3330" width="14.28515625" style="124"/>
    <col min="3331" max="3331" width="12.5703125" style="124" bestFit="1" customWidth="1"/>
    <col min="3332" max="3332" width="11" style="124" bestFit="1" customWidth="1"/>
    <col min="3333" max="3333" width="10.140625" style="124" bestFit="1" customWidth="1"/>
    <col min="3334" max="3334" width="11.7109375" style="124" bestFit="1" customWidth="1"/>
    <col min="3335" max="3335" width="14" style="124" bestFit="1" customWidth="1"/>
    <col min="3336" max="3336" width="14.7109375" style="124" bestFit="1" customWidth="1"/>
    <col min="3337" max="3337" width="16.140625" style="124" bestFit="1" customWidth="1"/>
    <col min="3338" max="3338" width="12.7109375" style="124" bestFit="1" customWidth="1"/>
    <col min="3339" max="3339" width="19.140625" style="124" bestFit="1" customWidth="1"/>
    <col min="3340" max="3340" width="11.28515625" style="124" bestFit="1" customWidth="1"/>
    <col min="3341" max="3341" width="17.140625" style="124" bestFit="1" customWidth="1"/>
    <col min="3342" max="3342" width="20.42578125" style="124" bestFit="1" customWidth="1"/>
    <col min="3343" max="3343" width="11" style="124" bestFit="1" customWidth="1"/>
    <col min="3344" max="3344" width="18" style="124" bestFit="1" customWidth="1"/>
    <col min="3345" max="3346" width="14.5703125" style="124" bestFit="1" customWidth="1"/>
    <col min="3347" max="3348" width="14.42578125" style="124" bestFit="1" customWidth="1"/>
    <col min="3349" max="3350" width="14.42578125" style="124" customWidth="1"/>
    <col min="3351" max="3351" width="14.42578125" style="124" bestFit="1" customWidth="1"/>
    <col min="3352" max="3586" width="14.28515625" style="124"/>
    <col min="3587" max="3587" width="12.5703125" style="124" bestFit="1" customWidth="1"/>
    <col min="3588" max="3588" width="11" style="124" bestFit="1" customWidth="1"/>
    <col min="3589" max="3589" width="10.140625" style="124" bestFit="1" customWidth="1"/>
    <col min="3590" max="3590" width="11.7109375" style="124" bestFit="1" customWidth="1"/>
    <col min="3591" max="3591" width="14" style="124" bestFit="1" customWidth="1"/>
    <col min="3592" max="3592" width="14.7109375" style="124" bestFit="1" customWidth="1"/>
    <col min="3593" max="3593" width="16.140625" style="124" bestFit="1" customWidth="1"/>
    <col min="3594" max="3594" width="12.7109375" style="124" bestFit="1" customWidth="1"/>
    <col min="3595" max="3595" width="19.140625" style="124" bestFit="1" customWidth="1"/>
    <col min="3596" max="3596" width="11.28515625" style="124" bestFit="1" customWidth="1"/>
    <col min="3597" max="3597" width="17.140625" style="124" bestFit="1" customWidth="1"/>
    <col min="3598" max="3598" width="20.42578125" style="124" bestFit="1" customWidth="1"/>
    <col min="3599" max="3599" width="11" style="124" bestFit="1" customWidth="1"/>
    <col min="3600" max="3600" width="18" style="124" bestFit="1" customWidth="1"/>
    <col min="3601" max="3602" width="14.5703125" style="124" bestFit="1" customWidth="1"/>
    <col min="3603" max="3604" width="14.42578125" style="124" bestFit="1" customWidth="1"/>
    <col min="3605" max="3606" width="14.42578125" style="124" customWidth="1"/>
    <col min="3607" max="3607" width="14.42578125" style="124" bestFit="1" customWidth="1"/>
    <col min="3608" max="3842" width="14.28515625" style="124"/>
    <col min="3843" max="3843" width="12.5703125" style="124" bestFit="1" customWidth="1"/>
    <col min="3844" max="3844" width="11" style="124" bestFit="1" customWidth="1"/>
    <col min="3845" max="3845" width="10.140625" style="124" bestFit="1" customWidth="1"/>
    <col min="3846" max="3846" width="11.7109375" style="124" bestFit="1" customWidth="1"/>
    <col min="3847" max="3847" width="14" style="124" bestFit="1" customWidth="1"/>
    <col min="3848" max="3848" width="14.7109375" style="124" bestFit="1" customWidth="1"/>
    <col min="3849" max="3849" width="16.140625" style="124" bestFit="1" customWidth="1"/>
    <col min="3850" max="3850" width="12.7109375" style="124" bestFit="1" customWidth="1"/>
    <col min="3851" max="3851" width="19.140625" style="124" bestFit="1" customWidth="1"/>
    <col min="3852" max="3852" width="11.28515625" style="124" bestFit="1" customWidth="1"/>
    <col min="3853" max="3853" width="17.140625" style="124" bestFit="1" customWidth="1"/>
    <col min="3854" max="3854" width="20.42578125" style="124" bestFit="1" customWidth="1"/>
    <col min="3855" max="3855" width="11" style="124" bestFit="1" customWidth="1"/>
    <col min="3856" max="3856" width="18" style="124" bestFit="1" customWidth="1"/>
    <col min="3857" max="3858" width="14.5703125" style="124" bestFit="1" customWidth="1"/>
    <col min="3859" max="3860" width="14.42578125" style="124" bestFit="1" customWidth="1"/>
    <col min="3861" max="3862" width="14.42578125" style="124" customWidth="1"/>
    <col min="3863" max="3863" width="14.42578125" style="124" bestFit="1" customWidth="1"/>
    <col min="3864" max="4098" width="14.28515625" style="124"/>
    <col min="4099" max="4099" width="12.5703125" style="124" bestFit="1" customWidth="1"/>
    <col min="4100" max="4100" width="11" style="124" bestFit="1" customWidth="1"/>
    <col min="4101" max="4101" width="10.140625" style="124" bestFit="1" customWidth="1"/>
    <col min="4102" max="4102" width="11.7109375" style="124" bestFit="1" customWidth="1"/>
    <col min="4103" max="4103" width="14" style="124" bestFit="1" customWidth="1"/>
    <col min="4104" max="4104" width="14.7109375" style="124" bestFit="1" customWidth="1"/>
    <col min="4105" max="4105" width="16.140625" style="124" bestFit="1" customWidth="1"/>
    <col min="4106" max="4106" width="12.7109375" style="124" bestFit="1" customWidth="1"/>
    <col min="4107" max="4107" width="19.140625" style="124" bestFit="1" customWidth="1"/>
    <col min="4108" max="4108" width="11.28515625" style="124" bestFit="1" customWidth="1"/>
    <col min="4109" max="4109" width="17.140625" style="124" bestFit="1" customWidth="1"/>
    <col min="4110" max="4110" width="20.42578125" style="124" bestFit="1" customWidth="1"/>
    <col min="4111" max="4111" width="11" style="124" bestFit="1" customWidth="1"/>
    <col min="4112" max="4112" width="18" style="124" bestFit="1" customWidth="1"/>
    <col min="4113" max="4114" width="14.5703125" style="124" bestFit="1" customWidth="1"/>
    <col min="4115" max="4116" width="14.42578125" style="124" bestFit="1" customWidth="1"/>
    <col min="4117" max="4118" width="14.42578125" style="124" customWidth="1"/>
    <col min="4119" max="4119" width="14.42578125" style="124" bestFit="1" customWidth="1"/>
    <col min="4120" max="4354" width="14.28515625" style="124"/>
    <col min="4355" max="4355" width="12.5703125" style="124" bestFit="1" customWidth="1"/>
    <col min="4356" max="4356" width="11" style="124" bestFit="1" customWidth="1"/>
    <col min="4357" max="4357" width="10.140625" style="124" bestFit="1" customWidth="1"/>
    <col min="4358" max="4358" width="11.7109375" style="124" bestFit="1" customWidth="1"/>
    <col min="4359" max="4359" width="14" style="124" bestFit="1" customWidth="1"/>
    <col min="4360" max="4360" width="14.7109375" style="124" bestFit="1" customWidth="1"/>
    <col min="4361" max="4361" width="16.140625" style="124" bestFit="1" customWidth="1"/>
    <col min="4362" max="4362" width="12.7109375" style="124" bestFit="1" customWidth="1"/>
    <col min="4363" max="4363" width="19.140625" style="124" bestFit="1" customWidth="1"/>
    <col min="4364" max="4364" width="11.28515625" style="124" bestFit="1" customWidth="1"/>
    <col min="4365" max="4365" width="17.140625" style="124" bestFit="1" customWidth="1"/>
    <col min="4366" max="4366" width="20.42578125" style="124" bestFit="1" customWidth="1"/>
    <col min="4367" max="4367" width="11" style="124" bestFit="1" customWidth="1"/>
    <col min="4368" max="4368" width="18" style="124" bestFit="1" customWidth="1"/>
    <col min="4369" max="4370" width="14.5703125" style="124" bestFit="1" customWidth="1"/>
    <col min="4371" max="4372" width="14.42578125" style="124" bestFit="1" customWidth="1"/>
    <col min="4373" max="4374" width="14.42578125" style="124" customWidth="1"/>
    <col min="4375" max="4375" width="14.42578125" style="124" bestFit="1" customWidth="1"/>
    <col min="4376" max="4610" width="14.28515625" style="124"/>
    <col min="4611" max="4611" width="12.5703125" style="124" bestFit="1" customWidth="1"/>
    <col min="4612" max="4612" width="11" style="124" bestFit="1" customWidth="1"/>
    <col min="4613" max="4613" width="10.140625" style="124" bestFit="1" customWidth="1"/>
    <col min="4614" max="4614" width="11.7109375" style="124" bestFit="1" customWidth="1"/>
    <col min="4615" max="4615" width="14" style="124" bestFit="1" customWidth="1"/>
    <col min="4616" max="4616" width="14.7109375" style="124" bestFit="1" customWidth="1"/>
    <col min="4617" max="4617" width="16.140625" style="124" bestFit="1" customWidth="1"/>
    <col min="4618" max="4618" width="12.7109375" style="124" bestFit="1" customWidth="1"/>
    <col min="4619" max="4619" width="19.140625" style="124" bestFit="1" customWidth="1"/>
    <col min="4620" max="4620" width="11.28515625" style="124" bestFit="1" customWidth="1"/>
    <col min="4621" max="4621" width="17.140625" style="124" bestFit="1" customWidth="1"/>
    <col min="4622" max="4622" width="20.42578125" style="124" bestFit="1" customWidth="1"/>
    <col min="4623" max="4623" width="11" style="124" bestFit="1" customWidth="1"/>
    <col min="4624" max="4624" width="18" style="124" bestFit="1" customWidth="1"/>
    <col min="4625" max="4626" width="14.5703125" style="124" bestFit="1" customWidth="1"/>
    <col min="4627" max="4628" width="14.42578125" style="124" bestFit="1" customWidth="1"/>
    <col min="4629" max="4630" width="14.42578125" style="124" customWidth="1"/>
    <col min="4631" max="4631" width="14.42578125" style="124" bestFit="1" customWidth="1"/>
    <col min="4632" max="4866" width="14.28515625" style="124"/>
    <col min="4867" max="4867" width="12.5703125" style="124" bestFit="1" customWidth="1"/>
    <col min="4868" max="4868" width="11" style="124" bestFit="1" customWidth="1"/>
    <col min="4869" max="4869" width="10.140625" style="124" bestFit="1" customWidth="1"/>
    <col min="4870" max="4870" width="11.7109375" style="124" bestFit="1" customWidth="1"/>
    <col min="4871" max="4871" width="14" style="124" bestFit="1" customWidth="1"/>
    <col min="4872" max="4872" width="14.7109375" style="124" bestFit="1" customWidth="1"/>
    <col min="4873" max="4873" width="16.140625" style="124" bestFit="1" customWidth="1"/>
    <col min="4874" max="4874" width="12.7109375" style="124" bestFit="1" customWidth="1"/>
    <col min="4875" max="4875" width="19.140625" style="124" bestFit="1" customWidth="1"/>
    <col min="4876" max="4876" width="11.28515625" style="124" bestFit="1" customWidth="1"/>
    <col min="4877" max="4877" width="17.140625" style="124" bestFit="1" customWidth="1"/>
    <col min="4878" max="4878" width="20.42578125" style="124" bestFit="1" customWidth="1"/>
    <col min="4879" max="4879" width="11" style="124" bestFit="1" customWidth="1"/>
    <col min="4880" max="4880" width="18" style="124" bestFit="1" customWidth="1"/>
    <col min="4881" max="4882" width="14.5703125" style="124" bestFit="1" customWidth="1"/>
    <col min="4883" max="4884" width="14.42578125" style="124" bestFit="1" customWidth="1"/>
    <col min="4885" max="4886" width="14.42578125" style="124" customWidth="1"/>
    <col min="4887" max="4887" width="14.42578125" style="124" bestFit="1" customWidth="1"/>
    <col min="4888" max="5122" width="14.28515625" style="124"/>
    <col min="5123" max="5123" width="12.5703125" style="124" bestFit="1" customWidth="1"/>
    <col min="5124" max="5124" width="11" style="124" bestFit="1" customWidth="1"/>
    <col min="5125" max="5125" width="10.140625" style="124" bestFit="1" customWidth="1"/>
    <col min="5126" max="5126" width="11.7109375" style="124" bestFit="1" customWidth="1"/>
    <col min="5127" max="5127" width="14" style="124" bestFit="1" customWidth="1"/>
    <col min="5128" max="5128" width="14.7109375" style="124" bestFit="1" customWidth="1"/>
    <col min="5129" max="5129" width="16.140625" style="124" bestFit="1" customWidth="1"/>
    <col min="5130" max="5130" width="12.7109375" style="124" bestFit="1" customWidth="1"/>
    <col min="5131" max="5131" width="19.140625" style="124" bestFit="1" customWidth="1"/>
    <col min="5132" max="5132" width="11.28515625" style="124" bestFit="1" customWidth="1"/>
    <col min="5133" max="5133" width="17.140625" style="124" bestFit="1" customWidth="1"/>
    <col min="5134" max="5134" width="20.42578125" style="124" bestFit="1" customWidth="1"/>
    <col min="5135" max="5135" width="11" style="124" bestFit="1" customWidth="1"/>
    <col min="5136" max="5136" width="18" style="124" bestFit="1" customWidth="1"/>
    <col min="5137" max="5138" width="14.5703125" style="124" bestFit="1" customWidth="1"/>
    <col min="5139" max="5140" width="14.42578125" style="124" bestFit="1" customWidth="1"/>
    <col min="5141" max="5142" width="14.42578125" style="124" customWidth="1"/>
    <col min="5143" max="5143" width="14.42578125" style="124" bestFit="1" customWidth="1"/>
    <col min="5144" max="5378" width="14.28515625" style="124"/>
    <col min="5379" max="5379" width="12.5703125" style="124" bestFit="1" customWidth="1"/>
    <col min="5380" max="5380" width="11" style="124" bestFit="1" customWidth="1"/>
    <col min="5381" max="5381" width="10.140625" style="124" bestFit="1" customWidth="1"/>
    <col min="5382" max="5382" width="11.7109375" style="124" bestFit="1" customWidth="1"/>
    <col min="5383" max="5383" width="14" style="124" bestFit="1" customWidth="1"/>
    <col min="5384" max="5384" width="14.7109375" style="124" bestFit="1" customWidth="1"/>
    <col min="5385" max="5385" width="16.140625" style="124" bestFit="1" customWidth="1"/>
    <col min="5386" max="5386" width="12.7109375" style="124" bestFit="1" customWidth="1"/>
    <col min="5387" max="5387" width="19.140625" style="124" bestFit="1" customWidth="1"/>
    <col min="5388" max="5388" width="11.28515625" style="124" bestFit="1" customWidth="1"/>
    <col min="5389" max="5389" width="17.140625" style="124" bestFit="1" customWidth="1"/>
    <col min="5390" max="5390" width="20.42578125" style="124" bestFit="1" customWidth="1"/>
    <col min="5391" max="5391" width="11" style="124" bestFit="1" customWidth="1"/>
    <col min="5392" max="5392" width="18" style="124" bestFit="1" customWidth="1"/>
    <col min="5393" max="5394" width="14.5703125" style="124" bestFit="1" customWidth="1"/>
    <col min="5395" max="5396" width="14.42578125" style="124" bestFit="1" customWidth="1"/>
    <col min="5397" max="5398" width="14.42578125" style="124" customWidth="1"/>
    <col min="5399" max="5399" width="14.42578125" style="124" bestFit="1" customWidth="1"/>
    <col min="5400" max="5634" width="14.28515625" style="124"/>
    <col min="5635" max="5635" width="12.5703125" style="124" bestFit="1" customWidth="1"/>
    <col min="5636" max="5636" width="11" style="124" bestFit="1" customWidth="1"/>
    <col min="5637" max="5637" width="10.140625" style="124" bestFit="1" customWidth="1"/>
    <col min="5638" max="5638" width="11.7109375" style="124" bestFit="1" customWidth="1"/>
    <col min="5639" max="5639" width="14" style="124" bestFit="1" customWidth="1"/>
    <col min="5640" max="5640" width="14.7109375" style="124" bestFit="1" customWidth="1"/>
    <col min="5641" max="5641" width="16.140625" style="124" bestFit="1" customWidth="1"/>
    <col min="5642" max="5642" width="12.7109375" style="124" bestFit="1" customWidth="1"/>
    <col min="5643" max="5643" width="19.140625" style="124" bestFit="1" customWidth="1"/>
    <col min="5644" max="5644" width="11.28515625" style="124" bestFit="1" customWidth="1"/>
    <col min="5645" max="5645" width="17.140625" style="124" bestFit="1" customWidth="1"/>
    <col min="5646" max="5646" width="20.42578125" style="124" bestFit="1" customWidth="1"/>
    <col min="5647" max="5647" width="11" style="124" bestFit="1" customWidth="1"/>
    <col min="5648" max="5648" width="18" style="124" bestFit="1" customWidth="1"/>
    <col min="5649" max="5650" width="14.5703125" style="124" bestFit="1" customWidth="1"/>
    <col min="5651" max="5652" width="14.42578125" style="124" bestFit="1" customWidth="1"/>
    <col min="5653" max="5654" width="14.42578125" style="124" customWidth="1"/>
    <col min="5655" max="5655" width="14.42578125" style="124" bestFit="1" customWidth="1"/>
    <col min="5656" max="5890" width="14.28515625" style="124"/>
    <col min="5891" max="5891" width="12.5703125" style="124" bestFit="1" customWidth="1"/>
    <col min="5892" max="5892" width="11" style="124" bestFit="1" customWidth="1"/>
    <col min="5893" max="5893" width="10.140625" style="124" bestFit="1" customWidth="1"/>
    <col min="5894" max="5894" width="11.7109375" style="124" bestFit="1" customWidth="1"/>
    <col min="5895" max="5895" width="14" style="124" bestFit="1" customWidth="1"/>
    <col min="5896" max="5896" width="14.7109375" style="124" bestFit="1" customWidth="1"/>
    <col min="5897" max="5897" width="16.140625" style="124" bestFit="1" customWidth="1"/>
    <col min="5898" max="5898" width="12.7109375" style="124" bestFit="1" customWidth="1"/>
    <col min="5899" max="5899" width="19.140625" style="124" bestFit="1" customWidth="1"/>
    <col min="5900" max="5900" width="11.28515625" style="124" bestFit="1" customWidth="1"/>
    <col min="5901" max="5901" width="17.140625" style="124" bestFit="1" customWidth="1"/>
    <col min="5902" max="5902" width="20.42578125" style="124" bestFit="1" customWidth="1"/>
    <col min="5903" max="5903" width="11" style="124" bestFit="1" customWidth="1"/>
    <col min="5904" max="5904" width="18" style="124" bestFit="1" customWidth="1"/>
    <col min="5905" max="5906" width="14.5703125" style="124" bestFit="1" customWidth="1"/>
    <col min="5907" max="5908" width="14.42578125" style="124" bestFit="1" customWidth="1"/>
    <col min="5909" max="5910" width="14.42578125" style="124" customWidth="1"/>
    <col min="5911" max="5911" width="14.42578125" style="124" bestFit="1" customWidth="1"/>
    <col min="5912" max="6146" width="14.28515625" style="124"/>
    <col min="6147" max="6147" width="12.5703125" style="124" bestFit="1" customWidth="1"/>
    <col min="6148" max="6148" width="11" style="124" bestFit="1" customWidth="1"/>
    <col min="6149" max="6149" width="10.140625" style="124" bestFit="1" customWidth="1"/>
    <col min="6150" max="6150" width="11.7109375" style="124" bestFit="1" customWidth="1"/>
    <col min="6151" max="6151" width="14" style="124" bestFit="1" customWidth="1"/>
    <col min="6152" max="6152" width="14.7109375" style="124" bestFit="1" customWidth="1"/>
    <col min="6153" max="6153" width="16.140625" style="124" bestFit="1" customWidth="1"/>
    <col min="6154" max="6154" width="12.7109375" style="124" bestFit="1" customWidth="1"/>
    <col min="6155" max="6155" width="19.140625" style="124" bestFit="1" customWidth="1"/>
    <col min="6156" max="6156" width="11.28515625" style="124" bestFit="1" customWidth="1"/>
    <col min="6157" max="6157" width="17.140625" style="124" bestFit="1" customWidth="1"/>
    <col min="6158" max="6158" width="20.42578125" style="124" bestFit="1" customWidth="1"/>
    <col min="6159" max="6159" width="11" style="124" bestFit="1" customWidth="1"/>
    <col min="6160" max="6160" width="18" style="124" bestFit="1" customWidth="1"/>
    <col min="6161" max="6162" width="14.5703125" style="124" bestFit="1" customWidth="1"/>
    <col min="6163" max="6164" width="14.42578125" style="124" bestFit="1" customWidth="1"/>
    <col min="6165" max="6166" width="14.42578125" style="124" customWidth="1"/>
    <col min="6167" max="6167" width="14.42578125" style="124" bestFit="1" customWidth="1"/>
    <col min="6168" max="6402" width="14.28515625" style="124"/>
    <col min="6403" max="6403" width="12.5703125" style="124" bestFit="1" customWidth="1"/>
    <col min="6404" max="6404" width="11" style="124" bestFit="1" customWidth="1"/>
    <col min="6405" max="6405" width="10.140625" style="124" bestFit="1" customWidth="1"/>
    <col min="6406" max="6406" width="11.7109375" style="124" bestFit="1" customWidth="1"/>
    <col min="6407" max="6407" width="14" style="124" bestFit="1" customWidth="1"/>
    <col min="6408" max="6408" width="14.7109375" style="124" bestFit="1" customWidth="1"/>
    <col min="6409" max="6409" width="16.140625" style="124" bestFit="1" customWidth="1"/>
    <col min="6410" max="6410" width="12.7109375" style="124" bestFit="1" customWidth="1"/>
    <col min="6411" max="6411" width="19.140625" style="124" bestFit="1" customWidth="1"/>
    <col min="6412" max="6412" width="11.28515625" style="124" bestFit="1" customWidth="1"/>
    <col min="6413" max="6413" width="17.140625" style="124" bestFit="1" customWidth="1"/>
    <col min="6414" max="6414" width="20.42578125" style="124" bestFit="1" customWidth="1"/>
    <col min="6415" max="6415" width="11" style="124" bestFit="1" customWidth="1"/>
    <col min="6416" max="6416" width="18" style="124" bestFit="1" customWidth="1"/>
    <col min="6417" max="6418" width="14.5703125" style="124" bestFit="1" customWidth="1"/>
    <col min="6419" max="6420" width="14.42578125" style="124" bestFit="1" customWidth="1"/>
    <col min="6421" max="6422" width="14.42578125" style="124" customWidth="1"/>
    <col min="6423" max="6423" width="14.42578125" style="124" bestFit="1" customWidth="1"/>
    <col min="6424" max="6658" width="14.28515625" style="124"/>
    <col min="6659" max="6659" width="12.5703125" style="124" bestFit="1" customWidth="1"/>
    <col min="6660" max="6660" width="11" style="124" bestFit="1" customWidth="1"/>
    <col min="6661" max="6661" width="10.140625" style="124" bestFit="1" customWidth="1"/>
    <col min="6662" max="6662" width="11.7109375" style="124" bestFit="1" customWidth="1"/>
    <col min="6663" max="6663" width="14" style="124" bestFit="1" customWidth="1"/>
    <col min="6664" max="6664" width="14.7109375" style="124" bestFit="1" customWidth="1"/>
    <col min="6665" max="6665" width="16.140625" style="124" bestFit="1" customWidth="1"/>
    <col min="6666" max="6666" width="12.7109375" style="124" bestFit="1" customWidth="1"/>
    <col min="6667" max="6667" width="19.140625" style="124" bestFit="1" customWidth="1"/>
    <col min="6668" max="6668" width="11.28515625" style="124" bestFit="1" customWidth="1"/>
    <col min="6669" max="6669" width="17.140625" style="124" bestFit="1" customWidth="1"/>
    <col min="6670" max="6670" width="20.42578125" style="124" bestFit="1" customWidth="1"/>
    <col min="6671" max="6671" width="11" style="124" bestFit="1" customWidth="1"/>
    <col min="6672" max="6672" width="18" style="124" bestFit="1" customWidth="1"/>
    <col min="6673" max="6674" width="14.5703125" style="124" bestFit="1" customWidth="1"/>
    <col min="6675" max="6676" width="14.42578125" style="124" bestFit="1" customWidth="1"/>
    <col min="6677" max="6678" width="14.42578125" style="124" customWidth="1"/>
    <col min="6679" max="6679" width="14.42578125" style="124" bestFit="1" customWidth="1"/>
    <col min="6680" max="6914" width="14.28515625" style="124"/>
    <col min="6915" max="6915" width="12.5703125" style="124" bestFit="1" customWidth="1"/>
    <col min="6916" max="6916" width="11" style="124" bestFit="1" customWidth="1"/>
    <col min="6917" max="6917" width="10.140625" style="124" bestFit="1" customWidth="1"/>
    <col min="6918" max="6918" width="11.7109375" style="124" bestFit="1" customWidth="1"/>
    <col min="6919" max="6919" width="14" style="124" bestFit="1" customWidth="1"/>
    <col min="6920" max="6920" width="14.7109375" style="124" bestFit="1" customWidth="1"/>
    <col min="6921" max="6921" width="16.140625" style="124" bestFit="1" customWidth="1"/>
    <col min="6922" max="6922" width="12.7109375" style="124" bestFit="1" customWidth="1"/>
    <col min="6923" max="6923" width="19.140625" style="124" bestFit="1" customWidth="1"/>
    <col min="6924" max="6924" width="11.28515625" style="124" bestFit="1" customWidth="1"/>
    <col min="6925" max="6925" width="17.140625" style="124" bestFit="1" customWidth="1"/>
    <col min="6926" max="6926" width="20.42578125" style="124" bestFit="1" customWidth="1"/>
    <col min="6927" max="6927" width="11" style="124" bestFit="1" customWidth="1"/>
    <col min="6928" max="6928" width="18" style="124" bestFit="1" customWidth="1"/>
    <col min="6929" max="6930" width="14.5703125" style="124" bestFit="1" customWidth="1"/>
    <col min="6931" max="6932" width="14.42578125" style="124" bestFit="1" customWidth="1"/>
    <col min="6933" max="6934" width="14.42578125" style="124" customWidth="1"/>
    <col min="6935" max="6935" width="14.42578125" style="124" bestFit="1" customWidth="1"/>
    <col min="6936" max="7170" width="14.28515625" style="124"/>
    <col min="7171" max="7171" width="12.5703125" style="124" bestFit="1" customWidth="1"/>
    <col min="7172" max="7172" width="11" style="124" bestFit="1" customWidth="1"/>
    <col min="7173" max="7173" width="10.140625" style="124" bestFit="1" customWidth="1"/>
    <col min="7174" max="7174" width="11.7109375" style="124" bestFit="1" customWidth="1"/>
    <col min="7175" max="7175" width="14" style="124" bestFit="1" customWidth="1"/>
    <col min="7176" max="7176" width="14.7109375" style="124" bestFit="1" customWidth="1"/>
    <col min="7177" max="7177" width="16.140625" style="124" bestFit="1" customWidth="1"/>
    <col min="7178" max="7178" width="12.7109375" style="124" bestFit="1" customWidth="1"/>
    <col min="7179" max="7179" width="19.140625" style="124" bestFit="1" customWidth="1"/>
    <col min="7180" max="7180" width="11.28515625" style="124" bestFit="1" customWidth="1"/>
    <col min="7181" max="7181" width="17.140625" style="124" bestFit="1" customWidth="1"/>
    <col min="7182" max="7182" width="20.42578125" style="124" bestFit="1" customWidth="1"/>
    <col min="7183" max="7183" width="11" style="124" bestFit="1" customWidth="1"/>
    <col min="7184" max="7184" width="18" style="124" bestFit="1" customWidth="1"/>
    <col min="7185" max="7186" width="14.5703125" style="124" bestFit="1" customWidth="1"/>
    <col min="7187" max="7188" width="14.42578125" style="124" bestFit="1" customWidth="1"/>
    <col min="7189" max="7190" width="14.42578125" style="124" customWidth="1"/>
    <col min="7191" max="7191" width="14.42578125" style="124" bestFit="1" customWidth="1"/>
    <col min="7192" max="7426" width="14.28515625" style="124"/>
    <col min="7427" max="7427" width="12.5703125" style="124" bestFit="1" customWidth="1"/>
    <col min="7428" max="7428" width="11" style="124" bestFit="1" customWidth="1"/>
    <col min="7429" max="7429" width="10.140625" style="124" bestFit="1" customWidth="1"/>
    <col min="7430" max="7430" width="11.7109375" style="124" bestFit="1" customWidth="1"/>
    <col min="7431" max="7431" width="14" style="124" bestFit="1" customWidth="1"/>
    <col min="7432" max="7432" width="14.7109375" style="124" bestFit="1" customWidth="1"/>
    <col min="7433" max="7433" width="16.140625" style="124" bestFit="1" customWidth="1"/>
    <col min="7434" max="7434" width="12.7109375" style="124" bestFit="1" customWidth="1"/>
    <col min="7435" max="7435" width="19.140625" style="124" bestFit="1" customWidth="1"/>
    <col min="7436" max="7436" width="11.28515625" style="124" bestFit="1" customWidth="1"/>
    <col min="7437" max="7437" width="17.140625" style="124" bestFit="1" customWidth="1"/>
    <col min="7438" max="7438" width="20.42578125" style="124" bestFit="1" customWidth="1"/>
    <col min="7439" max="7439" width="11" style="124" bestFit="1" customWidth="1"/>
    <col min="7440" max="7440" width="18" style="124" bestFit="1" customWidth="1"/>
    <col min="7441" max="7442" width="14.5703125" style="124" bestFit="1" customWidth="1"/>
    <col min="7443" max="7444" width="14.42578125" style="124" bestFit="1" customWidth="1"/>
    <col min="7445" max="7446" width="14.42578125" style="124" customWidth="1"/>
    <col min="7447" max="7447" width="14.42578125" style="124" bestFit="1" customWidth="1"/>
    <col min="7448" max="7682" width="14.28515625" style="124"/>
    <col min="7683" max="7683" width="12.5703125" style="124" bestFit="1" customWidth="1"/>
    <col min="7684" max="7684" width="11" style="124" bestFit="1" customWidth="1"/>
    <col min="7685" max="7685" width="10.140625" style="124" bestFit="1" customWidth="1"/>
    <col min="7686" max="7686" width="11.7109375" style="124" bestFit="1" customWidth="1"/>
    <col min="7687" max="7687" width="14" style="124" bestFit="1" customWidth="1"/>
    <col min="7688" max="7688" width="14.7109375" style="124" bestFit="1" customWidth="1"/>
    <col min="7689" max="7689" width="16.140625" style="124" bestFit="1" customWidth="1"/>
    <col min="7690" max="7690" width="12.7109375" style="124" bestFit="1" customWidth="1"/>
    <col min="7691" max="7691" width="19.140625" style="124" bestFit="1" customWidth="1"/>
    <col min="7692" max="7692" width="11.28515625" style="124" bestFit="1" customWidth="1"/>
    <col min="7693" max="7693" width="17.140625" style="124" bestFit="1" customWidth="1"/>
    <col min="7694" max="7694" width="20.42578125" style="124" bestFit="1" customWidth="1"/>
    <col min="7695" max="7695" width="11" style="124" bestFit="1" customWidth="1"/>
    <col min="7696" max="7696" width="18" style="124" bestFit="1" customWidth="1"/>
    <col min="7697" max="7698" width="14.5703125" style="124" bestFit="1" customWidth="1"/>
    <col min="7699" max="7700" width="14.42578125" style="124" bestFit="1" customWidth="1"/>
    <col min="7701" max="7702" width="14.42578125" style="124" customWidth="1"/>
    <col min="7703" max="7703" width="14.42578125" style="124" bestFit="1" customWidth="1"/>
    <col min="7704" max="7938" width="14.28515625" style="124"/>
    <col min="7939" max="7939" width="12.5703125" style="124" bestFit="1" customWidth="1"/>
    <col min="7940" max="7940" width="11" style="124" bestFit="1" customWidth="1"/>
    <col min="7941" max="7941" width="10.140625" style="124" bestFit="1" customWidth="1"/>
    <col min="7942" max="7942" width="11.7109375" style="124" bestFit="1" customWidth="1"/>
    <col min="7943" max="7943" width="14" style="124" bestFit="1" customWidth="1"/>
    <col min="7944" max="7944" width="14.7109375" style="124" bestFit="1" customWidth="1"/>
    <col min="7945" max="7945" width="16.140625" style="124" bestFit="1" customWidth="1"/>
    <col min="7946" max="7946" width="12.7109375" style="124" bestFit="1" customWidth="1"/>
    <col min="7947" max="7947" width="19.140625" style="124" bestFit="1" customWidth="1"/>
    <col min="7948" max="7948" width="11.28515625" style="124" bestFit="1" customWidth="1"/>
    <col min="7949" max="7949" width="17.140625" style="124" bestFit="1" customWidth="1"/>
    <col min="7950" max="7950" width="20.42578125" style="124" bestFit="1" customWidth="1"/>
    <col min="7951" max="7951" width="11" style="124" bestFit="1" customWidth="1"/>
    <col min="7952" max="7952" width="18" style="124" bestFit="1" customWidth="1"/>
    <col min="7953" max="7954" width="14.5703125" style="124" bestFit="1" customWidth="1"/>
    <col min="7955" max="7956" width="14.42578125" style="124" bestFit="1" customWidth="1"/>
    <col min="7957" max="7958" width="14.42578125" style="124" customWidth="1"/>
    <col min="7959" max="7959" width="14.42578125" style="124" bestFit="1" customWidth="1"/>
    <col min="7960" max="8194" width="14.28515625" style="124"/>
    <col min="8195" max="8195" width="12.5703125" style="124" bestFit="1" customWidth="1"/>
    <col min="8196" max="8196" width="11" style="124" bestFit="1" customWidth="1"/>
    <col min="8197" max="8197" width="10.140625" style="124" bestFit="1" customWidth="1"/>
    <col min="8198" max="8198" width="11.7109375" style="124" bestFit="1" customWidth="1"/>
    <col min="8199" max="8199" width="14" style="124" bestFit="1" customWidth="1"/>
    <col min="8200" max="8200" width="14.7109375" style="124" bestFit="1" customWidth="1"/>
    <col min="8201" max="8201" width="16.140625" style="124" bestFit="1" customWidth="1"/>
    <col min="8202" max="8202" width="12.7109375" style="124" bestFit="1" customWidth="1"/>
    <col min="8203" max="8203" width="19.140625" style="124" bestFit="1" customWidth="1"/>
    <col min="8204" max="8204" width="11.28515625" style="124" bestFit="1" customWidth="1"/>
    <col min="8205" max="8205" width="17.140625" style="124" bestFit="1" customWidth="1"/>
    <col min="8206" max="8206" width="20.42578125" style="124" bestFit="1" customWidth="1"/>
    <col min="8207" max="8207" width="11" style="124" bestFit="1" customWidth="1"/>
    <col min="8208" max="8208" width="18" style="124" bestFit="1" customWidth="1"/>
    <col min="8209" max="8210" width="14.5703125" style="124" bestFit="1" customWidth="1"/>
    <col min="8211" max="8212" width="14.42578125" style="124" bestFit="1" customWidth="1"/>
    <col min="8213" max="8214" width="14.42578125" style="124" customWidth="1"/>
    <col min="8215" max="8215" width="14.42578125" style="124" bestFit="1" customWidth="1"/>
    <col min="8216" max="8450" width="14.28515625" style="124"/>
    <col min="8451" max="8451" width="12.5703125" style="124" bestFit="1" customWidth="1"/>
    <col min="8452" max="8452" width="11" style="124" bestFit="1" customWidth="1"/>
    <col min="8453" max="8453" width="10.140625" style="124" bestFit="1" customWidth="1"/>
    <col min="8454" max="8454" width="11.7109375" style="124" bestFit="1" customWidth="1"/>
    <col min="8455" max="8455" width="14" style="124" bestFit="1" customWidth="1"/>
    <col min="8456" max="8456" width="14.7109375" style="124" bestFit="1" customWidth="1"/>
    <col min="8457" max="8457" width="16.140625" style="124" bestFit="1" customWidth="1"/>
    <col min="8458" max="8458" width="12.7109375" style="124" bestFit="1" customWidth="1"/>
    <col min="8459" max="8459" width="19.140625" style="124" bestFit="1" customWidth="1"/>
    <col min="8460" max="8460" width="11.28515625" style="124" bestFit="1" customWidth="1"/>
    <col min="8461" max="8461" width="17.140625" style="124" bestFit="1" customWidth="1"/>
    <col min="8462" max="8462" width="20.42578125" style="124" bestFit="1" customWidth="1"/>
    <col min="8463" max="8463" width="11" style="124" bestFit="1" customWidth="1"/>
    <col min="8464" max="8464" width="18" style="124" bestFit="1" customWidth="1"/>
    <col min="8465" max="8466" width="14.5703125" style="124" bestFit="1" customWidth="1"/>
    <col min="8467" max="8468" width="14.42578125" style="124" bestFit="1" customWidth="1"/>
    <col min="8469" max="8470" width="14.42578125" style="124" customWidth="1"/>
    <col min="8471" max="8471" width="14.42578125" style="124" bestFit="1" customWidth="1"/>
    <col min="8472" max="8706" width="14.28515625" style="124"/>
    <col min="8707" max="8707" width="12.5703125" style="124" bestFit="1" customWidth="1"/>
    <col min="8708" max="8708" width="11" style="124" bestFit="1" customWidth="1"/>
    <col min="8709" max="8709" width="10.140625" style="124" bestFit="1" customWidth="1"/>
    <col min="8710" max="8710" width="11.7109375" style="124" bestFit="1" customWidth="1"/>
    <col min="8711" max="8711" width="14" style="124" bestFit="1" customWidth="1"/>
    <col min="8712" max="8712" width="14.7109375" style="124" bestFit="1" customWidth="1"/>
    <col min="8713" max="8713" width="16.140625" style="124" bestFit="1" customWidth="1"/>
    <col min="8714" max="8714" width="12.7109375" style="124" bestFit="1" customWidth="1"/>
    <col min="8715" max="8715" width="19.140625" style="124" bestFit="1" customWidth="1"/>
    <col min="8716" max="8716" width="11.28515625" style="124" bestFit="1" customWidth="1"/>
    <col min="8717" max="8717" width="17.140625" style="124" bestFit="1" customWidth="1"/>
    <col min="8718" max="8718" width="20.42578125" style="124" bestFit="1" customWidth="1"/>
    <col min="8719" max="8719" width="11" style="124" bestFit="1" customWidth="1"/>
    <col min="8720" max="8720" width="18" style="124" bestFit="1" customWidth="1"/>
    <col min="8721" max="8722" width="14.5703125" style="124" bestFit="1" customWidth="1"/>
    <col min="8723" max="8724" width="14.42578125" style="124" bestFit="1" customWidth="1"/>
    <col min="8725" max="8726" width="14.42578125" style="124" customWidth="1"/>
    <col min="8727" max="8727" width="14.42578125" style="124" bestFit="1" customWidth="1"/>
    <col min="8728" max="8962" width="14.28515625" style="124"/>
    <col min="8963" max="8963" width="12.5703125" style="124" bestFit="1" customWidth="1"/>
    <col min="8964" max="8964" width="11" style="124" bestFit="1" customWidth="1"/>
    <col min="8965" max="8965" width="10.140625" style="124" bestFit="1" customWidth="1"/>
    <col min="8966" max="8966" width="11.7109375" style="124" bestFit="1" customWidth="1"/>
    <col min="8967" max="8967" width="14" style="124" bestFit="1" customWidth="1"/>
    <col min="8968" max="8968" width="14.7109375" style="124" bestFit="1" customWidth="1"/>
    <col min="8969" max="8969" width="16.140625" style="124" bestFit="1" customWidth="1"/>
    <col min="8970" max="8970" width="12.7109375" style="124" bestFit="1" customWidth="1"/>
    <col min="8971" max="8971" width="19.140625" style="124" bestFit="1" customWidth="1"/>
    <col min="8972" max="8972" width="11.28515625" style="124" bestFit="1" customWidth="1"/>
    <col min="8973" max="8973" width="17.140625" style="124" bestFit="1" customWidth="1"/>
    <col min="8974" max="8974" width="20.42578125" style="124" bestFit="1" customWidth="1"/>
    <col min="8975" max="8975" width="11" style="124" bestFit="1" customWidth="1"/>
    <col min="8976" max="8976" width="18" style="124" bestFit="1" customWidth="1"/>
    <col min="8977" max="8978" width="14.5703125" style="124" bestFit="1" customWidth="1"/>
    <col min="8979" max="8980" width="14.42578125" style="124" bestFit="1" customWidth="1"/>
    <col min="8981" max="8982" width="14.42578125" style="124" customWidth="1"/>
    <col min="8983" max="8983" width="14.42578125" style="124" bestFit="1" customWidth="1"/>
    <col min="8984" max="9218" width="14.28515625" style="124"/>
    <col min="9219" max="9219" width="12.5703125" style="124" bestFit="1" customWidth="1"/>
    <col min="9220" max="9220" width="11" style="124" bestFit="1" customWidth="1"/>
    <col min="9221" max="9221" width="10.140625" style="124" bestFit="1" customWidth="1"/>
    <col min="9222" max="9222" width="11.7109375" style="124" bestFit="1" customWidth="1"/>
    <col min="9223" max="9223" width="14" style="124" bestFit="1" customWidth="1"/>
    <col min="9224" max="9224" width="14.7109375" style="124" bestFit="1" customWidth="1"/>
    <col min="9225" max="9225" width="16.140625" style="124" bestFit="1" customWidth="1"/>
    <col min="9226" max="9226" width="12.7109375" style="124" bestFit="1" customWidth="1"/>
    <col min="9227" max="9227" width="19.140625" style="124" bestFit="1" customWidth="1"/>
    <col min="9228" max="9228" width="11.28515625" style="124" bestFit="1" customWidth="1"/>
    <col min="9229" max="9229" width="17.140625" style="124" bestFit="1" customWidth="1"/>
    <col min="9230" max="9230" width="20.42578125" style="124" bestFit="1" customWidth="1"/>
    <col min="9231" max="9231" width="11" style="124" bestFit="1" customWidth="1"/>
    <col min="9232" max="9232" width="18" style="124" bestFit="1" customWidth="1"/>
    <col min="9233" max="9234" width="14.5703125" style="124" bestFit="1" customWidth="1"/>
    <col min="9235" max="9236" width="14.42578125" style="124" bestFit="1" customWidth="1"/>
    <col min="9237" max="9238" width="14.42578125" style="124" customWidth="1"/>
    <col min="9239" max="9239" width="14.42578125" style="124" bestFit="1" customWidth="1"/>
    <col min="9240" max="9474" width="14.28515625" style="124"/>
    <col min="9475" max="9475" width="12.5703125" style="124" bestFit="1" customWidth="1"/>
    <col min="9476" max="9476" width="11" style="124" bestFit="1" customWidth="1"/>
    <col min="9477" max="9477" width="10.140625" style="124" bestFit="1" customWidth="1"/>
    <col min="9478" max="9478" width="11.7109375" style="124" bestFit="1" customWidth="1"/>
    <col min="9479" max="9479" width="14" style="124" bestFit="1" customWidth="1"/>
    <col min="9480" max="9480" width="14.7109375" style="124" bestFit="1" customWidth="1"/>
    <col min="9481" max="9481" width="16.140625" style="124" bestFit="1" customWidth="1"/>
    <col min="9482" max="9482" width="12.7109375" style="124" bestFit="1" customWidth="1"/>
    <col min="9483" max="9483" width="19.140625" style="124" bestFit="1" customWidth="1"/>
    <col min="9484" max="9484" width="11.28515625" style="124" bestFit="1" customWidth="1"/>
    <col min="9485" max="9485" width="17.140625" style="124" bestFit="1" customWidth="1"/>
    <col min="9486" max="9486" width="20.42578125" style="124" bestFit="1" customWidth="1"/>
    <col min="9487" max="9487" width="11" style="124" bestFit="1" customWidth="1"/>
    <col min="9488" max="9488" width="18" style="124" bestFit="1" customWidth="1"/>
    <col min="9489" max="9490" width="14.5703125" style="124" bestFit="1" customWidth="1"/>
    <col min="9491" max="9492" width="14.42578125" style="124" bestFit="1" customWidth="1"/>
    <col min="9493" max="9494" width="14.42578125" style="124" customWidth="1"/>
    <col min="9495" max="9495" width="14.42578125" style="124" bestFit="1" customWidth="1"/>
    <col min="9496" max="9730" width="14.28515625" style="124"/>
    <col min="9731" max="9731" width="12.5703125" style="124" bestFit="1" customWidth="1"/>
    <col min="9732" max="9732" width="11" style="124" bestFit="1" customWidth="1"/>
    <col min="9733" max="9733" width="10.140625" style="124" bestFit="1" customWidth="1"/>
    <col min="9734" max="9734" width="11.7109375" style="124" bestFit="1" customWidth="1"/>
    <col min="9735" max="9735" width="14" style="124" bestFit="1" customWidth="1"/>
    <col min="9736" max="9736" width="14.7109375" style="124" bestFit="1" customWidth="1"/>
    <col min="9737" max="9737" width="16.140625" style="124" bestFit="1" customWidth="1"/>
    <col min="9738" max="9738" width="12.7109375" style="124" bestFit="1" customWidth="1"/>
    <col min="9739" max="9739" width="19.140625" style="124" bestFit="1" customWidth="1"/>
    <col min="9740" max="9740" width="11.28515625" style="124" bestFit="1" customWidth="1"/>
    <col min="9741" max="9741" width="17.140625" style="124" bestFit="1" customWidth="1"/>
    <col min="9742" max="9742" width="20.42578125" style="124" bestFit="1" customWidth="1"/>
    <col min="9743" max="9743" width="11" style="124" bestFit="1" customWidth="1"/>
    <col min="9744" max="9744" width="18" style="124" bestFit="1" customWidth="1"/>
    <col min="9745" max="9746" width="14.5703125" style="124" bestFit="1" customWidth="1"/>
    <col min="9747" max="9748" width="14.42578125" style="124" bestFit="1" customWidth="1"/>
    <col min="9749" max="9750" width="14.42578125" style="124" customWidth="1"/>
    <col min="9751" max="9751" width="14.42578125" style="124" bestFit="1" customWidth="1"/>
    <col min="9752" max="9986" width="14.28515625" style="124"/>
    <col min="9987" max="9987" width="12.5703125" style="124" bestFit="1" customWidth="1"/>
    <col min="9988" max="9988" width="11" style="124" bestFit="1" customWidth="1"/>
    <col min="9989" max="9989" width="10.140625" style="124" bestFit="1" customWidth="1"/>
    <col min="9990" max="9990" width="11.7109375" style="124" bestFit="1" customWidth="1"/>
    <col min="9991" max="9991" width="14" style="124" bestFit="1" customWidth="1"/>
    <col min="9992" max="9992" width="14.7109375" style="124" bestFit="1" customWidth="1"/>
    <col min="9993" max="9993" width="16.140625" style="124" bestFit="1" customWidth="1"/>
    <col min="9994" max="9994" width="12.7109375" style="124" bestFit="1" customWidth="1"/>
    <col min="9995" max="9995" width="19.140625" style="124" bestFit="1" customWidth="1"/>
    <col min="9996" max="9996" width="11.28515625" style="124" bestFit="1" customWidth="1"/>
    <col min="9997" max="9997" width="17.140625" style="124" bestFit="1" customWidth="1"/>
    <col min="9998" max="9998" width="20.42578125" style="124" bestFit="1" customWidth="1"/>
    <col min="9999" max="9999" width="11" style="124" bestFit="1" customWidth="1"/>
    <col min="10000" max="10000" width="18" style="124" bestFit="1" customWidth="1"/>
    <col min="10001" max="10002" width="14.5703125" style="124" bestFit="1" customWidth="1"/>
    <col min="10003" max="10004" width="14.42578125" style="124" bestFit="1" customWidth="1"/>
    <col min="10005" max="10006" width="14.42578125" style="124" customWidth="1"/>
    <col min="10007" max="10007" width="14.42578125" style="124" bestFit="1" customWidth="1"/>
    <col min="10008" max="10242" width="14.28515625" style="124"/>
    <col min="10243" max="10243" width="12.5703125" style="124" bestFit="1" customWidth="1"/>
    <col min="10244" max="10244" width="11" style="124" bestFit="1" customWidth="1"/>
    <col min="10245" max="10245" width="10.140625" style="124" bestFit="1" customWidth="1"/>
    <col min="10246" max="10246" width="11.7109375" style="124" bestFit="1" customWidth="1"/>
    <col min="10247" max="10247" width="14" style="124" bestFit="1" customWidth="1"/>
    <col min="10248" max="10248" width="14.7109375" style="124" bestFit="1" customWidth="1"/>
    <col min="10249" max="10249" width="16.140625" style="124" bestFit="1" customWidth="1"/>
    <col min="10250" max="10250" width="12.7109375" style="124" bestFit="1" customWidth="1"/>
    <col min="10251" max="10251" width="19.140625" style="124" bestFit="1" customWidth="1"/>
    <col min="10252" max="10252" width="11.28515625" style="124" bestFit="1" customWidth="1"/>
    <col min="10253" max="10253" width="17.140625" style="124" bestFit="1" customWidth="1"/>
    <col min="10254" max="10254" width="20.42578125" style="124" bestFit="1" customWidth="1"/>
    <col min="10255" max="10255" width="11" style="124" bestFit="1" customWidth="1"/>
    <col min="10256" max="10256" width="18" style="124" bestFit="1" customWidth="1"/>
    <col min="10257" max="10258" width="14.5703125" style="124" bestFit="1" customWidth="1"/>
    <col min="10259" max="10260" width="14.42578125" style="124" bestFit="1" customWidth="1"/>
    <col min="10261" max="10262" width="14.42578125" style="124" customWidth="1"/>
    <col min="10263" max="10263" width="14.42578125" style="124" bestFit="1" customWidth="1"/>
    <col min="10264" max="10498" width="14.28515625" style="124"/>
    <col min="10499" max="10499" width="12.5703125" style="124" bestFit="1" customWidth="1"/>
    <col min="10500" max="10500" width="11" style="124" bestFit="1" customWidth="1"/>
    <col min="10501" max="10501" width="10.140625" style="124" bestFit="1" customWidth="1"/>
    <col min="10502" max="10502" width="11.7109375" style="124" bestFit="1" customWidth="1"/>
    <col min="10503" max="10503" width="14" style="124" bestFit="1" customWidth="1"/>
    <col min="10504" max="10504" width="14.7109375" style="124" bestFit="1" customWidth="1"/>
    <col min="10505" max="10505" width="16.140625" style="124" bestFit="1" customWidth="1"/>
    <col min="10506" max="10506" width="12.7109375" style="124" bestFit="1" customWidth="1"/>
    <col min="10507" max="10507" width="19.140625" style="124" bestFit="1" customWidth="1"/>
    <col min="10508" max="10508" width="11.28515625" style="124" bestFit="1" customWidth="1"/>
    <col min="10509" max="10509" width="17.140625" style="124" bestFit="1" customWidth="1"/>
    <col min="10510" max="10510" width="20.42578125" style="124" bestFit="1" customWidth="1"/>
    <col min="10511" max="10511" width="11" style="124" bestFit="1" customWidth="1"/>
    <col min="10512" max="10512" width="18" style="124" bestFit="1" customWidth="1"/>
    <col min="10513" max="10514" width="14.5703125" style="124" bestFit="1" customWidth="1"/>
    <col min="10515" max="10516" width="14.42578125" style="124" bestFit="1" customWidth="1"/>
    <col min="10517" max="10518" width="14.42578125" style="124" customWidth="1"/>
    <col min="10519" max="10519" width="14.42578125" style="124" bestFit="1" customWidth="1"/>
    <col min="10520" max="10754" width="14.28515625" style="124"/>
    <col min="10755" max="10755" width="12.5703125" style="124" bestFit="1" customWidth="1"/>
    <col min="10756" max="10756" width="11" style="124" bestFit="1" customWidth="1"/>
    <col min="10757" max="10757" width="10.140625" style="124" bestFit="1" customWidth="1"/>
    <col min="10758" max="10758" width="11.7109375" style="124" bestFit="1" customWidth="1"/>
    <col min="10759" max="10759" width="14" style="124" bestFit="1" customWidth="1"/>
    <col min="10760" max="10760" width="14.7109375" style="124" bestFit="1" customWidth="1"/>
    <col min="10761" max="10761" width="16.140625" style="124" bestFit="1" customWidth="1"/>
    <col min="10762" max="10762" width="12.7109375" style="124" bestFit="1" customWidth="1"/>
    <col min="10763" max="10763" width="19.140625" style="124" bestFit="1" customWidth="1"/>
    <col min="10764" max="10764" width="11.28515625" style="124" bestFit="1" customWidth="1"/>
    <col min="10765" max="10765" width="17.140625" style="124" bestFit="1" customWidth="1"/>
    <col min="10766" max="10766" width="20.42578125" style="124" bestFit="1" customWidth="1"/>
    <col min="10767" max="10767" width="11" style="124" bestFit="1" customWidth="1"/>
    <col min="10768" max="10768" width="18" style="124" bestFit="1" customWidth="1"/>
    <col min="10769" max="10770" width="14.5703125" style="124" bestFit="1" customWidth="1"/>
    <col min="10771" max="10772" width="14.42578125" style="124" bestFit="1" customWidth="1"/>
    <col min="10773" max="10774" width="14.42578125" style="124" customWidth="1"/>
    <col min="10775" max="10775" width="14.42578125" style="124" bestFit="1" customWidth="1"/>
    <col min="10776" max="11010" width="14.28515625" style="124"/>
    <col min="11011" max="11011" width="12.5703125" style="124" bestFit="1" customWidth="1"/>
    <col min="11012" max="11012" width="11" style="124" bestFit="1" customWidth="1"/>
    <col min="11013" max="11013" width="10.140625" style="124" bestFit="1" customWidth="1"/>
    <col min="11014" max="11014" width="11.7109375" style="124" bestFit="1" customWidth="1"/>
    <col min="11015" max="11015" width="14" style="124" bestFit="1" customWidth="1"/>
    <col min="11016" max="11016" width="14.7109375" style="124" bestFit="1" customWidth="1"/>
    <col min="11017" max="11017" width="16.140625" style="124" bestFit="1" customWidth="1"/>
    <col min="11018" max="11018" width="12.7109375" style="124" bestFit="1" customWidth="1"/>
    <col min="11019" max="11019" width="19.140625" style="124" bestFit="1" customWidth="1"/>
    <col min="11020" max="11020" width="11.28515625" style="124" bestFit="1" customWidth="1"/>
    <col min="11021" max="11021" width="17.140625" style="124" bestFit="1" customWidth="1"/>
    <col min="11022" max="11022" width="20.42578125" style="124" bestFit="1" customWidth="1"/>
    <col min="11023" max="11023" width="11" style="124" bestFit="1" customWidth="1"/>
    <col min="11024" max="11024" width="18" style="124" bestFit="1" customWidth="1"/>
    <col min="11025" max="11026" width="14.5703125" style="124" bestFit="1" customWidth="1"/>
    <col min="11027" max="11028" width="14.42578125" style="124" bestFit="1" customWidth="1"/>
    <col min="11029" max="11030" width="14.42578125" style="124" customWidth="1"/>
    <col min="11031" max="11031" width="14.42578125" style="124" bestFit="1" customWidth="1"/>
    <col min="11032" max="11266" width="14.28515625" style="124"/>
    <col min="11267" max="11267" width="12.5703125" style="124" bestFit="1" customWidth="1"/>
    <col min="11268" max="11268" width="11" style="124" bestFit="1" customWidth="1"/>
    <col min="11269" max="11269" width="10.140625" style="124" bestFit="1" customWidth="1"/>
    <col min="11270" max="11270" width="11.7109375" style="124" bestFit="1" customWidth="1"/>
    <col min="11271" max="11271" width="14" style="124" bestFit="1" customWidth="1"/>
    <col min="11272" max="11272" width="14.7109375" style="124" bestFit="1" customWidth="1"/>
    <col min="11273" max="11273" width="16.140625" style="124" bestFit="1" customWidth="1"/>
    <col min="11274" max="11274" width="12.7109375" style="124" bestFit="1" customWidth="1"/>
    <col min="11275" max="11275" width="19.140625" style="124" bestFit="1" customWidth="1"/>
    <col min="11276" max="11276" width="11.28515625" style="124" bestFit="1" customWidth="1"/>
    <col min="11277" max="11277" width="17.140625" style="124" bestFit="1" customWidth="1"/>
    <col min="11278" max="11278" width="20.42578125" style="124" bestFit="1" customWidth="1"/>
    <col min="11279" max="11279" width="11" style="124" bestFit="1" customWidth="1"/>
    <col min="11280" max="11280" width="18" style="124" bestFit="1" customWidth="1"/>
    <col min="11281" max="11282" width="14.5703125" style="124" bestFit="1" customWidth="1"/>
    <col min="11283" max="11284" width="14.42578125" style="124" bestFit="1" customWidth="1"/>
    <col min="11285" max="11286" width="14.42578125" style="124" customWidth="1"/>
    <col min="11287" max="11287" width="14.42578125" style="124" bestFit="1" customWidth="1"/>
    <col min="11288" max="11522" width="14.28515625" style="124"/>
    <col min="11523" max="11523" width="12.5703125" style="124" bestFit="1" customWidth="1"/>
    <col min="11524" max="11524" width="11" style="124" bestFit="1" customWidth="1"/>
    <col min="11525" max="11525" width="10.140625" style="124" bestFit="1" customWidth="1"/>
    <col min="11526" max="11526" width="11.7109375" style="124" bestFit="1" customWidth="1"/>
    <col min="11527" max="11527" width="14" style="124" bestFit="1" customWidth="1"/>
    <col min="11528" max="11528" width="14.7109375" style="124" bestFit="1" customWidth="1"/>
    <col min="11529" max="11529" width="16.140625" style="124" bestFit="1" customWidth="1"/>
    <col min="11530" max="11530" width="12.7109375" style="124" bestFit="1" customWidth="1"/>
    <col min="11531" max="11531" width="19.140625" style="124" bestFit="1" customWidth="1"/>
    <col min="11532" max="11532" width="11.28515625" style="124" bestFit="1" customWidth="1"/>
    <col min="11533" max="11533" width="17.140625" style="124" bestFit="1" customWidth="1"/>
    <col min="11534" max="11534" width="20.42578125" style="124" bestFit="1" customWidth="1"/>
    <col min="11535" max="11535" width="11" style="124" bestFit="1" customWidth="1"/>
    <col min="11536" max="11536" width="18" style="124" bestFit="1" customWidth="1"/>
    <col min="11537" max="11538" width="14.5703125" style="124" bestFit="1" customWidth="1"/>
    <col min="11539" max="11540" width="14.42578125" style="124" bestFit="1" customWidth="1"/>
    <col min="11541" max="11542" width="14.42578125" style="124" customWidth="1"/>
    <col min="11543" max="11543" width="14.42578125" style="124" bestFit="1" customWidth="1"/>
    <col min="11544" max="11778" width="14.28515625" style="124"/>
    <col min="11779" max="11779" width="12.5703125" style="124" bestFit="1" customWidth="1"/>
    <col min="11780" max="11780" width="11" style="124" bestFit="1" customWidth="1"/>
    <col min="11781" max="11781" width="10.140625" style="124" bestFit="1" customWidth="1"/>
    <col min="11782" max="11782" width="11.7109375" style="124" bestFit="1" customWidth="1"/>
    <col min="11783" max="11783" width="14" style="124" bestFit="1" customWidth="1"/>
    <col min="11784" max="11784" width="14.7109375" style="124" bestFit="1" customWidth="1"/>
    <col min="11785" max="11785" width="16.140625" style="124" bestFit="1" customWidth="1"/>
    <col min="11786" max="11786" width="12.7109375" style="124" bestFit="1" customWidth="1"/>
    <col min="11787" max="11787" width="19.140625" style="124" bestFit="1" customWidth="1"/>
    <col min="11788" max="11788" width="11.28515625" style="124" bestFit="1" customWidth="1"/>
    <col min="11789" max="11789" width="17.140625" style="124" bestFit="1" customWidth="1"/>
    <col min="11790" max="11790" width="20.42578125" style="124" bestFit="1" customWidth="1"/>
    <col min="11791" max="11791" width="11" style="124" bestFit="1" customWidth="1"/>
    <col min="11792" max="11792" width="18" style="124" bestFit="1" customWidth="1"/>
    <col min="11793" max="11794" width="14.5703125" style="124" bestFit="1" customWidth="1"/>
    <col min="11795" max="11796" width="14.42578125" style="124" bestFit="1" customWidth="1"/>
    <col min="11797" max="11798" width="14.42578125" style="124" customWidth="1"/>
    <col min="11799" max="11799" width="14.42578125" style="124" bestFit="1" customWidth="1"/>
    <col min="11800" max="12034" width="14.28515625" style="124"/>
    <col min="12035" max="12035" width="12.5703125" style="124" bestFit="1" customWidth="1"/>
    <col min="12036" max="12036" width="11" style="124" bestFit="1" customWidth="1"/>
    <col min="12037" max="12037" width="10.140625" style="124" bestFit="1" customWidth="1"/>
    <col min="12038" max="12038" width="11.7109375" style="124" bestFit="1" customWidth="1"/>
    <col min="12039" max="12039" width="14" style="124" bestFit="1" customWidth="1"/>
    <col min="12040" max="12040" width="14.7109375" style="124" bestFit="1" customWidth="1"/>
    <col min="12041" max="12041" width="16.140625" style="124" bestFit="1" customWidth="1"/>
    <col min="12042" max="12042" width="12.7109375" style="124" bestFit="1" customWidth="1"/>
    <col min="12043" max="12043" width="19.140625" style="124" bestFit="1" customWidth="1"/>
    <col min="12044" max="12044" width="11.28515625" style="124" bestFit="1" customWidth="1"/>
    <col min="12045" max="12045" width="17.140625" style="124" bestFit="1" customWidth="1"/>
    <col min="12046" max="12046" width="20.42578125" style="124" bestFit="1" customWidth="1"/>
    <col min="12047" max="12047" width="11" style="124" bestFit="1" customWidth="1"/>
    <col min="12048" max="12048" width="18" style="124" bestFit="1" customWidth="1"/>
    <col min="12049" max="12050" width="14.5703125" style="124" bestFit="1" customWidth="1"/>
    <col min="12051" max="12052" width="14.42578125" style="124" bestFit="1" customWidth="1"/>
    <col min="12053" max="12054" width="14.42578125" style="124" customWidth="1"/>
    <col min="12055" max="12055" width="14.42578125" style="124" bestFit="1" customWidth="1"/>
    <col min="12056" max="12290" width="14.28515625" style="124"/>
    <col min="12291" max="12291" width="12.5703125" style="124" bestFit="1" customWidth="1"/>
    <col min="12292" max="12292" width="11" style="124" bestFit="1" customWidth="1"/>
    <col min="12293" max="12293" width="10.140625" style="124" bestFit="1" customWidth="1"/>
    <col min="12294" max="12294" width="11.7109375" style="124" bestFit="1" customWidth="1"/>
    <col min="12295" max="12295" width="14" style="124" bestFit="1" customWidth="1"/>
    <col min="12296" max="12296" width="14.7109375" style="124" bestFit="1" customWidth="1"/>
    <col min="12297" max="12297" width="16.140625" style="124" bestFit="1" customWidth="1"/>
    <col min="12298" max="12298" width="12.7109375" style="124" bestFit="1" customWidth="1"/>
    <col min="12299" max="12299" width="19.140625" style="124" bestFit="1" customWidth="1"/>
    <col min="12300" max="12300" width="11.28515625" style="124" bestFit="1" customWidth="1"/>
    <col min="12301" max="12301" width="17.140625" style="124" bestFit="1" customWidth="1"/>
    <col min="12302" max="12302" width="20.42578125" style="124" bestFit="1" customWidth="1"/>
    <col min="12303" max="12303" width="11" style="124" bestFit="1" customWidth="1"/>
    <col min="12304" max="12304" width="18" style="124" bestFit="1" customWidth="1"/>
    <col min="12305" max="12306" width="14.5703125" style="124" bestFit="1" customWidth="1"/>
    <col min="12307" max="12308" width="14.42578125" style="124" bestFit="1" customWidth="1"/>
    <col min="12309" max="12310" width="14.42578125" style="124" customWidth="1"/>
    <col min="12311" max="12311" width="14.42578125" style="124" bestFit="1" customWidth="1"/>
    <col min="12312" max="12546" width="14.28515625" style="124"/>
    <col min="12547" max="12547" width="12.5703125" style="124" bestFit="1" customWidth="1"/>
    <col min="12548" max="12548" width="11" style="124" bestFit="1" customWidth="1"/>
    <col min="12549" max="12549" width="10.140625" style="124" bestFit="1" customWidth="1"/>
    <col min="12550" max="12550" width="11.7109375" style="124" bestFit="1" customWidth="1"/>
    <col min="12551" max="12551" width="14" style="124" bestFit="1" customWidth="1"/>
    <col min="12552" max="12552" width="14.7109375" style="124" bestFit="1" customWidth="1"/>
    <col min="12553" max="12553" width="16.140625" style="124" bestFit="1" customWidth="1"/>
    <col min="12554" max="12554" width="12.7109375" style="124" bestFit="1" customWidth="1"/>
    <col min="12555" max="12555" width="19.140625" style="124" bestFit="1" customWidth="1"/>
    <col min="12556" max="12556" width="11.28515625" style="124" bestFit="1" customWidth="1"/>
    <col min="12557" max="12557" width="17.140625" style="124" bestFit="1" customWidth="1"/>
    <col min="12558" max="12558" width="20.42578125" style="124" bestFit="1" customWidth="1"/>
    <col min="12559" max="12559" width="11" style="124" bestFit="1" customWidth="1"/>
    <col min="12560" max="12560" width="18" style="124" bestFit="1" customWidth="1"/>
    <col min="12561" max="12562" width="14.5703125" style="124" bestFit="1" customWidth="1"/>
    <col min="12563" max="12564" width="14.42578125" style="124" bestFit="1" customWidth="1"/>
    <col min="12565" max="12566" width="14.42578125" style="124" customWidth="1"/>
    <col min="12567" max="12567" width="14.42578125" style="124" bestFit="1" customWidth="1"/>
    <col min="12568" max="12802" width="14.28515625" style="124"/>
    <col min="12803" max="12803" width="12.5703125" style="124" bestFit="1" customWidth="1"/>
    <col min="12804" max="12804" width="11" style="124" bestFit="1" customWidth="1"/>
    <col min="12805" max="12805" width="10.140625" style="124" bestFit="1" customWidth="1"/>
    <col min="12806" max="12806" width="11.7109375" style="124" bestFit="1" customWidth="1"/>
    <col min="12807" max="12807" width="14" style="124" bestFit="1" customWidth="1"/>
    <col min="12808" max="12808" width="14.7109375" style="124" bestFit="1" customWidth="1"/>
    <col min="12809" max="12809" width="16.140625" style="124" bestFit="1" customWidth="1"/>
    <col min="12810" max="12810" width="12.7109375" style="124" bestFit="1" customWidth="1"/>
    <col min="12811" max="12811" width="19.140625" style="124" bestFit="1" customWidth="1"/>
    <col min="12812" max="12812" width="11.28515625" style="124" bestFit="1" customWidth="1"/>
    <col min="12813" max="12813" width="17.140625" style="124" bestFit="1" customWidth="1"/>
    <col min="12814" max="12814" width="20.42578125" style="124" bestFit="1" customWidth="1"/>
    <col min="12815" max="12815" width="11" style="124" bestFit="1" customWidth="1"/>
    <col min="12816" max="12816" width="18" style="124" bestFit="1" customWidth="1"/>
    <col min="12817" max="12818" width="14.5703125" style="124" bestFit="1" customWidth="1"/>
    <col min="12819" max="12820" width="14.42578125" style="124" bestFit="1" customWidth="1"/>
    <col min="12821" max="12822" width="14.42578125" style="124" customWidth="1"/>
    <col min="12823" max="12823" width="14.42578125" style="124" bestFit="1" customWidth="1"/>
    <col min="12824" max="13058" width="14.28515625" style="124"/>
    <col min="13059" max="13059" width="12.5703125" style="124" bestFit="1" customWidth="1"/>
    <col min="13060" max="13060" width="11" style="124" bestFit="1" customWidth="1"/>
    <col min="13061" max="13061" width="10.140625" style="124" bestFit="1" customWidth="1"/>
    <col min="13062" max="13062" width="11.7109375" style="124" bestFit="1" customWidth="1"/>
    <col min="13063" max="13063" width="14" style="124" bestFit="1" customWidth="1"/>
    <col min="13064" max="13064" width="14.7109375" style="124" bestFit="1" customWidth="1"/>
    <col min="13065" max="13065" width="16.140625" style="124" bestFit="1" customWidth="1"/>
    <col min="13066" max="13066" width="12.7109375" style="124" bestFit="1" customWidth="1"/>
    <col min="13067" max="13067" width="19.140625" style="124" bestFit="1" customWidth="1"/>
    <col min="13068" max="13068" width="11.28515625" style="124" bestFit="1" customWidth="1"/>
    <col min="13069" max="13069" width="17.140625" style="124" bestFit="1" customWidth="1"/>
    <col min="13070" max="13070" width="20.42578125" style="124" bestFit="1" customWidth="1"/>
    <col min="13071" max="13071" width="11" style="124" bestFit="1" customWidth="1"/>
    <col min="13072" max="13072" width="18" style="124" bestFit="1" customWidth="1"/>
    <col min="13073" max="13074" width="14.5703125" style="124" bestFit="1" customWidth="1"/>
    <col min="13075" max="13076" width="14.42578125" style="124" bestFit="1" customWidth="1"/>
    <col min="13077" max="13078" width="14.42578125" style="124" customWidth="1"/>
    <col min="13079" max="13079" width="14.42578125" style="124" bestFit="1" customWidth="1"/>
    <col min="13080" max="13314" width="14.28515625" style="124"/>
    <col min="13315" max="13315" width="12.5703125" style="124" bestFit="1" customWidth="1"/>
    <col min="13316" max="13316" width="11" style="124" bestFit="1" customWidth="1"/>
    <col min="13317" max="13317" width="10.140625" style="124" bestFit="1" customWidth="1"/>
    <col min="13318" max="13318" width="11.7109375" style="124" bestFit="1" customWidth="1"/>
    <col min="13319" max="13319" width="14" style="124" bestFit="1" customWidth="1"/>
    <col min="13320" max="13320" width="14.7109375" style="124" bestFit="1" customWidth="1"/>
    <col min="13321" max="13321" width="16.140625" style="124" bestFit="1" customWidth="1"/>
    <col min="13322" max="13322" width="12.7109375" style="124" bestFit="1" customWidth="1"/>
    <col min="13323" max="13323" width="19.140625" style="124" bestFit="1" customWidth="1"/>
    <col min="13324" max="13324" width="11.28515625" style="124" bestFit="1" customWidth="1"/>
    <col min="13325" max="13325" width="17.140625" style="124" bestFit="1" customWidth="1"/>
    <col min="13326" max="13326" width="20.42578125" style="124" bestFit="1" customWidth="1"/>
    <col min="13327" max="13327" width="11" style="124" bestFit="1" customWidth="1"/>
    <col min="13328" max="13328" width="18" style="124" bestFit="1" customWidth="1"/>
    <col min="13329" max="13330" width="14.5703125" style="124" bestFit="1" customWidth="1"/>
    <col min="13331" max="13332" width="14.42578125" style="124" bestFit="1" customWidth="1"/>
    <col min="13333" max="13334" width="14.42578125" style="124" customWidth="1"/>
    <col min="13335" max="13335" width="14.42578125" style="124" bestFit="1" customWidth="1"/>
    <col min="13336" max="13570" width="14.28515625" style="124"/>
    <col min="13571" max="13571" width="12.5703125" style="124" bestFit="1" customWidth="1"/>
    <col min="13572" max="13572" width="11" style="124" bestFit="1" customWidth="1"/>
    <col min="13573" max="13573" width="10.140625" style="124" bestFit="1" customWidth="1"/>
    <col min="13574" max="13574" width="11.7109375" style="124" bestFit="1" customWidth="1"/>
    <col min="13575" max="13575" width="14" style="124" bestFit="1" customWidth="1"/>
    <col min="13576" max="13576" width="14.7109375" style="124" bestFit="1" customWidth="1"/>
    <col min="13577" max="13577" width="16.140625" style="124" bestFit="1" customWidth="1"/>
    <col min="13578" max="13578" width="12.7109375" style="124" bestFit="1" customWidth="1"/>
    <col min="13579" max="13579" width="19.140625" style="124" bestFit="1" customWidth="1"/>
    <col min="13580" max="13580" width="11.28515625" style="124" bestFit="1" customWidth="1"/>
    <col min="13581" max="13581" width="17.140625" style="124" bestFit="1" customWidth="1"/>
    <col min="13582" max="13582" width="20.42578125" style="124" bestFit="1" customWidth="1"/>
    <col min="13583" max="13583" width="11" style="124" bestFit="1" customWidth="1"/>
    <col min="13584" max="13584" width="18" style="124" bestFit="1" customWidth="1"/>
    <col min="13585" max="13586" width="14.5703125" style="124" bestFit="1" customWidth="1"/>
    <col min="13587" max="13588" width="14.42578125" style="124" bestFit="1" customWidth="1"/>
    <col min="13589" max="13590" width="14.42578125" style="124" customWidth="1"/>
    <col min="13591" max="13591" width="14.42578125" style="124" bestFit="1" customWidth="1"/>
    <col min="13592" max="13826" width="14.28515625" style="124"/>
    <col min="13827" max="13827" width="12.5703125" style="124" bestFit="1" customWidth="1"/>
    <col min="13828" max="13828" width="11" style="124" bestFit="1" customWidth="1"/>
    <col min="13829" max="13829" width="10.140625" style="124" bestFit="1" customWidth="1"/>
    <col min="13830" max="13830" width="11.7109375" style="124" bestFit="1" customWidth="1"/>
    <col min="13831" max="13831" width="14" style="124" bestFit="1" customWidth="1"/>
    <col min="13832" max="13832" width="14.7109375" style="124" bestFit="1" customWidth="1"/>
    <col min="13833" max="13833" width="16.140625" style="124" bestFit="1" customWidth="1"/>
    <col min="13834" max="13834" width="12.7109375" style="124" bestFit="1" customWidth="1"/>
    <col min="13835" max="13835" width="19.140625" style="124" bestFit="1" customWidth="1"/>
    <col min="13836" max="13836" width="11.28515625" style="124" bestFit="1" customWidth="1"/>
    <col min="13837" max="13837" width="17.140625" style="124" bestFit="1" customWidth="1"/>
    <col min="13838" max="13838" width="20.42578125" style="124" bestFit="1" customWidth="1"/>
    <col min="13839" max="13839" width="11" style="124" bestFit="1" customWidth="1"/>
    <col min="13840" max="13840" width="18" style="124" bestFit="1" customWidth="1"/>
    <col min="13841" max="13842" width="14.5703125" style="124" bestFit="1" customWidth="1"/>
    <col min="13843" max="13844" width="14.42578125" style="124" bestFit="1" customWidth="1"/>
    <col min="13845" max="13846" width="14.42578125" style="124" customWidth="1"/>
    <col min="13847" max="13847" width="14.42578125" style="124" bestFit="1" customWidth="1"/>
    <col min="13848" max="14082" width="14.28515625" style="124"/>
    <col min="14083" max="14083" width="12.5703125" style="124" bestFit="1" customWidth="1"/>
    <col min="14084" max="14084" width="11" style="124" bestFit="1" customWidth="1"/>
    <col min="14085" max="14085" width="10.140625" style="124" bestFit="1" customWidth="1"/>
    <col min="14086" max="14086" width="11.7109375" style="124" bestFit="1" customWidth="1"/>
    <col min="14087" max="14087" width="14" style="124" bestFit="1" customWidth="1"/>
    <col min="14088" max="14088" width="14.7109375" style="124" bestFit="1" customWidth="1"/>
    <col min="14089" max="14089" width="16.140625" style="124" bestFit="1" customWidth="1"/>
    <col min="14090" max="14090" width="12.7109375" style="124" bestFit="1" customWidth="1"/>
    <col min="14091" max="14091" width="19.140625" style="124" bestFit="1" customWidth="1"/>
    <col min="14092" max="14092" width="11.28515625" style="124" bestFit="1" customWidth="1"/>
    <col min="14093" max="14093" width="17.140625" style="124" bestFit="1" customWidth="1"/>
    <col min="14094" max="14094" width="20.42578125" style="124" bestFit="1" customWidth="1"/>
    <col min="14095" max="14095" width="11" style="124" bestFit="1" customWidth="1"/>
    <col min="14096" max="14096" width="18" style="124" bestFit="1" customWidth="1"/>
    <col min="14097" max="14098" width="14.5703125" style="124" bestFit="1" customWidth="1"/>
    <col min="14099" max="14100" width="14.42578125" style="124" bestFit="1" customWidth="1"/>
    <col min="14101" max="14102" width="14.42578125" style="124" customWidth="1"/>
    <col min="14103" max="14103" width="14.42578125" style="124" bestFit="1" customWidth="1"/>
    <col min="14104" max="14338" width="14.28515625" style="124"/>
    <col min="14339" max="14339" width="12.5703125" style="124" bestFit="1" customWidth="1"/>
    <col min="14340" max="14340" width="11" style="124" bestFit="1" customWidth="1"/>
    <col min="14341" max="14341" width="10.140625" style="124" bestFit="1" customWidth="1"/>
    <col min="14342" max="14342" width="11.7109375" style="124" bestFit="1" customWidth="1"/>
    <col min="14343" max="14343" width="14" style="124" bestFit="1" customWidth="1"/>
    <col min="14344" max="14344" width="14.7109375" style="124" bestFit="1" customWidth="1"/>
    <col min="14345" max="14345" width="16.140625" style="124" bestFit="1" customWidth="1"/>
    <col min="14346" max="14346" width="12.7109375" style="124" bestFit="1" customWidth="1"/>
    <col min="14347" max="14347" width="19.140625" style="124" bestFit="1" customWidth="1"/>
    <col min="14348" max="14348" width="11.28515625" style="124" bestFit="1" customWidth="1"/>
    <col min="14349" max="14349" width="17.140625" style="124" bestFit="1" customWidth="1"/>
    <col min="14350" max="14350" width="20.42578125" style="124" bestFit="1" customWidth="1"/>
    <col min="14351" max="14351" width="11" style="124" bestFit="1" customWidth="1"/>
    <col min="14352" max="14352" width="18" style="124" bestFit="1" customWidth="1"/>
    <col min="14353" max="14354" width="14.5703125" style="124" bestFit="1" customWidth="1"/>
    <col min="14355" max="14356" width="14.42578125" style="124" bestFit="1" customWidth="1"/>
    <col min="14357" max="14358" width="14.42578125" style="124" customWidth="1"/>
    <col min="14359" max="14359" width="14.42578125" style="124" bestFit="1" customWidth="1"/>
    <col min="14360" max="14594" width="14.28515625" style="124"/>
    <col min="14595" max="14595" width="12.5703125" style="124" bestFit="1" customWidth="1"/>
    <col min="14596" max="14596" width="11" style="124" bestFit="1" customWidth="1"/>
    <col min="14597" max="14597" width="10.140625" style="124" bestFit="1" customWidth="1"/>
    <col min="14598" max="14598" width="11.7109375" style="124" bestFit="1" customWidth="1"/>
    <col min="14599" max="14599" width="14" style="124" bestFit="1" customWidth="1"/>
    <col min="14600" max="14600" width="14.7109375" style="124" bestFit="1" customWidth="1"/>
    <col min="14601" max="14601" width="16.140625" style="124" bestFit="1" customWidth="1"/>
    <col min="14602" max="14602" width="12.7109375" style="124" bestFit="1" customWidth="1"/>
    <col min="14603" max="14603" width="19.140625" style="124" bestFit="1" customWidth="1"/>
    <col min="14604" max="14604" width="11.28515625" style="124" bestFit="1" customWidth="1"/>
    <col min="14605" max="14605" width="17.140625" style="124" bestFit="1" customWidth="1"/>
    <col min="14606" max="14606" width="20.42578125" style="124" bestFit="1" customWidth="1"/>
    <col min="14607" max="14607" width="11" style="124" bestFit="1" customWidth="1"/>
    <col min="14608" max="14608" width="18" style="124" bestFit="1" customWidth="1"/>
    <col min="14609" max="14610" width="14.5703125" style="124" bestFit="1" customWidth="1"/>
    <col min="14611" max="14612" width="14.42578125" style="124" bestFit="1" customWidth="1"/>
    <col min="14613" max="14614" width="14.42578125" style="124" customWidth="1"/>
    <col min="14615" max="14615" width="14.42578125" style="124" bestFit="1" customWidth="1"/>
    <col min="14616" max="14850" width="14.28515625" style="124"/>
    <col min="14851" max="14851" width="12.5703125" style="124" bestFit="1" customWidth="1"/>
    <col min="14852" max="14852" width="11" style="124" bestFit="1" customWidth="1"/>
    <col min="14853" max="14853" width="10.140625" style="124" bestFit="1" customWidth="1"/>
    <col min="14854" max="14854" width="11.7109375" style="124" bestFit="1" customWidth="1"/>
    <col min="14855" max="14855" width="14" style="124" bestFit="1" customWidth="1"/>
    <col min="14856" max="14856" width="14.7109375" style="124" bestFit="1" customWidth="1"/>
    <col min="14857" max="14857" width="16.140625" style="124" bestFit="1" customWidth="1"/>
    <col min="14858" max="14858" width="12.7109375" style="124" bestFit="1" customWidth="1"/>
    <col min="14859" max="14859" width="19.140625" style="124" bestFit="1" customWidth="1"/>
    <col min="14860" max="14860" width="11.28515625" style="124" bestFit="1" customWidth="1"/>
    <col min="14861" max="14861" width="17.140625" style="124" bestFit="1" customWidth="1"/>
    <col min="14862" max="14862" width="20.42578125" style="124" bestFit="1" customWidth="1"/>
    <col min="14863" max="14863" width="11" style="124" bestFit="1" customWidth="1"/>
    <col min="14864" max="14864" width="18" style="124" bestFit="1" customWidth="1"/>
    <col min="14865" max="14866" width="14.5703125" style="124" bestFit="1" customWidth="1"/>
    <col min="14867" max="14868" width="14.42578125" style="124" bestFit="1" customWidth="1"/>
    <col min="14869" max="14870" width="14.42578125" style="124" customWidth="1"/>
    <col min="14871" max="14871" width="14.42578125" style="124" bestFit="1" customWidth="1"/>
    <col min="14872" max="15106" width="14.28515625" style="124"/>
    <col min="15107" max="15107" width="12.5703125" style="124" bestFit="1" customWidth="1"/>
    <col min="15108" max="15108" width="11" style="124" bestFit="1" customWidth="1"/>
    <col min="15109" max="15109" width="10.140625" style="124" bestFit="1" customWidth="1"/>
    <col min="15110" max="15110" width="11.7109375" style="124" bestFit="1" customWidth="1"/>
    <col min="15111" max="15111" width="14" style="124" bestFit="1" customWidth="1"/>
    <col min="15112" max="15112" width="14.7109375" style="124" bestFit="1" customWidth="1"/>
    <col min="15113" max="15113" width="16.140625" style="124" bestFit="1" customWidth="1"/>
    <col min="15114" max="15114" width="12.7109375" style="124" bestFit="1" customWidth="1"/>
    <col min="15115" max="15115" width="19.140625" style="124" bestFit="1" customWidth="1"/>
    <col min="15116" max="15116" width="11.28515625" style="124" bestFit="1" customWidth="1"/>
    <col min="15117" max="15117" width="17.140625" style="124" bestFit="1" customWidth="1"/>
    <col min="15118" max="15118" width="20.42578125" style="124" bestFit="1" customWidth="1"/>
    <col min="15119" max="15119" width="11" style="124" bestFit="1" customWidth="1"/>
    <col min="15120" max="15120" width="18" style="124" bestFit="1" customWidth="1"/>
    <col min="15121" max="15122" width="14.5703125" style="124" bestFit="1" customWidth="1"/>
    <col min="15123" max="15124" width="14.42578125" style="124" bestFit="1" customWidth="1"/>
    <col min="15125" max="15126" width="14.42578125" style="124" customWidth="1"/>
    <col min="15127" max="15127" width="14.42578125" style="124" bestFit="1" customWidth="1"/>
    <col min="15128" max="15362" width="14.28515625" style="124"/>
    <col min="15363" max="15363" width="12.5703125" style="124" bestFit="1" customWidth="1"/>
    <col min="15364" max="15364" width="11" style="124" bestFit="1" customWidth="1"/>
    <col min="15365" max="15365" width="10.140625" style="124" bestFit="1" customWidth="1"/>
    <col min="15366" max="15366" width="11.7109375" style="124" bestFit="1" customWidth="1"/>
    <col min="15367" max="15367" width="14" style="124" bestFit="1" customWidth="1"/>
    <col min="15368" max="15368" width="14.7109375" style="124" bestFit="1" customWidth="1"/>
    <col min="15369" max="15369" width="16.140625" style="124" bestFit="1" customWidth="1"/>
    <col min="15370" max="15370" width="12.7109375" style="124" bestFit="1" customWidth="1"/>
    <col min="15371" max="15371" width="19.140625" style="124" bestFit="1" customWidth="1"/>
    <col min="15372" max="15372" width="11.28515625" style="124" bestFit="1" customWidth="1"/>
    <col min="15373" max="15373" width="17.140625" style="124" bestFit="1" customWidth="1"/>
    <col min="15374" max="15374" width="20.42578125" style="124" bestFit="1" customWidth="1"/>
    <col min="15375" max="15375" width="11" style="124" bestFit="1" customWidth="1"/>
    <col min="15376" max="15376" width="18" style="124" bestFit="1" customWidth="1"/>
    <col min="15377" max="15378" width="14.5703125" style="124" bestFit="1" customWidth="1"/>
    <col min="15379" max="15380" width="14.42578125" style="124" bestFit="1" customWidth="1"/>
    <col min="15381" max="15382" width="14.42578125" style="124" customWidth="1"/>
    <col min="15383" max="15383" width="14.42578125" style="124" bestFit="1" customWidth="1"/>
    <col min="15384" max="15618" width="14.28515625" style="124"/>
    <col min="15619" max="15619" width="12.5703125" style="124" bestFit="1" customWidth="1"/>
    <col min="15620" max="15620" width="11" style="124" bestFit="1" customWidth="1"/>
    <col min="15621" max="15621" width="10.140625" style="124" bestFit="1" customWidth="1"/>
    <col min="15622" max="15622" width="11.7109375" style="124" bestFit="1" customWidth="1"/>
    <col min="15623" max="15623" width="14" style="124" bestFit="1" customWidth="1"/>
    <col min="15624" max="15624" width="14.7109375" style="124" bestFit="1" customWidth="1"/>
    <col min="15625" max="15625" width="16.140625" style="124" bestFit="1" customWidth="1"/>
    <col min="15626" max="15626" width="12.7109375" style="124" bestFit="1" customWidth="1"/>
    <col min="15627" max="15627" width="19.140625" style="124" bestFit="1" customWidth="1"/>
    <col min="15628" max="15628" width="11.28515625" style="124" bestFit="1" customWidth="1"/>
    <col min="15629" max="15629" width="17.140625" style="124" bestFit="1" customWidth="1"/>
    <col min="15630" max="15630" width="20.42578125" style="124" bestFit="1" customWidth="1"/>
    <col min="15631" max="15631" width="11" style="124" bestFit="1" customWidth="1"/>
    <col min="15632" max="15632" width="18" style="124" bestFit="1" customWidth="1"/>
    <col min="15633" max="15634" width="14.5703125" style="124" bestFit="1" customWidth="1"/>
    <col min="15635" max="15636" width="14.42578125" style="124" bestFit="1" customWidth="1"/>
    <col min="15637" max="15638" width="14.42578125" style="124" customWidth="1"/>
    <col min="15639" max="15639" width="14.42578125" style="124" bestFit="1" customWidth="1"/>
    <col min="15640" max="15874" width="14.28515625" style="124"/>
    <col min="15875" max="15875" width="12.5703125" style="124" bestFit="1" customWidth="1"/>
    <col min="15876" max="15876" width="11" style="124" bestFit="1" customWidth="1"/>
    <col min="15877" max="15877" width="10.140625" style="124" bestFit="1" customWidth="1"/>
    <col min="15878" max="15878" width="11.7109375" style="124" bestFit="1" customWidth="1"/>
    <col min="15879" max="15879" width="14" style="124" bestFit="1" customWidth="1"/>
    <col min="15880" max="15880" width="14.7109375" style="124" bestFit="1" customWidth="1"/>
    <col min="15881" max="15881" width="16.140625" style="124" bestFit="1" customWidth="1"/>
    <col min="15882" max="15882" width="12.7109375" style="124" bestFit="1" customWidth="1"/>
    <col min="15883" max="15883" width="19.140625" style="124" bestFit="1" customWidth="1"/>
    <col min="15884" max="15884" width="11.28515625" style="124" bestFit="1" customWidth="1"/>
    <col min="15885" max="15885" width="17.140625" style="124" bestFit="1" customWidth="1"/>
    <col min="15886" max="15886" width="20.42578125" style="124" bestFit="1" customWidth="1"/>
    <col min="15887" max="15887" width="11" style="124" bestFit="1" customWidth="1"/>
    <col min="15888" max="15888" width="18" style="124" bestFit="1" customWidth="1"/>
    <col min="15889" max="15890" width="14.5703125" style="124" bestFit="1" customWidth="1"/>
    <col min="15891" max="15892" width="14.42578125" style="124" bestFit="1" customWidth="1"/>
    <col min="15893" max="15894" width="14.42578125" style="124" customWidth="1"/>
    <col min="15895" max="15895" width="14.42578125" style="124" bestFit="1" customWidth="1"/>
    <col min="15896" max="16130" width="14.28515625" style="124"/>
    <col min="16131" max="16131" width="12.5703125" style="124" bestFit="1" customWidth="1"/>
    <col min="16132" max="16132" width="11" style="124" bestFit="1" customWidth="1"/>
    <col min="16133" max="16133" width="10.140625" style="124" bestFit="1" customWidth="1"/>
    <col min="16134" max="16134" width="11.7109375" style="124" bestFit="1" customWidth="1"/>
    <col min="16135" max="16135" width="14" style="124" bestFit="1" customWidth="1"/>
    <col min="16136" max="16136" width="14.7109375" style="124" bestFit="1" customWidth="1"/>
    <col min="16137" max="16137" width="16.140625" style="124" bestFit="1" customWidth="1"/>
    <col min="16138" max="16138" width="12.7109375" style="124" bestFit="1" customWidth="1"/>
    <col min="16139" max="16139" width="19.140625" style="124" bestFit="1" customWidth="1"/>
    <col min="16140" max="16140" width="11.28515625" style="124" bestFit="1" customWidth="1"/>
    <col min="16141" max="16141" width="17.140625" style="124" bestFit="1" customWidth="1"/>
    <col min="16142" max="16142" width="20.42578125" style="124" bestFit="1" customWidth="1"/>
    <col min="16143" max="16143" width="11" style="124" bestFit="1" customWidth="1"/>
    <col min="16144" max="16144" width="18" style="124" bestFit="1" customWidth="1"/>
    <col min="16145" max="16146" width="14.5703125" style="124" bestFit="1" customWidth="1"/>
    <col min="16147" max="16148" width="14.42578125" style="124" bestFit="1" customWidth="1"/>
    <col min="16149" max="16150" width="14.42578125" style="124" customWidth="1"/>
    <col min="16151" max="16151" width="14.42578125" style="124" bestFit="1" customWidth="1"/>
    <col min="16152" max="16384" width="14.28515625" style="124"/>
  </cols>
  <sheetData>
    <row r="2" spans="2:23" s="115" customFormat="1" ht="38.25" x14ac:dyDescent="0.3">
      <c r="B2" s="112" t="s">
        <v>196</v>
      </c>
      <c r="C2" s="112" t="s">
        <v>0</v>
      </c>
      <c r="D2" s="112" t="s">
        <v>197</v>
      </c>
      <c r="E2" s="112" t="s">
        <v>198</v>
      </c>
      <c r="F2" s="112" t="s">
        <v>199</v>
      </c>
      <c r="G2" s="112" t="s">
        <v>200</v>
      </c>
      <c r="H2" s="113" t="s">
        <v>201</v>
      </c>
      <c r="I2" s="114" t="s">
        <v>46</v>
      </c>
      <c r="J2" s="112" t="s">
        <v>202</v>
      </c>
      <c r="K2" s="112" t="s">
        <v>203</v>
      </c>
      <c r="L2" s="112" t="s">
        <v>204</v>
      </c>
      <c r="M2" s="112" t="s">
        <v>205</v>
      </c>
      <c r="N2" s="112" t="s">
        <v>206</v>
      </c>
      <c r="O2" s="112" t="s">
        <v>207</v>
      </c>
      <c r="P2" s="112" t="s">
        <v>208</v>
      </c>
      <c r="Q2" s="112" t="s">
        <v>209</v>
      </c>
      <c r="R2" s="112" t="s">
        <v>60</v>
      </c>
      <c r="S2" s="112" t="s">
        <v>210</v>
      </c>
      <c r="T2" s="112" t="s">
        <v>211</v>
      </c>
      <c r="U2" s="112" t="s">
        <v>212</v>
      </c>
      <c r="V2" s="112" t="s">
        <v>213</v>
      </c>
      <c r="W2" s="112" t="s">
        <v>214</v>
      </c>
    </row>
    <row r="3" spans="2:23" x14ac:dyDescent="0.3">
      <c r="B3" s="116" t="e" vm="1">
        <v>#VALUE!</v>
      </c>
      <c r="C3" s="117">
        <v>46056</v>
      </c>
      <c r="D3" s="116">
        <v>1</v>
      </c>
      <c r="E3" s="118">
        <v>7089.5</v>
      </c>
      <c r="F3" s="118">
        <f>D3*E3*0.0022+11.22</f>
        <v>26.816900000000004</v>
      </c>
      <c r="G3" s="118">
        <f t="shared" ref="G3:G66" si="0">(E3*D3)+F3</f>
        <v>7116.3168999999998</v>
      </c>
      <c r="H3" s="119">
        <f t="shared" ref="H3:H66" si="1">F3/(D3*E3)</f>
        <v>3.7826221877424364E-3</v>
      </c>
      <c r="I3" s="120" cm="1">
        <f t="array" aca="1" ref="I3" ca="1">_FV(B3,"Price")</f>
        <v>8862</v>
      </c>
      <c r="J3" s="118">
        <f t="shared" ref="J3:J66" ca="1" si="2">I3*D3*(1-H3)</f>
        <v>8828.4784021722262</v>
      </c>
      <c r="K3" s="118">
        <f t="shared" ref="K3:K66" ca="1" si="3">I3*D3</f>
        <v>8862</v>
      </c>
      <c r="L3" s="118">
        <f>10</f>
        <v>10</v>
      </c>
      <c r="M3" s="118">
        <f t="shared" ref="M3:M66" ca="1" si="4">J3-G3+L3</f>
        <v>1722.1615021722264</v>
      </c>
      <c r="N3" s="121">
        <f t="shared" ref="N3:N66" ca="1" si="5">M3/G3</f>
        <v>0.24200180042182023</v>
      </c>
      <c r="O3" s="122">
        <f t="shared" ref="O3:O66" ca="1" si="6">(DAYS360(C3,NOW(),TRUE))/30</f>
        <v>5.666666666666667</v>
      </c>
      <c r="P3" s="121">
        <f t="shared" ref="P3:P66" ca="1" si="7">(N3/O3)*12</f>
        <v>0.51247440089326635</v>
      </c>
      <c r="Q3" s="118">
        <f t="shared" ref="Q3:Q66" ca="1" si="8">G3+((G3*O3*8)/(100*12))</f>
        <v>7385.1555384444446</v>
      </c>
      <c r="R3" s="118">
        <f t="shared" ref="R3:R66" si="9">-G3</f>
        <v>-7116.3168999999998</v>
      </c>
      <c r="S3" s="123" t="s">
        <v>215</v>
      </c>
      <c r="T3" s="118" t="s">
        <v>216</v>
      </c>
      <c r="U3" s="118" t="s">
        <v>217</v>
      </c>
      <c r="V3" s="118" t="s">
        <v>218</v>
      </c>
      <c r="W3" s="118" t="s">
        <v>219</v>
      </c>
    </row>
    <row r="4" spans="2:23" x14ac:dyDescent="0.3">
      <c r="B4" s="116" t="e" vm="1">
        <v>#VALUE!</v>
      </c>
      <c r="C4" s="117">
        <v>46085</v>
      </c>
      <c r="D4" s="116">
        <v>1</v>
      </c>
      <c r="E4" s="118">
        <v>7582.5</v>
      </c>
      <c r="F4" s="118">
        <f>D4*E4*0.0022+12.01</f>
        <v>28.691499999999998</v>
      </c>
      <c r="G4" s="118">
        <f t="shared" si="0"/>
        <v>7611.1914999999999</v>
      </c>
      <c r="H4" s="119">
        <f t="shared" si="1"/>
        <v>3.783910319815364E-3</v>
      </c>
      <c r="I4" s="120" cm="1">
        <f t="array" aca="1" ref="I4" ca="1">_FV(B4,"Price")</f>
        <v>8862</v>
      </c>
      <c r="J4" s="118">
        <f t="shared" ca="1" si="2"/>
        <v>8828.466986745796</v>
      </c>
      <c r="K4" s="118">
        <f t="shared" ca="1" si="3"/>
        <v>8862</v>
      </c>
      <c r="L4" s="118">
        <v>0</v>
      </c>
      <c r="M4" s="118">
        <f t="shared" ca="1" si="4"/>
        <v>1217.2754867457961</v>
      </c>
      <c r="N4" s="121">
        <f t="shared" ca="1" si="5"/>
        <v>0.15993231634571226</v>
      </c>
      <c r="O4" s="122">
        <f t="shared" ca="1" si="6"/>
        <v>4.6333333333333337</v>
      </c>
      <c r="P4" s="121">
        <f t="shared" ca="1" si="7"/>
        <v>0.41421319341335538</v>
      </c>
      <c r="Q4" s="118">
        <f t="shared" ca="1" si="8"/>
        <v>7846.2927485555556</v>
      </c>
      <c r="R4" s="118">
        <f t="shared" si="9"/>
        <v>-7611.1914999999999</v>
      </c>
      <c r="S4" s="123" t="s">
        <v>215</v>
      </c>
      <c r="T4" s="118" t="s">
        <v>216</v>
      </c>
      <c r="U4" s="118" t="s">
        <v>217</v>
      </c>
      <c r="V4" s="118" t="s">
        <v>218</v>
      </c>
      <c r="W4" s="118" t="s">
        <v>219</v>
      </c>
    </row>
    <row r="5" spans="2:23" x14ac:dyDescent="0.3">
      <c r="B5" s="116" t="e" vm="1">
        <v>#VALUE!</v>
      </c>
      <c r="C5" s="117">
        <v>46118</v>
      </c>
      <c r="D5" s="116">
        <v>1</v>
      </c>
      <c r="E5" s="118">
        <v>7266.5</v>
      </c>
      <c r="F5" s="118">
        <f>D5*E5*0.0022+11.99</f>
        <v>27.976300000000002</v>
      </c>
      <c r="G5" s="118">
        <f t="shared" si="0"/>
        <v>7294.4763000000003</v>
      </c>
      <c r="H5" s="119">
        <f t="shared" si="1"/>
        <v>3.8500378449046998E-3</v>
      </c>
      <c r="I5" s="120" cm="1">
        <f t="array" aca="1" ref="I5" ca="1">_FV(B5,"Price")</f>
        <v>8862</v>
      </c>
      <c r="J5" s="118">
        <f t="shared" ca="1" si="2"/>
        <v>8827.8809646184545</v>
      </c>
      <c r="K5" s="118">
        <f t="shared" ca="1" si="3"/>
        <v>8862</v>
      </c>
      <c r="L5" s="118">
        <v>0</v>
      </c>
      <c r="M5" s="118">
        <f t="shared" ca="1" si="4"/>
        <v>1533.4046646184543</v>
      </c>
      <c r="N5" s="121">
        <f t="shared" ca="1" si="5"/>
        <v>0.21021449677181817</v>
      </c>
      <c r="O5" s="122">
        <f t="shared" ca="1" si="6"/>
        <v>3.5666666666666669</v>
      </c>
      <c r="P5" s="121">
        <f t="shared" ca="1" si="7"/>
        <v>0.70726372745658439</v>
      </c>
      <c r="Q5" s="118">
        <f t="shared" ca="1" si="8"/>
        <v>7467.9227364666667</v>
      </c>
      <c r="R5" s="118">
        <f t="shared" si="9"/>
        <v>-7294.4763000000003</v>
      </c>
      <c r="S5" s="123" t="s">
        <v>215</v>
      </c>
      <c r="T5" s="118" t="s">
        <v>216</v>
      </c>
      <c r="U5" s="118" t="s">
        <v>217</v>
      </c>
      <c r="V5" s="118" t="s">
        <v>218</v>
      </c>
      <c r="W5" s="118" t="s">
        <v>219</v>
      </c>
    </row>
    <row r="6" spans="2:23" x14ac:dyDescent="0.3">
      <c r="B6" s="116" t="e" vm="1">
        <v>#VALUE!</v>
      </c>
      <c r="C6" s="117">
        <v>46146</v>
      </c>
      <c r="D6" s="116">
        <v>1</v>
      </c>
      <c r="E6" s="118">
        <v>7756.5</v>
      </c>
      <c r="F6" s="118">
        <f>D6*E6*0.0022+12.29</f>
        <v>29.354299999999999</v>
      </c>
      <c r="G6" s="118">
        <f t="shared" si="0"/>
        <v>7785.8543</v>
      </c>
      <c r="H6" s="119">
        <f t="shared" si="1"/>
        <v>3.7844775349706694E-3</v>
      </c>
      <c r="I6" s="120" cm="1">
        <f t="array" aca="1" ref="I6" ca="1">_FV(B6,"Price")</f>
        <v>8862</v>
      </c>
      <c r="J6" s="118">
        <f t="shared" ca="1" si="2"/>
        <v>8828.4619600850892</v>
      </c>
      <c r="K6" s="118">
        <f t="shared" ca="1" si="3"/>
        <v>8862</v>
      </c>
      <c r="L6" s="118">
        <v>0</v>
      </c>
      <c r="M6" s="118">
        <f t="shared" ca="1" si="4"/>
        <v>1042.6076600850893</v>
      </c>
      <c r="N6" s="121">
        <f t="shared" ca="1" si="5"/>
        <v>0.13391050229196932</v>
      </c>
      <c r="O6" s="122">
        <f t="shared" ca="1" si="6"/>
        <v>2.6333333333333333</v>
      </c>
      <c r="P6" s="121">
        <f t="shared" ca="1" si="7"/>
        <v>0.61022507373555634</v>
      </c>
      <c r="Q6" s="118">
        <f t="shared" ca="1" si="8"/>
        <v>7922.5392977111114</v>
      </c>
      <c r="R6" s="118">
        <f t="shared" si="9"/>
        <v>-7785.8543</v>
      </c>
      <c r="S6" s="123" t="s">
        <v>215</v>
      </c>
      <c r="T6" s="118" t="s">
        <v>216</v>
      </c>
      <c r="U6" s="118" t="s">
        <v>217</v>
      </c>
      <c r="V6" s="118" t="s">
        <v>218</v>
      </c>
      <c r="W6" s="118" t="s">
        <v>219</v>
      </c>
    </row>
    <row r="7" spans="2:23" x14ac:dyDescent="0.3">
      <c r="B7" s="116" t="e" vm="1">
        <v>#VALUE!</v>
      </c>
      <c r="C7" s="117">
        <v>46176</v>
      </c>
      <c r="D7" s="116">
        <v>1</v>
      </c>
      <c r="E7" s="118">
        <v>8192.5</v>
      </c>
      <c r="F7" s="118">
        <f>D7*E7*0.0022+12.97</f>
        <v>30.993500000000004</v>
      </c>
      <c r="G7" s="118">
        <f t="shared" si="0"/>
        <v>8223.4935000000005</v>
      </c>
      <c r="H7" s="119">
        <f t="shared" si="1"/>
        <v>3.7831553249923714E-3</v>
      </c>
      <c r="I7" s="120" cm="1">
        <f t="array" aca="1" ref="I7" ca="1">_FV(B7,"Price")</f>
        <v>8862</v>
      </c>
      <c r="J7" s="118">
        <f t="shared" ca="1" si="2"/>
        <v>8828.4736775099173</v>
      </c>
      <c r="K7" s="118">
        <f t="shared" ca="1" si="3"/>
        <v>8862</v>
      </c>
      <c r="L7" s="118">
        <v>0</v>
      </c>
      <c r="M7" s="118">
        <f t="shared" ca="1" si="4"/>
        <v>604.98017750991676</v>
      </c>
      <c r="N7" s="121">
        <f t="shared" ca="1" si="5"/>
        <v>7.3567295640218688E-2</v>
      </c>
      <c r="O7" s="122">
        <f t="shared" ca="1" si="6"/>
        <v>1.6666666666666667</v>
      </c>
      <c r="P7" s="121">
        <f t="shared" ca="1" si="7"/>
        <v>0.5296845286095746</v>
      </c>
      <c r="Q7" s="118">
        <f t="shared" ca="1" si="8"/>
        <v>8314.8656499999997</v>
      </c>
      <c r="R7" s="118">
        <f t="shared" si="9"/>
        <v>-8223.4935000000005</v>
      </c>
      <c r="S7" s="123" t="s">
        <v>215</v>
      </c>
      <c r="T7" s="118" t="s">
        <v>216</v>
      </c>
      <c r="U7" s="118" t="s">
        <v>217</v>
      </c>
      <c r="V7" s="118" t="s">
        <v>218</v>
      </c>
      <c r="W7" s="118" t="s">
        <v>219</v>
      </c>
    </row>
    <row r="8" spans="2:23" x14ac:dyDescent="0.3">
      <c r="B8" s="116" t="e" vm="1">
        <v>#VALUE!</v>
      </c>
      <c r="C8" s="117">
        <v>46206</v>
      </c>
      <c r="D8" s="116">
        <v>1</v>
      </c>
      <c r="E8" s="118">
        <v>8847.5</v>
      </c>
      <c r="F8" s="118">
        <f>D8*E8*0.0022+14.01</f>
        <v>33.474499999999999</v>
      </c>
      <c r="G8" s="118">
        <f t="shared" si="0"/>
        <v>8880.9745000000003</v>
      </c>
      <c r="H8" s="119">
        <f t="shared" si="1"/>
        <v>3.7834981633229725E-3</v>
      </c>
      <c r="I8" s="120" cm="1">
        <f t="array" aca="1" ref="I8" ca="1">_FV(B8,"Price")</f>
        <v>8862</v>
      </c>
      <c r="J8" s="118">
        <f t="shared" ca="1" si="2"/>
        <v>8828.4706392766311</v>
      </c>
      <c r="K8" s="118">
        <f t="shared" ca="1" si="3"/>
        <v>8862</v>
      </c>
      <c r="L8" s="118">
        <v>0</v>
      </c>
      <c r="M8" s="118">
        <f t="shared" ca="1" si="4"/>
        <v>-52.503860723369144</v>
      </c>
      <c r="N8" s="121">
        <f t="shared" ca="1" si="5"/>
        <v>-5.9119481452591877E-3</v>
      </c>
      <c r="O8" s="122">
        <f t="shared" ca="1" si="6"/>
        <v>0.66666666666666663</v>
      </c>
      <c r="P8" s="121">
        <f t="shared" ca="1" si="7"/>
        <v>-0.10641506661466538</v>
      </c>
      <c r="Q8" s="118">
        <f t="shared" ca="1" si="8"/>
        <v>8920.4454977777787</v>
      </c>
      <c r="R8" s="118">
        <f t="shared" si="9"/>
        <v>-8880.9745000000003</v>
      </c>
      <c r="S8" s="123" t="s">
        <v>215</v>
      </c>
      <c r="T8" s="118" t="s">
        <v>216</v>
      </c>
      <c r="U8" s="118" t="s">
        <v>217</v>
      </c>
      <c r="V8" s="118" t="s">
        <v>218</v>
      </c>
      <c r="W8" s="118" t="s">
        <v>219</v>
      </c>
    </row>
    <row r="9" spans="2:23" x14ac:dyDescent="0.3">
      <c r="B9" s="116" t="e" vm="2">
        <v>#VALUE!</v>
      </c>
      <c r="C9" s="117">
        <v>45658</v>
      </c>
      <c r="D9" s="116">
        <v>4</v>
      </c>
      <c r="E9" s="118">
        <v>8662</v>
      </c>
      <c r="F9" s="118">
        <f>4*164.052/5</f>
        <v>131.24160000000001</v>
      </c>
      <c r="G9" s="118">
        <f t="shared" si="0"/>
        <v>34779.241600000001</v>
      </c>
      <c r="H9" s="119">
        <f t="shared" si="1"/>
        <v>3.7878549988455325E-3</v>
      </c>
      <c r="I9" s="120" cm="1">
        <f t="array" aca="1" ref="I9" ca="1">_FV(B9,"Price")</f>
        <v>11283.5</v>
      </c>
      <c r="J9" s="118">
        <f t="shared" ca="1" si="2"/>
        <v>44963.038952482108</v>
      </c>
      <c r="K9" s="118">
        <f t="shared" ca="1" si="3"/>
        <v>45134</v>
      </c>
      <c r="L9" s="118">
        <f>1050</f>
        <v>1050</v>
      </c>
      <c r="M9" s="118">
        <f t="shared" ca="1" si="4"/>
        <v>11233.797352482106</v>
      </c>
      <c r="N9" s="121">
        <f t="shared" ca="1" si="5"/>
        <v>0.32300294186064443</v>
      </c>
      <c r="O9" s="122">
        <f t="shared" ca="1" si="6"/>
        <v>18.733333333333334</v>
      </c>
      <c r="P9" s="121">
        <f t="shared" ca="1" si="7"/>
        <v>0.20690579905664053</v>
      </c>
      <c r="Q9" s="118">
        <f t="shared" ca="1" si="8"/>
        <v>39122.782439822222</v>
      </c>
      <c r="R9" s="118">
        <f t="shared" si="9"/>
        <v>-34779.241600000001</v>
      </c>
      <c r="S9" s="123" t="s">
        <v>220</v>
      </c>
      <c r="T9" s="118" t="s">
        <v>216</v>
      </c>
      <c r="U9" s="118" t="s">
        <v>217</v>
      </c>
      <c r="V9" s="118" t="s">
        <v>221</v>
      </c>
      <c r="W9" s="118" t="s">
        <v>219</v>
      </c>
    </row>
    <row r="10" spans="2:23" x14ac:dyDescent="0.3">
      <c r="B10" s="116" t="e" vm="3">
        <v>#VALUE!</v>
      </c>
      <c r="C10" s="117">
        <v>45617</v>
      </c>
      <c r="D10" s="116">
        <v>11</v>
      </c>
      <c r="E10" s="118">
        <v>515.5</v>
      </c>
      <c r="F10" s="118">
        <f>D10*E10*0.0022+3.31</f>
        <v>15.785100000000002</v>
      </c>
      <c r="G10" s="118">
        <f t="shared" si="0"/>
        <v>5686.2851000000001</v>
      </c>
      <c r="H10" s="119">
        <f t="shared" si="1"/>
        <v>2.7837227757693326E-3</v>
      </c>
      <c r="I10" s="120" cm="1">
        <f t="array" aca="1" ref="I10" ca="1">_FV(B10,"Price")</f>
        <v>586.72</v>
      </c>
      <c r="J10" s="118">
        <f t="shared" ca="1" si="2"/>
        <v>6435.9540759030069</v>
      </c>
      <c r="K10" s="118">
        <f t="shared" ca="1" si="3"/>
        <v>6453.92</v>
      </c>
      <c r="L10" s="118">
        <v>0</v>
      </c>
      <c r="M10" s="118">
        <f t="shared" ca="1" si="4"/>
        <v>749.66897590300687</v>
      </c>
      <c r="N10" s="121">
        <f t="shared" ca="1" si="5"/>
        <v>0.13183809160448301</v>
      </c>
      <c r="O10" s="122">
        <f t="shared" ca="1" si="6"/>
        <v>20.066666666666666</v>
      </c>
      <c r="P10" s="121">
        <f t="shared" ca="1" si="7"/>
        <v>7.8840054780089514E-2</v>
      </c>
      <c r="Q10" s="118">
        <f t="shared" ca="1" si="8"/>
        <v>6446.9836844888887</v>
      </c>
      <c r="R10" s="118">
        <f t="shared" si="9"/>
        <v>-5686.2851000000001</v>
      </c>
      <c r="S10" s="123" t="s">
        <v>222</v>
      </c>
      <c r="T10" s="118" t="s">
        <v>216</v>
      </c>
      <c r="U10" s="118" t="s">
        <v>217</v>
      </c>
      <c r="V10" s="118" t="s">
        <v>223</v>
      </c>
      <c r="W10" s="118" t="s">
        <v>219</v>
      </c>
    </row>
    <row r="11" spans="2:23" x14ac:dyDescent="0.3">
      <c r="B11" s="116" t="e" vm="3">
        <v>#VALUE!</v>
      </c>
      <c r="C11" s="117">
        <v>45631</v>
      </c>
      <c r="D11" s="116">
        <v>11</v>
      </c>
      <c r="E11" s="118">
        <v>543</v>
      </c>
      <c r="F11" s="118">
        <f>D11*E11*0.0022+3.49</f>
        <v>16.630600000000001</v>
      </c>
      <c r="G11" s="118">
        <f t="shared" si="0"/>
        <v>5989.6306000000004</v>
      </c>
      <c r="H11" s="119">
        <f t="shared" si="1"/>
        <v>2.7842959986606399E-3</v>
      </c>
      <c r="I11" s="120" cm="1">
        <f t="array" aca="1" ref="I11" ca="1">_FV(B11,"Price")</f>
        <v>586.72</v>
      </c>
      <c r="J11" s="118">
        <f t="shared" ca="1" si="2"/>
        <v>6435.9503763683242</v>
      </c>
      <c r="K11" s="118">
        <f t="shared" ca="1" si="3"/>
        <v>6453.92</v>
      </c>
      <c r="L11" s="118">
        <v>0</v>
      </c>
      <c r="M11" s="118">
        <f t="shared" ca="1" si="4"/>
        <v>446.3197763683238</v>
      </c>
      <c r="N11" s="121">
        <f t="shared" ca="1" si="5"/>
        <v>7.4515409409108432E-2</v>
      </c>
      <c r="O11" s="122">
        <f t="shared" ca="1" si="6"/>
        <v>19.600000000000001</v>
      </c>
      <c r="P11" s="121">
        <f t="shared" ca="1" si="7"/>
        <v>4.5621679230066381E-2</v>
      </c>
      <c r="Q11" s="118">
        <f t="shared" ca="1" si="8"/>
        <v>6772.275665066667</v>
      </c>
      <c r="R11" s="118">
        <f t="shared" si="9"/>
        <v>-5989.6306000000004</v>
      </c>
      <c r="S11" s="123" t="s">
        <v>222</v>
      </c>
      <c r="T11" s="118" t="s">
        <v>216</v>
      </c>
      <c r="U11" s="118" t="s">
        <v>217</v>
      </c>
      <c r="V11" s="118" t="s">
        <v>223</v>
      </c>
      <c r="W11" s="118" t="s">
        <v>219</v>
      </c>
    </row>
    <row r="12" spans="2:23" x14ac:dyDescent="0.3">
      <c r="B12" s="116" t="e" vm="3">
        <v>#VALUE!</v>
      </c>
      <c r="C12" s="117">
        <v>45646</v>
      </c>
      <c r="D12" s="116">
        <v>11</v>
      </c>
      <c r="E12" s="118">
        <v>528.4</v>
      </c>
      <c r="F12" s="118">
        <f>D12*E12*0.0022+3.38</f>
        <v>16.167279999999998</v>
      </c>
      <c r="G12" s="118">
        <f t="shared" si="0"/>
        <v>5828.5672799999993</v>
      </c>
      <c r="H12" s="119">
        <f t="shared" si="1"/>
        <v>2.781515380909779E-3</v>
      </c>
      <c r="I12" s="120" cm="1">
        <f t="array" aca="1" ref="I12" ca="1">_FV(B12,"Price")</f>
        <v>586.72</v>
      </c>
      <c r="J12" s="118">
        <f t="shared" ca="1" si="2"/>
        <v>6435.9683222528392</v>
      </c>
      <c r="K12" s="118">
        <f t="shared" ca="1" si="3"/>
        <v>6453.92</v>
      </c>
      <c r="L12" s="118">
        <v>0</v>
      </c>
      <c r="M12" s="118">
        <f t="shared" ca="1" si="4"/>
        <v>607.40104225283994</v>
      </c>
      <c r="N12" s="121">
        <f t="shared" ca="1" si="5"/>
        <v>0.10421103730535303</v>
      </c>
      <c r="O12" s="122">
        <f t="shared" ca="1" si="6"/>
        <v>19.100000000000001</v>
      </c>
      <c r="P12" s="121">
        <f t="shared" ca="1" si="7"/>
        <v>6.5472903019069953E-2</v>
      </c>
      <c r="Q12" s="118">
        <f t="shared" ca="1" si="8"/>
        <v>6570.7381803199996</v>
      </c>
      <c r="R12" s="118">
        <f t="shared" si="9"/>
        <v>-5828.5672799999993</v>
      </c>
      <c r="S12" s="123" t="s">
        <v>222</v>
      </c>
      <c r="T12" s="118" t="s">
        <v>216</v>
      </c>
      <c r="U12" s="118" t="s">
        <v>217</v>
      </c>
      <c r="V12" s="118" t="s">
        <v>223</v>
      </c>
      <c r="W12" s="118" t="s">
        <v>219</v>
      </c>
    </row>
    <row r="13" spans="2:23" x14ac:dyDescent="0.3">
      <c r="B13" s="116" t="e" vm="3">
        <v>#VALUE!</v>
      </c>
      <c r="C13" s="117">
        <v>45663</v>
      </c>
      <c r="D13" s="116">
        <v>11</v>
      </c>
      <c r="E13" s="118">
        <v>513.20000000000005</v>
      </c>
      <c r="F13" s="118">
        <f>D13*E13*0.0022+3.3</f>
        <v>15.719440000000002</v>
      </c>
      <c r="G13" s="118">
        <f t="shared" si="0"/>
        <v>5660.9194400000006</v>
      </c>
      <c r="H13" s="119">
        <f t="shared" si="1"/>
        <v>2.7845674201091193E-3</v>
      </c>
      <c r="I13" s="120" cm="1">
        <f t="array" aca="1" ref="I13" ca="1">_FV(B13,"Price")</f>
        <v>586.72</v>
      </c>
      <c r="J13" s="118">
        <f t="shared" ca="1" si="2"/>
        <v>6435.9486246360093</v>
      </c>
      <c r="K13" s="118">
        <f t="shared" ca="1" si="3"/>
        <v>6453.92</v>
      </c>
      <c r="L13" s="118">
        <v>0</v>
      </c>
      <c r="M13" s="118">
        <f t="shared" ca="1" si="4"/>
        <v>775.02918463600872</v>
      </c>
      <c r="N13" s="121">
        <f t="shared" ca="1" si="5"/>
        <v>0.1369087111820847</v>
      </c>
      <c r="O13" s="122">
        <f t="shared" ca="1" si="6"/>
        <v>18.566666666666666</v>
      </c>
      <c r="P13" s="121">
        <f t="shared" ca="1" si="7"/>
        <v>8.8486779220018838E-2</v>
      </c>
      <c r="Q13" s="118">
        <f t="shared" ca="1" si="8"/>
        <v>6361.6154684622234</v>
      </c>
      <c r="R13" s="118">
        <f t="shared" si="9"/>
        <v>-5660.9194400000006</v>
      </c>
      <c r="S13" s="123" t="s">
        <v>222</v>
      </c>
      <c r="T13" s="118" t="s">
        <v>216</v>
      </c>
      <c r="U13" s="118" t="s">
        <v>217</v>
      </c>
      <c r="V13" s="118" t="s">
        <v>223</v>
      </c>
      <c r="W13" s="118" t="s">
        <v>219</v>
      </c>
    </row>
    <row r="14" spans="2:23" x14ac:dyDescent="0.3">
      <c r="B14" s="116" t="e" vm="3">
        <v>#VALUE!</v>
      </c>
      <c r="C14" s="117">
        <v>45677</v>
      </c>
      <c r="D14" s="116">
        <v>11</v>
      </c>
      <c r="E14" s="118">
        <v>505.87</v>
      </c>
      <c r="F14" s="118">
        <f>D14*E14*0.0022+3.25</f>
        <v>15.492054</v>
      </c>
      <c r="G14" s="118">
        <f t="shared" si="0"/>
        <v>5580.062054</v>
      </c>
      <c r="H14" s="119">
        <f t="shared" si="1"/>
        <v>2.7840523167109049E-3</v>
      </c>
      <c r="I14" s="120" cm="1">
        <f t="array" aca="1" ref="I14" ca="1">_FV(B14,"Price")</f>
        <v>586.72</v>
      </c>
      <c r="J14" s="118">
        <f t="shared" ca="1" si="2"/>
        <v>6435.9519490721332</v>
      </c>
      <c r="K14" s="118">
        <f t="shared" ca="1" si="3"/>
        <v>6453.92</v>
      </c>
      <c r="L14" s="118">
        <v>0</v>
      </c>
      <c r="M14" s="118">
        <f t="shared" ca="1" si="4"/>
        <v>855.88989507213319</v>
      </c>
      <c r="N14" s="121">
        <f t="shared" ca="1" si="5"/>
        <v>0.15338358010886258</v>
      </c>
      <c r="O14" s="122">
        <f t="shared" ca="1" si="6"/>
        <v>18.100000000000001</v>
      </c>
      <c r="P14" s="121">
        <f t="shared" ca="1" si="7"/>
        <v>0.10169077134289231</v>
      </c>
      <c r="Q14" s="118">
        <f t="shared" ca="1" si="8"/>
        <v>6253.389541849333</v>
      </c>
      <c r="R14" s="118">
        <f t="shared" si="9"/>
        <v>-5580.062054</v>
      </c>
      <c r="S14" s="123" t="s">
        <v>222</v>
      </c>
      <c r="T14" s="118" t="s">
        <v>216</v>
      </c>
      <c r="U14" s="118" t="s">
        <v>217</v>
      </c>
      <c r="V14" s="118" t="s">
        <v>223</v>
      </c>
      <c r="W14" s="118" t="s">
        <v>219</v>
      </c>
    </row>
    <row r="15" spans="2:23" x14ac:dyDescent="0.3">
      <c r="B15" s="116" t="e" vm="3">
        <v>#VALUE!</v>
      </c>
      <c r="C15" s="117">
        <v>45691</v>
      </c>
      <c r="D15" s="116">
        <v>11</v>
      </c>
      <c r="E15" s="118">
        <v>505.5</v>
      </c>
      <c r="F15" s="118">
        <f>D15*E15*0.0022+3.24</f>
        <v>15.473100000000001</v>
      </c>
      <c r="G15" s="118">
        <f t="shared" si="0"/>
        <v>5575.9731000000002</v>
      </c>
      <c r="H15" s="119">
        <f t="shared" si="1"/>
        <v>2.7826814135419476E-3</v>
      </c>
      <c r="I15" s="120" cm="1">
        <f t="array" aca="1" ref="I15" ca="1">_FV(B15,"Price")</f>
        <v>586.72</v>
      </c>
      <c r="J15" s="118">
        <f t="shared" ca="1" si="2"/>
        <v>6435.9607967715128</v>
      </c>
      <c r="K15" s="118">
        <f t="shared" ca="1" si="3"/>
        <v>6453.92</v>
      </c>
      <c r="L15" s="118">
        <v>0</v>
      </c>
      <c r="M15" s="118">
        <f t="shared" ca="1" si="4"/>
        <v>859.98769677151267</v>
      </c>
      <c r="N15" s="121">
        <f t="shared" ca="1" si="5"/>
        <v>0.15423096226405983</v>
      </c>
      <c r="O15" s="122">
        <f t="shared" ca="1" si="6"/>
        <v>17.666666666666668</v>
      </c>
      <c r="P15" s="121">
        <f t="shared" ca="1" si="7"/>
        <v>0.10476065361332365</v>
      </c>
      <c r="Q15" s="118">
        <f t="shared" ca="1" si="8"/>
        <v>6232.6988206666665</v>
      </c>
      <c r="R15" s="118">
        <f t="shared" si="9"/>
        <v>-5575.9731000000002</v>
      </c>
      <c r="S15" s="123" t="s">
        <v>222</v>
      </c>
      <c r="T15" s="118" t="s">
        <v>216</v>
      </c>
      <c r="U15" s="118" t="s">
        <v>217</v>
      </c>
      <c r="V15" s="118" t="s">
        <v>223</v>
      </c>
      <c r="W15" s="118" t="s">
        <v>219</v>
      </c>
    </row>
    <row r="16" spans="2:23" x14ac:dyDescent="0.3">
      <c r="B16" s="116" t="e" vm="3">
        <v>#VALUE!</v>
      </c>
      <c r="C16" s="117">
        <v>45706</v>
      </c>
      <c r="D16" s="116">
        <v>11</v>
      </c>
      <c r="E16" s="118">
        <v>502.06</v>
      </c>
      <c r="F16" s="118">
        <f>D16*E16*0.0022+3.23</f>
        <v>15.379852000000001</v>
      </c>
      <c r="G16" s="118">
        <f t="shared" si="0"/>
        <v>5538.0398519999999</v>
      </c>
      <c r="H16" s="119">
        <f t="shared" si="1"/>
        <v>2.7848630913364213E-3</v>
      </c>
      <c r="I16" s="120" cm="1">
        <f t="array" aca="1" ref="I16" ca="1">_FV(B16,"Price")</f>
        <v>586.72</v>
      </c>
      <c r="J16" s="118">
        <f t="shared" ca="1" si="2"/>
        <v>6435.9467163975623</v>
      </c>
      <c r="K16" s="118">
        <f t="shared" ca="1" si="3"/>
        <v>6453.92</v>
      </c>
      <c r="L16" s="118">
        <v>0</v>
      </c>
      <c r="M16" s="118">
        <f t="shared" ca="1" si="4"/>
        <v>897.90686439756246</v>
      </c>
      <c r="N16" s="121">
        <f t="shared" ca="1" si="5"/>
        <v>0.1621344173016909</v>
      </c>
      <c r="O16" s="122">
        <f t="shared" ca="1" si="6"/>
        <v>17.166666666666668</v>
      </c>
      <c r="P16" s="121">
        <f t="shared" ca="1" si="7"/>
        <v>0.11333668005555092</v>
      </c>
      <c r="Q16" s="118">
        <f t="shared" ca="1" si="8"/>
        <v>6171.8377461733335</v>
      </c>
      <c r="R16" s="118">
        <f t="shared" si="9"/>
        <v>-5538.0398519999999</v>
      </c>
      <c r="S16" s="123" t="s">
        <v>222</v>
      </c>
      <c r="T16" s="118" t="s">
        <v>216</v>
      </c>
      <c r="U16" s="118" t="s">
        <v>217</v>
      </c>
      <c r="V16" s="118" t="s">
        <v>223</v>
      </c>
      <c r="W16" s="118" t="s">
        <v>219</v>
      </c>
    </row>
    <row r="17" spans="2:23" x14ac:dyDescent="0.3">
      <c r="B17" s="116" t="e" vm="3">
        <v>#VALUE!</v>
      </c>
      <c r="C17" s="117">
        <v>45721</v>
      </c>
      <c r="D17" s="116">
        <v>12</v>
      </c>
      <c r="E17" s="118">
        <v>498.1</v>
      </c>
      <c r="F17" s="118">
        <f>D17*E17*0.0022+3.49</f>
        <v>16.639840000000003</v>
      </c>
      <c r="G17" s="118">
        <f t="shared" si="0"/>
        <v>5993.8398400000005</v>
      </c>
      <c r="H17" s="119">
        <f t="shared" si="1"/>
        <v>2.7838854313056282E-3</v>
      </c>
      <c r="I17" s="120" cm="1">
        <f t="array" aca="1" ref="I17" ca="1">_FV(B17,"Price")</f>
        <v>586.72</v>
      </c>
      <c r="J17" s="118">
        <f t="shared" ca="1" si="2"/>
        <v>7021.0396648769329</v>
      </c>
      <c r="K17" s="118">
        <f t="shared" ca="1" si="3"/>
        <v>7040.64</v>
      </c>
      <c r="L17" s="118">
        <v>0</v>
      </c>
      <c r="M17" s="118">
        <f t="shared" ca="1" si="4"/>
        <v>1027.1998248769323</v>
      </c>
      <c r="N17" s="121">
        <f t="shared" ca="1" si="5"/>
        <v>0.17137592132874413</v>
      </c>
      <c r="O17" s="122">
        <f t="shared" ca="1" si="6"/>
        <v>16.600000000000001</v>
      </c>
      <c r="P17" s="121">
        <f t="shared" ca="1" si="7"/>
        <v>0.12388620818945359</v>
      </c>
      <c r="Q17" s="118">
        <f t="shared" ca="1" si="8"/>
        <v>6657.1581156266675</v>
      </c>
      <c r="R17" s="118">
        <f t="shared" si="9"/>
        <v>-5993.8398400000005</v>
      </c>
      <c r="S17" s="123" t="s">
        <v>222</v>
      </c>
      <c r="T17" s="118" t="s">
        <v>216</v>
      </c>
      <c r="U17" s="118" t="s">
        <v>217</v>
      </c>
      <c r="V17" s="118" t="s">
        <v>223</v>
      </c>
      <c r="W17" s="118" t="s">
        <v>219</v>
      </c>
    </row>
    <row r="18" spans="2:23" x14ac:dyDescent="0.3">
      <c r="B18" s="116" t="e" vm="3">
        <v>#VALUE!</v>
      </c>
      <c r="C18" s="117">
        <v>45736</v>
      </c>
      <c r="D18" s="116">
        <v>11</v>
      </c>
      <c r="E18" s="118">
        <v>512.28</v>
      </c>
      <c r="F18" s="118">
        <f>D18*E18*0.0022+3.29</f>
        <v>15.687176000000001</v>
      </c>
      <c r="G18" s="118">
        <f t="shared" si="0"/>
        <v>5650.7671760000003</v>
      </c>
      <c r="H18" s="119">
        <f t="shared" si="1"/>
        <v>2.7838426428728608E-3</v>
      </c>
      <c r="I18" s="120" cm="1">
        <f t="array" aca="1" ref="I18" ca="1">_FV(B18,"Price")</f>
        <v>586.72</v>
      </c>
      <c r="J18" s="118">
        <f t="shared" ca="1" si="2"/>
        <v>6435.9533022903097</v>
      </c>
      <c r="K18" s="118">
        <f t="shared" ca="1" si="3"/>
        <v>6453.92</v>
      </c>
      <c r="L18" s="118">
        <v>0</v>
      </c>
      <c r="M18" s="118">
        <f t="shared" ca="1" si="4"/>
        <v>785.1861262903094</v>
      </c>
      <c r="N18" s="121">
        <f t="shared" ca="1" si="5"/>
        <v>0.13895212841632557</v>
      </c>
      <c r="O18" s="122">
        <f t="shared" ca="1" si="6"/>
        <v>16.100000000000001</v>
      </c>
      <c r="P18" s="121">
        <f t="shared" ca="1" si="7"/>
        <v>0.10356680378856564</v>
      </c>
      <c r="Q18" s="118">
        <f t="shared" ca="1" si="8"/>
        <v>6257.2828528906666</v>
      </c>
      <c r="R18" s="118">
        <f t="shared" si="9"/>
        <v>-5650.7671760000003</v>
      </c>
      <c r="S18" s="123" t="s">
        <v>222</v>
      </c>
      <c r="T18" s="118" t="s">
        <v>216</v>
      </c>
      <c r="U18" s="118" t="s">
        <v>217</v>
      </c>
      <c r="V18" s="118" t="s">
        <v>223</v>
      </c>
      <c r="W18" s="118" t="s">
        <v>219</v>
      </c>
    </row>
    <row r="19" spans="2:23" x14ac:dyDescent="0.3">
      <c r="B19" s="116" t="e" vm="3">
        <v>#VALUE!</v>
      </c>
      <c r="C19" s="117">
        <v>45751</v>
      </c>
      <c r="D19" s="116">
        <v>11</v>
      </c>
      <c r="E19" s="118">
        <v>531.20000000000005</v>
      </c>
      <c r="F19" s="118">
        <f>D19*E19*0.0022+3.41</f>
        <v>16.265040000000003</v>
      </c>
      <c r="G19" s="118">
        <f t="shared" si="0"/>
        <v>5859.465040000001</v>
      </c>
      <c r="H19" s="119">
        <f t="shared" si="1"/>
        <v>2.7835843373493975E-3</v>
      </c>
      <c r="I19" s="120" cm="1">
        <f t="array" aca="1" ref="I19" ca="1">_FV(B19,"Price")</f>
        <v>586.72</v>
      </c>
      <c r="J19" s="118">
        <f t="shared" ca="1" si="2"/>
        <v>6435.9549693734944</v>
      </c>
      <c r="K19" s="118">
        <f t="shared" ca="1" si="3"/>
        <v>6453.92</v>
      </c>
      <c r="L19" s="118">
        <v>0</v>
      </c>
      <c r="M19" s="118">
        <f t="shared" ca="1" si="4"/>
        <v>576.4899293734934</v>
      </c>
      <c r="N19" s="121">
        <f t="shared" ca="1" si="5"/>
        <v>9.8386102730889116E-2</v>
      </c>
      <c r="O19" s="122">
        <f t="shared" ca="1" si="6"/>
        <v>15.633333333333333</v>
      </c>
      <c r="P19" s="121">
        <f t="shared" ca="1" si="7"/>
        <v>7.5520249430959668E-2</v>
      </c>
      <c r="Q19" s="118">
        <f t="shared" ca="1" si="8"/>
        <v>6470.1515075022235</v>
      </c>
      <c r="R19" s="118">
        <f t="shared" si="9"/>
        <v>-5859.465040000001</v>
      </c>
      <c r="S19" s="123" t="s">
        <v>222</v>
      </c>
      <c r="T19" s="118" t="s">
        <v>216</v>
      </c>
      <c r="U19" s="118" t="s">
        <v>217</v>
      </c>
      <c r="V19" s="118" t="s">
        <v>223</v>
      </c>
      <c r="W19" s="118" t="s">
        <v>219</v>
      </c>
    </row>
    <row r="20" spans="2:23" x14ac:dyDescent="0.3">
      <c r="B20" s="116" t="e" vm="3">
        <v>#VALUE!</v>
      </c>
      <c r="C20" s="117">
        <v>45768</v>
      </c>
      <c r="D20" s="116">
        <v>10</v>
      </c>
      <c r="E20" s="118">
        <v>567</v>
      </c>
      <c r="F20" s="118">
        <f>D20*E20*0.0022+3.31</f>
        <v>15.784000000000001</v>
      </c>
      <c r="G20" s="118">
        <f t="shared" si="0"/>
        <v>5685.7839999999997</v>
      </c>
      <c r="H20" s="119">
        <f t="shared" si="1"/>
        <v>2.7837742504409173E-3</v>
      </c>
      <c r="I20" s="120" cm="1">
        <f t="array" aca="1" ref="I20" ca="1">_FV(B20,"Price")</f>
        <v>586.72</v>
      </c>
      <c r="J20" s="118">
        <f t="shared" ca="1" si="2"/>
        <v>5850.8670397178139</v>
      </c>
      <c r="K20" s="118">
        <f t="shared" ca="1" si="3"/>
        <v>5867.2000000000007</v>
      </c>
      <c r="L20" s="118">
        <v>0</v>
      </c>
      <c r="M20" s="118">
        <f t="shared" ca="1" si="4"/>
        <v>165.08303971781424</v>
      </c>
      <c r="N20" s="121">
        <f t="shared" ca="1" si="5"/>
        <v>2.9034349478948594E-2</v>
      </c>
      <c r="O20" s="122">
        <f t="shared" ca="1" si="6"/>
        <v>15.066666666666666</v>
      </c>
      <c r="P20" s="121">
        <f t="shared" ca="1" si="7"/>
        <v>2.3124703124826312E-2</v>
      </c>
      <c r="Q20" s="118">
        <f t="shared" ca="1" si="8"/>
        <v>6256.8894151111108</v>
      </c>
      <c r="R20" s="118">
        <f t="shared" si="9"/>
        <v>-5685.7839999999997</v>
      </c>
      <c r="S20" s="123" t="s">
        <v>222</v>
      </c>
      <c r="T20" s="118" t="s">
        <v>216</v>
      </c>
      <c r="U20" s="118" t="s">
        <v>217</v>
      </c>
      <c r="V20" s="118" t="s">
        <v>223</v>
      </c>
      <c r="W20" s="118" t="s">
        <v>219</v>
      </c>
    </row>
    <row r="21" spans="2:23" x14ac:dyDescent="0.3">
      <c r="B21" s="116" t="e" vm="3">
        <v>#VALUE!</v>
      </c>
      <c r="C21" s="117">
        <v>45782</v>
      </c>
      <c r="D21" s="116">
        <v>10</v>
      </c>
      <c r="E21" s="118">
        <v>562.42999999999995</v>
      </c>
      <c r="F21" s="118">
        <f>D21*E21*0.0022+3.28</f>
        <v>15.653459999999999</v>
      </c>
      <c r="G21" s="118">
        <f t="shared" si="0"/>
        <v>5639.9534599999997</v>
      </c>
      <c r="H21" s="119">
        <f t="shared" si="1"/>
        <v>2.7831836850808101E-3</v>
      </c>
      <c r="I21" s="120" cm="1">
        <f t="array" aca="1" ref="I21" ca="1">_FV(B21,"Price")</f>
        <v>586.72</v>
      </c>
      <c r="J21" s="118">
        <f t="shared" ca="1" si="2"/>
        <v>5850.8705046828945</v>
      </c>
      <c r="K21" s="118">
        <f t="shared" ca="1" si="3"/>
        <v>5867.2000000000007</v>
      </c>
      <c r="L21" s="118">
        <v>0</v>
      </c>
      <c r="M21" s="118">
        <f t="shared" ca="1" si="4"/>
        <v>210.91704468289481</v>
      </c>
      <c r="N21" s="121">
        <f t="shared" ca="1" si="5"/>
        <v>3.7396947719298169E-2</v>
      </c>
      <c r="O21" s="122">
        <f t="shared" ca="1" si="6"/>
        <v>14.6</v>
      </c>
      <c r="P21" s="121">
        <f t="shared" ca="1" si="7"/>
        <v>3.0737217303532741E-2</v>
      </c>
      <c r="Q21" s="118">
        <f t="shared" ca="1" si="8"/>
        <v>6188.908930106666</v>
      </c>
      <c r="R21" s="118">
        <f t="shared" si="9"/>
        <v>-5639.9534599999997</v>
      </c>
      <c r="S21" s="123" t="s">
        <v>222</v>
      </c>
      <c r="T21" s="118" t="s">
        <v>216</v>
      </c>
      <c r="U21" s="118" t="s">
        <v>217</v>
      </c>
      <c r="V21" s="118" t="s">
        <v>223</v>
      </c>
      <c r="W21" s="118" t="s">
        <v>219</v>
      </c>
    </row>
    <row r="22" spans="2:23" x14ac:dyDescent="0.3">
      <c r="B22" s="116" t="e" vm="3">
        <v>#VALUE!</v>
      </c>
      <c r="C22" s="117">
        <v>45796</v>
      </c>
      <c r="D22" s="116">
        <v>10</v>
      </c>
      <c r="E22" s="118">
        <v>570.24</v>
      </c>
      <c r="F22" s="118">
        <f>D22*E22*0.0022+3.33</f>
        <v>15.87528</v>
      </c>
      <c r="G22" s="118">
        <f t="shared" si="0"/>
        <v>5718.2752799999998</v>
      </c>
      <c r="H22" s="119">
        <f t="shared" si="1"/>
        <v>2.7839646464646465E-3</v>
      </c>
      <c r="I22" s="120" cm="1">
        <f t="array" aca="1" ref="I22" ca="1">_FV(B22,"Price")</f>
        <v>586.72</v>
      </c>
      <c r="J22" s="118">
        <f t="shared" ca="1" si="2"/>
        <v>5850.8659226262635</v>
      </c>
      <c r="K22" s="118">
        <f t="shared" ca="1" si="3"/>
        <v>5867.2000000000007</v>
      </c>
      <c r="L22" s="118">
        <v>0</v>
      </c>
      <c r="M22" s="118">
        <f t="shared" ca="1" si="4"/>
        <v>132.59064262626362</v>
      </c>
      <c r="N22" s="121">
        <f t="shared" ca="1" si="5"/>
        <v>2.3187173777731041E-2</v>
      </c>
      <c r="O22" s="122">
        <f t="shared" ca="1" si="6"/>
        <v>14.133333333333333</v>
      </c>
      <c r="P22" s="121">
        <f t="shared" ca="1" si="7"/>
        <v>1.9687223018828241E-2</v>
      </c>
      <c r="Q22" s="118">
        <f t="shared" ca="1" si="8"/>
        <v>6257.0638841599994</v>
      </c>
      <c r="R22" s="118">
        <f t="shared" si="9"/>
        <v>-5718.2752799999998</v>
      </c>
      <c r="S22" s="123" t="s">
        <v>222</v>
      </c>
      <c r="T22" s="118" t="s">
        <v>216</v>
      </c>
      <c r="U22" s="118" t="s">
        <v>217</v>
      </c>
      <c r="V22" s="118" t="s">
        <v>223</v>
      </c>
      <c r="W22" s="118" t="s">
        <v>219</v>
      </c>
    </row>
    <row r="23" spans="2:23" x14ac:dyDescent="0.3">
      <c r="B23" s="116" t="e" vm="3">
        <v>#VALUE!</v>
      </c>
      <c r="C23" s="117">
        <v>45811</v>
      </c>
      <c r="D23" s="116">
        <v>10</v>
      </c>
      <c r="E23" s="118">
        <v>572.85</v>
      </c>
      <c r="F23" s="118">
        <f>D23*E23*0.0022+3.34</f>
        <v>15.9427</v>
      </c>
      <c r="G23" s="118">
        <f t="shared" si="0"/>
        <v>5744.4426999999996</v>
      </c>
      <c r="H23" s="119">
        <f t="shared" si="1"/>
        <v>2.7830496639608972E-3</v>
      </c>
      <c r="I23" s="120" cm="1">
        <f t="array" aca="1" ref="I23" ca="1">_FV(B23,"Price")</f>
        <v>586.72</v>
      </c>
      <c r="J23" s="118">
        <f t="shared" ca="1" si="2"/>
        <v>5850.8712910116092</v>
      </c>
      <c r="K23" s="118">
        <f t="shared" ca="1" si="3"/>
        <v>5867.2000000000007</v>
      </c>
      <c r="L23" s="118">
        <v>0</v>
      </c>
      <c r="M23" s="118">
        <f t="shared" ca="1" si="4"/>
        <v>106.42859101160957</v>
      </c>
      <c r="N23" s="121">
        <f t="shared" ca="1" si="5"/>
        <v>1.8527226498683602E-2</v>
      </c>
      <c r="O23" s="122">
        <f t="shared" ca="1" si="6"/>
        <v>13.666666666666666</v>
      </c>
      <c r="P23" s="121">
        <f t="shared" ca="1" si="7"/>
        <v>1.6267808632990481E-2</v>
      </c>
      <c r="Q23" s="118">
        <f t="shared" ca="1" si="8"/>
        <v>6267.8252571111107</v>
      </c>
      <c r="R23" s="118">
        <f t="shared" si="9"/>
        <v>-5744.4426999999996</v>
      </c>
      <c r="S23" s="123" t="s">
        <v>222</v>
      </c>
      <c r="T23" s="118" t="s">
        <v>216</v>
      </c>
      <c r="U23" s="118" t="s">
        <v>217</v>
      </c>
      <c r="V23" s="118" t="s">
        <v>223</v>
      </c>
      <c r="W23" s="118" t="s">
        <v>219</v>
      </c>
    </row>
    <row r="24" spans="2:23" x14ac:dyDescent="0.3">
      <c r="B24" s="116" t="e" vm="3">
        <v>#VALUE!</v>
      </c>
      <c r="C24" s="117">
        <v>45826</v>
      </c>
      <c r="D24" s="116">
        <v>10</v>
      </c>
      <c r="E24" s="118">
        <v>571.64</v>
      </c>
      <c r="F24" s="118">
        <f>D24*E24*0.0022+3.34</f>
        <v>15.916079999999999</v>
      </c>
      <c r="G24" s="118">
        <f t="shared" si="0"/>
        <v>5732.3160799999996</v>
      </c>
      <c r="H24" s="119">
        <f t="shared" si="1"/>
        <v>2.7842838149884541E-3</v>
      </c>
      <c r="I24" s="120" cm="1">
        <f t="array" aca="1" ref="I24" ca="1">_FV(B24,"Price")</f>
        <v>586.72</v>
      </c>
      <c r="J24" s="118">
        <f t="shared" ca="1" si="2"/>
        <v>5850.8640500007004</v>
      </c>
      <c r="K24" s="118">
        <f t="shared" ca="1" si="3"/>
        <v>5867.2000000000007</v>
      </c>
      <c r="L24" s="118">
        <v>0</v>
      </c>
      <c r="M24" s="118">
        <f t="shared" ca="1" si="4"/>
        <v>118.54797000070084</v>
      </c>
      <c r="N24" s="121">
        <f t="shared" ca="1" si="5"/>
        <v>2.0680640834568362E-2</v>
      </c>
      <c r="O24" s="122">
        <f t="shared" ca="1" si="6"/>
        <v>13.166666666666666</v>
      </c>
      <c r="P24" s="121">
        <f t="shared" ca="1" si="7"/>
        <v>1.8848178988467371E-2</v>
      </c>
      <c r="Q24" s="118">
        <f t="shared" ca="1" si="8"/>
        <v>6235.486047022222</v>
      </c>
      <c r="R24" s="118">
        <f t="shared" si="9"/>
        <v>-5732.3160799999996</v>
      </c>
      <c r="S24" s="123" t="s">
        <v>222</v>
      </c>
      <c r="T24" s="118" t="s">
        <v>216</v>
      </c>
      <c r="U24" s="118" t="s">
        <v>217</v>
      </c>
      <c r="V24" s="118" t="s">
        <v>223</v>
      </c>
      <c r="W24" s="118" t="s">
        <v>219</v>
      </c>
    </row>
    <row r="25" spans="2:23" x14ac:dyDescent="0.3">
      <c r="B25" s="116" t="e" vm="3">
        <v>#VALUE!</v>
      </c>
      <c r="C25" s="117">
        <v>45841</v>
      </c>
      <c r="D25" s="116">
        <v>10</v>
      </c>
      <c r="E25" s="118">
        <v>587.9</v>
      </c>
      <c r="F25" s="118">
        <f>D25*E25*0.0022+3.43</f>
        <v>16.363800000000001</v>
      </c>
      <c r="G25" s="118">
        <f t="shared" si="0"/>
        <v>5895.3638000000001</v>
      </c>
      <c r="H25" s="119">
        <f t="shared" si="1"/>
        <v>2.783432556557238E-3</v>
      </c>
      <c r="I25" s="120" cm="1">
        <f t="array" aca="1" ref="I25" ca="1">_FV(B25,"Price")</f>
        <v>586.72</v>
      </c>
      <c r="J25" s="118">
        <f t="shared" ca="1" si="2"/>
        <v>5850.8690445041684</v>
      </c>
      <c r="K25" s="118">
        <f t="shared" ca="1" si="3"/>
        <v>5867.2000000000007</v>
      </c>
      <c r="L25" s="118">
        <v>0</v>
      </c>
      <c r="M25" s="118">
        <f t="shared" ca="1" si="4"/>
        <v>-44.494755495831669</v>
      </c>
      <c r="N25" s="121">
        <f t="shared" ca="1" si="5"/>
        <v>-7.5474147152431318E-3</v>
      </c>
      <c r="O25" s="122">
        <f t="shared" ca="1" si="6"/>
        <v>12.666666666666666</v>
      </c>
      <c r="P25" s="121">
        <f t="shared" ca="1" si="7"/>
        <v>-7.1501823618092836E-3</v>
      </c>
      <c r="Q25" s="118">
        <f t="shared" ca="1" si="8"/>
        <v>6393.1945208888892</v>
      </c>
      <c r="R25" s="118">
        <f t="shared" si="9"/>
        <v>-5895.3638000000001</v>
      </c>
      <c r="S25" s="123" t="s">
        <v>222</v>
      </c>
      <c r="T25" s="118" t="s">
        <v>216</v>
      </c>
      <c r="U25" s="118" t="s">
        <v>217</v>
      </c>
      <c r="V25" s="118" t="s">
        <v>223</v>
      </c>
      <c r="W25" s="118" t="s">
        <v>219</v>
      </c>
    </row>
    <row r="26" spans="2:23" x14ac:dyDescent="0.3">
      <c r="B26" s="116" t="e" vm="3">
        <v>#VALUE!</v>
      </c>
      <c r="C26" s="117">
        <v>45873</v>
      </c>
      <c r="D26" s="116">
        <v>10</v>
      </c>
      <c r="E26" s="118">
        <v>573.78</v>
      </c>
      <c r="F26" s="118">
        <f>D26*E26*0.0022+3.35</f>
        <v>15.973159999999998</v>
      </c>
      <c r="G26" s="118">
        <f t="shared" si="0"/>
        <v>5753.7731599999988</v>
      </c>
      <c r="H26" s="119">
        <f t="shared" si="1"/>
        <v>2.7838474676705359E-3</v>
      </c>
      <c r="I26" s="120" cm="1">
        <f t="array" aca="1" ref="I26" ca="1">_FV(B26,"Price")</f>
        <v>586.72</v>
      </c>
      <c r="J26" s="118">
        <f t="shared" ca="1" si="2"/>
        <v>5850.8666101376839</v>
      </c>
      <c r="K26" s="118">
        <f t="shared" ca="1" si="3"/>
        <v>5867.2000000000007</v>
      </c>
      <c r="L26" s="118">
        <v>0</v>
      </c>
      <c r="M26" s="118">
        <f t="shared" ca="1" si="4"/>
        <v>97.093450137685068</v>
      </c>
      <c r="N26" s="121">
        <f t="shared" ca="1" si="5"/>
        <v>1.6874744178772088E-2</v>
      </c>
      <c r="O26" s="122">
        <f t="shared" ca="1" si="6"/>
        <v>11.633333333333333</v>
      </c>
      <c r="P26" s="121">
        <f t="shared" ca="1" si="7"/>
        <v>1.7406612906469776E-2</v>
      </c>
      <c r="Q26" s="118">
        <f t="shared" ca="1" si="8"/>
        <v>6200.0102339644436</v>
      </c>
      <c r="R26" s="118">
        <f t="shared" si="9"/>
        <v>-5753.7731599999988</v>
      </c>
      <c r="S26" s="123" t="s">
        <v>222</v>
      </c>
      <c r="T26" s="118" t="s">
        <v>216</v>
      </c>
      <c r="U26" s="118" t="s">
        <v>217</v>
      </c>
      <c r="V26" s="118" t="s">
        <v>223</v>
      </c>
      <c r="W26" s="118" t="s">
        <v>219</v>
      </c>
    </row>
    <row r="27" spans="2:23" x14ac:dyDescent="0.3">
      <c r="B27" s="116" t="e" vm="3">
        <v>#VALUE!</v>
      </c>
      <c r="C27" s="117">
        <v>45903</v>
      </c>
      <c r="D27" s="116">
        <v>10</v>
      </c>
      <c r="E27" s="118">
        <v>555.42999999999995</v>
      </c>
      <c r="F27" s="118">
        <f>D27*E27*0.0022+3.24</f>
        <v>15.45946</v>
      </c>
      <c r="G27" s="118">
        <f t="shared" si="0"/>
        <v>5569.7594599999993</v>
      </c>
      <c r="H27" s="119">
        <f t="shared" si="1"/>
        <v>2.7833318329942569E-3</v>
      </c>
      <c r="I27" s="120" cm="1">
        <f t="array" aca="1" ref="I27" ca="1">_FV(B27,"Price")</f>
        <v>586.72</v>
      </c>
      <c r="J27" s="118">
        <f t="shared" ca="1" si="2"/>
        <v>5850.8696354694566</v>
      </c>
      <c r="K27" s="118">
        <f t="shared" ca="1" si="3"/>
        <v>5867.2000000000007</v>
      </c>
      <c r="L27" s="118">
        <v>0</v>
      </c>
      <c r="M27" s="118">
        <f t="shared" ca="1" si="4"/>
        <v>281.11017546945732</v>
      </c>
      <c r="N27" s="121">
        <f t="shared" ca="1" si="5"/>
        <v>5.0470792767315906E-2</v>
      </c>
      <c r="O27" s="122">
        <f t="shared" ca="1" si="6"/>
        <v>10.666666666666666</v>
      </c>
      <c r="P27" s="121">
        <f t="shared" ca="1" si="7"/>
        <v>5.6779641863230396E-2</v>
      </c>
      <c r="Q27" s="118">
        <f t="shared" ca="1" si="8"/>
        <v>5965.831243822221</v>
      </c>
      <c r="R27" s="118">
        <f t="shared" si="9"/>
        <v>-5569.7594599999993</v>
      </c>
      <c r="S27" s="123" t="s">
        <v>222</v>
      </c>
      <c r="T27" s="118" t="s">
        <v>216</v>
      </c>
      <c r="U27" s="118" t="s">
        <v>217</v>
      </c>
      <c r="V27" s="118" t="s">
        <v>223</v>
      </c>
      <c r="W27" s="118" t="s">
        <v>219</v>
      </c>
    </row>
    <row r="28" spans="2:23" x14ac:dyDescent="0.3">
      <c r="B28" s="116" t="e" vm="3">
        <v>#VALUE!</v>
      </c>
      <c r="C28" s="117">
        <v>45933</v>
      </c>
      <c r="D28" s="116">
        <v>10</v>
      </c>
      <c r="E28" s="118">
        <v>572.57000000000005</v>
      </c>
      <c r="F28" s="118">
        <f>D28*E28*0.0022+3.34</f>
        <v>15.936540000000003</v>
      </c>
      <c r="G28" s="118">
        <f t="shared" si="0"/>
        <v>5741.6365400000004</v>
      </c>
      <c r="H28" s="119">
        <f t="shared" si="1"/>
        <v>2.7833347887594533E-3</v>
      </c>
      <c r="I28" s="120" cm="1">
        <f t="array" aca="1" ref="I28" ca="1">_FV(B28,"Price")</f>
        <v>586.72</v>
      </c>
      <c r="J28" s="118">
        <f t="shared" ca="1" si="2"/>
        <v>5850.8696181273908</v>
      </c>
      <c r="K28" s="118">
        <f t="shared" ca="1" si="3"/>
        <v>5867.2000000000007</v>
      </c>
      <c r="L28" s="118">
        <v>0</v>
      </c>
      <c r="M28" s="118">
        <f t="shared" ca="1" si="4"/>
        <v>109.2330781273904</v>
      </c>
      <c r="N28" s="121">
        <f t="shared" ca="1" si="5"/>
        <v>1.9024728814929549E-2</v>
      </c>
      <c r="O28" s="122">
        <f t="shared" ca="1" si="6"/>
        <v>9.6666666666666661</v>
      </c>
      <c r="P28" s="121">
        <f t="shared" ca="1" si="7"/>
        <v>2.3616904735774612E-2</v>
      </c>
      <c r="Q28" s="118">
        <f t="shared" ca="1" si="8"/>
        <v>6111.6531170222224</v>
      </c>
      <c r="R28" s="118">
        <f t="shared" si="9"/>
        <v>-5741.6365400000004</v>
      </c>
      <c r="S28" s="123" t="s">
        <v>222</v>
      </c>
      <c r="T28" s="118" t="s">
        <v>216</v>
      </c>
      <c r="U28" s="118" t="s">
        <v>217</v>
      </c>
      <c r="V28" s="118" t="s">
        <v>223</v>
      </c>
      <c r="W28" s="118" t="s">
        <v>219</v>
      </c>
    </row>
    <row r="29" spans="2:23" x14ac:dyDescent="0.3">
      <c r="B29" s="116" t="e" vm="3">
        <v>#VALUE!</v>
      </c>
      <c r="C29" s="117">
        <v>45964</v>
      </c>
      <c r="D29" s="116">
        <v>10</v>
      </c>
      <c r="E29" s="118">
        <v>599</v>
      </c>
      <c r="F29" s="118">
        <f>D29*E29*0.0022+3.5</f>
        <v>16.678000000000001</v>
      </c>
      <c r="G29" s="118">
        <f t="shared" si="0"/>
        <v>6006.6779999999999</v>
      </c>
      <c r="H29" s="119">
        <f t="shared" si="1"/>
        <v>2.784307178631052E-3</v>
      </c>
      <c r="I29" s="120" cm="1">
        <f t="array" aca="1" ref="I29" ca="1">_FV(B29,"Price")</f>
        <v>586.72</v>
      </c>
      <c r="J29" s="118">
        <f t="shared" ca="1" si="2"/>
        <v>5850.8639129215362</v>
      </c>
      <c r="K29" s="118">
        <f t="shared" ca="1" si="3"/>
        <v>5867.2000000000007</v>
      </c>
      <c r="L29" s="118">
        <v>0</v>
      </c>
      <c r="M29" s="118">
        <f t="shared" ca="1" si="4"/>
        <v>-155.81408707846367</v>
      </c>
      <c r="N29" s="121">
        <f t="shared" ca="1" si="5"/>
        <v>-2.5940143133769394E-2</v>
      </c>
      <c r="O29" s="122">
        <f t="shared" ca="1" si="6"/>
        <v>8.6666666666666661</v>
      </c>
      <c r="P29" s="121">
        <f t="shared" ca="1" si="7"/>
        <v>-3.5917121262142235E-2</v>
      </c>
      <c r="Q29" s="118">
        <f t="shared" ca="1" si="8"/>
        <v>6353.7305066666668</v>
      </c>
      <c r="R29" s="118">
        <f t="shared" si="9"/>
        <v>-6006.6779999999999</v>
      </c>
      <c r="S29" s="123" t="s">
        <v>222</v>
      </c>
      <c r="T29" s="118" t="s">
        <v>216</v>
      </c>
      <c r="U29" s="118" t="s">
        <v>217</v>
      </c>
      <c r="V29" s="118" t="s">
        <v>223</v>
      </c>
      <c r="W29" s="118" t="s">
        <v>219</v>
      </c>
    </row>
    <row r="30" spans="2:23" x14ac:dyDescent="0.3">
      <c r="B30" s="116" t="e" vm="3">
        <v>#VALUE!</v>
      </c>
      <c r="C30" s="117">
        <v>45994</v>
      </c>
      <c r="D30" s="116">
        <v>9</v>
      </c>
      <c r="E30" s="118">
        <v>609.89</v>
      </c>
      <c r="F30" s="118">
        <f>D30*E30*0.0022+3.2</f>
        <v>15.275822000000002</v>
      </c>
      <c r="G30" s="118">
        <f t="shared" si="0"/>
        <v>5504.2858219999998</v>
      </c>
      <c r="H30" s="119">
        <f t="shared" si="1"/>
        <v>2.7829830880249811E-3</v>
      </c>
      <c r="I30" s="120" cm="1">
        <f t="array" aca="1" ref="I30" ca="1">_FV(B30,"Price")</f>
        <v>586.72</v>
      </c>
      <c r="J30" s="118">
        <f t="shared" ca="1" si="2"/>
        <v>5265.7845134633462</v>
      </c>
      <c r="K30" s="118">
        <f t="shared" ca="1" si="3"/>
        <v>5280.4800000000005</v>
      </c>
      <c r="L30" s="118">
        <v>0</v>
      </c>
      <c r="M30" s="118">
        <f t="shared" ca="1" si="4"/>
        <v>-238.5013085366536</v>
      </c>
      <c r="N30" s="121">
        <f t="shared" ca="1" si="5"/>
        <v>-4.3330109708945561E-2</v>
      </c>
      <c r="O30" s="122">
        <f t="shared" ca="1" si="6"/>
        <v>7.666666666666667</v>
      </c>
      <c r="P30" s="121">
        <f t="shared" ca="1" si="7"/>
        <v>-6.782104128356696E-2</v>
      </c>
      <c r="Q30" s="118">
        <f t="shared" ca="1" si="8"/>
        <v>5785.6159862355553</v>
      </c>
      <c r="R30" s="118">
        <f t="shared" si="9"/>
        <v>-5504.2858219999998</v>
      </c>
      <c r="S30" s="123" t="s">
        <v>222</v>
      </c>
      <c r="T30" s="118" t="s">
        <v>216</v>
      </c>
      <c r="U30" s="118" t="s">
        <v>217</v>
      </c>
      <c r="V30" s="118" t="s">
        <v>223</v>
      </c>
      <c r="W30" s="118" t="s">
        <v>219</v>
      </c>
    </row>
    <row r="31" spans="2:23" x14ac:dyDescent="0.3">
      <c r="B31" s="116" t="e" vm="3">
        <v>#VALUE!</v>
      </c>
      <c r="C31" s="117">
        <v>46027</v>
      </c>
      <c r="D31" s="116">
        <v>9</v>
      </c>
      <c r="E31" s="118">
        <v>622.67999999999995</v>
      </c>
      <c r="F31" s="118">
        <f>D31*E31*0.0022+3.27</f>
        <v>15.599064</v>
      </c>
      <c r="G31" s="118">
        <f t="shared" si="0"/>
        <v>5619.7190639999999</v>
      </c>
      <c r="H31" s="119">
        <f t="shared" si="1"/>
        <v>2.7834992826706066E-3</v>
      </c>
      <c r="I31" s="120" cm="1">
        <f t="array" aca="1" ref="I31" ca="1">_FV(B31,"Price")</f>
        <v>586.72</v>
      </c>
      <c r="J31" s="118">
        <f t="shared" ca="1" si="2"/>
        <v>5265.7817877078442</v>
      </c>
      <c r="K31" s="118">
        <f t="shared" ca="1" si="3"/>
        <v>5280.4800000000005</v>
      </c>
      <c r="L31" s="118">
        <v>0</v>
      </c>
      <c r="M31" s="118">
        <f t="shared" ca="1" si="4"/>
        <v>-353.93727629215573</v>
      </c>
      <c r="N31" s="121">
        <f t="shared" ca="1" si="5"/>
        <v>-6.2981311389653433E-2</v>
      </c>
      <c r="O31" s="122">
        <f t="shared" ca="1" si="6"/>
        <v>6.6</v>
      </c>
      <c r="P31" s="121">
        <f t="shared" ca="1" si="7"/>
        <v>-0.11451147525391535</v>
      </c>
      <c r="Q31" s="118">
        <f t="shared" ca="1" si="8"/>
        <v>5866.9867028159997</v>
      </c>
      <c r="R31" s="118">
        <f t="shared" si="9"/>
        <v>-5619.7190639999999</v>
      </c>
      <c r="S31" s="123" t="s">
        <v>222</v>
      </c>
      <c r="T31" s="118" t="s">
        <v>216</v>
      </c>
      <c r="U31" s="118" t="s">
        <v>217</v>
      </c>
      <c r="V31" s="118" t="s">
        <v>223</v>
      </c>
      <c r="W31" s="118" t="s">
        <v>219</v>
      </c>
    </row>
    <row r="32" spans="2:23" x14ac:dyDescent="0.3">
      <c r="B32" s="116" t="e" vm="3">
        <v>#VALUE!</v>
      </c>
      <c r="C32" s="117">
        <v>46056</v>
      </c>
      <c r="D32" s="116">
        <v>9</v>
      </c>
      <c r="E32" s="118">
        <v>619.5</v>
      </c>
      <c r="F32" s="118">
        <f>D32*E32*0.0022+3.26</f>
        <v>15.526100000000001</v>
      </c>
      <c r="G32" s="118">
        <f t="shared" si="0"/>
        <v>5591.0261</v>
      </c>
      <c r="H32" s="119">
        <f t="shared" si="1"/>
        <v>2.784700923683975E-3</v>
      </c>
      <c r="I32" s="120" cm="1">
        <f t="array" aca="1" ref="I32" ca="1">_FV(B32,"Price")</f>
        <v>586.72</v>
      </c>
      <c r="J32" s="118">
        <f t="shared" ca="1" si="2"/>
        <v>5265.7754424665054</v>
      </c>
      <c r="K32" s="118">
        <f t="shared" ca="1" si="3"/>
        <v>5280.4800000000005</v>
      </c>
      <c r="L32" s="118">
        <v>0</v>
      </c>
      <c r="M32" s="118">
        <f t="shared" ca="1" si="4"/>
        <v>-325.25065753349463</v>
      </c>
      <c r="N32" s="121">
        <f t="shared" ca="1" si="5"/>
        <v>-5.8173696869970724E-2</v>
      </c>
      <c r="O32" s="122">
        <f t="shared" ca="1" si="6"/>
        <v>5.666666666666667</v>
      </c>
      <c r="P32" s="121">
        <f t="shared" ca="1" si="7"/>
        <v>-0.12319135807758505</v>
      </c>
      <c r="Q32" s="118">
        <f t="shared" ca="1" si="8"/>
        <v>5802.2426415555556</v>
      </c>
      <c r="R32" s="118">
        <f t="shared" si="9"/>
        <v>-5591.0261</v>
      </c>
      <c r="S32" s="123" t="s">
        <v>222</v>
      </c>
      <c r="T32" s="118" t="s">
        <v>216</v>
      </c>
      <c r="U32" s="118" t="s">
        <v>217</v>
      </c>
      <c r="V32" s="118" t="s">
        <v>223</v>
      </c>
      <c r="W32" s="118" t="s">
        <v>219</v>
      </c>
    </row>
    <row r="33" spans="2:23" x14ac:dyDescent="0.3">
      <c r="B33" s="116" t="e" vm="3">
        <v>#VALUE!</v>
      </c>
      <c r="C33" s="117">
        <v>46085</v>
      </c>
      <c r="D33" s="116">
        <v>9</v>
      </c>
      <c r="E33" s="118">
        <v>608.84</v>
      </c>
      <c r="F33" s="118">
        <f>D33*E33*0.0022+3.19</f>
        <v>15.245032000000002</v>
      </c>
      <c r="G33" s="118">
        <f t="shared" si="0"/>
        <v>5494.8050320000002</v>
      </c>
      <c r="H33" s="119">
        <f t="shared" si="1"/>
        <v>2.782163531378432E-3</v>
      </c>
      <c r="I33" s="120" cm="1">
        <f t="array" aca="1" ref="I33" ca="1">_FV(B33,"Price")</f>
        <v>586.72</v>
      </c>
      <c r="J33" s="118">
        <f t="shared" ca="1" si="2"/>
        <v>5265.7888411158274</v>
      </c>
      <c r="K33" s="118">
        <f t="shared" ca="1" si="3"/>
        <v>5280.4800000000005</v>
      </c>
      <c r="L33" s="118">
        <v>0</v>
      </c>
      <c r="M33" s="118">
        <f t="shared" ca="1" si="4"/>
        <v>-229.01619088417283</v>
      </c>
      <c r="N33" s="121">
        <f t="shared" ca="1" si="5"/>
        <v>-4.1678674593630755E-2</v>
      </c>
      <c r="O33" s="122">
        <f t="shared" ca="1" si="6"/>
        <v>4.6333333333333337</v>
      </c>
      <c r="P33" s="121">
        <f t="shared" ca="1" si="7"/>
        <v>-0.10794476873170553</v>
      </c>
      <c r="Q33" s="118">
        <f t="shared" ca="1" si="8"/>
        <v>5664.5334540995555</v>
      </c>
      <c r="R33" s="118">
        <f t="shared" si="9"/>
        <v>-5494.8050320000002</v>
      </c>
      <c r="S33" s="123" t="s">
        <v>222</v>
      </c>
      <c r="T33" s="118" t="s">
        <v>216</v>
      </c>
      <c r="U33" s="118" t="s">
        <v>217</v>
      </c>
      <c r="V33" s="118" t="s">
        <v>223</v>
      </c>
      <c r="W33" s="118" t="s">
        <v>219</v>
      </c>
    </row>
    <row r="34" spans="2:23" x14ac:dyDescent="0.3">
      <c r="B34" s="116" t="e" vm="3">
        <v>#VALUE!</v>
      </c>
      <c r="C34" s="117">
        <v>46118</v>
      </c>
      <c r="D34" s="116">
        <v>11</v>
      </c>
      <c r="E34" s="118">
        <v>530.98</v>
      </c>
      <c r="F34" s="118">
        <f>D34*E34*0.0022+3.42</f>
        <v>16.269716000000003</v>
      </c>
      <c r="G34" s="118">
        <f t="shared" si="0"/>
        <v>5857.0497160000004</v>
      </c>
      <c r="H34" s="119">
        <f t="shared" si="1"/>
        <v>2.7855382329072488E-3</v>
      </c>
      <c r="I34" s="120" cm="1">
        <f t="array" aca="1" ref="I34" ca="1">_FV(B34,"Price")</f>
        <v>586.72</v>
      </c>
      <c r="J34" s="118">
        <f t="shared" ca="1" si="2"/>
        <v>6435.942359087875</v>
      </c>
      <c r="K34" s="118">
        <f t="shared" ca="1" si="3"/>
        <v>6453.92</v>
      </c>
      <c r="L34" s="118">
        <v>0</v>
      </c>
      <c r="M34" s="118">
        <f t="shared" ca="1" si="4"/>
        <v>578.8926430878746</v>
      </c>
      <c r="N34" s="121">
        <f t="shared" ca="1" si="5"/>
        <v>9.8836901026549961E-2</v>
      </c>
      <c r="O34" s="122">
        <f t="shared" ca="1" si="6"/>
        <v>3.5666666666666669</v>
      </c>
      <c r="P34" s="121">
        <f t="shared" ca="1" si="7"/>
        <v>0.33253536793979427</v>
      </c>
      <c r="Q34" s="118">
        <f t="shared" ca="1" si="8"/>
        <v>5996.3173425804453</v>
      </c>
      <c r="R34" s="118">
        <f t="shared" si="9"/>
        <v>-5857.0497160000004</v>
      </c>
      <c r="S34" s="123" t="s">
        <v>222</v>
      </c>
      <c r="T34" s="118" t="s">
        <v>216</v>
      </c>
      <c r="U34" s="118" t="s">
        <v>217</v>
      </c>
      <c r="V34" s="118" t="s">
        <v>223</v>
      </c>
      <c r="W34" s="118" t="s">
        <v>219</v>
      </c>
    </row>
    <row r="35" spans="2:23" x14ac:dyDescent="0.3">
      <c r="B35" s="116" t="e" vm="3">
        <v>#VALUE!</v>
      </c>
      <c r="C35" s="117">
        <v>46146</v>
      </c>
      <c r="D35" s="116">
        <v>10</v>
      </c>
      <c r="E35" s="118">
        <v>571.6</v>
      </c>
      <c r="F35" s="118">
        <f>D35*E35*0.0022+3.34</f>
        <v>15.9152</v>
      </c>
      <c r="G35" s="118">
        <f t="shared" si="0"/>
        <v>5731.9152000000004</v>
      </c>
      <c r="H35" s="119">
        <f t="shared" si="1"/>
        <v>2.7843247025892233E-3</v>
      </c>
      <c r="I35" s="120" cm="1">
        <f t="array" aca="1" ref="I35" ca="1">_FV(B35,"Price")</f>
        <v>586.72</v>
      </c>
      <c r="J35" s="118">
        <f t="shared" ca="1" si="2"/>
        <v>5850.8638101049692</v>
      </c>
      <c r="K35" s="118">
        <f t="shared" ca="1" si="3"/>
        <v>5867.2000000000007</v>
      </c>
      <c r="L35" s="118">
        <v>0</v>
      </c>
      <c r="M35" s="118">
        <f t="shared" ca="1" si="4"/>
        <v>118.94861010496879</v>
      </c>
      <c r="N35" s="121">
        <f t="shared" ca="1" si="5"/>
        <v>2.075198357871184E-2</v>
      </c>
      <c r="O35" s="122">
        <f t="shared" ca="1" si="6"/>
        <v>2.6333333333333333</v>
      </c>
      <c r="P35" s="121">
        <f t="shared" ca="1" si="7"/>
        <v>9.4566001118180532E-2</v>
      </c>
      <c r="Q35" s="118">
        <f t="shared" ca="1" si="8"/>
        <v>5832.5421557333339</v>
      </c>
      <c r="R35" s="118">
        <f t="shared" si="9"/>
        <v>-5731.9152000000004</v>
      </c>
      <c r="S35" s="123" t="s">
        <v>222</v>
      </c>
      <c r="T35" s="118" t="s">
        <v>216</v>
      </c>
      <c r="U35" s="118" t="s">
        <v>217</v>
      </c>
      <c r="V35" s="118" t="s">
        <v>223</v>
      </c>
      <c r="W35" s="118" t="s">
        <v>219</v>
      </c>
    </row>
    <row r="36" spans="2:23" x14ac:dyDescent="0.3">
      <c r="B36" s="116" t="e" vm="3">
        <v>#VALUE!</v>
      </c>
      <c r="C36" s="117">
        <v>46176</v>
      </c>
      <c r="D36" s="116">
        <v>10</v>
      </c>
      <c r="E36" s="118">
        <v>550.07000000000005</v>
      </c>
      <c r="F36" s="118">
        <f>D36*E36*0.0022+3.21</f>
        <v>15.311540000000001</v>
      </c>
      <c r="G36" s="118">
        <f t="shared" si="0"/>
        <v>5516.0115400000004</v>
      </c>
      <c r="H36" s="119">
        <f t="shared" si="1"/>
        <v>2.7835620920973691E-3</v>
      </c>
      <c r="I36" s="120" cm="1">
        <f t="array" aca="1" ref="I36" ca="1">_FV(B36,"Price")</f>
        <v>586.72</v>
      </c>
      <c r="J36" s="118">
        <f t="shared" ca="1" si="2"/>
        <v>5850.8682844932464</v>
      </c>
      <c r="K36" s="118">
        <f t="shared" ca="1" si="3"/>
        <v>5867.2000000000007</v>
      </c>
      <c r="L36" s="118">
        <v>0</v>
      </c>
      <c r="M36" s="118">
        <f t="shared" ca="1" si="4"/>
        <v>334.85674449324597</v>
      </c>
      <c r="N36" s="121">
        <f t="shared" ca="1" si="5"/>
        <v>6.0706316885850084E-2</v>
      </c>
      <c r="O36" s="122">
        <f t="shared" ca="1" si="6"/>
        <v>1.6666666666666667</v>
      </c>
      <c r="P36" s="121">
        <f t="shared" ca="1" si="7"/>
        <v>0.4370854815781206</v>
      </c>
      <c r="Q36" s="118">
        <f t="shared" ca="1" si="8"/>
        <v>5577.3005571111116</v>
      </c>
      <c r="R36" s="118">
        <f t="shared" si="9"/>
        <v>-5516.0115400000004</v>
      </c>
      <c r="S36" s="123" t="s">
        <v>222</v>
      </c>
      <c r="T36" s="118" t="s">
        <v>216</v>
      </c>
      <c r="U36" s="118" t="s">
        <v>217</v>
      </c>
      <c r="V36" s="118" t="s">
        <v>223</v>
      </c>
      <c r="W36" s="118" t="s">
        <v>219</v>
      </c>
    </row>
    <row r="37" spans="2:23" x14ac:dyDescent="0.3">
      <c r="B37" s="116" t="e" vm="3">
        <v>#VALUE!</v>
      </c>
      <c r="C37" s="117">
        <v>46206</v>
      </c>
      <c r="D37" s="116">
        <v>9</v>
      </c>
      <c r="E37" s="118">
        <v>601.91999999999996</v>
      </c>
      <c r="F37" s="118">
        <f>D37*E37*0.0022+3.16</f>
        <v>15.078016</v>
      </c>
      <c r="G37" s="118">
        <f t="shared" si="0"/>
        <v>5432.3580160000001</v>
      </c>
      <c r="H37" s="119">
        <f t="shared" si="1"/>
        <v>2.7833185657747061E-3</v>
      </c>
      <c r="I37" s="120" cm="1">
        <f t="array" aca="1" ref="I37" ca="1">_FV(B37,"Price")</f>
        <v>586.72</v>
      </c>
      <c r="J37" s="118">
        <f t="shared" ca="1" si="2"/>
        <v>5265.7827419797986</v>
      </c>
      <c r="K37" s="118">
        <f t="shared" ca="1" si="3"/>
        <v>5280.4800000000005</v>
      </c>
      <c r="L37" s="118">
        <v>0</v>
      </c>
      <c r="M37" s="118">
        <f t="shared" ca="1" si="4"/>
        <v>-166.5752740202015</v>
      </c>
      <c r="N37" s="121">
        <f t="shared" ca="1" si="5"/>
        <v>-3.066353018883973E-2</v>
      </c>
      <c r="O37" s="122">
        <f t="shared" ca="1" si="6"/>
        <v>0.66666666666666663</v>
      </c>
      <c r="P37" s="121">
        <f t="shared" ca="1" si="7"/>
        <v>-0.55194354339911511</v>
      </c>
      <c r="Q37" s="118">
        <f t="shared" ca="1" si="8"/>
        <v>5456.5018294044448</v>
      </c>
      <c r="R37" s="118">
        <f t="shared" si="9"/>
        <v>-5432.3580160000001</v>
      </c>
      <c r="S37" s="123" t="s">
        <v>222</v>
      </c>
      <c r="T37" s="118" t="s">
        <v>216</v>
      </c>
      <c r="U37" s="118" t="s">
        <v>217</v>
      </c>
      <c r="V37" s="118" t="s">
        <v>223</v>
      </c>
      <c r="W37" s="118" t="s">
        <v>219</v>
      </c>
    </row>
    <row r="38" spans="2:23" x14ac:dyDescent="0.3">
      <c r="B38" s="116" t="e" vm="4">
        <v>#VALUE!</v>
      </c>
      <c r="C38" s="117">
        <v>45526</v>
      </c>
      <c r="D38" s="116">
        <v>4</v>
      </c>
      <c r="E38" s="118">
        <v>1490.95</v>
      </c>
      <c r="F38" s="118">
        <f>D38*E38*0.0022+9.45</f>
        <v>22.570360000000001</v>
      </c>
      <c r="G38" s="118">
        <f t="shared" si="0"/>
        <v>5986.3703599999999</v>
      </c>
      <c r="H38" s="119">
        <f t="shared" si="1"/>
        <v>3.7845601797511655E-3</v>
      </c>
      <c r="I38" s="120" cm="1">
        <f t="array" aca="1" ref="I38" ca="1">_FV(B38,"Price")</f>
        <v>1931</v>
      </c>
      <c r="J38" s="118">
        <f t="shared" ca="1" si="2"/>
        <v>7694.7680571716019</v>
      </c>
      <c r="K38" s="118">
        <f t="shared" ca="1" si="3"/>
        <v>7724</v>
      </c>
      <c r="L38" s="118">
        <f>4*16</f>
        <v>64</v>
      </c>
      <c r="M38" s="118">
        <f t="shared" ca="1" si="4"/>
        <v>1772.397697171602</v>
      </c>
      <c r="N38" s="121">
        <f t="shared" ca="1" si="5"/>
        <v>0.2960721757234549</v>
      </c>
      <c r="O38" s="122">
        <f t="shared" ca="1" si="6"/>
        <v>23.033333333333335</v>
      </c>
      <c r="P38" s="121">
        <f t="shared" ca="1" si="7"/>
        <v>0.15424889039138026</v>
      </c>
      <c r="Q38" s="118">
        <f t="shared" ca="1" si="8"/>
        <v>6905.6107863911111</v>
      </c>
      <c r="R38" s="118">
        <f t="shared" si="9"/>
        <v>-5986.3703599999999</v>
      </c>
      <c r="S38" s="123" t="s">
        <v>224</v>
      </c>
      <c r="T38" s="118" t="s">
        <v>216</v>
      </c>
      <c r="U38" s="118" t="s">
        <v>217</v>
      </c>
      <c r="V38" s="118" t="s">
        <v>225</v>
      </c>
      <c r="W38" s="118" t="s">
        <v>219</v>
      </c>
    </row>
    <row r="39" spans="2:23" x14ac:dyDescent="0.3">
      <c r="B39" s="116" t="e" vm="4">
        <v>#VALUE!</v>
      </c>
      <c r="C39" s="117">
        <v>45541</v>
      </c>
      <c r="D39" s="116">
        <v>3</v>
      </c>
      <c r="E39" s="118">
        <v>1539.75</v>
      </c>
      <c r="F39" s="118">
        <f>D39*E39*0.0022+7.33</f>
        <v>17.492350000000002</v>
      </c>
      <c r="G39" s="118">
        <f t="shared" si="0"/>
        <v>4636.7423500000004</v>
      </c>
      <c r="H39" s="119">
        <f t="shared" si="1"/>
        <v>3.7868376901012074E-3</v>
      </c>
      <c r="I39" s="120" cm="1">
        <f t="array" aca="1" ref="I39" ca="1">_FV(B39,"Price")</f>
        <v>1931</v>
      </c>
      <c r="J39" s="118">
        <f t="shared" ca="1" si="2"/>
        <v>5771.0628492612432</v>
      </c>
      <c r="K39" s="118">
        <f t="shared" ca="1" si="3"/>
        <v>5793</v>
      </c>
      <c r="L39" s="118">
        <f>3*16</f>
        <v>48</v>
      </c>
      <c r="M39" s="118">
        <f t="shared" ca="1" si="4"/>
        <v>1182.3204992612427</v>
      </c>
      <c r="N39" s="121">
        <f t="shared" ca="1" si="5"/>
        <v>0.25498947537191552</v>
      </c>
      <c r="O39" s="122">
        <f t="shared" ca="1" si="6"/>
        <v>22.566666666666666</v>
      </c>
      <c r="P39" s="121">
        <f t="shared" ca="1" si="7"/>
        <v>0.13559263092155036</v>
      </c>
      <c r="Q39" s="118">
        <f t="shared" ca="1" si="8"/>
        <v>5334.3144768777784</v>
      </c>
      <c r="R39" s="118">
        <f t="shared" si="9"/>
        <v>-4636.7423500000004</v>
      </c>
      <c r="S39" s="123" t="s">
        <v>224</v>
      </c>
      <c r="T39" s="118" t="s">
        <v>216</v>
      </c>
      <c r="U39" s="118" t="s">
        <v>217</v>
      </c>
      <c r="V39" s="118" t="s">
        <v>225</v>
      </c>
      <c r="W39" s="118" t="s">
        <v>219</v>
      </c>
    </row>
    <row r="40" spans="2:23" x14ac:dyDescent="0.3">
      <c r="B40" s="116" t="e" vm="4">
        <v>#VALUE!</v>
      </c>
      <c r="C40" s="117">
        <v>45558</v>
      </c>
      <c r="D40" s="116">
        <v>3</v>
      </c>
      <c r="E40" s="118">
        <v>1737</v>
      </c>
      <c r="F40" s="118">
        <f>D40*E40*0.0022+8.27</f>
        <v>19.734200000000001</v>
      </c>
      <c r="G40" s="118">
        <f t="shared" si="0"/>
        <v>5230.7341999999999</v>
      </c>
      <c r="H40" s="119">
        <f t="shared" si="1"/>
        <v>3.7870274419497221E-3</v>
      </c>
      <c r="I40" s="120" cm="1">
        <f t="array" aca="1" ref="I40" ca="1">_FV(B40,"Price")</f>
        <v>1931</v>
      </c>
      <c r="J40" s="118">
        <f t="shared" ca="1" si="2"/>
        <v>5771.0617500287854</v>
      </c>
      <c r="K40" s="118">
        <f t="shared" ca="1" si="3"/>
        <v>5793</v>
      </c>
      <c r="L40" s="118">
        <f t="shared" ref="L40:L58" si="10">3*16</f>
        <v>48</v>
      </c>
      <c r="M40" s="118">
        <f t="shared" ca="1" si="4"/>
        <v>588.32755002878548</v>
      </c>
      <c r="N40" s="121">
        <f t="shared" ca="1" si="5"/>
        <v>0.11247513781694078</v>
      </c>
      <c r="O40" s="122">
        <f t="shared" ca="1" si="6"/>
        <v>22</v>
      </c>
      <c r="P40" s="121">
        <f t="shared" ca="1" si="7"/>
        <v>6.1350075172876786E-2</v>
      </c>
      <c r="Q40" s="118">
        <f t="shared" ca="1" si="8"/>
        <v>5997.9085493333332</v>
      </c>
      <c r="R40" s="118">
        <f t="shared" si="9"/>
        <v>-5230.7341999999999</v>
      </c>
      <c r="S40" s="123" t="s">
        <v>224</v>
      </c>
      <c r="T40" s="118" t="s">
        <v>216</v>
      </c>
      <c r="U40" s="118" t="s">
        <v>217</v>
      </c>
      <c r="V40" s="118" t="s">
        <v>225</v>
      </c>
      <c r="W40" s="118" t="s">
        <v>219</v>
      </c>
    </row>
    <row r="41" spans="2:23" x14ac:dyDescent="0.3">
      <c r="B41" s="116" t="e" vm="4">
        <v>#VALUE!</v>
      </c>
      <c r="C41" s="117">
        <v>45572</v>
      </c>
      <c r="D41" s="116">
        <v>3</v>
      </c>
      <c r="E41" s="118">
        <v>1656.5</v>
      </c>
      <c r="F41" s="118">
        <f>D41*E41*0.0022+7.88</f>
        <v>18.812899999999999</v>
      </c>
      <c r="G41" s="118">
        <f t="shared" si="0"/>
        <v>4988.3128999999999</v>
      </c>
      <c r="H41" s="119">
        <f t="shared" si="1"/>
        <v>3.7856726028775529E-3</v>
      </c>
      <c r="I41" s="120" cm="1">
        <f t="array" aca="1" ref="I41" ca="1">_FV(B41,"Price")</f>
        <v>1931</v>
      </c>
      <c r="J41" s="118">
        <f t="shared" ca="1" si="2"/>
        <v>5771.0695986115306</v>
      </c>
      <c r="K41" s="118">
        <f t="shared" ca="1" si="3"/>
        <v>5793</v>
      </c>
      <c r="L41" s="118">
        <f t="shared" si="10"/>
        <v>48</v>
      </c>
      <c r="M41" s="118">
        <f t="shared" ca="1" si="4"/>
        <v>830.75669861153074</v>
      </c>
      <c r="N41" s="121">
        <f t="shared" ca="1" si="5"/>
        <v>0.16654061508682239</v>
      </c>
      <c r="O41" s="122">
        <f t="shared" ca="1" si="6"/>
        <v>21.533333333333335</v>
      </c>
      <c r="P41" s="121">
        <f t="shared" ca="1" si="7"/>
        <v>9.2809011503492342E-2</v>
      </c>
      <c r="Q41" s="118">
        <f t="shared" ca="1" si="8"/>
        <v>5704.4129296444444</v>
      </c>
      <c r="R41" s="118">
        <f t="shared" si="9"/>
        <v>-4988.3128999999999</v>
      </c>
      <c r="S41" s="123" t="s">
        <v>224</v>
      </c>
      <c r="T41" s="118" t="s">
        <v>216</v>
      </c>
      <c r="U41" s="118" t="s">
        <v>217</v>
      </c>
      <c r="V41" s="118" t="s">
        <v>225</v>
      </c>
      <c r="W41" s="118" t="s">
        <v>219</v>
      </c>
    </row>
    <row r="42" spans="2:23" x14ac:dyDescent="0.3">
      <c r="B42" s="116" t="e" vm="4">
        <v>#VALUE!</v>
      </c>
      <c r="C42" s="117">
        <v>45586</v>
      </c>
      <c r="D42" s="116">
        <v>3</v>
      </c>
      <c r="E42" s="118">
        <v>1683.9</v>
      </c>
      <c r="F42" s="118">
        <f>D42*E42*0.0022+7.97</f>
        <v>19.083740000000002</v>
      </c>
      <c r="G42" s="118">
        <f t="shared" si="0"/>
        <v>5070.7837400000008</v>
      </c>
      <c r="H42" s="119">
        <f t="shared" si="1"/>
        <v>3.7776867193222083E-3</v>
      </c>
      <c r="I42" s="120" cm="1">
        <f t="array" aca="1" ref="I42" ca="1">_FV(B42,"Price")</f>
        <v>1931</v>
      </c>
      <c r="J42" s="118">
        <f t="shared" ca="1" si="2"/>
        <v>5771.115860834966</v>
      </c>
      <c r="K42" s="118">
        <f t="shared" ca="1" si="3"/>
        <v>5793</v>
      </c>
      <c r="L42" s="118">
        <f t="shared" si="10"/>
        <v>48</v>
      </c>
      <c r="M42" s="118">
        <f t="shared" ca="1" si="4"/>
        <v>748.33212083496528</v>
      </c>
      <c r="N42" s="121">
        <f t="shared" ca="1" si="5"/>
        <v>0.1475772107833897</v>
      </c>
      <c r="O42" s="122">
        <f t="shared" ca="1" si="6"/>
        <v>21.066666666666666</v>
      </c>
      <c r="P42" s="121">
        <f t="shared" ca="1" si="7"/>
        <v>8.4062968167753632E-2</v>
      </c>
      <c r="Q42" s="118">
        <f t="shared" ca="1" si="8"/>
        <v>5782.9471452622229</v>
      </c>
      <c r="R42" s="118">
        <f t="shared" si="9"/>
        <v>-5070.7837400000008</v>
      </c>
      <c r="S42" s="123" t="s">
        <v>224</v>
      </c>
      <c r="T42" s="118" t="s">
        <v>216</v>
      </c>
      <c r="U42" s="118" t="s">
        <v>217</v>
      </c>
      <c r="V42" s="118" t="s">
        <v>225</v>
      </c>
      <c r="W42" s="118" t="s">
        <v>219</v>
      </c>
    </row>
    <row r="43" spans="2:23" x14ac:dyDescent="0.3">
      <c r="B43" s="116" t="e" vm="4">
        <v>#VALUE!</v>
      </c>
      <c r="C43" s="117">
        <v>45601</v>
      </c>
      <c r="D43" s="116">
        <v>3</v>
      </c>
      <c r="E43" s="118">
        <v>1567.5</v>
      </c>
      <c r="F43" s="118">
        <f>D43*E43*0.0022+7.45</f>
        <v>17.795500000000001</v>
      </c>
      <c r="G43" s="118">
        <f t="shared" si="0"/>
        <v>4720.2955000000002</v>
      </c>
      <c r="H43" s="119">
        <f t="shared" si="1"/>
        <v>3.7842636895268475E-3</v>
      </c>
      <c r="I43" s="120" cm="1">
        <f t="array" aca="1" ref="I43" ca="1">_FV(B43,"Price")</f>
        <v>1931</v>
      </c>
      <c r="J43" s="118">
        <f t="shared" ca="1" si="2"/>
        <v>5771.0777604465711</v>
      </c>
      <c r="K43" s="118">
        <f t="shared" ca="1" si="3"/>
        <v>5793</v>
      </c>
      <c r="L43" s="118">
        <f t="shared" si="10"/>
        <v>48</v>
      </c>
      <c r="M43" s="118">
        <f t="shared" ca="1" si="4"/>
        <v>1098.7822604465709</v>
      </c>
      <c r="N43" s="121">
        <f t="shared" ca="1" si="5"/>
        <v>0.23277827848840627</v>
      </c>
      <c r="O43" s="122">
        <f t="shared" ca="1" si="6"/>
        <v>20.6</v>
      </c>
      <c r="P43" s="121">
        <f t="shared" ca="1" si="7"/>
        <v>0.1355989971777124</v>
      </c>
      <c r="Q43" s="118">
        <f t="shared" ca="1" si="8"/>
        <v>5368.5494153333339</v>
      </c>
      <c r="R43" s="118">
        <f t="shared" si="9"/>
        <v>-4720.2955000000002</v>
      </c>
      <c r="S43" s="123" t="s">
        <v>224</v>
      </c>
      <c r="T43" s="118" t="s">
        <v>216</v>
      </c>
      <c r="U43" s="118" t="s">
        <v>217</v>
      </c>
      <c r="V43" s="118" t="s">
        <v>225</v>
      </c>
      <c r="W43" s="118" t="s">
        <v>219</v>
      </c>
    </row>
    <row r="44" spans="2:23" x14ac:dyDescent="0.3">
      <c r="B44" s="116" t="e" vm="4">
        <v>#VALUE!</v>
      </c>
      <c r="C44" s="117">
        <v>45617</v>
      </c>
      <c r="D44" s="116">
        <v>3</v>
      </c>
      <c r="E44" s="118">
        <v>1517.1</v>
      </c>
      <c r="F44" s="118">
        <f>D44*E44*0.0022+7.2</f>
        <v>17.212859999999999</v>
      </c>
      <c r="G44" s="118">
        <f t="shared" si="0"/>
        <v>4568.5128599999989</v>
      </c>
      <c r="H44" s="119">
        <f t="shared" si="1"/>
        <v>3.7819655922483688E-3</v>
      </c>
      <c r="I44" s="120" cm="1">
        <f t="array" aca="1" ref="I44" ca="1">_FV(B44,"Price")</f>
        <v>1931</v>
      </c>
      <c r="J44" s="118">
        <f t="shared" ca="1" si="2"/>
        <v>5771.0910733241053</v>
      </c>
      <c r="K44" s="118">
        <f t="shared" ca="1" si="3"/>
        <v>5793</v>
      </c>
      <c r="L44" s="118">
        <f t="shared" si="10"/>
        <v>48</v>
      </c>
      <c r="M44" s="118">
        <f t="shared" ca="1" si="4"/>
        <v>1250.5782133241064</v>
      </c>
      <c r="N44" s="121">
        <f t="shared" ca="1" si="5"/>
        <v>0.27373857788026601</v>
      </c>
      <c r="O44" s="122">
        <f t="shared" ca="1" si="6"/>
        <v>20.066666666666666</v>
      </c>
      <c r="P44" s="121">
        <f t="shared" ca="1" si="7"/>
        <v>0.16369748843338167</v>
      </c>
      <c r="Q44" s="118">
        <f t="shared" ca="1" si="8"/>
        <v>5179.6783581599984</v>
      </c>
      <c r="R44" s="118">
        <f t="shared" si="9"/>
        <v>-4568.5128599999989</v>
      </c>
      <c r="S44" s="123" t="s">
        <v>224</v>
      </c>
      <c r="T44" s="118" t="s">
        <v>216</v>
      </c>
      <c r="U44" s="118" t="s">
        <v>217</v>
      </c>
      <c r="V44" s="118" t="s">
        <v>225</v>
      </c>
      <c r="W44" s="118" t="s">
        <v>219</v>
      </c>
    </row>
    <row r="45" spans="2:23" x14ac:dyDescent="0.3">
      <c r="B45" s="116" t="e" vm="4">
        <v>#VALUE!</v>
      </c>
      <c r="C45" s="117">
        <v>45631</v>
      </c>
      <c r="D45" s="116">
        <v>3</v>
      </c>
      <c r="E45" s="118">
        <v>1592.2</v>
      </c>
      <c r="F45" s="118">
        <f>D45*E45*0.0022+7.7</f>
        <v>18.20852</v>
      </c>
      <c r="G45" s="118">
        <f t="shared" si="0"/>
        <v>4794.8085200000005</v>
      </c>
      <c r="H45" s="119">
        <f t="shared" si="1"/>
        <v>3.812025289955198E-3</v>
      </c>
      <c r="I45" s="120" cm="1">
        <f t="array" aca="1" ref="I45" ca="1">_FV(B45,"Price")</f>
        <v>1931</v>
      </c>
      <c r="J45" s="118">
        <f t="shared" ca="1" si="2"/>
        <v>5770.9169374952899</v>
      </c>
      <c r="K45" s="118">
        <f t="shared" ca="1" si="3"/>
        <v>5793</v>
      </c>
      <c r="L45" s="118">
        <f t="shared" si="10"/>
        <v>48</v>
      </c>
      <c r="M45" s="118">
        <f t="shared" ca="1" si="4"/>
        <v>1024.1084174952894</v>
      </c>
      <c r="N45" s="121">
        <f t="shared" ca="1" si="5"/>
        <v>0.21358692703234147</v>
      </c>
      <c r="O45" s="122">
        <f t="shared" ca="1" si="6"/>
        <v>19.600000000000001</v>
      </c>
      <c r="P45" s="121">
        <f t="shared" ca="1" si="7"/>
        <v>0.1307675063463315</v>
      </c>
      <c r="Q45" s="118">
        <f t="shared" ca="1" si="8"/>
        <v>5421.3301666133339</v>
      </c>
      <c r="R45" s="118">
        <f t="shared" si="9"/>
        <v>-4794.8085200000005</v>
      </c>
      <c r="S45" s="123" t="s">
        <v>224</v>
      </c>
      <c r="T45" s="118" t="s">
        <v>216</v>
      </c>
      <c r="U45" s="118" t="s">
        <v>217</v>
      </c>
      <c r="V45" s="118" t="s">
        <v>225</v>
      </c>
      <c r="W45" s="118" t="s">
        <v>219</v>
      </c>
    </row>
    <row r="46" spans="2:23" x14ac:dyDescent="0.3">
      <c r="B46" s="116" t="e" vm="4">
        <v>#VALUE!</v>
      </c>
      <c r="C46" s="117">
        <v>45646</v>
      </c>
      <c r="D46" s="116">
        <v>3</v>
      </c>
      <c r="E46" s="118">
        <v>1615.5</v>
      </c>
      <c r="F46" s="118">
        <f>D46*E46*0.0022+7.68</f>
        <v>18.342300000000002</v>
      </c>
      <c r="G46" s="118">
        <f t="shared" si="0"/>
        <v>4864.8423000000003</v>
      </c>
      <c r="H46" s="119">
        <f t="shared" si="1"/>
        <v>3.7846487155679359E-3</v>
      </c>
      <c r="I46" s="120" cm="1">
        <f t="array" aca="1" ref="I46" ca="1">_FV(B46,"Price")</f>
        <v>1931</v>
      </c>
      <c r="J46" s="118">
        <f t="shared" ca="1" si="2"/>
        <v>5771.075529990715</v>
      </c>
      <c r="K46" s="118">
        <f t="shared" ca="1" si="3"/>
        <v>5793</v>
      </c>
      <c r="L46" s="118">
        <f t="shared" si="10"/>
        <v>48</v>
      </c>
      <c r="M46" s="118">
        <f t="shared" ca="1" si="4"/>
        <v>954.23322999071479</v>
      </c>
      <c r="N46" s="121">
        <f t="shared" ca="1" si="5"/>
        <v>0.19614885152406991</v>
      </c>
      <c r="O46" s="122">
        <f t="shared" ca="1" si="6"/>
        <v>19.100000000000001</v>
      </c>
      <c r="P46" s="121">
        <f t="shared" ca="1" si="7"/>
        <v>0.12323488053868267</v>
      </c>
      <c r="Q46" s="118">
        <f t="shared" ca="1" si="8"/>
        <v>5484.2988862000002</v>
      </c>
      <c r="R46" s="118">
        <f t="shared" si="9"/>
        <v>-4864.8423000000003</v>
      </c>
      <c r="S46" s="123" t="s">
        <v>224</v>
      </c>
      <c r="T46" s="118" t="s">
        <v>216</v>
      </c>
      <c r="U46" s="118" t="s">
        <v>217</v>
      </c>
      <c r="V46" s="118" t="s">
        <v>225</v>
      </c>
      <c r="W46" s="118" t="s">
        <v>219</v>
      </c>
    </row>
    <row r="47" spans="2:23" x14ac:dyDescent="0.3">
      <c r="B47" s="116" t="e" vm="4">
        <v>#VALUE!</v>
      </c>
      <c r="C47" s="117">
        <v>45663</v>
      </c>
      <c r="D47" s="116">
        <v>3</v>
      </c>
      <c r="E47" s="118">
        <v>1585.55</v>
      </c>
      <c r="F47" s="118">
        <f>D47*E47*0.0022+7.53</f>
        <v>17.994630000000001</v>
      </c>
      <c r="G47" s="118">
        <f t="shared" si="0"/>
        <v>4774.6446299999998</v>
      </c>
      <c r="H47" s="119">
        <f t="shared" si="1"/>
        <v>3.7830468922455934E-3</v>
      </c>
      <c r="I47" s="120" cm="1">
        <f t="array" aca="1" ref="I47" ca="1">_FV(B47,"Price")</f>
        <v>1931</v>
      </c>
      <c r="J47" s="118">
        <f t="shared" ca="1" si="2"/>
        <v>5771.0848093532213</v>
      </c>
      <c r="K47" s="118">
        <f t="shared" ca="1" si="3"/>
        <v>5793</v>
      </c>
      <c r="L47" s="118">
        <f t="shared" si="10"/>
        <v>48</v>
      </c>
      <c r="M47" s="118">
        <f t="shared" ca="1" si="4"/>
        <v>1044.4401793532215</v>
      </c>
      <c r="N47" s="121">
        <f t="shared" ca="1" si="5"/>
        <v>0.21874720744467668</v>
      </c>
      <c r="O47" s="122">
        <f t="shared" ca="1" si="6"/>
        <v>18.566666666666666</v>
      </c>
      <c r="P47" s="121">
        <f t="shared" ca="1" si="7"/>
        <v>0.14138060086190954</v>
      </c>
      <c r="Q47" s="118">
        <f t="shared" ca="1" si="8"/>
        <v>5365.6395319799994</v>
      </c>
      <c r="R47" s="118">
        <f t="shared" si="9"/>
        <v>-4774.6446299999998</v>
      </c>
      <c r="S47" s="123" t="s">
        <v>224</v>
      </c>
      <c r="T47" s="118" t="s">
        <v>216</v>
      </c>
      <c r="U47" s="118" t="s">
        <v>217</v>
      </c>
      <c r="V47" s="118" t="s">
        <v>225</v>
      </c>
      <c r="W47" s="118" t="s">
        <v>219</v>
      </c>
    </row>
    <row r="48" spans="2:23" x14ac:dyDescent="0.3">
      <c r="B48" s="116" t="e" vm="4">
        <v>#VALUE!</v>
      </c>
      <c r="C48" s="117">
        <v>45677</v>
      </c>
      <c r="D48" s="116">
        <v>3</v>
      </c>
      <c r="E48" s="118">
        <v>1637.45</v>
      </c>
      <c r="F48" s="118">
        <f>D48*E48*0.0022+7.78</f>
        <v>18.58717</v>
      </c>
      <c r="G48" s="118">
        <f t="shared" si="0"/>
        <v>4930.9371700000002</v>
      </c>
      <c r="H48" s="119">
        <f t="shared" si="1"/>
        <v>3.7837633719095746E-3</v>
      </c>
      <c r="I48" s="120" cm="1">
        <f t="array" aca="1" ref="I48" ca="1">_FV(B48,"Price")</f>
        <v>1931</v>
      </c>
      <c r="J48" s="118">
        <f t="shared" ca="1" si="2"/>
        <v>5771.0806587865281</v>
      </c>
      <c r="K48" s="118">
        <f t="shared" ca="1" si="3"/>
        <v>5793</v>
      </c>
      <c r="L48" s="118">
        <f t="shared" si="10"/>
        <v>48</v>
      </c>
      <c r="M48" s="118">
        <f t="shared" ca="1" si="4"/>
        <v>888.143488786528</v>
      </c>
      <c r="N48" s="121">
        <f t="shared" ca="1" si="5"/>
        <v>0.18011656976487656</v>
      </c>
      <c r="O48" s="122">
        <f t="shared" ca="1" si="6"/>
        <v>18.100000000000001</v>
      </c>
      <c r="P48" s="121">
        <f t="shared" ca="1" si="7"/>
        <v>0.11941430039660322</v>
      </c>
      <c r="Q48" s="118">
        <f t="shared" ca="1" si="8"/>
        <v>5525.9369218466672</v>
      </c>
      <c r="R48" s="118">
        <f t="shared" si="9"/>
        <v>-4930.9371700000002</v>
      </c>
      <c r="S48" s="123" t="s">
        <v>224</v>
      </c>
      <c r="T48" s="118" t="s">
        <v>216</v>
      </c>
      <c r="U48" s="118" t="s">
        <v>217</v>
      </c>
      <c r="V48" s="118" t="s">
        <v>225</v>
      </c>
      <c r="W48" s="118" t="s">
        <v>219</v>
      </c>
    </row>
    <row r="49" spans="2:23" x14ac:dyDescent="0.3">
      <c r="B49" s="116" t="e" vm="4">
        <v>#VALUE!</v>
      </c>
      <c r="C49" s="117">
        <v>45691</v>
      </c>
      <c r="D49" s="116">
        <v>3</v>
      </c>
      <c r="E49" s="118">
        <v>1658.8</v>
      </c>
      <c r="F49" s="118">
        <f>D49*E49*0.0022+7.89</f>
        <v>18.838079999999998</v>
      </c>
      <c r="G49" s="118">
        <f t="shared" si="0"/>
        <v>4995.2380800000001</v>
      </c>
      <c r="H49" s="119">
        <f t="shared" si="1"/>
        <v>3.7854834820352061E-3</v>
      </c>
      <c r="I49" s="120" cm="1">
        <f t="array" aca="1" ref="I49" ca="1">_FV(B49,"Price")</f>
        <v>1931</v>
      </c>
      <c r="J49" s="118">
        <f t="shared" ca="1" si="2"/>
        <v>5771.0706941885701</v>
      </c>
      <c r="K49" s="118">
        <f t="shared" ca="1" si="3"/>
        <v>5793</v>
      </c>
      <c r="L49" s="118">
        <f t="shared" si="10"/>
        <v>48</v>
      </c>
      <c r="M49" s="118">
        <f t="shared" ca="1" si="4"/>
        <v>823.83261418857001</v>
      </c>
      <c r="N49" s="121">
        <f t="shared" ca="1" si="5"/>
        <v>0.16492359342931859</v>
      </c>
      <c r="O49" s="122">
        <f t="shared" ca="1" si="6"/>
        <v>17.666666666666668</v>
      </c>
      <c r="P49" s="121">
        <f t="shared" ca="1" si="7"/>
        <v>0.11202357289538621</v>
      </c>
      <c r="Q49" s="118">
        <f t="shared" ca="1" si="8"/>
        <v>5583.5661205333336</v>
      </c>
      <c r="R49" s="118">
        <f t="shared" si="9"/>
        <v>-4995.2380800000001</v>
      </c>
      <c r="S49" s="123" t="s">
        <v>224</v>
      </c>
      <c r="T49" s="118" t="s">
        <v>216</v>
      </c>
      <c r="U49" s="118" t="s">
        <v>217</v>
      </c>
      <c r="V49" s="118" t="s">
        <v>225</v>
      </c>
      <c r="W49" s="118" t="s">
        <v>219</v>
      </c>
    </row>
    <row r="50" spans="2:23" x14ac:dyDescent="0.3">
      <c r="B50" s="116" t="e" vm="4">
        <v>#VALUE!</v>
      </c>
      <c r="C50" s="117">
        <v>45706</v>
      </c>
      <c r="D50" s="116">
        <v>3</v>
      </c>
      <c r="E50" s="118">
        <v>1670.75</v>
      </c>
      <c r="F50" s="118">
        <f>D50*E50*0.0022+8.09</f>
        <v>19.116950000000003</v>
      </c>
      <c r="G50" s="118">
        <f t="shared" si="0"/>
        <v>5031.3669499999996</v>
      </c>
      <c r="H50" s="119">
        <f t="shared" si="1"/>
        <v>3.8140455883086443E-3</v>
      </c>
      <c r="I50" s="120" cm="1">
        <f t="array" aca="1" ref="I50" ca="1">_FV(B50,"Price")</f>
        <v>1931</v>
      </c>
      <c r="J50" s="118">
        <f t="shared" ca="1" si="2"/>
        <v>5770.9052339069276</v>
      </c>
      <c r="K50" s="118">
        <f t="shared" ca="1" si="3"/>
        <v>5793</v>
      </c>
      <c r="L50" s="118">
        <f t="shared" si="10"/>
        <v>48</v>
      </c>
      <c r="M50" s="118">
        <f t="shared" ca="1" si="4"/>
        <v>787.53828390692797</v>
      </c>
      <c r="N50" s="121">
        <f t="shared" ca="1" si="5"/>
        <v>0.1565257099577935</v>
      </c>
      <c r="O50" s="122">
        <f t="shared" ca="1" si="6"/>
        <v>17.166666666666668</v>
      </c>
      <c r="P50" s="121">
        <f t="shared" ca="1" si="7"/>
        <v>0.10941603026175856</v>
      </c>
      <c r="Q50" s="118">
        <f t="shared" ca="1" si="8"/>
        <v>5607.1789453888887</v>
      </c>
      <c r="R50" s="118">
        <f t="shared" si="9"/>
        <v>-5031.3669499999996</v>
      </c>
      <c r="S50" s="123" t="s">
        <v>224</v>
      </c>
      <c r="T50" s="118" t="s">
        <v>216</v>
      </c>
      <c r="U50" s="118" t="s">
        <v>217</v>
      </c>
      <c r="V50" s="118" t="s">
        <v>225</v>
      </c>
      <c r="W50" s="118" t="s">
        <v>219</v>
      </c>
    </row>
    <row r="51" spans="2:23" x14ac:dyDescent="0.3">
      <c r="B51" s="116" t="e" vm="4">
        <v>#VALUE!</v>
      </c>
      <c r="C51" s="117">
        <v>45721</v>
      </c>
      <c r="D51" s="116">
        <v>3</v>
      </c>
      <c r="E51" s="118">
        <v>1603.75</v>
      </c>
      <c r="F51" s="118">
        <f>D51*E51*0.0022+7.6</f>
        <v>18.184750000000001</v>
      </c>
      <c r="G51" s="118">
        <f t="shared" si="0"/>
        <v>4829.4347500000003</v>
      </c>
      <c r="H51" s="119">
        <f t="shared" si="1"/>
        <v>3.7796310730059757E-3</v>
      </c>
      <c r="I51" s="120" cm="1">
        <f t="array" aca="1" ref="I51" ca="1">_FV(B51,"Price")</f>
        <v>1931</v>
      </c>
      <c r="J51" s="118">
        <f t="shared" ca="1" si="2"/>
        <v>5771.1045971940766</v>
      </c>
      <c r="K51" s="118">
        <f t="shared" ca="1" si="3"/>
        <v>5793</v>
      </c>
      <c r="L51" s="118">
        <f t="shared" si="10"/>
        <v>48</v>
      </c>
      <c r="M51" s="118">
        <f t="shared" ca="1" si="4"/>
        <v>989.66984719407628</v>
      </c>
      <c r="N51" s="121">
        <f t="shared" ca="1" si="5"/>
        <v>0.20492457159589458</v>
      </c>
      <c r="O51" s="122">
        <f t="shared" ca="1" si="6"/>
        <v>16.600000000000001</v>
      </c>
      <c r="P51" s="121">
        <f t="shared" ca="1" si="7"/>
        <v>0.14813824452715271</v>
      </c>
      <c r="Q51" s="118">
        <f t="shared" ca="1" si="8"/>
        <v>5363.8921956666672</v>
      </c>
      <c r="R51" s="118">
        <f t="shared" si="9"/>
        <v>-4829.4347500000003</v>
      </c>
      <c r="S51" s="123" t="s">
        <v>224</v>
      </c>
      <c r="T51" s="118" t="s">
        <v>216</v>
      </c>
      <c r="U51" s="118" t="s">
        <v>217</v>
      </c>
      <c r="V51" s="118" t="s">
        <v>225</v>
      </c>
      <c r="W51" s="118" t="s">
        <v>219</v>
      </c>
    </row>
    <row r="52" spans="2:23" x14ac:dyDescent="0.3">
      <c r="B52" s="116" t="e" vm="4">
        <v>#VALUE!</v>
      </c>
      <c r="C52" s="117">
        <v>45736</v>
      </c>
      <c r="D52" s="116">
        <v>3</v>
      </c>
      <c r="E52" s="118">
        <v>1681</v>
      </c>
      <c r="F52" s="118">
        <f>D52*E52*0.0022+7.58</f>
        <v>18.674599999999998</v>
      </c>
      <c r="G52" s="118">
        <f t="shared" si="0"/>
        <v>5061.6746000000003</v>
      </c>
      <c r="H52" s="119">
        <f t="shared" si="1"/>
        <v>3.7030735673210385E-3</v>
      </c>
      <c r="I52" s="120" cm="1">
        <f t="array" aca="1" ref="I52" ca="1">_FV(B52,"Price")</f>
        <v>1931</v>
      </c>
      <c r="J52" s="118">
        <f t="shared" ca="1" si="2"/>
        <v>5771.5480948245095</v>
      </c>
      <c r="K52" s="118">
        <f t="shared" ca="1" si="3"/>
        <v>5793</v>
      </c>
      <c r="L52" s="118">
        <f t="shared" si="10"/>
        <v>48</v>
      </c>
      <c r="M52" s="118">
        <f t="shared" ca="1" si="4"/>
        <v>757.87349482450918</v>
      </c>
      <c r="N52" s="121">
        <f t="shared" ca="1" si="5"/>
        <v>0.14972781830434323</v>
      </c>
      <c r="O52" s="122">
        <f t="shared" ca="1" si="6"/>
        <v>16.100000000000001</v>
      </c>
      <c r="P52" s="121">
        <f t="shared" ca="1" si="7"/>
        <v>0.11159837389143594</v>
      </c>
      <c r="Q52" s="118">
        <f t="shared" ca="1" si="8"/>
        <v>5604.9610070666668</v>
      </c>
      <c r="R52" s="118">
        <f t="shared" si="9"/>
        <v>-5061.6746000000003</v>
      </c>
      <c r="S52" s="123" t="s">
        <v>224</v>
      </c>
      <c r="T52" s="118" t="s">
        <v>216</v>
      </c>
      <c r="U52" s="118" t="s">
        <v>217</v>
      </c>
      <c r="V52" s="118" t="s">
        <v>225</v>
      </c>
      <c r="W52" s="118" t="s">
        <v>219</v>
      </c>
    </row>
    <row r="53" spans="2:23" x14ac:dyDescent="0.3">
      <c r="B53" s="116" t="e" vm="4">
        <v>#VALUE!</v>
      </c>
      <c r="C53" s="117">
        <v>45751</v>
      </c>
      <c r="D53" s="116">
        <v>3</v>
      </c>
      <c r="E53" s="118">
        <v>1757.45</v>
      </c>
      <c r="F53" s="118">
        <f>D53*E53*0.0022+8.35</f>
        <v>19.949170000000002</v>
      </c>
      <c r="G53" s="118">
        <f t="shared" si="0"/>
        <v>5292.2991700000002</v>
      </c>
      <c r="H53" s="119">
        <f t="shared" si="1"/>
        <v>3.7837340085540606E-3</v>
      </c>
      <c r="I53" s="120" cm="1">
        <f t="array" aca="1" ref="I53" ca="1">_FV(B53,"Price")</f>
        <v>1931</v>
      </c>
      <c r="J53" s="118">
        <f t="shared" ca="1" si="2"/>
        <v>5771.0808288884464</v>
      </c>
      <c r="K53" s="118">
        <f t="shared" ca="1" si="3"/>
        <v>5793</v>
      </c>
      <c r="L53" s="118">
        <f t="shared" si="10"/>
        <v>48</v>
      </c>
      <c r="M53" s="118">
        <f t="shared" ca="1" si="4"/>
        <v>526.78165888844615</v>
      </c>
      <c r="N53" s="121">
        <f t="shared" ca="1" si="5"/>
        <v>9.9537392344440367E-2</v>
      </c>
      <c r="O53" s="122">
        <f t="shared" ca="1" si="6"/>
        <v>15.633333333333333</v>
      </c>
      <c r="P53" s="121">
        <f t="shared" ca="1" si="7"/>
        <v>7.640396853731031E-2</v>
      </c>
      <c r="Q53" s="118">
        <f t="shared" ca="1" si="8"/>
        <v>5843.874350162223</v>
      </c>
      <c r="R53" s="118">
        <f t="shared" si="9"/>
        <v>-5292.2991700000002</v>
      </c>
      <c r="S53" s="123" t="s">
        <v>224</v>
      </c>
      <c r="T53" s="118" t="s">
        <v>216</v>
      </c>
      <c r="U53" s="118" t="s">
        <v>217</v>
      </c>
      <c r="V53" s="118" t="s">
        <v>225</v>
      </c>
      <c r="W53" s="118" t="s">
        <v>219</v>
      </c>
    </row>
    <row r="54" spans="2:23" x14ac:dyDescent="0.3">
      <c r="B54" s="116" t="e" vm="4">
        <v>#VALUE!</v>
      </c>
      <c r="C54" s="117">
        <v>45768</v>
      </c>
      <c r="D54" s="116">
        <v>3</v>
      </c>
      <c r="E54" s="118">
        <v>1882</v>
      </c>
      <c r="F54" s="118">
        <f>D54*E54*0.0022+8.95</f>
        <v>21.371200000000002</v>
      </c>
      <c r="G54" s="118">
        <f t="shared" si="0"/>
        <v>5667.3711999999996</v>
      </c>
      <c r="H54" s="119">
        <f t="shared" si="1"/>
        <v>3.7851930570315271E-3</v>
      </c>
      <c r="I54" s="120" cm="1">
        <f t="array" aca="1" ref="I54" ca="1">_FV(B54,"Price")</f>
        <v>1931</v>
      </c>
      <c r="J54" s="118">
        <f t="shared" ca="1" si="2"/>
        <v>5771.0723766206165</v>
      </c>
      <c r="K54" s="118">
        <f t="shared" ca="1" si="3"/>
        <v>5793</v>
      </c>
      <c r="L54" s="118">
        <f t="shared" si="10"/>
        <v>48</v>
      </c>
      <c r="M54" s="118">
        <f t="shared" ca="1" si="4"/>
        <v>151.70117662061693</v>
      </c>
      <c r="N54" s="121">
        <f t="shared" ca="1" si="5"/>
        <v>2.6767467890689241E-2</v>
      </c>
      <c r="O54" s="122">
        <f t="shared" ca="1" si="6"/>
        <v>15.066666666666666</v>
      </c>
      <c r="P54" s="121">
        <f t="shared" ca="1" si="7"/>
        <v>2.1319222213823291E-2</v>
      </c>
      <c r="Q54" s="118">
        <f t="shared" ca="1" si="8"/>
        <v>6236.627151644444</v>
      </c>
      <c r="R54" s="118">
        <f t="shared" si="9"/>
        <v>-5667.3711999999996</v>
      </c>
      <c r="S54" s="123" t="s">
        <v>224</v>
      </c>
      <c r="T54" s="118" t="s">
        <v>216</v>
      </c>
      <c r="U54" s="118" t="s">
        <v>217</v>
      </c>
      <c r="V54" s="118" t="s">
        <v>225</v>
      </c>
      <c r="W54" s="118" t="s">
        <v>219</v>
      </c>
    </row>
    <row r="55" spans="2:23" x14ac:dyDescent="0.3">
      <c r="B55" s="116" t="e" vm="4">
        <v>#VALUE!</v>
      </c>
      <c r="C55" s="117">
        <v>45782</v>
      </c>
      <c r="D55" s="116">
        <v>3</v>
      </c>
      <c r="E55" s="118">
        <v>1867</v>
      </c>
      <c r="F55" s="118">
        <f>D55*E55*0.0022+8.87</f>
        <v>21.1922</v>
      </c>
      <c r="G55" s="118">
        <f t="shared" si="0"/>
        <v>5622.1922000000004</v>
      </c>
      <c r="H55" s="119">
        <f t="shared" si="1"/>
        <v>3.7836457775397249E-3</v>
      </c>
      <c r="I55" s="120" cm="1">
        <f t="array" aca="1" ref="I55" ca="1">_FV(B55,"Price")</f>
        <v>1931</v>
      </c>
      <c r="J55" s="118">
        <f t="shared" ca="1" si="2"/>
        <v>5771.0813400107118</v>
      </c>
      <c r="K55" s="118">
        <f t="shared" ca="1" si="3"/>
        <v>5793</v>
      </c>
      <c r="L55" s="118">
        <f t="shared" si="10"/>
        <v>48</v>
      </c>
      <c r="M55" s="118">
        <f t="shared" ca="1" si="4"/>
        <v>196.88914001071134</v>
      </c>
      <c r="N55" s="121">
        <f t="shared" ca="1" si="5"/>
        <v>3.5019994515788938E-2</v>
      </c>
      <c r="O55" s="122">
        <f t="shared" ca="1" si="6"/>
        <v>14.6</v>
      </c>
      <c r="P55" s="121">
        <f t="shared" ca="1" si="7"/>
        <v>2.8783557136264883E-2</v>
      </c>
      <c r="Q55" s="118">
        <f t="shared" ca="1" si="8"/>
        <v>6169.4189074666674</v>
      </c>
      <c r="R55" s="118">
        <f t="shared" si="9"/>
        <v>-5622.1922000000004</v>
      </c>
      <c r="S55" s="123" t="s">
        <v>224</v>
      </c>
      <c r="T55" s="118" t="s">
        <v>216</v>
      </c>
      <c r="U55" s="118" t="s">
        <v>217</v>
      </c>
      <c r="V55" s="118" t="s">
        <v>225</v>
      </c>
      <c r="W55" s="118" t="s">
        <v>219</v>
      </c>
    </row>
    <row r="56" spans="2:23" x14ac:dyDescent="0.3">
      <c r="B56" s="116" t="e" vm="4">
        <v>#VALUE!</v>
      </c>
      <c r="C56" s="117">
        <v>45796</v>
      </c>
      <c r="D56" s="116">
        <v>3</v>
      </c>
      <c r="E56" s="118">
        <v>1815.6</v>
      </c>
      <c r="F56" s="118">
        <f>D56*E56*0.0022+8.63</f>
        <v>20.612960000000001</v>
      </c>
      <c r="G56" s="118">
        <f t="shared" si="0"/>
        <v>5467.4129599999997</v>
      </c>
      <c r="H56" s="119">
        <f t="shared" si="1"/>
        <v>3.7844165381508417E-3</v>
      </c>
      <c r="I56" s="120" cm="1">
        <f t="array" aca="1" ref="I56" ca="1">_FV(B56,"Price")</f>
        <v>1931</v>
      </c>
      <c r="J56" s="118">
        <f t="shared" ca="1" si="2"/>
        <v>5771.0768749944918</v>
      </c>
      <c r="K56" s="118">
        <f t="shared" ca="1" si="3"/>
        <v>5793</v>
      </c>
      <c r="L56" s="118">
        <f t="shared" si="10"/>
        <v>48</v>
      </c>
      <c r="M56" s="118">
        <f t="shared" ca="1" si="4"/>
        <v>351.66391499449219</v>
      </c>
      <c r="N56" s="121">
        <f t="shared" ca="1" si="5"/>
        <v>6.4319984162032676E-2</v>
      </c>
      <c r="O56" s="122">
        <f t="shared" ca="1" si="6"/>
        <v>14.133333333333333</v>
      </c>
      <c r="P56" s="121">
        <f t="shared" ca="1" si="7"/>
        <v>5.4611307307386239E-2</v>
      </c>
      <c r="Q56" s="118">
        <f t="shared" ca="1" si="8"/>
        <v>5982.5647588977772</v>
      </c>
      <c r="R56" s="118">
        <f t="shared" si="9"/>
        <v>-5467.4129599999997</v>
      </c>
      <c r="S56" s="123" t="s">
        <v>224</v>
      </c>
      <c r="T56" s="118" t="s">
        <v>216</v>
      </c>
      <c r="U56" s="118" t="s">
        <v>217</v>
      </c>
      <c r="V56" s="118" t="s">
        <v>225</v>
      </c>
      <c r="W56" s="118" t="s">
        <v>219</v>
      </c>
    </row>
    <row r="57" spans="2:23" x14ac:dyDescent="0.3">
      <c r="B57" s="116" t="e" vm="4">
        <v>#VALUE!</v>
      </c>
      <c r="C57" s="117">
        <v>45811</v>
      </c>
      <c r="D57" s="116">
        <v>3</v>
      </c>
      <c r="E57" s="118">
        <v>1844.7</v>
      </c>
      <c r="F57" s="118">
        <f>D57*E57*0.0022+8.76</f>
        <v>20.935020000000002</v>
      </c>
      <c r="G57" s="118">
        <f t="shared" si="0"/>
        <v>5555.0350200000003</v>
      </c>
      <c r="H57" s="119">
        <f t="shared" si="1"/>
        <v>3.7829132108201874E-3</v>
      </c>
      <c r="I57" s="120" cm="1">
        <f t="array" aca="1" ref="I57" ca="1">_FV(B57,"Price")</f>
        <v>1931</v>
      </c>
      <c r="J57" s="118">
        <f t="shared" ca="1" si="2"/>
        <v>5771.0855837697191</v>
      </c>
      <c r="K57" s="118">
        <f t="shared" ca="1" si="3"/>
        <v>5793</v>
      </c>
      <c r="L57" s="118">
        <f t="shared" si="10"/>
        <v>48</v>
      </c>
      <c r="M57" s="118">
        <f t="shared" ca="1" si="4"/>
        <v>264.05056376971879</v>
      </c>
      <c r="N57" s="121">
        <f t="shared" ca="1" si="5"/>
        <v>4.7533555201550969E-2</v>
      </c>
      <c r="O57" s="122">
        <f t="shared" ca="1" si="6"/>
        <v>13.666666666666666</v>
      </c>
      <c r="P57" s="121">
        <f t="shared" ca="1" si="7"/>
        <v>4.1736780176971584E-2</v>
      </c>
      <c r="Q57" s="118">
        <f t="shared" ca="1" si="8"/>
        <v>6061.1604329333331</v>
      </c>
      <c r="R57" s="118">
        <f t="shared" si="9"/>
        <v>-5555.0350200000003</v>
      </c>
      <c r="S57" s="123" t="s">
        <v>224</v>
      </c>
      <c r="T57" s="118" t="s">
        <v>216</v>
      </c>
      <c r="U57" s="118" t="s">
        <v>217</v>
      </c>
      <c r="V57" s="118" t="s">
        <v>225</v>
      </c>
      <c r="W57" s="118" t="s">
        <v>219</v>
      </c>
    </row>
    <row r="58" spans="2:23" x14ac:dyDescent="0.3">
      <c r="B58" s="116" t="e" vm="4">
        <v>#VALUE!</v>
      </c>
      <c r="C58" s="117">
        <v>45826</v>
      </c>
      <c r="D58" s="116">
        <v>3</v>
      </c>
      <c r="E58" s="118">
        <v>1863.3</v>
      </c>
      <c r="F58" s="118">
        <f>D58*E58*0.0022+8.86</f>
        <v>21.157779999999999</v>
      </c>
      <c r="G58" s="118">
        <f t="shared" si="0"/>
        <v>5611.0577799999992</v>
      </c>
      <c r="H58" s="119">
        <f t="shared" si="1"/>
        <v>3.7850015205996529E-3</v>
      </c>
      <c r="I58" s="120" cm="1">
        <f t="array" aca="1" ref="I58" ca="1">_FV(B58,"Price")</f>
        <v>1931</v>
      </c>
      <c r="J58" s="118">
        <f t="shared" ca="1" si="2"/>
        <v>5771.073486191166</v>
      </c>
      <c r="K58" s="118">
        <f t="shared" ca="1" si="3"/>
        <v>5793</v>
      </c>
      <c r="L58" s="118">
        <f t="shared" si="10"/>
        <v>48</v>
      </c>
      <c r="M58" s="118">
        <f t="shared" ca="1" si="4"/>
        <v>208.01570619116683</v>
      </c>
      <c r="N58" s="121">
        <f t="shared" ca="1" si="5"/>
        <v>3.7072458411071089E-2</v>
      </c>
      <c r="O58" s="122">
        <f t="shared" ca="1" si="6"/>
        <v>13.166666666666666</v>
      </c>
      <c r="P58" s="121">
        <f t="shared" ca="1" si="7"/>
        <v>3.3787557032874921E-2</v>
      </c>
      <c r="Q58" s="118">
        <f t="shared" ca="1" si="8"/>
        <v>6103.5839629111106</v>
      </c>
      <c r="R58" s="118">
        <f t="shared" si="9"/>
        <v>-5611.0577799999992</v>
      </c>
      <c r="S58" s="123" t="s">
        <v>224</v>
      </c>
      <c r="T58" s="118" t="s">
        <v>216</v>
      </c>
      <c r="U58" s="118" t="s">
        <v>217</v>
      </c>
      <c r="V58" s="118" t="s">
        <v>225</v>
      </c>
      <c r="W58" s="118" t="s">
        <v>219</v>
      </c>
    </row>
    <row r="59" spans="2:23" x14ac:dyDescent="0.3">
      <c r="B59" s="116" t="e" vm="4">
        <v>#VALUE!</v>
      </c>
      <c r="C59" s="117">
        <v>45841</v>
      </c>
      <c r="D59" s="116">
        <v>2</v>
      </c>
      <c r="E59" s="118">
        <v>2034.6</v>
      </c>
      <c r="F59" s="118">
        <f>D59*E59*0.0022+6.44</f>
        <v>15.392240000000001</v>
      </c>
      <c r="G59" s="118">
        <f t="shared" si="0"/>
        <v>4084.5922399999999</v>
      </c>
      <c r="H59" s="119">
        <f t="shared" si="1"/>
        <v>3.7826206625380917E-3</v>
      </c>
      <c r="I59" s="120" cm="1">
        <f t="array" aca="1" ref="I59" ca="1">_FV(B59,"Price")</f>
        <v>1931</v>
      </c>
      <c r="J59" s="118">
        <f t="shared" ca="1" si="2"/>
        <v>3847.3915190012781</v>
      </c>
      <c r="K59" s="118">
        <f t="shared" ca="1" si="3"/>
        <v>3862</v>
      </c>
      <c r="L59" s="118">
        <f>2*16</f>
        <v>32</v>
      </c>
      <c r="M59" s="118">
        <f t="shared" ca="1" si="4"/>
        <v>-205.20072099872186</v>
      </c>
      <c r="N59" s="121">
        <f t="shared" ca="1" si="5"/>
        <v>-5.0237749312945341E-2</v>
      </c>
      <c r="O59" s="122">
        <f t="shared" ca="1" si="6"/>
        <v>12.666666666666666</v>
      </c>
      <c r="P59" s="121">
        <f t="shared" ca="1" si="7"/>
        <v>-4.7593657243842957E-2</v>
      </c>
      <c r="Q59" s="118">
        <f t="shared" ca="1" si="8"/>
        <v>4429.5133624888886</v>
      </c>
      <c r="R59" s="118">
        <f t="shared" si="9"/>
        <v>-4084.5922399999999</v>
      </c>
      <c r="S59" s="123" t="s">
        <v>224</v>
      </c>
      <c r="T59" s="118" t="s">
        <v>216</v>
      </c>
      <c r="U59" s="118" t="s">
        <v>217</v>
      </c>
      <c r="V59" s="118" t="s">
        <v>225</v>
      </c>
      <c r="W59" s="118" t="s">
        <v>219</v>
      </c>
    </row>
    <row r="60" spans="2:23" x14ac:dyDescent="0.3">
      <c r="B60" s="116" t="e" vm="4">
        <v>#VALUE!</v>
      </c>
      <c r="C60" s="117">
        <v>45873</v>
      </c>
      <c r="D60" s="116">
        <v>3</v>
      </c>
      <c r="E60" s="118">
        <v>1896.2</v>
      </c>
      <c r="F60" s="118">
        <f>D60*E60*0.0022+9.01</f>
        <v>21.524920000000002</v>
      </c>
      <c r="G60" s="118">
        <f t="shared" si="0"/>
        <v>5710.1249200000002</v>
      </c>
      <c r="H60" s="119">
        <f t="shared" si="1"/>
        <v>3.7838694933727103E-3</v>
      </c>
      <c r="I60" s="120" cm="1">
        <f t="array" aca="1" ref="I60" ca="1">_FV(B60,"Price")</f>
        <v>1931</v>
      </c>
      <c r="J60" s="118">
        <f t="shared" ca="1" si="2"/>
        <v>5771.0800440248922</v>
      </c>
      <c r="K60" s="118">
        <f t="shared" ca="1" si="3"/>
        <v>5793</v>
      </c>
      <c r="L60" s="118">
        <v>0</v>
      </c>
      <c r="M60" s="118">
        <f t="shared" ca="1" si="4"/>
        <v>60.955124024892029</v>
      </c>
      <c r="N60" s="121">
        <f t="shared" ca="1" si="5"/>
        <v>1.0674919529587459E-2</v>
      </c>
      <c r="O60" s="122">
        <f t="shared" ca="1" si="6"/>
        <v>11.633333333333333</v>
      </c>
      <c r="P60" s="121">
        <f t="shared" ca="1" si="7"/>
        <v>1.1011378311322307E-2</v>
      </c>
      <c r="Q60" s="118">
        <f t="shared" ca="1" si="8"/>
        <v>6152.9768304622221</v>
      </c>
      <c r="R60" s="118">
        <f t="shared" si="9"/>
        <v>-5710.1249200000002</v>
      </c>
      <c r="S60" s="123" t="s">
        <v>224</v>
      </c>
      <c r="T60" s="118" t="s">
        <v>216</v>
      </c>
      <c r="U60" s="118" t="s">
        <v>217</v>
      </c>
      <c r="V60" s="118" t="s">
        <v>225</v>
      </c>
      <c r="W60" s="118" t="s">
        <v>219</v>
      </c>
    </row>
    <row r="61" spans="2:23" x14ac:dyDescent="0.3">
      <c r="B61" s="116" t="e" vm="4">
        <v>#VALUE!</v>
      </c>
      <c r="C61" s="117">
        <v>45903</v>
      </c>
      <c r="D61" s="116">
        <v>3</v>
      </c>
      <c r="E61" s="118">
        <v>1873.6</v>
      </c>
      <c r="F61" s="118">
        <f>D61*E61*0.0022+8.9</f>
        <v>21.26576</v>
      </c>
      <c r="G61" s="118">
        <f t="shared" si="0"/>
        <v>5642.0657599999995</v>
      </c>
      <c r="H61" s="119">
        <f t="shared" si="1"/>
        <v>3.7834044975804163E-3</v>
      </c>
      <c r="I61" s="120" cm="1">
        <f t="array" aca="1" ref="I61" ca="1">_FV(B61,"Price")</f>
        <v>1931</v>
      </c>
      <c r="J61" s="118">
        <f t="shared" ca="1" si="2"/>
        <v>5771.0827377455171</v>
      </c>
      <c r="K61" s="118">
        <f t="shared" ca="1" si="3"/>
        <v>5793</v>
      </c>
      <c r="L61" s="118">
        <v>0</v>
      </c>
      <c r="M61" s="118">
        <f t="shared" ca="1" si="4"/>
        <v>129.01697774551758</v>
      </c>
      <c r="N61" s="121">
        <f t="shared" ca="1" si="5"/>
        <v>2.286697518844899E-2</v>
      </c>
      <c r="O61" s="122">
        <f t="shared" ca="1" si="6"/>
        <v>10.666666666666666</v>
      </c>
      <c r="P61" s="121">
        <f t="shared" ca="1" si="7"/>
        <v>2.5725347087005114E-2</v>
      </c>
      <c r="Q61" s="118">
        <f t="shared" ca="1" si="8"/>
        <v>6043.2793251555549</v>
      </c>
      <c r="R61" s="118">
        <f t="shared" si="9"/>
        <v>-5642.0657599999995</v>
      </c>
      <c r="S61" s="123" t="s">
        <v>224</v>
      </c>
      <c r="T61" s="118" t="s">
        <v>216</v>
      </c>
      <c r="U61" s="118" t="s">
        <v>217</v>
      </c>
      <c r="V61" s="118" t="s">
        <v>225</v>
      </c>
      <c r="W61" s="118" t="s">
        <v>219</v>
      </c>
    </row>
    <row r="62" spans="2:23" x14ac:dyDescent="0.3">
      <c r="B62" s="116" t="e" vm="4">
        <v>#VALUE!</v>
      </c>
      <c r="C62" s="117">
        <v>45933</v>
      </c>
      <c r="D62" s="116">
        <v>3</v>
      </c>
      <c r="E62" s="118">
        <v>1876.7</v>
      </c>
      <c r="F62" s="118">
        <f>D62*E62*0.0022+9.3</f>
        <v>21.686220000000002</v>
      </c>
      <c r="G62" s="118">
        <f t="shared" si="0"/>
        <v>5651.78622</v>
      </c>
      <c r="H62" s="119">
        <f t="shared" si="1"/>
        <v>3.8518356689934462E-3</v>
      </c>
      <c r="I62" s="120" cm="1">
        <f t="array" aca="1" ref="I62" ca="1">_FV(B62,"Price")</f>
        <v>1931</v>
      </c>
      <c r="J62" s="118">
        <f t="shared" ca="1" si="2"/>
        <v>5770.6863159695204</v>
      </c>
      <c r="K62" s="118">
        <f t="shared" ca="1" si="3"/>
        <v>5793</v>
      </c>
      <c r="L62" s="118">
        <v>0</v>
      </c>
      <c r="M62" s="118">
        <f t="shared" ca="1" si="4"/>
        <v>118.90009596952041</v>
      </c>
      <c r="N62" s="121">
        <f t="shared" ca="1" si="5"/>
        <v>2.1037613834148244E-2</v>
      </c>
      <c r="O62" s="122">
        <f t="shared" ca="1" si="6"/>
        <v>9.6666666666666661</v>
      </c>
      <c r="P62" s="121">
        <f t="shared" ca="1" si="7"/>
        <v>2.6115658552735753E-2</v>
      </c>
      <c r="Q62" s="118">
        <f t="shared" ca="1" si="8"/>
        <v>6016.0124430666665</v>
      </c>
      <c r="R62" s="118">
        <f t="shared" si="9"/>
        <v>-5651.78622</v>
      </c>
      <c r="S62" s="123" t="s">
        <v>224</v>
      </c>
      <c r="T62" s="118" t="s">
        <v>216</v>
      </c>
      <c r="U62" s="118" t="s">
        <v>217</v>
      </c>
      <c r="V62" s="118" t="s">
        <v>225</v>
      </c>
      <c r="W62" s="118" t="s">
        <v>219</v>
      </c>
    </row>
    <row r="63" spans="2:23" x14ac:dyDescent="0.3">
      <c r="B63" s="116" t="e" vm="4">
        <v>#VALUE!</v>
      </c>
      <c r="C63" s="117">
        <v>45964</v>
      </c>
      <c r="D63" s="116">
        <v>2</v>
      </c>
      <c r="E63" s="118">
        <v>2059</v>
      </c>
      <c r="F63" s="118">
        <f>D63*E63*0.0022+6.52</f>
        <v>15.579600000000001</v>
      </c>
      <c r="G63" s="118">
        <f t="shared" si="0"/>
        <v>4133.5796</v>
      </c>
      <c r="H63" s="119">
        <f t="shared" si="1"/>
        <v>3.7832928606119478E-3</v>
      </c>
      <c r="I63" s="120" cm="1">
        <f t="array" aca="1" ref="I63" ca="1">_FV(B63,"Price")</f>
        <v>1931</v>
      </c>
      <c r="J63" s="118">
        <f t="shared" ca="1" si="2"/>
        <v>3847.3889229723168</v>
      </c>
      <c r="K63" s="118">
        <f t="shared" ca="1" si="3"/>
        <v>3862</v>
      </c>
      <c r="L63" s="118">
        <v>0</v>
      </c>
      <c r="M63" s="118">
        <f t="shared" ca="1" si="4"/>
        <v>-286.19067702768325</v>
      </c>
      <c r="N63" s="121">
        <f t="shared" ca="1" si="5"/>
        <v>-6.9235554827027701E-2</v>
      </c>
      <c r="O63" s="122">
        <f t="shared" ca="1" si="6"/>
        <v>8.6666666666666661</v>
      </c>
      <c r="P63" s="121">
        <f t="shared" ca="1" si="7"/>
        <v>-9.5864614375884519E-2</v>
      </c>
      <c r="Q63" s="118">
        <f t="shared" ca="1" si="8"/>
        <v>4372.4086435555555</v>
      </c>
      <c r="R63" s="118">
        <f t="shared" si="9"/>
        <v>-4133.5796</v>
      </c>
      <c r="S63" s="123" t="s">
        <v>224</v>
      </c>
      <c r="T63" s="118" t="s">
        <v>216</v>
      </c>
      <c r="U63" s="118" t="s">
        <v>217</v>
      </c>
      <c r="V63" s="118" t="s">
        <v>225</v>
      </c>
      <c r="W63" s="118" t="s">
        <v>219</v>
      </c>
    </row>
    <row r="64" spans="2:23" x14ac:dyDescent="0.3">
      <c r="B64" s="116" t="e" vm="4">
        <v>#VALUE!</v>
      </c>
      <c r="C64" s="117">
        <v>45994</v>
      </c>
      <c r="D64" s="116">
        <v>2</v>
      </c>
      <c r="E64" s="118">
        <v>2086.1999999999998</v>
      </c>
      <c r="F64" s="118">
        <f>D64*E64*0.0022+6.61</f>
        <v>15.789280000000002</v>
      </c>
      <c r="G64" s="118">
        <f t="shared" si="0"/>
        <v>4188.1892799999996</v>
      </c>
      <c r="H64" s="119">
        <f t="shared" si="1"/>
        <v>3.7842201131243415E-3</v>
      </c>
      <c r="I64" s="120" cm="1">
        <f t="array" aca="1" ref="I64" ca="1">_FV(B64,"Price")</f>
        <v>1931</v>
      </c>
      <c r="J64" s="118">
        <f t="shared" ca="1" si="2"/>
        <v>3847.3853419231141</v>
      </c>
      <c r="K64" s="118">
        <f t="shared" ca="1" si="3"/>
        <v>3862</v>
      </c>
      <c r="L64" s="118">
        <v>0</v>
      </c>
      <c r="M64" s="118">
        <f t="shared" ca="1" si="4"/>
        <v>-340.80393807688552</v>
      </c>
      <c r="N64" s="121">
        <f t="shared" ca="1" si="5"/>
        <v>-8.1372620789690181E-2</v>
      </c>
      <c r="O64" s="122">
        <f t="shared" ca="1" si="6"/>
        <v>7.666666666666667</v>
      </c>
      <c r="P64" s="121">
        <f t="shared" ca="1" si="7"/>
        <v>-0.12736584123603681</v>
      </c>
      <c r="Q64" s="118">
        <f t="shared" ca="1" si="8"/>
        <v>4402.2522876444436</v>
      </c>
      <c r="R64" s="118">
        <f t="shared" si="9"/>
        <v>-4188.1892799999996</v>
      </c>
      <c r="S64" s="123" t="s">
        <v>224</v>
      </c>
      <c r="T64" s="118" t="s">
        <v>216</v>
      </c>
      <c r="U64" s="118" t="s">
        <v>217</v>
      </c>
      <c r="V64" s="118" t="s">
        <v>225</v>
      </c>
      <c r="W64" s="118" t="s">
        <v>219</v>
      </c>
    </row>
    <row r="65" spans="2:23" x14ac:dyDescent="0.3">
      <c r="B65" s="116" t="e" vm="4">
        <v>#VALUE!</v>
      </c>
      <c r="C65" s="117">
        <v>46027</v>
      </c>
      <c r="D65" s="116">
        <v>2</v>
      </c>
      <c r="E65" s="118">
        <v>2106.5</v>
      </c>
      <c r="F65" s="118">
        <f>D65*E65*0.0022+6.67</f>
        <v>15.938600000000001</v>
      </c>
      <c r="G65" s="118">
        <f t="shared" si="0"/>
        <v>4228.9386000000004</v>
      </c>
      <c r="H65" s="119">
        <f t="shared" si="1"/>
        <v>3.7831948730121055E-3</v>
      </c>
      <c r="I65" s="120" cm="1">
        <f t="array" aca="1" ref="I65" ca="1">_FV(B65,"Price")</f>
        <v>1931</v>
      </c>
      <c r="J65" s="118">
        <f t="shared" ca="1" si="2"/>
        <v>3847.389301400427</v>
      </c>
      <c r="K65" s="118">
        <f t="shared" ca="1" si="3"/>
        <v>3862</v>
      </c>
      <c r="L65" s="118">
        <v>0</v>
      </c>
      <c r="M65" s="118">
        <f t="shared" ca="1" si="4"/>
        <v>-381.54929859957338</v>
      </c>
      <c r="N65" s="121">
        <f t="shared" ca="1" si="5"/>
        <v>-9.02234188501988E-2</v>
      </c>
      <c r="O65" s="122">
        <f t="shared" ca="1" si="6"/>
        <v>6.6</v>
      </c>
      <c r="P65" s="121">
        <f t="shared" ca="1" si="7"/>
        <v>-0.1640425797276342</v>
      </c>
      <c r="Q65" s="118">
        <f t="shared" ca="1" si="8"/>
        <v>4415.0118984000001</v>
      </c>
      <c r="R65" s="118">
        <f t="shared" si="9"/>
        <v>-4228.9386000000004</v>
      </c>
      <c r="S65" s="123" t="s">
        <v>224</v>
      </c>
      <c r="T65" s="118" t="s">
        <v>216</v>
      </c>
      <c r="U65" s="118" t="s">
        <v>217</v>
      </c>
      <c r="V65" s="118" t="s">
        <v>225</v>
      </c>
      <c r="W65" s="118" t="s">
        <v>219</v>
      </c>
    </row>
    <row r="66" spans="2:23" x14ac:dyDescent="0.3">
      <c r="B66" s="116" t="e" vm="4">
        <v>#VALUE!</v>
      </c>
      <c r="C66" s="117">
        <v>46056</v>
      </c>
      <c r="D66" s="116">
        <v>2</v>
      </c>
      <c r="E66" s="118">
        <v>2000.7</v>
      </c>
      <c r="F66" s="118">
        <f>D66*E66*0.0022+6.05</f>
        <v>14.853080000000002</v>
      </c>
      <c r="G66" s="118">
        <f t="shared" si="0"/>
        <v>4016.25308</v>
      </c>
      <c r="H66" s="119">
        <f t="shared" si="1"/>
        <v>3.7119708102164245E-3</v>
      </c>
      <c r="I66" s="120" cm="1">
        <f t="array" aca="1" ref="I66" ca="1">_FV(B66,"Price")</f>
        <v>1931</v>
      </c>
      <c r="J66" s="118">
        <f t="shared" ca="1" si="2"/>
        <v>3847.6643687309443</v>
      </c>
      <c r="K66" s="118">
        <f t="shared" ca="1" si="3"/>
        <v>3862</v>
      </c>
      <c r="L66" s="118">
        <v>0</v>
      </c>
      <c r="M66" s="118">
        <f t="shared" ca="1" si="4"/>
        <v>-168.58871126905569</v>
      </c>
      <c r="N66" s="121">
        <f t="shared" ca="1" si="5"/>
        <v>-4.1976615494822275E-2</v>
      </c>
      <c r="O66" s="122">
        <f t="shared" ca="1" si="6"/>
        <v>5.666666666666667</v>
      </c>
      <c r="P66" s="121">
        <f t="shared" ca="1" si="7"/>
        <v>-8.8891656341976572E-2</v>
      </c>
      <c r="Q66" s="118">
        <f t="shared" ca="1" si="8"/>
        <v>4167.9781963555552</v>
      </c>
      <c r="R66" s="118">
        <f t="shared" si="9"/>
        <v>-4016.25308</v>
      </c>
      <c r="S66" s="123" t="s">
        <v>224</v>
      </c>
      <c r="T66" s="118" t="s">
        <v>216</v>
      </c>
      <c r="U66" s="118" t="s">
        <v>217</v>
      </c>
      <c r="V66" s="118" t="s">
        <v>225</v>
      </c>
      <c r="W66" s="118" t="s">
        <v>219</v>
      </c>
    </row>
    <row r="67" spans="2:23" x14ac:dyDescent="0.3">
      <c r="B67" s="116" t="e" vm="4">
        <v>#VALUE!</v>
      </c>
      <c r="C67" s="117">
        <v>46085</v>
      </c>
      <c r="D67" s="116">
        <v>3</v>
      </c>
      <c r="E67" s="118">
        <v>1873.3</v>
      </c>
      <c r="F67" s="118">
        <f>D67*E67*0.0022+8.89</f>
        <v>21.253779999999999</v>
      </c>
      <c r="G67" s="118">
        <f t="shared" ref="G67:G130" si="11">(E67*D67)+F67</f>
        <v>5641.1537799999996</v>
      </c>
      <c r="H67" s="119">
        <f t="shared" ref="H67:H130" si="12">F67/(D67*E67)</f>
        <v>3.7818786811153224E-3</v>
      </c>
      <c r="I67" s="120" cm="1">
        <f t="array" aca="1" ref="I67" ca="1">_FV(B67,"Price")</f>
        <v>1931</v>
      </c>
      <c r="J67" s="118">
        <f t="shared" ref="J67:J130" ca="1" si="13">I67*D67*(1-H67)</f>
        <v>5771.0915768002988</v>
      </c>
      <c r="K67" s="118">
        <f t="shared" ref="K67:K130" ca="1" si="14">I67*D67</f>
        <v>5793</v>
      </c>
      <c r="L67" s="118">
        <v>0</v>
      </c>
      <c r="M67" s="118">
        <f t="shared" ref="M67:M130" ca="1" si="15">J67-G67+L67</f>
        <v>129.93779680029911</v>
      </c>
      <c r="N67" s="121">
        <f t="shared" ref="N67:N130" ca="1" si="16">M67/G67</f>
        <v>2.3033904386896384E-2</v>
      </c>
      <c r="O67" s="122">
        <f t="shared" ref="O67:O130" ca="1" si="17">(DAYS360(C67,NOW(),TRUE))/30</f>
        <v>4.6333333333333337</v>
      </c>
      <c r="P67" s="121">
        <f t="shared" ref="P67:P130" ca="1" si="18">(N67/O67)*12</f>
        <v>5.9656155246638115E-2</v>
      </c>
      <c r="Q67" s="118">
        <f t="shared" ref="Q67:Q130" ca="1" si="19">G67+((G67*O67*8)/(100*12))</f>
        <v>5815.4027523155555</v>
      </c>
      <c r="R67" s="118">
        <f t="shared" ref="R67:R130" si="20">-G67</f>
        <v>-5641.1537799999996</v>
      </c>
      <c r="S67" s="123" t="s">
        <v>224</v>
      </c>
      <c r="T67" s="118" t="s">
        <v>216</v>
      </c>
      <c r="U67" s="118" t="s">
        <v>217</v>
      </c>
      <c r="V67" s="118" t="s">
        <v>225</v>
      </c>
      <c r="W67" s="118" t="s">
        <v>219</v>
      </c>
    </row>
    <row r="68" spans="2:23" x14ac:dyDescent="0.3">
      <c r="B68" s="116" t="e" vm="4">
        <v>#VALUE!</v>
      </c>
      <c r="C68" s="117">
        <v>46118</v>
      </c>
      <c r="D68" s="116">
        <v>3</v>
      </c>
      <c r="E68" s="118">
        <v>1766.6</v>
      </c>
      <c r="F68" s="118">
        <f>D68*E68*0.0022+8.3</f>
        <v>19.95956</v>
      </c>
      <c r="G68" s="118">
        <f t="shared" si="11"/>
        <v>5319.7595599999995</v>
      </c>
      <c r="H68" s="119">
        <f t="shared" si="12"/>
        <v>3.7660968338427869E-3</v>
      </c>
      <c r="I68" s="120" cm="1">
        <f t="array" aca="1" ref="I68" ca="1">_FV(B68,"Price")</f>
        <v>1931</v>
      </c>
      <c r="J68" s="118">
        <f t="shared" ca="1" si="13"/>
        <v>5771.1830010415488</v>
      </c>
      <c r="K68" s="118">
        <f t="shared" ca="1" si="14"/>
        <v>5793</v>
      </c>
      <c r="L68" s="118">
        <v>0</v>
      </c>
      <c r="M68" s="118">
        <f t="shared" ca="1" si="15"/>
        <v>451.42344104154927</v>
      </c>
      <c r="N68" s="121">
        <f t="shared" ca="1" si="16"/>
        <v>8.4857865463669441E-2</v>
      </c>
      <c r="O68" s="122">
        <f t="shared" ca="1" si="17"/>
        <v>3.5666666666666669</v>
      </c>
      <c r="P68" s="121">
        <f t="shared" ca="1" si="18"/>
        <v>0.285503098756271</v>
      </c>
      <c r="Q68" s="118">
        <f t="shared" ca="1" si="19"/>
        <v>5446.2516206488881</v>
      </c>
      <c r="R68" s="118">
        <f t="shared" si="20"/>
        <v>-5319.7595599999995</v>
      </c>
      <c r="S68" s="123" t="s">
        <v>224</v>
      </c>
      <c r="T68" s="118" t="s">
        <v>216</v>
      </c>
      <c r="U68" s="118" t="s">
        <v>217</v>
      </c>
      <c r="V68" s="118" t="s">
        <v>225</v>
      </c>
      <c r="W68" s="118" t="s">
        <v>219</v>
      </c>
    </row>
    <row r="69" spans="2:23" x14ac:dyDescent="0.3">
      <c r="B69" s="116" t="e" vm="4">
        <v>#VALUE!</v>
      </c>
      <c r="C69" s="117">
        <v>46146</v>
      </c>
      <c r="D69" s="116">
        <v>3</v>
      </c>
      <c r="E69" s="118">
        <v>1832.2</v>
      </c>
      <c r="F69" s="118">
        <f>D69*E69*0.0022+8.7</f>
        <v>20.792520000000003</v>
      </c>
      <c r="G69" s="118">
        <f t="shared" si="11"/>
        <v>5517.3925200000003</v>
      </c>
      <c r="H69" s="119">
        <f t="shared" si="12"/>
        <v>3.7827966379216245E-3</v>
      </c>
      <c r="I69" s="120" cm="1">
        <f t="array" aca="1" ref="I69" ca="1">_FV(B69,"Price")</f>
        <v>1931</v>
      </c>
      <c r="J69" s="118">
        <f t="shared" ca="1" si="13"/>
        <v>5771.08625907652</v>
      </c>
      <c r="K69" s="118">
        <f t="shared" ca="1" si="14"/>
        <v>5793</v>
      </c>
      <c r="L69" s="118">
        <v>0</v>
      </c>
      <c r="M69" s="118">
        <f t="shared" ca="1" si="15"/>
        <v>253.69373907651971</v>
      </c>
      <c r="N69" s="121">
        <f t="shared" ca="1" si="16"/>
        <v>4.5980730599989958E-2</v>
      </c>
      <c r="O69" s="122">
        <f t="shared" ca="1" si="17"/>
        <v>2.6333333333333333</v>
      </c>
      <c r="P69" s="121">
        <f t="shared" ca="1" si="18"/>
        <v>0.20953244324046055</v>
      </c>
      <c r="Q69" s="118">
        <f t="shared" ca="1" si="19"/>
        <v>5614.2534109066673</v>
      </c>
      <c r="R69" s="118">
        <f t="shared" si="20"/>
        <v>-5517.3925200000003</v>
      </c>
      <c r="S69" s="123" t="s">
        <v>224</v>
      </c>
      <c r="T69" s="118" t="s">
        <v>216</v>
      </c>
      <c r="U69" s="118" t="s">
        <v>217</v>
      </c>
      <c r="V69" s="118" t="s">
        <v>225</v>
      </c>
      <c r="W69" s="118" t="s">
        <v>219</v>
      </c>
    </row>
    <row r="70" spans="2:23" x14ac:dyDescent="0.3">
      <c r="B70" s="116" t="e" vm="4">
        <v>#VALUE!</v>
      </c>
      <c r="C70" s="117">
        <v>46176</v>
      </c>
      <c r="D70" s="116">
        <v>3</v>
      </c>
      <c r="E70" s="118">
        <v>1809.2</v>
      </c>
      <c r="F70" s="118">
        <f>D70*E70*0.0022+8.59</f>
        <v>20.530720000000002</v>
      </c>
      <c r="G70" s="118">
        <f t="shared" si="11"/>
        <v>5448.1307200000001</v>
      </c>
      <c r="H70" s="119">
        <f t="shared" si="12"/>
        <v>3.7826516323973764E-3</v>
      </c>
      <c r="I70" s="120" cm="1">
        <f t="array" aca="1" ref="I70" ca="1">_FV(B70,"Price")</f>
        <v>1931</v>
      </c>
      <c r="J70" s="118">
        <f t="shared" ca="1" si="13"/>
        <v>5771.0870990935227</v>
      </c>
      <c r="K70" s="118">
        <f t="shared" ca="1" si="14"/>
        <v>5793</v>
      </c>
      <c r="L70" s="118">
        <v>0</v>
      </c>
      <c r="M70" s="118">
        <f t="shared" ca="1" si="15"/>
        <v>322.95637909352263</v>
      </c>
      <c r="N70" s="121">
        <f t="shared" ca="1" si="16"/>
        <v>5.9278382933793228E-2</v>
      </c>
      <c r="O70" s="122">
        <f t="shared" ca="1" si="17"/>
        <v>1.6666666666666667</v>
      </c>
      <c r="P70" s="121">
        <f t="shared" ca="1" si="18"/>
        <v>0.42680435712331122</v>
      </c>
      <c r="Q70" s="118">
        <f t="shared" ca="1" si="19"/>
        <v>5508.665505777778</v>
      </c>
      <c r="R70" s="118">
        <f t="shared" si="20"/>
        <v>-5448.1307200000001</v>
      </c>
      <c r="S70" s="123" t="s">
        <v>224</v>
      </c>
      <c r="T70" s="118" t="s">
        <v>216</v>
      </c>
      <c r="U70" s="118" t="s">
        <v>217</v>
      </c>
      <c r="V70" s="118" t="s">
        <v>225</v>
      </c>
      <c r="W70" s="118" t="s">
        <v>219</v>
      </c>
    </row>
    <row r="71" spans="2:23" x14ac:dyDescent="0.3">
      <c r="B71" s="116" t="e" vm="4">
        <v>#VALUE!</v>
      </c>
      <c r="C71" s="117">
        <v>46206</v>
      </c>
      <c r="D71" s="116">
        <v>3</v>
      </c>
      <c r="E71" s="118">
        <v>1905.5</v>
      </c>
      <c r="F71" s="118">
        <f>D71*E71*0.0022+9.54</f>
        <v>22.116300000000003</v>
      </c>
      <c r="G71" s="118">
        <f t="shared" si="11"/>
        <v>5738.6162999999997</v>
      </c>
      <c r="H71" s="119">
        <f t="shared" si="12"/>
        <v>3.8688533193387566E-3</v>
      </c>
      <c r="I71" s="120" cm="1">
        <f t="array" aca="1" ref="I71" ca="1">_FV(B71,"Price")</f>
        <v>1931</v>
      </c>
      <c r="J71" s="118">
        <f t="shared" ca="1" si="13"/>
        <v>5770.587732721071</v>
      </c>
      <c r="K71" s="118">
        <f t="shared" ca="1" si="14"/>
        <v>5793</v>
      </c>
      <c r="L71" s="118">
        <v>0</v>
      </c>
      <c r="M71" s="118">
        <f t="shared" ca="1" si="15"/>
        <v>31.971432721071324</v>
      </c>
      <c r="N71" s="121">
        <f t="shared" ca="1" si="16"/>
        <v>5.5712790417911939E-3</v>
      </c>
      <c r="O71" s="122">
        <f t="shared" ca="1" si="17"/>
        <v>0.66666666666666663</v>
      </c>
      <c r="P71" s="121">
        <f t="shared" ca="1" si="18"/>
        <v>0.10028302275224149</v>
      </c>
      <c r="Q71" s="118">
        <f t="shared" ca="1" si="19"/>
        <v>5764.1212613333328</v>
      </c>
      <c r="R71" s="118">
        <f t="shared" si="20"/>
        <v>-5738.6162999999997</v>
      </c>
      <c r="S71" s="123" t="s">
        <v>224</v>
      </c>
      <c r="T71" s="118" t="s">
        <v>216</v>
      </c>
      <c r="U71" s="118" t="s">
        <v>217</v>
      </c>
      <c r="V71" s="118" t="s">
        <v>225</v>
      </c>
      <c r="W71" s="118" t="s">
        <v>219</v>
      </c>
    </row>
    <row r="72" spans="2:23" x14ac:dyDescent="0.3">
      <c r="B72" s="116" t="e" vm="5">
        <v>#VALUE!</v>
      </c>
      <c r="C72" s="117">
        <v>46015</v>
      </c>
      <c r="D72" s="116">
        <v>50</v>
      </c>
      <c r="E72" s="118">
        <v>402.64</v>
      </c>
      <c r="F72" s="118">
        <f>D72*E72*0.0022+31.73</f>
        <v>76.020400000000009</v>
      </c>
      <c r="G72" s="118">
        <f t="shared" si="11"/>
        <v>20208.020400000001</v>
      </c>
      <c r="H72" s="119">
        <f t="shared" si="12"/>
        <v>3.7760977548182005E-3</v>
      </c>
      <c r="I72" s="120" cm="1">
        <f t="array" aca="1" ref="I72" ca="1">_FV(B72,"Price")</f>
        <v>427.05</v>
      </c>
      <c r="J72" s="118">
        <f t="shared" ca="1" si="13"/>
        <v>21271.870872690244</v>
      </c>
      <c r="K72" s="118">
        <f t="shared" ca="1" si="14"/>
        <v>21352.5</v>
      </c>
      <c r="L72" s="118">
        <f>275</f>
        <v>275</v>
      </c>
      <c r="M72" s="118">
        <f t="shared" ca="1" si="15"/>
        <v>1338.8504726902429</v>
      </c>
      <c r="N72" s="121">
        <f t="shared" ca="1" si="16"/>
        <v>6.625342048300005E-2</v>
      </c>
      <c r="O72" s="122">
        <f t="shared" ca="1" si="17"/>
        <v>6.9666666666666668</v>
      </c>
      <c r="P72" s="121">
        <f t="shared" ca="1" si="18"/>
        <v>0.11412072427693787</v>
      </c>
      <c r="Q72" s="118">
        <f t="shared" ca="1" si="19"/>
        <v>21146.5706808</v>
      </c>
      <c r="R72" s="118">
        <f t="shared" si="20"/>
        <v>-20208.020400000001</v>
      </c>
      <c r="S72" s="123" t="s">
        <v>226</v>
      </c>
      <c r="T72" s="118" t="s">
        <v>227</v>
      </c>
      <c r="U72" s="118" t="s">
        <v>217</v>
      </c>
      <c r="V72" s="118" t="s">
        <v>228</v>
      </c>
      <c r="W72" s="118" t="s">
        <v>219</v>
      </c>
    </row>
    <row r="73" spans="2:23" x14ac:dyDescent="0.3">
      <c r="B73" s="116" t="e" vm="6">
        <v>#VALUE!</v>
      </c>
      <c r="C73" s="117">
        <v>45526</v>
      </c>
      <c r="D73" s="116">
        <v>58</v>
      </c>
      <c r="E73" s="118">
        <v>102.49</v>
      </c>
      <c r="F73" s="118">
        <f>D73*E73*0.0022+3.48</f>
        <v>16.557724</v>
      </c>
      <c r="G73" s="118">
        <f t="shared" si="11"/>
        <v>5960.9777240000003</v>
      </c>
      <c r="H73" s="119">
        <f t="shared" si="12"/>
        <v>2.7854229680944484E-3</v>
      </c>
      <c r="I73" s="120" cm="1">
        <f t="array" aca="1" ref="I73" ca="1">_FV(B73,"Price")</f>
        <v>96.75</v>
      </c>
      <c r="J73" s="118">
        <f t="shared" ca="1" si="13"/>
        <v>5595.8695990145379</v>
      </c>
      <c r="K73" s="118">
        <f t="shared" ca="1" si="14"/>
        <v>5611.5</v>
      </c>
      <c r="L73" s="118">
        <v>0</v>
      </c>
      <c r="M73" s="118">
        <f t="shared" ca="1" si="15"/>
        <v>-365.10812498546238</v>
      </c>
      <c r="N73" s="121">
        <f t="shared" ca="1" si="16"/>
        <v>-6.1249704644167589E-2</v>
      </c>
      <c r="O73" s="122">
        <f t="shared" ca="1" si="17"/>
        <v>23.033333333333335</v>
      </c>
      <c r="P73" s="121">
        <f t="shared" ca="1" si="18"/>
        <v>-3.1910121088133618E-2</v>
      </c>
      <c r="Q73" s="118">
        <f t="shared" ca="1" si="19"/>
        <v>6876.3189700631119</v>
      </c>
      <c r="R73" s="118">
        <f t="shared" si="20"/>
        <v>-5960.9777240000003</v>
      </c>
      <c r="S73" s="123" t="s">
        <v>229</v>
      </c>
      <c r="T73" s="118" t="s">
        <v>227</v>
      </c>
      <c r="U73" s="118" t="s">
        <v>217</v>
      </c>
      <c r="V73" s="118" t="s">
        <v>223</v>
      </c>
      <c r="W73" s="118" t="s">
        <v>219</v>
      </c>
    </row>
    <row r="74" spans="2:23" x14ac:dyDescent="0.3">
      <c r="B74" s="116" t="e" vm="6">
        <v>#VALUE!</v>
      </c>
      <c r="C74" s="117">
        <v>45541</v>
      </c>
      <c r="D74" s="116">
        <v>61</v>
      </c>
      <c r="E74" s="118">
        <v>98.14</v>
      </c>
      <c r="F74" s="118">
        <f>D74*E74*0.0022+2.61</f>
        <v>15.780388</v>
      </c>
      <c r="G74" s="118">
        <f t="shared" si="11"/>
        <v>6002.3203880000001</v>
      </c>
      <c r="H74" s="119">
        <f t="shared" si="12"/>
        <v>2.6359780440788835E-3</v>
      </c>
      <c r="I74" s="120" cm="1">
        <f t="array" aca="1" ref="I74" ca="1">_FV(B74,"Price")</f>
        <v>96.75</v>
      </c>
      <c r="J74" s="118">
        <f t="shared" ca="1" si="13"/>
        <v>5886.1931165783571</v>
      </c>
      <c r="K74" s="118">
        <f t="shared" ca="1" si="14"/>
        <v>5901.75</v>
      </c>
      <c r="L74" s="118">
        <v>0</v>
      </c>
      <c r="M74" s="118">
        <f t="shared" ca="1" si="15"/>
        <v>-116.12727142164294</v>
      </c>
      <c r="N74" s="121">
        <f t="shared" ca="1" si="16"/>
        <v>-1.9347063121423459E-2</v>
      </c>
      <c r="O74" s="122">
        <f t="shared" ca="1" si="17"/>
        <v>22.566666666666666</v>
      </c>
      <c r="P74" s="121">
        <f t="shared" ca="1" si="18"/>
        <v>-1.0287950847433449E-2</v>
      </c>
      <c r="Q74" s="118">
        <f t="shared" ca="1" si="19"/>
        <v>6905.336144150222</v>
      </c>
      <c r="R74" s="118">
        <f t="shared" si="20"/>
        <v>-6002.3203880000001</v>
      </c>
      <c r="S74" s="123" t="s">
        <v>229</v>
      </c>
      <c r="T74" s="118" t="s">
        <v>227</v>
      </c>
      <c r="U74" s="118" t="s">
        <v>217</v>
      </c>
      <c r="V74" s="118" t="s">
        <v>223</v>
      </c>
      <c r="W74" s="118" t="s">
        <v>219</v>
      </c>
    </row>
    <row r="75" spans="2:23" x14ac:dyDescent="0.3">
      <c r="B75" s="116" t="e" vm="6">
        <v>#VALUE!</v>
      </c>
      <c r="C75" s="117">
        <v>45541</v>
      </c>
      <c r="D75" s="116">
        <v>500</v>
      </c>
      <c r="E75" s="118">
        <v>98.05</v>
      </c>
      <c r="F75" s="118">
        <f>D75*E75*0.0022+29.65</f>
        <v>137.505</v>
      </c>
      <c r="G75" s="118">
        <f t="shared" si="11"/>
        <v>49162.504999999997</v>
      </c>
      <c r="H75" s="119">
        <f t="shared" si="12"/>
        <v>2.8047934727180009E-3</v>
      </c>
      <c r="I75" s="120" cm="1">
        <f t="array" aca="1" ref="I75" ca="1">_FV(B75,"Price")</f>
        <v>96.75</v>
      </c>
      <c r="J75" s="118">
        <f t="shared" ca="1" si="13"/>
        <v>48239.318115757269</v>
      </c>
      <c r="K75" s="118">
        <f t="shared" ca="1" si="14"/>
        <v>48375</v>
      </c>
      <c r="L75" s="118">
        <v>0</v>
      </c>
      <c r="M75" s="118">
        <f t="shared" ca="1" si="15"/>
        <v>-923.18688424272841</v>
      </c>
      <c r="N75" s="121">
        <f t="shared" ca="1" si="16"/>
        <v>-1.8778271860694008E-2</v>
      </c>
      <c r="O75" s="122">
        <f t="shared" ca="1" si="17"/>
        <v>22.566666666666666</v>
      </c>
      <c r="P75" s="121">
        <f t="shared" ca="1" si="18"/>
        <v>-9.9854916836777594E-3</v>
      </c>
      <c r="Q75" s="118">
        <f t="shared" ca="1" si="19"/>
        <v>56558.730752222218</v>
      </c>
      <c r="R75" s="118">
        <f t="shared" si="20"/>
        <v>-49162.504999999997</v>
      </c>
      <c r="S75" s="123" t="s">
        <v>229</v>
      </c>
      <c r="T75" s="118" t="s">
        <v>227</v>
      </c>
      <c r="U75" s="118" t="s">
        <v>217</v>
      </c>
      <c r="V75" s="118" t="s">
        <v>223</v>
      </c>
      <c r="W75" s="118" t="s">
        <v>219</v>
      </c>
    </row>
    <row r="76" spans="2:23" x14ac:dyDescent="0.3">
      <c r="B76" s="116" t="e" vm="6">
        <v>#VALUE!</v>
      </c>
      <c r="C76" s="117">
        <v>45544</v>
      </c>
      <c r="D76" s="116">
        <v>520</v>
      </c>
      <c r="E76" s="118">
        <v>96.18</v>
      </c>
      <c r="F76" s="118">
        <f>D76*E76*0.0022+29.32</f>
        <v>139.34992000000003</v>
      </c>
      <c r="G76" s="118">
        <f t="shared" si="11"/>
        <v>50152.949920000006</v>
      </c>
      <c r="H76" s="119">
        <f t="shared" si="12"/>
        <v>2.7862405425724203E-3</v>
      </c>
      <c r="I76" s="120" cm="1">
        <f t="array" aca="1" ref="I76" ca="1">_FV(B76,"Price")</f>
        <v>96.75</v>
      </c>
      <c r="J76" s="118">
        <f t="shared" ca="1" si="13"/>
        <v>50169.824238303183</v>
      </c>
      <c r="K76" s="118">
        <f t="shared" ca="1" si="14"/>
        <v>50310</v>
      </c>
      <c r="L76" s="118">
        <v>0</v>
      </c>
      <c r="M76" s="118">
        <f t="shared" ca="1" si="15"/>
        <v>16.874318303176551</v>
      </c>
      <c r="N76" s="121">
        <f t="shared" ca="1" si="16"/>
        <v>3.3645714419776145E-4</v>
      </c>
      <c r="O76" s="122">
        <f t="shared" ca="1" si="17"/>
        <v>22.466666666666665</v>
      </c>
      <c r="P76" s="121">
        <f t="shared" ca="1" si="18"/>
        <v>1.7971004734598534E-4</v>
      </c>
      <c r="Q76" s="118">
        <f t="shared" ca="1" si="19"/>
        <v>57664.747308017788</v>
      </c>
      <c r="R76" s="118">
        <f t="shared" si="20"/>
        <v>-50152.949920000006</v>
      </c>
      <c r="S76" s="123" t="s">
        <v>229</v>
      </c>
      <c r="T76" s="118" t="s">
        <v>227</v>
      </c>
      <c r="U76" s="118" t="s">
        <v>217</v>
      </c>
      <c r="V76" s="118" t="s">
        <v>223</v>
      </c>
      <c r="W76" s="118" t="s">
        <v>219</v>
      </c>
    </row>
    <row r="77" spans="2:23" x14ac:dyDescent="0.3">
      <c r="B77" s="116" t="e" vm="6">
        <v>#VALUE!</v>
      </c>
      <c r="C77" s="117">
        <v>45558</v>
      </c>
      <c r="D77" s="116">
        <v>60</v>
      </c>
      <c r="E77" s="118">
        <v>99.31</v>
      </c>
      <c r="F77" s="118">
        <f>D77*E77*0.0022+3.49</f>
        <v>16.59892</v>
      </c>
      <c r="G77" s="118">
        <f t="shared" si="11"/>
        <v>5975.1989200000007</v>
      </c>
      <c r="H77" s="119">
        <f t="shared" si="12"/>
        <v>2.785708052227033E-3</v>
      </c>
      <c r="I77" s="120" cm="1">
        <f t="array" aca="1" ref="I77" ca="1">_FV(B77,"Price")</f>
        <v>96.75</v>
      </c>
      <c r="J77" s="118">
        <f t="shared" ca="1" si="13"/>
        <v>5788.8289647568226</v>
      </c>
      <c r="K77" s="118">
        <f t="shared" ca="1" si="14"/>
        <v>5805</v>
      </c>
      <c r="L77" s="118">
        <v>0</v>
      </c>
      <c r="M77" s="118">
        <f t="shared" ca="1" si="15"/>
        <v>-186.36995524317808</v>
      </c>
      <c r="N77" s="121">
        <f t="shared" ca="1" si="16"/>
        <v>-3.1190585909929517E-2</v>
      </c>
      <c r="O77" s="122">
        <f t="shared" ca="1" si="17"/>
        <v>22</v>
      </c>
      <c r="P77" s="121">
        <f t="shared" ca="1" si="18"/>
        <v>-1.7013046859961554E-2</v>
      </c>
      <c r="Q77" s="118">
        <f t="shared" ca="1" si="19"/>
        <v>6851.5614282666675</v>
      </c>
      <c r="R77" s="118">
        <f t="shared" si="20"/>
        <v>-5975.1989200000007</v>
      </c>
      <c r="S77" s="123" t="s">
        <v>229</v>
      </c>
      <c r="T77" s="118" t="s">
        <v>227</v>
      </c>
      <c r="U77" s="118" t="s">
        <v>217</v>
      </c>
      <c r="V77" s="118" t="s">
        <v>223</v>
      </c>
      <c r="W77" s="118" t="s">
        <v>219</v>
      </c>
    </row>
    <row r="78" spans="2:23" x14ac:dyDescent="0.3">
      <c r="B78" s="116" t="e" vm="6">
        <v>#VALUE!</v>
      </c>
      <c r="C78" s="117">
        <v>45572</v>
      </c>
      <c r="D78" s="116">
        <v>62</v>
      </c>
      <c r="E78" s="118">
        <v>96.03</v>
      </c>
      <c r="F78" s="118">
        <f>D78*E78*0.0022+3.47</f>
        <v>16.568491999999999</v>
      </c>
      <c r="G78" s="118">
        <f t="shared" si="11"/>
        <v>5970.428492</v>
      </c>
      <c r="H78" s="119">
        <f t="shared" si="12"/>
        <v>2.7828151820835558E-3</v>
      </c>
      <c r="I78" s="120" cm="1">
        <f t="array" aca="1" ref="I78" ca="1">_FV(B78,"Price")</f>
        <v>96.75</v>
      </c>
      <c r="J78" s="118">
        <f t="shared" ca="1" si="13"/>
        <v>5981.8072831302716</v>
      </c>
      <c r="K78" s="118">
        <f t="shared" ca="1" si="14"/>
        <v>5998.5</v>
      </c>
      <c r="L78" s="118">
        <v>0</v>
      </c>
      <c r="M78" s="118">
        <f t="shared" ca="1" si="15"/>
        <v>11.378791130271566</v>
      </c>
      <c r="N78" s="121">
        <f t="shared" ca="1" si="16"/>
        <v>1.9058583727312758E-3</v>
      </c>
      <c r="O78" s="122">
        <f t="shared" ca="1" si="17"/>
        <v>21.533333333333335</v>
      </c>
      <c r="P78" s="121">
        <f t="shared" ca="1" si="18"/>
        <v>1.0620882572496273E-3</v>
      </c>
      <c r="Q78" s="118">
        <f t="shared" ca="1" si="19"/>
        <v>6827.5166710737776</v>
      </c>
      <c r="R78" s="118">
        <f t="shared" si="20"/>
        <v>-5970.428492</v>
      </c>
      <c r="S78" s="123" t="s">
        <v>229</v>
      </c>
      <c r="T78" s="118" t="s">
        <v>227</v>
      </c>
      <c r="U78" s="118" t="s">
        <v>217</v>
      </c>
      <c r="V78" s="118" t="s">
        <v>223</v>
      </c>
      <c r="W78" s="118" t="s">
        <v>219</v>
      </c>
    </row>
    <row r="79" spans="2:23" x14ac:dyDescent="0.3">
      <c r="B79" s="116" t="e" vm="6">
        <v>#VALUE!</v>
      </c>
      <c r="C79" s="117">
        <v>45586</v>
      </c>
      <c r="D79" s="116">
        <v>62</v>
      </c>
      <c r="E79" s="118">
        <v>95.96</v>
      </c>
      <c r="F79" s="118">
        <f>D79*E79*0.0022+3.47</f>
        <v>16.558944</v>
      </c>
      <c r="G79" s="118">
        <f t="shared" si="11"/>
        <v>5966.0789439999999</v>
      </c>
      <c r="H79" s="119">
        <f t="shared" si="12"/>
        <v>2.7832403286315536E-3</v>
      </c>
      <c r="I79" s="120" cm="1">
        <f t="array" aca="1" ref="I79" ca="1">_FV(B79,"Price")</f>
        <v>96.75</v>
      </c>
      <c r="J79" s="118">
        <f t="shared" ca="1" si="13"/>
        <v>5981.8047328887042</v>
      </c>
      <c r="K79" s="118">
        <f t="shared" ca="1" si="14"/>
        <v>5998.5</v>
      </c>
      <c r="L79" s="118">
        <v>0</v>
      </c>
      <c r="M79" s="118">
        <f t="shared" ca="1" si="15"/>
        <v>15.725788888704301</v>
      </c>
      <c r="N79" s="121">
        <f t="shared" ca="1" si="16"/>
        <v>2.6358667118408651E-3</v>
      </c>
      <c r="O79" s="122">
        <f t="shared" ca="1" si="17"/>
        <v>21.066666666666666</v>
      </c>
      <c r="P79" s="121">
        <f t="shared" ca="1" si="18"/>
        <v>1.501443063706822E-3</v>
      </c>
      <c r="Q79" s="118">
        <f t="shared" ca="1" si="19"/>
        <v>6803.9815868017777</v>
      </c>
      <c r="R79" s="118">
        <f t="shared" si="20"/>
        <v>-5966.0789439999999</v>
      </c>
      <c r="S79" s="123" t="s">
        <v>229</v>
      </c>
      <c r="T79" s="118" t="s">
        <v>227</v>
      </c>
      <c r="U79" s="118" t="s">
        <v>217</v>
      </c>
      <c r="V79" s="118" t="s">
        <v>223</v>
      </c>
      <c r="W79" s="118" t="s">
        <v>219</v>
      </c>
    </row>
    <row r="80" spans="2:23" x14ac:dyDescent="0.3">
      <c r="B80" s="116" t="e" vm="6">
        <v>#VALUE!</v>
      </c>
      <c r="C80" s="117">
        <v>45601</v>
      </c>
      <c r="D80" s="116">
        <v>65</v>
      </c>
      <c r="E80" s="118">
        <v>91.16</v>
      </c>
      <c r="F80" s="118">
        <f>D80*E80*0.0022+3.46</f>
        <v>16.49588</v>
      </c>
      <c r="G80" s="118">
        <f t="shared" si="11"/>
        <v>5941.89588</v>
      </c>
      <c r="H80" s="119">
        <f t="shared" si="12"/>
        <v>2.7839268235055861E-3</v>
      </c>
      <c r="I80" s="120" cm="1">
        <f t="array" aca="1" ref="I80" ca="1">_FV(B80,"Price")</f>
        <v>96.75</v>
      </c>
      <c r="J80" s="118">
        <f t="shared" ca="1" si="13"/>
        <v>6271.2425801886793</v>
      </c>
      <c r="K80" s="118">
        <f t="shared" ca="1" si="14"/>
        <v>6288.75</v>
      </c>
      <c r="L80" s="118">
        <v>0</v>
      </c>
      <c r="M80" s="118">
        <f t="shared" ca="1" si="15"/>
        <v>329.34670018867928</v>
      </c>
      <c r="N80" s="121">
        <f t="shared" ca="1" si="16"/>
        <v>5.5427881410247681E-2</v>
      </c>
      <c r="O80" s="122">
        <f t="shared" ca="1" si="17"/>
        <v>20.6</v>
      </c>
      <c r="P80" s="121">
        <f t="shared" ca="1" si="18"/>
        <v>3.2288086258396707E-2</v>
      </c>
      <c r="Q80" s="118">
        <f t="shared" ca="1" si="19"/>
        <v>6757.9162475200001</v>
      </c>
      <c r="R80" s="118">
        <f t="shared" si="20"/>
        <v>-5941.89588</v>
      </c>
      <c r="S80" s="123" t="s">
        <v>229</v>
      </c>
      <c r="T80" s="118" t="s">
        <v>227</v>
      </c>
      <c r="U80" s="118" t="s">
        <v>217</v>
      </c>
      <c r="V80" s="118" t="s">
        <v>223</v>
      </c>
      <c r="W80" s="118" t="s">
        <v>219</v>
      </c>
    </row>
    <row r="81" spans="2:23" x14ac:dyDescent="0.3">
      <c r="B81" s="116" t="e" vm="6">
        <v>#VALUE!</v>
      </c>
      <c r="C81" s="117">
        <v>45617</v>
      </c>
      <c r="D81" s="116">
        <v>68</v>
      </c>
      <c r="E81" s="118">
        <v>87.72</v>
      </c>
      <c r="F81" s="118">
        <f>D81*E81*0.0022+3.48</f>
        <v>16.602912</v>
      </c>
      <c r="G81" s="118">
        <f t="shared" si="11"/>
        <v>5981.5629120000003</v>
      </c>
      <c r="H81" s="119">
        <f t="shared" si="12"/>
        <v>2.7834070974491029E-3</v>
      </c>
      <c r="I81" s="120" cm="1">
        <f t="array" aca="1" ref="I81" ca="1">_FV(B81,"Price")</f>
        <v>96.75</v>
      </c>
      <c r="J81" s="118">
        <f t="shared" ca="1" si="13"/>
        <v>6560.6879647058822</v>
      </c>
      <c r="K81" s="118">
        <f t="shared" ca="1" si="14"/>
        <v>6579</v>
      </c>
      <c r="L81" s="118">
        <v>0</v>
      </c>
      <c r="M81" s="118">
        <f t="shared" ca="1" si="15"/>
        <v>579.1250527058819</v>
      </c>
      <c r="N81" s="121">
        <f t="shared" ca="1" si="16"/>
        <v>9.681835019139591E-2</v>
      </c>
      <c r="O81" s="122">
        <f t="shared" ca="1" si="17"/>
        <v>20.066666666666666</v>
      </c>
      <c r="P81" s="121">
        <f t="shared" ca="1" si="18"/>
        <v>5.7898016725751705E-2</v>
      </c>
      <c r="Q81" s="118">
        <f t="shared" ca="1" si="19"/>
        <v>6781.7631060053336</v>
      </c>
      <c r="R81" s="118">
        <f t="shared" si="20"/>
        <v>-5981.5629120000003</v>
      </c>
      <c r="S81" s="123" t="s">
        <v>229</v>
      </c>
      <c r="T81" s="118" t="s">
        <v>227</v>
      </c>
      <c r="U81" s="118" t="s">
        <v>217</v>
      </c>
      <c r="V81" s="118" t="s">
        <v>223</v>
      </c>
      <c r="W81" s="118" t="s">
        <v>219</v>
      </c>
    </row>
    <row r="82" spans="2:23" x14ac:dyDescent="0.3">
      <c r="B82" s="116" t="e" vm="6">
        <v>#VALUE!</v>
      </c>
      <c r="C82" s="117">
        <v>45631</v>
      </c>
      <c r="D82" s="116">
        <v>65</v>
      </c>
      <c r="E82" s="118">
        <v>91.71</v>
      </c>
      <c r="F82" s="118">
        <f>D82*E82*0.0022+3.47</f>
        <v>16.584530000000001</v>
      </c>
      <c r="G82" s="118">
        <f t="shared" si="11"/>
        <v>5977.7345299999997</v>
      </c>
      <c r="H82" s="119">
        <f t="shared" si="12"/>
        <v>2.7821024466755579E-3</v>
      </c>
      <c r="I82" s="120" cm="1">
        <f t="array" aca="1" ref="I82" ca="1">_FV(B82,"Price")</f>
        <v>96.75</v>
      </c>
      <c r="J82" s="118">
        <f t="shared" ca="1" si="13"/>
        <v>6271.2540532384692</v>
      </c>
      <c r="K82" s="118">
        <f t="shared" ca="1" si="14"/>
        <v>6288.75</v>
      </c>
      <c r="L82" s="118">
        <v>0</v>
      </c>
      <c r="M82" s="118">
        <f t="shared" ca="1" si="15"/>
        <v>293.51952323846945</v>
      </c>
      <c r="N82" s="121">
        <f t="shared" ca="1" si="16"/>
        <v>4.910213422248938E-2</v>
      </c>
      <c r="O82" s="122">
        <f t="shared" ca="1" si="17"/>
        <v>19.600000000000001</v>
      </c>
      <c r="P82" s="121">
        <f t="shared" ca="1" si="18"/>
        <v>3.0062531156626146E-2</v>
      </c>
      <c r="Q82" s="118">
        <f t="shared" ca="1" si="19"/>
        <v>6758.8251752533333</v>
      </c>
      <c r="R82" s="118">
        <f t="shared" si="20"/>
        <v>-5977.7345299999997</v>
      </c>
      <c r="S82" s="123" t="s">
        <v>229</v>
      </c>
      <c r="T82" s="118" t="s">
        <v>227</v>
      </c>
      <c r="U82" s="118" t="s">
        <v>217</v>
      </c>
      <c r="V82" s="118" t="s">
        <v>223</v>
      </c>
      <c r="W82" s="118" t="s">
        <v>219</v>
      </c>
    </row>
    <row r="83" spans="2:23" x14ac:dyDescent="0.3">
      <c r="B83" s="116" t="e" vm="6">
        <v>#VALUE!</v>
      </c>
      <c r="C83" s="117">
        <v>45646</v>
      </c>
      <c r="D83" s="116">
        <v>68</v>
      </c>
      <c r="E83" s="118">
        <v>88.03</v>
      </c>
      <c r="F83" s="118">
        <f>D83*E83*0.0022+3.49</f>
        <v>16.659288</v>
      </c>
      <c r="G83" s="118">
        <f t="shared" si="11"/>
        <v>6002.6992879999998</v>
      </c>
      <c r="H83" s="119">
        <f t="shared" si="12"/>
        <v>2.7830231672357686E-3</v>
      </c>
      <c r="I83" s="120" cm="1">
        <f t="array" aca="1" ref="I83" ca="1">_FV(B83,"Price")</f>
        <v>96.75</v>
      </c>
      <c r="J83" s="118">
        <f t="shared" ca="1" si="13"/>
        <v>6560.690490582756</v>
      </c>
      <c r="K83" s="118">
        <f t="shared" ca="1" si="14"/>
        <v>6579</v>
      </c>
      <c r="L83" s="118">
        <v>0</v>
      </c>
      <c r="M83" s="118">
        <f t="shared" ca="1" si="15"/>
        <v>557.99120258275616</v>
      </c>
      <c r="N83" s="121">
        <f t="shared" ca="1" si="16"/>
        <v>9.2956714273233168E-2</v>
      </c>
      <c r="O83" s="122">
        <f t="shared" ca="1" si="17"/>
        <v>19.100000000000001</v>
      </c>
      <c r="P83" s="121">
        <f t="shared" ca="1" si="18"/>
        <v>5.8402124150722406E-2</v>
      </c>
      <c r="Q83" s="118">
        <f t="shared" ca="1" si="19"/>
        <v>6767.0429973386663</v>
      </c>
      <c r="R83" s="118">
        <f t="shared" si="20"/>
        <v>-6002.6992879999998</v>
      </c>
      <c r="S83" s="123" t="s">
        <v>229</v>
      </c>
      <c r="T83" s="118" t="s">
        <v>227</v>
      </c>
      <c r="U83" s="118" t="s">
        <v>217</v>
      </c>
      <c r="V83" s="118" t="s">
        <v>223</v>
      </c>
      <c r="W83" s="118" t="s">
        <v>219</v>
      </c>
    </row>
    <row r="84" spans="2:23" x14ac:dyDescent="0.3">
      <c r="B84" s="116" t="e" vm="6">
        <v>#VALUE!</v>
      </c>
      <c r="C84" s="117">
        <v>45663</v>
      </c>
      <c r="D84" s="116">
        <v>69</v>
      </c>
      <c r="E84" s="118">
        <v>85.87</v>
      </c>
      <c r="F84" s="118">
        <f>D84*E84*0.0022+3.46</f>
        <v>16.495066000000001</v>
      </c>
      <c r="G84" s="118">
        <f t="shared" si="11"/>
        <v>5941.5250660000011</v>
      </c>
      <c r="H84" s="119">
        <f t="shared" si="12"/>
        <v>2.7839632879495969E-3</v>
      </c>
      <c r="I84" s="120" cm="1">
        <f t="array" aca="1" ref="I84" ca="1">_FV(B84,"Price")</f>
        <v>96.75</v>
      </c>
      <c r="J84" s="118">
        <f t="shared" ca="1" si="13"/>
        <v>6657.1649570804702</v>
      </c>
      <c r="K84" s="118">
        <f t="shared" ca="1" si="14"/>
        <v>6675.75</v>
      </c>
      <c r="L84" s="118">
        <v>0</v>
      </c>
      <c r="M84" s="118">
        <f t="shared" ca="1" si="15"/>
        <v>715.63989108046917</v>
      </c>
      <c r="N84" s="121">
        <f t="shared" ca="1" si="16"/>
        <v>0.12044717191814487</v>
      </c>
      <c r="O84" s="122">
        <f t="shared" ca="1" si="17"/>
        <v>18.566666666666666</v>
      </c>
      <c r="P84" s="121">
        <f t="shared" ca="1" si="18"/>
        <v>7.7847364255892559E-2</v>
      </c>
      <c r="Q84" s="118">
        <f t="shared" ca="1" si="19"/>
        <v>6676.9538352804457</v>
      </c>
      <c r="R84" s="118">
        <f t="shared" si="20"/>
        <v>-5941.5250660000011</v>
      </c>
      <c r="S84" s="123" t="s">
        <v>229</v>
      </c>
      <c r="T84" s="118" t="s">
        <v>227</v>
      </c>
      <c r="U84" s="118" t="s">
        <v>217</v>
      </c>
      <c r="V84" s="118" t="s">
        <v>223</v>
      </c>
      <c r="W84" s="118" t="s">
        <v>219</v>
      </c>
    </row>
    <row r="85" spans="2:23" x14ac:dyDescent="0.3">
      <c r="B85" s="116" t="e" vm="6">
        <v>#VALUE!</v>
      </c>
      <c r="C85" s="117">
        <v>45677</v>
      </c>
      <c r="D85" s="116">
        <v>69</v>
      </c>
      <c r="E85" s="118">
        <v>86.77</v>
      </c>
      <c r="F85" s="118">
        <f>D85*E85*0.0022+3.5</f>
        <v>16.671686000000001</v>
      </c>
      <c r="G85" s="118">
        <f t="shared" si="11"/>
        <v>6003.8016859999998</v>
      </c>
      <c r="H85" s="119">
        <f t="shared" si="12"/>
        <v>2.7845872730339915E-3</v>
      </c>
      <c r="I85" s="120" cm="1">
        <f t="array" aca="1" ref="I85" ca="1">_FV(B85,"Price")</f>
        <v>96.75</v>
      </c>
      <c r="J85" s="118">
        <f t="shared" ca="1" si="13"/>
        <v>6657.160791512043</v>
      </c>
      <c r="K85" s="118">
        <f t="shared" ca="1" si="14"/>
        <v>6675.75</v>
      </c>
      <c r="L85" s="118">
        <v>0</v>
      </c>
      <c r="M85" s="118">
        <f t="shared" ca="1" si="15"/>
        <v>653.35910551204324</v>
      </c>
      <c r="N85" s="121">
        <f t="shared" ca="1" si="16"/>
        <v>0.10882423165901407</v>
      </c>
      <c r="O85" s="122">
        <f t="shared" ca="1" si="17"/>
        <v>18.100000000000001</v>
      </c>
      <c r="P85" s="121">
        <f t="shared" ca="1" si="18"/>
        <v>7.2148661873379483E-2</v>
      </c>
      <c r="Q85" s="118">
        <f t="shared" ca="1" si="19"/>
        <v>6728.2604227773336</v>
      </c>
      <c r="R85" s="118">
        <f t="shared" si="20"/>
        <v>-6003.8016859999998</v>
      </c>
      <c r="S85" s="123" t="s">
        <v>229</v>
      </c>
      <c r="T85" s="118" t="s">
        <v>227</v>
      </c>
      <c r="U85" s="118" t="s">
        <v>217</v>
      </c>
      <c r="V85" s="118" t="s">
        <v>223</v>
      </c>
      <c r="W85" s="118" t="s">
        <v>219</v>
      </c>
    </row>
    <row r="86" spans="2:23" x14ac:dyDescent="0.3">
      <c r="B86" s="116" t="e" vm="6">
        <v>#VALUE!</v>
      </c>
      <c r="C86" s="117">
        <v>45691</v>
      </c>
      <c r="D86" s="116">
        <v>74</v>
      </c>
      <c r="E86" s="118">
        <v>80.95</v>
      </c>
      <c r="F86" s="118">
        <f>D86*E86*0.0022+3.5</f>
        <v>16.678660000000001</v>
      </c>
      <c r="G86" s="118">
        <f t="shared" si="11"/>
        <v>6006.9786599999998</v>
      </c>
      <c r="H86" s="119">
        <f t="shared" si="12"/>
        <v>2.7842779159641421E-3</v>
      </c>
      <c r="I86" s="120" cm="1">
        <f t="array" aca="1" ref="I86" ca="1">_FV(B86,"Price")</f>
        <v>96.75</v>
      </c>
      <c r="J86" s="118">
        <f t="shared" ca="1" si="13"/>
        <v>7139.5659622606545</v>
      </c>
      <c r="K86" s="118">
        <f t="shared" ca="1" si="14"/>
        <v>7159.5</v>
      </c>
      <c r="L86" s="118">
        <v>0</v>
      </c>
      <c r="M86" s="118">
        <f t="shared" ca="1" si="15"/>
        <v>1132.5873022606547</v>
      </c>
      <c r="N86" s="121">
        <f t="shared" ca="1" si="16"/>
        <v>0.18854525150929283</v>
      </c>
      <c r="O86" s="122">
        <f t="shared" ca="1" si="17"/>
        <v>17.666666666666668</v>
      </c>
      <c r="P86" s="121">
        <f t="shared" ca="1" si="18"/>
        <v>0.12806847272329322</v>
      </c>
      <c r="Q86" s="118">
        <f t="shared" ca="1" si="19"/>
        <v>6714.4672577333331</v>
      </c>
      <c r="R86" s="118">
        <f t="shared" si="20"/>
        <v>-6006.9786599999998</v>
      </c>
      <c r="S86" s="123" t="s">
        <v>229</v>
      </c>
      <c r="T86" s="118" t="s">
        <v>227</v>
      </c>
      <c r="U86" s="118" t="s">
        <v>217</v>
      </c>
      <c r="V86" s="118" t="s">
        <v>223</v>
      </c>
      <c r="W86" s="118" t="s">
        <v>219</v>
      </c>
    </row>
    <row r="87" spans="2:23" x14ac:dyDescent="0.3">
      <c r="B87" s="116" t="e" vm="6">
        <v>#VALUE!</v>
      </c>
      <c r="C87" s="117">
        <v>45706</v>
      </c>
      <c r="D87" s="116">
        <v>77</v>
      </c>
      <c r="E87" s="118">
        <v>77</v>
      </c>
      <c r="F87" s="118">
        <f>D87*E87*0.0022+3.46</f>
        <v>16.503800000000002</v>
      </c>
      <c r="G87" s="118">
        <f t="shared" si="11"/>
        <v>5945.5038000000004</v>
      </c>
      <c r="H87" s="119">
        <f t="shared" si="12"/>
        <v>2.7835722718839604E-3</v>
      </c>
      <c r="I87" s="120" cm="1">
        <f t="array" aca="1" ref="I87" ca="1">_FV(B87,"Price")</f>
        <v>96.75</v>
      </c>
      <c r="J87" s="118">
        <f t="shared" ca="1" si="13"/>
        <v>7429.0130824675325</v>
      </c>
      <c r="K87" s="118">
        <f t="shared" ca="1" si="14"/>
        <v>7449.75</v>
      </c>
      <c r="L87" s="118">
        <v>0</v>
      </c>
      <c r="M87" s="118">
        <f t="shared" ca="1" si="15"/>
        <v>1483.5092824675321</v>
      </c>
      <c r="N87" s="121">
        <f t="shared" ca="1" si="16"/>
        <v>0.24951784278861819</v>
      </c>
      <c r="O87" s="122">
        <f t="shared" ca="1" si="17"/>
        <v>17.166666666666668</v>
      </c>
      <c r="P87" s="121">
        <f t="shared" ca="1" si="18"/>
        <v>0.17442023961922826</v>
      </c>
      <c r="Q87" s="118">
        <f t="shared" ca="1" si="19"/>
        <v>6625.9336793333341</v>
      </c>
      <c r="R87" s="118">
        <f t="shared" si="20"/>
        <v>-5945.5038000000004</v>
      </c>
      <c r="S87" s="123" t="s">
        <v>229</v>
      </c>
      <c r="T87" s="118" t="s">
        <v>227</v>
      </c>
      <c r="U87" s="118" t="s">
        <v>217</v>
      </c>
      <c r="V87" s="118" t="s">
        <v>223</v>
      </c>
      <c r="W87" s="118" t="s">
        <v>219</v>
      </c>
    </row>
    <row r="88" spans="2:23" x14ac:dyDescent="0.3">
      <c r="B88" s="116" t="e" vm="6">
        <v>#VALUE!</v>
      </c>
      <c r="C88" s="117">
        <v>45721</v>
      </c>
      <c r="D88" s="116">
        <v>75</v>
      </c>
      <c r="E88" s="118">
        <v>79.55</v>
      </c>
      <c r="F88" s="118">
        <f>D88*E88*0.0022+3.48</f>
        <v>16.60575</v>
      </c>
      <c r="G88" s="118">
        <f t="shared" si="11"/>
        <v>5982.8557499999997</v>
      </c>
      <c r="H88" s="119">
        <f t="shared" si="12"/>
        <v>2.7832809553739787E-3</v>
      </c>
      <c r="I88" s="120" cm="1">
        <f t="array" aca="1" ref="I88" ca="1">_FV(B88,"Price")</f>
        <v>96.75</v>
      </c>
      <c r="J88" s="118">
        <f t="shared" ca="1" si="13"/>
        <v>7236.0538175675674</v>
      </c>
      <c r="K88" s="118">
        <f t="shared" ca="1" si="14"/>
        <v>7256.25</v>
      </c>
      <c r="L88" s="118">
        <v>0</v>
      </c>
      <c r="M88" s="118">
        <f t="shared" ca="1" si="15"/>
        <v>1253.1980675675677</v>
      </c>
      <c r="N88" s="121">
        <f t="shared" ca="1" si="16"/>
        <v>0.20946486426111272</v>
      </c>
      <c r="O88" s="122">
        <f t="shared" ca="1" si="17"/>
        <v>16.600000000000001</v>
      </c>
      <c r="P88" s="121">
        <f t="shared" ca="1" si="18"/>
        <v>0.15142038380321401</v>
      </c>
      <c r="Q88" s="118">
        <f t="shared" ca="1" si="19"/>
        <v>6644.9584529999993</v>
      </c>
      <c r="R88" s="118">
        <f t="shared" si="20"/>
        <v>-5982.8557499999997</v>
      </c>
      <c r="S88" s="123" t="s">
        <v>229</v>
      </c>
      <c r="T88" s="118" t="s">
        <v>227</v>
      </c>
      <c r="U88" s="118" t="s">
        <v>217</v>
      </c>
      <c r="V88" s="118" t="s">
        <v>223</v>
      </c>
      <c r="W88" s="118" t="s">
        <v>219</v>
      </c>
    </row>
    <row r="89" spans="2:23" x14ac:dyDescent="0.3">
      <c r="B89" s="116" t="e" vm="6">
        <v>#VALUE!</v>
      </c>
      <c r="C89" s="117">
        <v>45736</v>
      </c>
      <c r="D89" s="116">
        <v>70</v>
      </c>
      <c r="E89" s="118">
        <v>84.8</v>
      </c>
      <c r="F89" s="118">
        <f>D89*E89*0.0022+3.46</f>
        <v>16.519200000000001</v>
      </c>
      <c r="G89" s="118">
        <f t="shared" si="11"/>
        <v>5952.5191999999997</v>
      </c>
      <c r="H89" s="119">
        <f t="shared" si="12"/>
        <v>2.7828840970350408E-3</v>
      </c>
      <c r="I89" s="120" cm="1">
        <f t="array" aca="1" ref="I89" ca="1">_FV(B89,"Price")</f>
        <v>96.75</v>
      </c>
      <c r="J89" s="118">
        <f t="shared" ca="1" si="13"/>
        <v>6753.6529174528296</v>
      </c>
      <c r="K89" s="118">
        <f t="shared" ca="1" si="14"/>
        <v>6772.5</v>
      </c>
      <c r="L89" s="118">
        <v>0</v>
      </c>
      <c r="M89" s="118">
        <f t="shared" ca="1" si="15"/>
        <v>801.13371745282984</v>
      </c>
      <c r="N89" s="121">
        <f t="shared" ca="1" si="16"/>
        <v>0.13458733866038264</v>
      </c>
      <c r="O89" s="122">
        <f t="shared" ca="1" si="17"/>
        <v>16.100000000000001</v>
      </c>
      <c r="P89" s="121">
        <f t="shared" ca="1" si="18"/>
        <v>0.10031354434314232</v>
      </c>
      <c r="Q89" s="118">
        <f t="shared" ca="1" si="19"/>
        <v>6591.4229274666668</v>
      </c>
      <c r="R89" s="118">
        <f t="shared" si="20"/>
        <v>-5952.5191999999997</v>
      </c>
      <c r="S89" s="123" t="s">
        <v>229</v>
      </c>
      <c r="T89" s="118" t="s">
        <v>227</v>
      </c>
      <c r="U89" s="118" t="s">
        <v>217</v>
      </c>
      <c r="V89" s="118" t="s">
        <v>223</v>
      </c>
      <c r="W89" s="118" t="s">
        <v>219</v>
      </c>
    </row>
    <row r="90" spans="2:23" x14ac:dyDescent="0.3">
      <c r="B90" s="116" t="e" vm="6">
        <v>#VALUE!</v>
      </c>
      <c r="C90" s="117">
        <v>45751</v>
      </c>
      <c r="D90" s="116">
        <v>69</v>
      </c>
      <c r="E90" s="118">
        <v>85.84</v>
      </c>
      <c r="F90" s="118">
        <f>D90*E90*0.0022+3.46</f>
        <v>16.490512000000003</v>
      </c>
      <c r="G90" s="118">
        <f t="shared" si="11"/>
        <v>5939.4505120000003</v>
      </c>
      <c r="H90" s="119">
        <f t="shared" si="12"/>
        <v>2.7841673757715742E-3</v>
      </c>
      <c r="I90" s="120" cm="1">
        <f t="array" aca="1" ref="I90" ca="1">_FV(B90,"Price")</f>
        <v>96.75</v>
      </c>
      <c r="J90" s="118">
        <f t="shared" ca="1" si="13"/>
        <v>6657.1635946411925</v>
      </c>
      <c r="K90" s="118">
        <f t="shared" ca="1" si="14"/>
        <v>6675.75</v>
      </c>
      <c r="L90" s="118">
        <v>0</v>
      </c>
      <c r="M90" s="118">
        <f t="shared" ca="1" si="15"/>
        <v>717.71308264119216</v>
      </c>
      <c r="N90" s="121">
        <f t="shared" ca="1" si="16"/>
        <v>0.12083829660523858</v>
      </c>
      <c r="O90" s="122">
        <f t="shared" ca="1" si="17"/>
        <v>15.633333333333333</v>
      </c>
      <c r="P90" s="121">
        <f t="shared" ca="1" si="18"/>
        <v>9.2754342809991244E-2</v>
      </c>
      <c r="Q90" s="118">
        <f t="shared" ca="1" si="19"/>
        <v>6558.473243139556</v>
      </c>
      <c r="R90" s="118">
        <f t="shared" si="20"/>
        <v>-5939.4505120000003</v>
      </c>
      <c r="S90" s="123" t="s">
        <v>229</v>
      </c>
      <c r="T90" s="118" t="s">
        <v>227</v>
      </c>
      <c r="U90" s="118" t="s">
        <v>217</v>
      </c>
      <c r="V90" s="118" t="s">
        <v>223</v>
      </c>
      <c r="W90" s="118" t="s">
        <v>219</v>
      </c>
    </row>
    <row r="91" spans="2:23" x14ac:dyDescent="0.3">
      <c r="B91" s="116" t="e" vm="6">
        <v>#VALUE!</v>
      </c>
      <c r="C91" s="117">
        <v>45768</v>
      </c>
      <c r="D91" s="116">
        <v>66</v>
      </c>
      <c r="E91" s="118">
        <v>90.22</v>
      </c>
      <c r="F91" s="118">
        <f>D91*E91*0.0022+3.47</f>
        <v>16.569944</v>
      </c>
      <c r="G91" s="118">
        <f t="shared" si="11"/>
        <v>5971.0899439999994</v>
      </c>
      <c r="H91" s="119">
        <f t="shared" si="12"/>
        <v>2.7827505827505831E-3</v>
      </c>
      <c r="I91" s="120" cm="1">
        <f t="array" aca="1" ref="I91" ca="1">_FV(B91,"Price")</f>
        <v>96.75</v>
      </c>
      <c r="J91" s="118">
        <f t="shared" ca="1" si="13"/>
        <v>6367.7307461538467</v>
      </c>
      <c r="K91" s="118">
        <f t="shared" ca="1" si="14"/>
        <v>6385.5</v>
      </c>
      <c r="L91" s="118">
        <v>0</v>
      </c>
      <c r="M91" s="118">
        <f t="shared" ca="1" si="15"/>
        <v>396.64080215384729</v>
      </c>
      <c r="N91" s="121">
        <f t="shared" ca="1" si="16"/>
        <v>6.6426867770164558E-2</v>
      </c>
      <c r="O91" s="122">
        <f t="shared" ca="1" si="17"/>
        <v>15.066666666666666</v>
      </c>
      <c r="P91" s="121">
        <f t="shared" ca="1" si="18"/>
        <v>5.2906354861193008E-2</v>
      </c>
      <c r="Q91" s="118">
        <f t="shared" ca="1" si="19"/>
        <v>6570.8527561528881</v>
      </c>
      <c r="R91" s="118">
        <f t="shared" si="20"/>
        <v>-5971.0899439999994</v>
      </c>
      <c r="S91" s="123" t="s">
        <v>229</v>
      </c>
      <c r="T91" s="118" t="s">
        <v>227</v>
      </c>
      <c r="U91" s="118" t="s">
        <v>217</v>
      </c>
      <c r="V91" s="118" t="s">
        <v>223</v>
      </c>
      <c r="W91" s="118" t="s">
        <v>219</v>
      </c>
    </row>
    <row r="92" spans="2:23" x14ac:dyDescent="0.3">
      <c r="B92" s="116" t="e" vm="6">
        <v>#VALUE!</v>
      </c>
      <c r="C92" s="117">
        <v>45782</v>
      </c>
      <c r="D92" s="116">
        <v>67</v>
      </c>
      <c r="E92" s="118">
        <v>88.32</v>
      </c>
      <c r="F92" s="118">
        <f>D92*E92*0.0022+3.46</f>
        <v>16.478368</v>
      </c>
      <c r="G92" s="118">
        <f t="shared" si="11"/>
        <v>5933.9183679999996</v>
      </c>
      <c r="H92" s="119">
        <f t="shared" si="12"/>
        <v>2.7847123080250919E-3</v>
      </c>
      <c r="I92" s="120" cm="1">
        <f t="array" aca="1" ref="I92" ca="1">_FV(B92,"Price")</f>
        <v>96.75</v>
      </c>
      <c r="J92" s="118">
        <f t="shared" ca="1" si="13"/>
        <v>6464.1987986413042</v>
      </c>
      <c r="K92" s="118">
        <f t="shared" ca="1" si="14"/>
        <v>6482.25</v>
      </c>
      <c r="L92" s="118">
        <v>0</v>
      </c>
      <c r="M92" s="118">
        <f t="shared" ca="1" si="15"/>
        <v>530.28043064130452</v>
      </c>
      <c r="N92" s="121">
        <f t="shared" ca="1" si="16"/>
        <v>8.9364294847897124E-2</v>
      </c>
      <c r="O92" s="122">
        <f t="shared" ca="1" si="17"/>
        <v>14.6</v>
      </c>
      <c r="P92" s="121">
        <f t="shared" ca="1" si="18"/>
        <v>7.3450105354435996E-2</v>
      </c>
      <c r="Q92" s="118">
        <f t="shared" ca="1" si="19"/>
        <v>6511.4864224853327</v>
      </c>
      <c r="R92" s="118">
        <f t="shared" si="20"/>
        <v>-5933.9183679999996</v>
      </c>
      <c r="S92" s="123" t="s">
        <v>229</v>
      </c>
      <c r="T92" s="118" t="s">
        <v>227</v>
      </c>
      <c r="U92" s="118" t="s">
        <v>217</v>
      </c>
      <c r="V92" s="118" t="s">
        <v>223</v>
      </c>
      <c r="W92" s="118" t="s">
        <v>219</v>
      </c>
    </row>
    <row r="93" spans="2:23" x14ac:dyDescent="0.3">
      <c r="B93" s="116" t="e" vm="6">
        <v>#VALUE!</v>
      </c>
      <c r="C93" s="117">
        <v>45796</v>
      </c>
      <c r="D93" s="116">
        <v>64</v>
      </c>
      <c r="E93" s="118">
        <v>93.14</v>
      </c>
      <c r="F93" s="118">
        <f>D93*E93*0.0022+3.47</f>
        <v>16.584112000000001</v>
      </c>
      <c r="G93" s="118">
        <f t="shared" si="11"/>
        <v>5977.5441119999996</v>
      </c>
      <c r="H93" s="119">
        <f t="shared" si="12"/>
        <v>2.7821210006441915E-3</v>
      </c>
      <c r="I93" s="120" cm="1">
        <f t="array" aca="1" ref="I93" ca="1">_FV(B93,"Price")</f>
        <v>96.75</v>
      </c>
      <c r="J93" s="118">
        <f t="shared" ca="1" si="13"/>
        <v>6174.7731067640107</v>
      </c>
      <c r="K93" s="118">
        <f t="shared" ca="1" si="14"/>
        <v>6192</v>
      </c>
      <c r="L93" s="118">
        <v>0</v>
      </c>
      <c r="M93" s="118">
        <f t="shared" ca="1" si="15"/>
        <v>197.22899476401108</v>
      </c>
      <c r="N93" s="121">
        <f t="shared" ca="1" si="16"/>
        <v>3.2994987752256191E-2</v>
      </c>
      <c r="O93" s="122">
        <f t="shared" ca="1" si="17"/>
        <v>14.133333333333333</v>
      </c>
      <c r="P93" s="121">
        <f t="shared" ca="1" si="18"/>
        <v>2.8014612242481675E-2</v>
      </c>
      <c r="Q93" s="118">
        <f t="shared" ca="1" si="19"/>
        <v>6540.7616016639995</v>
      </c>
      <c r="R93" s="118">
        <f t="shared" si="20"/>
        <v>-5977.5441119999996</v>
      </c>
      <c r="S93" s="123" t="s">
        <v>229</v>
      </c>
      <c r="T93" s="118" t="s">
        <v>227</v>
      </c>
      <c r="U93" s="118" t="s">
        <v>217</v>
      </c>
      <c r="V93" s="118" t="s">
        <v>223</v>
      </c>
      <c r="W93" s="118" t="s">
        <v>219</v>
      </c>
    </row>
    <row r="94" spans="2:23" x14ac:dyDescent="0.3">
      <c r="B94" s="116" t="e" vm="6">
        <v>#VALUE!</v>
      </c>
      <c r="C94" s="117">
        <v>45811</v>
      </c>
      <c r="D94" s="116">
        <v>65</v>
      </c>
      <c r="E94" s="118">
        <v>91.3</v>
      </c>
      <c r="F94" s="118">
        <f>D94*E94*0.0022+3.46</f>
        <v>16.515900000000002</v>
      </c>
      <c r="G94" s="118">
        <f t="shared" si="11"/>
        <v>5951.0159000000003</v>
      </c>
      <c r="H94" s="119">
        <f t="shared" si="12"/>
        <v>2.7830314264049205E-3</v>
      </c>
      <c r="I94" s="120" cm="1">
        <f t="array" aca="1" ref="I94" ca="1">_FV(B94,"Price")</f>
        <v>96.75</v>
      </c>
      <c r="J94" s="118">
        <f t="shared" ca="1" si="13"/>
        <v>6271.2482111171958</v>
      </c>
      <c r="K94" s="118">
        <f t="shared" ca="1" si="14"/>
        <v>6288.75</v>
      </c>
      <c r="L94" s="118">
        <v>0</v>
      </c>
      <c r="M94" s="118">
        <f t="shared" ca="1" si="15"/>
        <v>320.23231111719542</v>
      </c>
      <c r="N94" s="121">
        <f t="shared" ca="1" si="16"/>
        <v>5.3811368764313902E-2</v>
      </c>
      <c r="O94" s="122">
        <f t="shared" ca="1" si="17"/>
        <v>13.666666666666666</v>
      </c>
      <c r="P94" s="121">
        <f t="shared" ca="1" si="18"/>
        <v>4.7249006719885384E-2</v>
      </c>
      <c r="Q94" s="118">
        <f t="shared" ca="1" si="19"/>
        <v>6493.2195708888894</v>
      </c>
      <c r="R94" s="118">
        <f t="shared" si="20"/>
        <v>-5951.0159000000003</v>
      </c>
      <c r="S94" s="123" t="s">
        <v>229</v>
      </c>
      <c r="T94" s="118" t="s">
        <v>227</v>
      </c>
      <c r="U94" s="118" t="s">
        <v>217</v>
      </c>
      <c r="V94" s="118" t="s">
        <v>223</v>
      </c>
      <c r="W94" s="118" t="s">
        <v>219</v>
      </c>
    </row>
    <row r="95" spans="2:23" x14ac:dyDescent="0.3">
      <c r="B95" s="116" t="e" vm="6">
        <v>#VALUE!</v>
      </c>
      <c r="C95" s="117">
        <v>45826</v>
      </c>
      <c r="D95" s="116">
        <v>64</v>
      </c>
      <c r="E95" s="118">
        <v>93.04</v>
      </c>
      <c r="F95" s="118">
        <f>D95*E95*0.0022+3.47</f>
        <v>16.570032000000001</v>
      </c>
      <c r="G95" s="118">
        <f t="shared" si="11"/>
        <v>5971.130032</v>
      </c>
      <c r="H95" s="119">
        <f t="shared" si="12"/>
        <v>2.7827466680997422E-3</v>
      </c>
      <c r="I95" s="120" cm="1">
        <f t="array" aca="1" ref="I95" ca="1">_FV(B95,"Price")</f>
        <v>96.75</v>
      </c>
      <c r="J95" s="118">
        <f t="shared" ca="1" si="13"/>
        <v>6174.7692326311262</v>
      </c>
      <c r="K95" s="118">
        <f t="shared" ca="1" si="14"/>
        <v>6192</v>
      </c>
      <c r="L95" s="118">
        <v>0</v>
      </c>
      <c r="M95" s="118">
        <f t="shared" ca="1" si="15"/>
        <v>203.63920063112619</v>
      </c>
      <c r="N95" s="121">
        <f t="shared" ca="1" si="16"/>
        <v>3.4103963494313362E-2</v>
      </c>
      <c r="O95" s="122">
        <f t="shared" ca="1" si="17"/>
        <v>13.166666666666666</v>
      </c>
      <c r="P95" s="121">
        <f t="shared" ca="1" si="18"/>
        <v>3.108209331127294E-2</v>
      </c>
      <c r="Q95" s="118">
        <f t="shared" ca="1" si="19"/>
        <v>6495.2625570311111</v>
      </c>
      <c r="R95" s="118">
        <f t="shared" si="20"/>
        <v>-5971.130032</v>
      </c>
      <c r="S95" s="123" t="s">
        <v>229</v>
      </c>
      <c r="T95" s="118" t="s">
        <v>227</v>
      </c>
      <c r="U95" s="118" t="s">
        <v>217</v>
      </c>
      <c r="V95" s="118" t="s">
        <v>223</v>
      </c>
      <c r="W95" s="118" t="s">
        <v>219</v>
      </c>
    </row>
    <row r="96" spans="2:23" x14ac:dyDescent="0.3">
      <c r="B96" s="116" t="e" vm="7">
        <v>#VALUE!</v>
      </c>
      <c r="C96" s="117">
        <v>45597</v>
      </c>
      <c r="D96" s="116">
        <v>300</v>
      </c>
      <c r="E96" s="118">
        <v>66.599999999999994</v>
      </c>
      <c r="F96" s="118">
        <f>D96*E96*0.0022+11.66</f>
        <v>55.616</v>
      </c>
      <c r="G96" s="118">
        <f t="shared" si="11"/>
        <v>20035.616000000002</v>
      </c>
      <c r="H96" s="119">
        <f t="shared" si="12"/>
        <v>2.7835835835835834E-3</v>
      </c>
      <c r="I96" s="120" cm="1">
        <f t="array" aca="1" ref="I96" ca="1">_FV(B96,"Price")</f>
        <v>118.69</v>
      </c>
      <c r="J96" s="118">
        <f t="shared" ca="1" si="13"/>
        <v>35507.884939339339</v>
      </c>
      <c r="K96" s="118">
        <f t="shared" ca="1" si="14"/>
        <v>35607</v>
      </c>
      <c r="L96" s="118">
        <v>0</v>
      </c>
      <c r="M96" s="118">
        <f t="shared" ca="1" si="15"/>
        <v>15472.268939339338</v>
      </c>
      <c r="N96" s="121">
        <f t="shared" ca="1" si="16"/>
        <v>0.77223824510009254</v>
      </c>
      <c r="O96" s="122">
        <f t="shared" ca="1" si="17"/>
        <v>20.733333333333334</v>
      </c>
      <c r="P96" s="121">
        <f t="shared" ca="1" si="18"/>
        <v>0.44695461131195058</v>
      </c>
      <c r="Q96" s="118">
        <f t="shared" ca="1" si="19"/>
        <v>22804.983367111112</v>
      </c>
      <c r="R96" s="118">
        <f t="shared" si="20"/>
        <v>-20035.616000000002</v>
      </c>
      <c r="S96" s="123" t="s">
        <v>229</v>
      </c>
      <c r="T96" s="118" t="s">
        <v>216</v>
      </c>
      <c r="U96" s="118" t="s">
        <v>217</v>
      </c>
      <c r="V96" s="118" t="s">
        <v>223</v>
      </c>
      <c r="W96" s="118" t="s">
        <v>219</v>
      </c>
    </row>
    <row r="97" spans="2:23" x14ac:dyDescent="0.3">
      <c r="B97" s="116" t="e" vm="7">
        <v>#VALUE!</v>
      </c>
      <c r="C97" s="117">
        <v>45841</v>
      </c>
      <c r="D97" s="116">
        <v>73</v>
      </c>
      <c r="E97" s="118">
        <v>81.33</v>
      </c>
      <c r="F97" s="118">
        <f>D97*E97*0.0022+3.47</f>
        <v>16.531598000000002</v>
      </c>
      <c r="G97" s="118">
        <f t="shared" si="11"/>
        <v>5953.6215979999997</v>
      </c>
      <c r="H97" s="119">
        <f t="shared" si="12"/>
        <v>2.784461411230081E-3</v>
      </c>
      <c r="I97" s="120" cm="1">
        <f t="array" aca="1" ref="I97" ca="1">_FV(B97,"Price")</f>
        <v>118.69</v>
      </c>
      <c r="J97" s="118">
        <f t="shared" ca="1" si="13"/>
        <v>8640.2443960823784</v>
      </c>
      <c r="K97" s="118">
        <f t="shared" ca="1" si="14"/>
        <v>8664.369999999999</v>
      </c>
      <c r="L97" s="118">
        <v>0</v>
      </c>
      <c r="M97" s="118">
        <f t="shared" ca="1" si="15"/>
        <v>2686.6227980823787</v>
      </c>
      <c r="N97" s="121">
        <f t="shared" ca="1" si="16"/>
        <v>0.45125857494619676</v>
      </c>
      <c r="O97" s="122">
        <f t="shared" ca="1" si="17"/>
        <v>12.666666666666666</v>
      </c>
      <c r="P97" s="121">
        <f t="shared" ca="1" si="18"/>
        <v>0.42750812363323909</v>
      </c>
      <c r="Q97" s="118">
        <f t="shared" ca="1" si="19"/>
        <v>6456.3718662755555</v>
      </c>
      <c r="R97" s="118">
        <f t="shared" si="20"/>
        <v>-5953.6215979999997</v>
      </c>
      <c r="S97" s="123" t="s">
        <v>229</v>
      </c>
      <c r="T97" s="118" t="s">
        <v>216</v>
      </c>
      <c r="U97" s="118" t="s">
        <v>217</v>
      </c>
      <c r="V97" s="118" t="s">
        <v>223</v>
      </c>
      <c r="W97" s="118" t="s">
        <v>219</v>
      </c>
    </row>
    <row r="98" spans="2:23" x14ac:dyDescent="0.3">
      <c r="B98" s="116" t="e" vm="7">
        <v>#VALUE!</v>
      </c>
      <c r="C98" s="117">
        <v>45873</v>
      </c>
      <c r="D98" s="116">
        <v>72</v>
      </c>
      <c r="E98" s="118">
        <v>83.09</v>
      </c>
      <c r="F98" s="118">
        <f>D98*E98*0.0022+3.49</f>
        <v>16.651456000000003</v>
      </c>
      <c r="G98" s="118">
        <f t="shared" si="11"/>
        <v>5999.1314560000001</v>
      </c>
      <c r="H98" s="119">
        <f t="shared" si="12"/>
        <v>2.7833701073802174E-3</v>
      </c>
      <c r="I98" s="120" cm="1">
        <f t="array" aca="1" ref="I98" ca="1">_FV(B98,"Price")</f>
        <v>118.69</v>
      </c>
      <c r="J98" s="118">
        <f t="shared" ca="1" si="13"/>
        <v>8521.8942097407635</v>
      </c>
      <c r="K98" s="118">
        <f t="shared" ca="1" si="14"/>
        <v>8545.68</v>
      </c>
      <c r="L98" s="118">
        <v>0</v>
      </c>
      <c r="M98" s="118">
        <f t="shared" ca="1" si="15"/>
        <v>2522.7627537407634</v>
      </c>
      <c r="N98" s="121">
        <f t="shared" ca="1" si="16"/>
        <v>0.42052133250349688</v>
      </c>
      <c r="O98" s="122">
        <f t="shared" ca="1" si="17"/>
        <v>11.633333333333333</v>
      </c>
      <c r="P98" s="121">
        <f t="shared" ca="1" si="18"/>
        <v>0.43377558653655846</v>
      </c>
      <c r="Q98" s="118">
        <f t="shared" ca="1" si="19"/>
        <v>6464.3974289208891</v>
      </c>
      <c r="R98" s="118">
        <f t="shared" si="20"/>
        <v>-5999.1314560000001</v>
      </c>
      <c r="S98" s="123" t="s">
        <v>229</v>
      </c>
      <c r="T98" s="118" t="s">
        <v>216</v>
      </c>
      <c r="U98" s="118" t="s">
        <v>217</v>
      </c>
      <c r="V98" s="118" t="s">
        <v>223</v>
      </c>
      <c r="W98" s="118" t="s">
        <v>219</v>
      </c>
    </row>
    <row r="99" spans="2:23" x14ac:dyDescent="0.3">
      <c r="B99" s="116" t="e" vm="7">
        <v>#VALUE!</v>
      </c>
      <c r="C99" s="117">
        <v>45903</v>
      </c>
      <c r="D99" s="116">
        <v>68</v>
      </c>
      <c r="E99" s="118">
        <v>87.77</v>
      </c>
      <c r="F99" s="118">
        <f>D99*E99*0.0022+3.49</f>
        <v>16.620392000000002</v>
      </c>
      <c r="G99" s="118">
        <f t="shared" si="11"/>
        <v>5984.9803919999995</v>
      </c>
      <c r="H99" s="119">
        <f t="shared" si="12"/>
        <v>2.7847502496498207E-3</v>
      </c>
      <c r="I99" s="120" cm="1">
        <f t="array" aca="1" ref="I99" ca="1">_FV(B99,"Price")</f>
        <v>118.69</v>
      </c>
      <c r="J99" s="118">
        <f t="shared" ca="1" si="13"/>
        <v>8048.4445035150957</v>
      </c>
      <c r="K99" s="118">
        <f t="shared" ca="1" si="14"/>
        <v>8070.92</v>
      </c>
      <c r="L99" s="118">
        <v>0</v>
      </c>
      <c r="M99" s="118">
        <f t="shared" ca="1" si="15"/>
        <v>2063.4641115150962</v>
      </c>
      <c r="N99" s="121">
        <f t="shared" ca="1" si="16"/>
        <v>0.34477374633896651</v>
      </c>
      <c r="O99" s="122">
        <f t="shared" ca="1" si="17"/>
        <v>10.666666666666666</v>
      </c>
      <c r="P99" s="121">
        <f t="shared" ca="1" si="18"/>
        <v>0.38787046463133734</v>
      </c>
      <c r="Q99" s="118">
        <f t="shared" ca="1" si="19"/>
        <v>6410.5789976533324</v>
      </c>
      <c r="R99" s="118">
        <f t="shared" si="20"/>
        <v>-5984.9803919999995</v>
      </c>
      <c r="S99" s="123" t="s">
        <v>229</v>
      </c>
      <c r="T99" s="118" t="s">
        <v>216</v>
      </c>
      <c r="U99" s="118" t="s">
        <v>217</v>
      </c>
      <c r="V99" s="118" t="s">
        <v>223</v>
      </c>
      <c r="W99" s="118" t="s">
        <v>219</v>
      </c>
    </row>
    <row r="100" spans="2:23" x14ac:dyDescent="0.3">
      <c r="B100" s="116" t="e" vm="7">
        <v>#VALUE!</v>
      </c>
      <c r="C100" s="117">
        <v>45933</v>
      </c>
      <c r="D100" s="116">
        <v>61</v>
      </c>
      <c r="E100" s="118">
        <v>97.02</v>
      </c>
      <c r="F100" s="118">
        <f>D100*E100*0.0022+3.46</f>
        <v>16.480083999999998</v>
      </c>
      <c r="G100" s="118">
        <f t="shared" si="11"/>
        <v>5934.7000839999992</v>
      </c>
      <c r="H100" s="119">
        <f t="shared" si="12"/>
        <v>2.7846352450567905E-3</v>
      </c>
      <c r="I100" s="120" cm="1">
        <f t="array" aca="1" ref="I100" ca="1">_FV(B100,"Price")</f>
        <v>118.69</v>
      </c>
      <c r="J100" s="118">
        <f t="shared" ca="1" si="13"/>
        <v>7219.9289902086166</v>
      </c>
      <c r="K100" s="118">
        <f t="shared" ca="1" si="14"/>
        <v>7240.09</v>
      </c>
      <c r="L100" s="118">
        <v>0</v>
      </c>
      <c r="M100" s="118">
        <f t="shared" ca="1" si="15"/>
        <v>1285.2289062086174</v>
      </c>
      <c r="N100" s="121">
        <f t="shared" ca="1" si="16"/>
        <v>0.21656172814420821</v>
      </c>
      <c r="O100" s="122">
        <f t="shared" ca="1" si="17"/>
        <v>9.6666666666666661</v>
      </c>
      <c r="P100" s="121">
        <f t="shared" ca="1" si="18"/>
        <v>0.26883524873074122</v>
      </c>
      <c r="Q100" s="118">
        <f t="shared" ca="1" si="19"/>
        <v>6317.158533857777</v>
      </c>
      <c r="R100" s="118">
        <f t="shared" si="20"/>
        <v>-5934.7000839999992</v>
      </c>
      <c r="S100" s="123" t="s">
        <v>229</v>
      </c>
      <c r="T100" s="118" t="s">
        <v>216</v>
      </c>
      <c r="U100" s="118" t="s">
        <v>217</v>
      </c>
      <c r="V100" s="118" t="s">
        <v>223</v>
      </c>
      <c r="W100" s="118" t="s">
        <v>219</v>
      </c>
    </row>
    <row r="101" spans="2:23" x14ac:dyDescent="0.3">
      <c r="B101" s="116" t="e" vm="7">
        <v>#VALUE!</v>
      </c>
      <c r="C101" s="117">
        <v>45964</v>
      </c>
      <c r="D101" s="116">
        <v>59</v>
      </c>
      <c r="E101" s="118">
        <v>100.37</v>
      </c>
      <c r="F101" s="118">
        <f>D101*E101*0.0022+3.46</f>
        <v>16.488026000000001</v>
      </c>
      <c r="G101" s="118">
        <f t="shared" si="11"/>
        <v>5938.3180259999999</v>
      </c>
      <c r="H101" s="119">
        <f t="shared" si="12"/>
        <v>2.7842788462350324E-3</v>
      </c>
      <c r="I101" s="120" cm="1">
        <f t="array" aca="1" ref="I101" ca="1">_FV(B101,"Price")</f>
        <v>118.69</v>
      </c>
      <c r="J101" s="118">
        <f t="shared" ca="1" si="13"/>
        <v>6983.2125026806816</v>
      </c>
      <c r="K101" s="118">
        <f t="shared" ca="1" si="14"/>
        <v>7002.71</v>
      </c>
      <c r="L101" s="118">
        <v>0</v>
      </c>
      <c r="M101" s="118">
        <f t="shared" ca="1" si="15"/>
        <v>1044.8944766806817</v>
      </c>
      <c r="N101" s="121">
        <f t="shared" ca="1" si="16"/>
        <v>0.17595798542714858</v>
      </c>
      <c r="O101" s="122">
        <f t="shared" ca="1" si="17"/>
        <v>8.6666666666666661</v>
      </c>
      <c r="P101" s="121">
        <f t="shared" ca="1" si="18"/>
        <v>0.24363413366835956</v>
      </c>
      <c r="Q101" s="118">
        <f t="shared" ca="1" si="19"/>
        <v>6281.4208452799994</v>
      </c>
      <c r="R101" s="118">
        <f t="shared" si="20"/>
        <v>-5938.3180259999999</v>
      </c>
      <c r="S101" s="123" t="s">
        <v>229</v>
      </c>
      <c r="T101" s="118" t="s">
        <v>216</v>
      </c>
      <c r="U101" s="118" t="s">
        <v>217</v>
      </c>
      <c r="V101" s="118" t="s">
        <v>223</v>
      </c>
      <c r="W101" s="118" t="s">
        <v>219</v>
      </c>
    </row>
    <row r="102" spans="2:23" x14ac:dyDescent="0.3">
      <c r="B102" s="116" t="e" vm="7">
        <v>#VALUE!</v>
      </c>
      <c r="C102" s="117">
        <v>45994</v>
      </c>
      <c r="D102" s="116">
        <v>56</v>
      </c>
      <c r="E102" s="118">
        <v>106.63</v>
      </c>
      <c r="F102" s="118">
        <f>D102*E102*0.0022+3.49</f>
        <v>16.626815999999998</v>
      </c>
      <c r="G102" s="118">
        <f t="shared" si="11"/>
        <v>5987.9068159999997</v>
      </c>
      <c r="H102" s="119">
        <f t="shared" si="12"/>
        <v>2.7844643024611138E-3</v>
      </c>
      <c r="I102" s="120" cm="1">
        <f t="array" aca="1" ref="I102" ca="1">_FV(B102,"Price")</f>
        <v>118.69</v>
      </c>
      <c r="J102" s="118">
        <f t="shared" ca="1" si="13"/>
        <v>6628.1326681886894</v>
      </c>
      <c r="K102" s="118">
        <f t="shared" ca="1" si="14"/>
        <v>6646.6399999999994</v>
      </c>
      <c r="L102" s="118">
        <v>0</v>
      </c>
      <c r="M102" s="118">
        <f t="shared" ca="1" si="15"/>
        <v>640.22585218868971</v>
      </c>
      <c r="N102" s="121">
        <f t="shared" ca="1" si="16"/>
        <v>0.10691980885172976</v>
      </c>
      <c r="O102" s="122">
        <f t="shared" ca="1" si="17"/>
        <v>7.666666666666667</v>
      </c>
      <c r="P102" s="121">
        <f t="shared" ca="1" si="18"/>
        <v>0.16735274428966396</v>
      </c>
      <c r="Q102" s="118">
        <f t="shared" ca="1" si="19"/>
        <v>6293.955386595555</v>
      </c>
      <c r="R102" s="118">
        <f t="shared" si="20"/>
        <v>-5987.9068159999997</v>
      </c>
      <c r="S102" s="123" t="s">
        <v>229</v>
      </c>
      <c r="T102" s="118" t="s">
        <v>216</v>
      </c>
      <c r="U102" s="118" t="s">
        <v>217</v>
      </c>
      <c r="V102" s="118" t="s">
        <v>223</v>
      </c>
      <c r="W102" s="118" t="s">
        <v>219</v>
      </c>
    </row>
    <row r="103" spans="2:23" x14ac:dyDescent="0.3">
      <c r="B103" s="116" t="e" vm="7">
        <v>#VALUE!</v>
      </c>
      <c r="C103" s="117">
        <v>46027</v>
      </c>
      <c r="D103" s="116">
        <v>53</v>
      </c>
      <c r="E103" s="118">
        <v>112.27</v>
      </c>
      <c r="F103" s="118">
        <f>D103*E103*0.0022+3.47</f>
        <v>16.560682</v>
      </c>
      <c r="G103" s="118">
        <f t="shared" si="11"/>
        <v>5966.8706819999998</v>
      </c>
      <c r="H103" s="119">
        <f t="shared" si="12"/>
        <v>2.7831628940340925E-3</v>
      </c>
      <c r="I103" s="120" cm="1">
        <f t="array" aca="1" ref="I103" ca="1">_FV(B103,"Price")</f>
        <v>118.69</v>
      </c>
      <c r="J103" s="118">
        <f t="shared" ca="1" si="13"/>
        <v>6273.062318993675</v>
      </c>
      <c r="K103" s="118">
        <f t="shared" ca="1" si="14"/>
        <v>6290.57</v>
      </c>
      <c r="L103" s="118">
        <v>0</v>
      </c>
      <c r="M103" s="118">
        <f t="shared" ca="1" si="15"/>
        <v>306.19163699367527</v>
      </c>
      <c r="N103" s="121">
        <f t="shared" ca="1" si="16"/>
        <v>5.1315279534606024E-2</v>
      </c>
      <c r="O103" s="122">
        <f t="shared" ca="1" si="17"/>
        <v>6.6</v>
      </c>
      <c r="P103" s="121">
        <f t="shared" ca="1" si="18"/>
        <v>9.3300508244738234E-2</v>
      </c>
      <c r="Q103" s="118">
        <f t="shared" ca="1" si="19"/>
        <v>6229.4129920079995</v>
      </c>
      <c r="R103" s="118">
        <f t="shared" si="20"/>
        <v>-5966.8706819999998</v>
      </c>
      <c r="S103" s="123" t="s">
        <v>229</v>
      </c>
      <c r="T103" s="118" t="s">
        <v>216</v>
      </c>
      <c r="U103" s="118" t="s">
        <v>217</v>
      </c>
      <c r="V103" s="118" t="s">
        <v>223</v>
      </c>
      <c r="W103" s="118" t="s">
        <v>219</v>
      </c>
    </row>
    <row r="104" spans="2:23" x14ac:dyDescent="0.3">
      <c r="B104" s="116" t="e" vm="7">
        <v>#VALUE!</v>
      </c>
      <c r="C104" s="117">
        <v>46056</v>
      </c>
      <c r="D104" s="116">
        <v>48</v>
      </c>
      <c r="E104" s="118">
        <v>122.69</v>
      </c>
      <c r="F104" s="118">
        <f>D104*E104*0.0022+3.43</f>
        <v>16.386064000000001</v>
      </c>
      <c r="G104" s="118">
        <f t="shared" si="11"/>
        <v>5905.5060640000002</v>
      </c>
      <c r="H104" s="119">
        <f t="shared" si="12"/>
        <v>2.7824299725595675E-3</v>
      </c>
      <c r="I104" s="120" cm="1">
        <f t="array" aca="1" ref="I104" ca="1">_FV(B104,"Price")</f>
        <v>118.69</v>
      </c>
      <c r="J104" s="118">
        <f t="shared" ca="1" si="13"/>
        <v>5681.2681625547311</v>
      </c>
      <c r="K104" s="118">
        <f t="shared" ca="1" si="14"/>
        <v>5697.12</v>
      </c>
      <c r="L104" s="118">
        <v>0</v>
      </c>
      <c r="M104" s="118">
        <f t="shared" ca="1" si="15"/>
        <v>-224.23790144526902</v>
      </c>
      <c r="N104" s="121">
        <f t="shared" ca="1" si="16"/>
        <v>-3.7970988263347077E-2</v>
      </c>
      <c r="O104" s="122">
        <f t="shared" ca="1" si="17"/>
        <v>5.666666666666667</v>
      </c>
      <c r="P104" s="121">
        <f t="shared" ca="1" si="18"/>
        <v>-8.0409151616499697E-2</v>
      </c>
      <c r="Q104" s="118">
        <f t="shared" ca="1" si="19"/>
        <v>6128.6029597511115</v>
      </c>
      <c r="R104" s="118">
        <f t="shared" si="20"/>
        <v>-5905.5060640000002</v>
      </c>
      <c r="S104" s="123" t="s">
        <v>229</v>
      </c>
      <c r="T104" s="118" t="s">
        <v>216</v>
      </c>
      <c r="U104" s="118" t="s">
        <v>217</v>
      </c>
      <c r="V104" s="118" t="s">
        <v>223</v>
      </c>
      <c r="W104" s="118" t="s">
        <v>219</v>
      </c>
    </row>
    <row r="105" spans="2:23" x14ac:dyDescent="0.3">
      <c r="B105" s="116" t="e" vm="7">
        <v>#VALUE!</v>
      </c>
      <c r="C105" s="117">
        <v>46085</v>
      </c>
      <c r="D105" s="116">
        <v>44</v>
      </c>
      <c r="E105" s="118">
        <v>133.57</v>
      </c>
      <c r="F105" s="118">
        <f>D105*E105*0.0022+3.42</f>
        <v>16.349575999999999</v>
      </c>
      <c r="G105" s="118">
        <f t="shared" si="11"/>
        <v>5893.4295759999995</v>
      </c>
      <c r="H105" s="119">
        <f t="shared" si="12"/>
        <v>2.7819216345532135E-3</v>
      </c>
      <c r="I105" s="120" cm="1">
        <f t="array" aca="1" ref="I105" ca="1">_FV(B105,"Price")</f>
        <v>118.69</v>
      </c>
      <c r="J105" s="118">
        <f t="shared" ca="1" si="13"/>
        <v>5207.8318037325744</v>
      </c>
      <c r="K105" s="118">
        <f t="shared" ca="1" si="14"/>
        <v>5222.3599999999997</v>
      </c>
      <c r="L105" s="118">
        <v>0</v>
      </c>
      <c r="M105" s="118">
        <f t="shared" ca="1" si="15"/>
        <v>-685.59777226742517</v>
      </c>
      <c r="N105" s="121">
        <f t="shared" ca="1" si="16"/>
        <v>-0.11633256381978445</v>
      </c>
      <c r="O105" s="122">
        <f t="shared" ca="1" si="17"/>
        <v>4.6333333333333337</v>
      </c>
      <c r="P105" s="121">
        <f t="shared" ca="1" si="18"/>
        <v>-0.30129297104404601</v>
      </c>
      <c r="Q105" s="118">
        <f t="shared" ca="1" si="19"/>
        <v>6075.4710673475547</v>
      </c>
      <c r="R105" s="118">
        <f t="shared" si="20"/>
        <v>-5893.4295759999995</v>
      </c>
      <c r="S105" s="123" t="s">
        <v>229</v>
      </c>
      <c r="T105" s="118" t="s">
        <v>216</v>
      </c>
      <c r="U105" s="118" t="s">
        <v>217</v>
      </c>
      <c r="V105" s="118" t="s">
        <v>223</v>
      </c>
      <c r="W105" s="118" t="s">
        <v>219</v>
      </c>
    </row>
    <row r="106" spans="2:23" x14ac:dyDescent="0.3">
      <c r="B106" s="116" t="e" vm="7">
        <v>#VALUE!</v>
      </c>
      <c r="C106" s="117">
        <v>46118</v>
      </c>
      <c r="D106" s="116">
        <v>49</v>
      </c>
      <c r="E106" s="118">
        <v>121.83</v>
      </c>
      <c r="F106" s="118">
        <f>D106*E106*0.0022+3.49</f>
        <v>16.623274000000002</v>
      </c>
      <c r="G106" s="118">
        <f t="shared" si="11"/>
        <v>5986.2932739999997</v>
      </c>
      <c r="H106" s="119">
        <f t="shared" si="12"/>
        <v>2.7846219305254732E-3</v>
      </c>
      <c r="I106" s="120" cm="1">
        <f t="array" aca="1" ref="I106" ca="1">_FV(B106,"Price")</f>
        <v>118.69</v>
      </c>
      <c r="J106" s="118">
        <f t="shared" ca="1" si="13"/>
        <v>5799.6151679302302</v>
      </c>
      <c r="K106" s="118">
        <f t="shared" ca="1" si="14"/>
        <v>5815.8099999999995</v>
      </c>
      <c r="L106" s="118">
        <v>0</v>
      </c>
      <c r="M106" s="118">
        <f t="shared" ca="1" si="15"/>
        <v>-186.67810606976946</v>
      </c>
      <c r="N106" s="121">
        <f t="shared" ca="1" si="16"/>
        <v>-3.1184256688619006E-2</v>
      </c>
      <c r="O106" s="122">
        <f t="shared" ca="1" si="17"/>
        <v>3.5666666666666669</v>
      </c>
      <c r="P106" s="121">
        <f t="shared" ca="1" si="18"/>
        <v>-0.1049189944663817</v>
      </c>
      <c r="Q106" s="118">
        <f t="shared" ca="1" si="19"/>
        <v>6128.6340251817774</v>
      </c>
      <c r="R106" s="118">
        <f t="shared" si="20"/>
        <v>-5986.2932739999997</v>
      </c>
      <c r="S106" s="123" t="s">
        <v>229</v>
      </c>
      <c r="T106" s="118" t="s">
        <v>216</v>
      </c>
      <c r="U106" s="118" t="s">
        <v>217</v>
      </c>
      <c r="V106" s="118" t="s">
        <v>223</v>
      </c>
      <c r="W106" s="118" t="s">
        <v>219</v>
      </c>
    </row>
    <row r="107" spans="2:23" x14ac:dyDescent="0.3">
      <c r="B107" s="116" t="e" vm="7">
        <v>#VALUE!</v>
      </c>
      <c r="C107" s="117">
        <v>46146</v>
      </c>
      <c r="D107" s="116">
        <v>48</v>
      </c>
      <c r="E107" s="118">
        <v>122.84</v>
      </c>
      <c r="F107" s="118">
        <f>D107*E107*0.0022+3.44</f>
        <v>16.411904</v>
      </c>
      <c r="G107" s="118">
        <f t="shared" si="11"/>
        <v>5912.7319039999993</v>
      </c>
      <c r="H107" s="119">
        <f t="shared" si="12"/>
        <v>2.7834147400412463E-3</v>
      </c>
      <c r="I107" s="120" cm="1">
        <f t="array" aca="1" ref="I107" ca="1">_FV(B107,"Price")</f>
        <v>118.69</v>
      </c>
      <c r="J107" s="118">
        <f t="shared" ca="1" si="13"/>
        <v>5681.2625522162161</v>
      </c>
      <c r="K107" s="118">
        <f t="shared" ca="1" si="14"/>
        <v>5697.12</v>
      </c>
      <c r="L107" s="118">
        <v>0</v>
      </c>
      <c r="M107" s="118">
        <f t="shared" ca="1" si="15"/>
        <v>-231.46935178378317</v>
      </c>
      <c r="N107" s="121">
        <f t="shared" ca="1" si="16"/>
        <v>-3.9147614933664206E-2</v>
      </c>
      <c r="O107" s="122">
        <f t="shared" ca="1" si="17"/>
        <v>2.6333333333333333</v>
      </c>
      <c r="P107" s="121">
        <f t="shared" ca="1" si="18"/>
        <v>-0.17839419463441916</v>
      </c>
      <c r="Q107" s="118">
        <f t="shared" ca="1" si="19"/>
        <v>6016.533197425777</v>
      </c>
      <c r="R107" s="118">
        <f t="shared" si="20"/>
        <v>-5912.7319039999993</v>
      </c>
      <c r="S107" s="123" t="s">
        <v>229</v>
      </c>
      <c r="T107" s="118" t="s">
        <v>216</v>
      </c>
      <c r="U107" s="118" t="s">
        <v>217</v>
      </c>
      <c r="V107" s="118" t="s">
        <v>223</v>
      </c>
      <c r="W107" s="118" t="s">
        <v>219</v>
      </c>
    </row>
    <row r="108" spans="2:23" x14ac:dyDescent="0.3">
      <c r="B108" s="116" t="e" vm="7">
        <v>#VALUE!</v>
      </c>
      <c r="C108" s="117">
        <v>46176</v>
      </c>
      <c r="D108" s="116">
        <v>46</v>
      </c>
      <c r="E108" s="118">
        <v>128.08000000000001</v>
      </c>
      <c r="F108" s="118">
        <f>D108*E108*0.0022+3.44</f>
        <v>16.401696000000001</v>
      </c>
      <c r="G108" s="118">
        <f t="shared" si="11"/>
        <v>5908.0816960000002</v>
      </c>
      <c r="H108" s="119">
        <f t="shared" si="12"/>
        <v>2.7838742090541238E-3</v>
      </c>
      <c r="I108" s="120" cm="1">
        <f t="array" aca="1" ref="I108" ca="1">_FV(B108,"Price")</f>
        <v>118.69</v>
      </c>
      <c r="J108" s="118">
        <f t="shared" ca="1" si="13"/>
        <v>5444.5407706258584</v>
      </c>
      <c r="K108" s="118">
        <f t="shared" ca="1" si="14"/>
        <v>5459.74</v>
      </c>
      <c r="L108" s="118">
        <v>0</v>
      </c>
      <c r="M108" s="118">
        <f t="shared" ca="1" si="15"/>
        <v>-463.54092537414181</v>
      </c>
      <c r="N108" s="121">
        <f t="shared" ca="1" si="16"/>
        <v>-7.8458787340056069E-2</v>
      </c>
      <c r="O108" s="122">
        <f t="shared" ca="1" si="17"/>
        <v>1.6666666666666667</v>
      </c>
      <c r="P108" s="121">
        <f t="shared" ca="1" si="18"/>
        <v>-0.56490326884840369</v>
      </c>
      <c r="Q108" s="118">
        <f t="shared" ca="1" si="19"/>
        <v>5973.7270481777778</v>
      </c>
      <c r="R108" s="118">
        <f t="shared" si="20"/>
        <v>-5908.0816960000002</v>
      </c>
      <c r="S108" s="123" t="s">
        <v>229</v>
      </c>
      <c r="T108" s="118" t="s">
        <v>216</v>
      </c>
      <c r="U108" s="118" t="s">
        <v>217</v>
      </c>
      <c r="V108" s="118" t="s">
        <v>223</v>
      </c>
      <c r="W108" s="118" t="s">
        <v>219</v>
      </c>
    </row>
    <row r="109" spans="2:23" x14ac:dyDescent="0.3">
      <c r="B109" s="116" t="e" vm="7">
        <v>#VALUE!</v>
      </c>
      <c r="C109" s="117">
        <v>46204</v>
      </c>
      <c r="D109" s="116">
        <v>1260</v>
      </c>
      <c r="E109" s="118">
        <v>114.7</v>
      </c>
      <c r="F109" s="118">
        <f>D109*E109*0.0022+84.64</f>
        <v>402.58839999999998</v>
      </c>
      <c r="G109" s="118">
        <f t="shared" si="11"/>
        <v>144924.58840000001</v>
      </c>
      <c r="H109" s="119">
        <f t="shared" si="12"/>
        <v>2.7856547792031662E-3</v>
      </c>
      <c r="I109" s="120" cm="1">
        <f t="array" aca="1" ref="I109" ca="1">_FV(B109,"Price")</f>
        <v>118.69</v>
      </c>
      <c r="J109" s="118">
        <f t="shared" ca="1" si="13"/>
        <v>149132.80699916303</v>
      </c>
      <c r="K109" s="118">
        <f t="shared" ca="1" si="14"/>
        <v>149549.4</v>
      </c>
      <c r="L109" s="118">
        <v>0</v>
      </c>
      <c r="M109" s="118">
        <f t="shared" ca="1" si="15"/>
        <v>4208.2185991630249</v>
      </c>
      <c r="N109" s="121">
        <f t="shared" ca="1" si="16"/>
        <v>2.9037298954047087E-2</v>
      </c>
      <c r="O109" s="122">
        <f t="shared" ca="1" si="17"/>
        <v>0.73333333333333328</v>
      </c>
      <c r="P109" s="121">
        <f t="shared" ca="1" si="18"/>
        <v>0.47515580106622513</v>
      </c>
      <c r="Q109" s="118">
        <f t="shared" ca="1" si="19"/>
        <v>145633.10860995555</v>
      </c>
      <c r="R109" s="118">
        <f t="shared" si="20"/>
        <v>-144924.58840000001</v>
      </c>
      <c r="S109" s="123" t="s">
        <v>229</v>
      </c>
      <c r="T109" s="118" t="s">
        <v>216</v>
      </c>
      <c r="U109" s="118" t="s">
        <v>217</v>
      </c>
      <c r="V109" s="118" t="s">
        <v>223</v>
      </c>
      <c r="W109" s="118" t="s">
        <v>219</v>
      </c>
    </row>
    <row r="110" spans="2:23" x14ac:dyDescent="0.3">
      <c r="B110" s="116" t="e" vm="7">
        <v>#VALUE!</v>
      </c>
      <c r="C110" s="117">
        <v>46206</v>
      </c>
      <c r="D110" s="116">
        <v>49</v>
      </c>
      <c r="E110" s="118">
        <v>120.25</v>
      </c>
      <c r="F110" s="118">
        <f>D110*E110*0.0022+3.44</f>
        <v>16.402950000000001</v>
      </c>
      <c r="G110" s="118">
        <f t="shared" si="11"/>
        <v>5908.6529499999997</v>
      </c>
      <c r="H110" s="119">
        <f t="shared" si="12"/>
        <v>2.7838177266748696E-3</v>
      </c>
      <c r="I110" s="120" cm="1">
        <f t="array" aca="1" ref="I110" ca="1">_FV(B110,"Price")</f>
        <v>118.69</v>
      </c>
      <c r="J110" s="118">
        <f t="shared" ca="1" si="13"/>
        <v>5799.6198450270267</v>
      </c>
      <c r="K110" s="118">
        <f t="shared" ca="1" si="14"/>
        <v>5815.8099999999995</v>
      </c>
      <c r="L110" s="118">
        <v>0</v>
      </c>
      <c r="M110" s="118">
        <f t="shared" ca="1" si="15"/>
        <v>-109.03310497297298</v>
      </c>
      <c r="N110" s="121">
        <f t="shared" ca="1" si="16"/>
        <v>-1.8453123900765398E-2</v>
      </c>
      <c r="O110" s="122">
        <f t="shared" ca="1" si="17"/>
        <v>0.66666666666666663</v>
      </c>
      <c r="P110" s="121">
        <f t="shared" ca="1" si="18"/>
        <v>-0.33215623021377716</v>
      </c>
      <c r="Q110" s="118">
        <f t="shared" ca="1" si="19"/>
        <v>5934.9136297777777</v>
      </c>
      <c r="R110" s="118">
        <f t="shared" si="20"/>
        <v>-5908.6529499999997</v>
      </c>
      <c r="S110" s="123" t="s">
        <v>229</v>
      </c>
      <c r="T110" s="118" t="s">
        <v>216</v>
      </c>
      <c r="U110" s="118" t="s">
        <v>217</v>
      </c>
      <c r="V110" s="118" t="s">
        <v>223</v>
      </c>
      <c r="W110" s="118" t="s">
        <v>219</v>
      </c>
    </row>
    <row r="111" spans="2:23" x14ac:dyDescent="0.3">
      <c r="B111" s="116" t="e" vm="8">
        <v>#VALUE!</v>
      </c>
      <c r="C111" s="117">
        <v>45526</v>
      </c>
      <c r="D111" s="116">
        <v>3</v>
      </c>
      <c r="E111" s="118">
        <v>1680.8</v>
      </c>
      <c r="F111" s="118">
        <f>D111*E111*0.0022+8</f>
        <v>19.09328</v>
      </c>
      <c r="G111" s="118">
        <f t="shared" si="11"/>
        <v>5061.4932799999997</v>
      </c>
      <c r="H111" s="119">
        <f t="shared" si="12"/>
        <v>3.7865460891638907E-3</v>
      </c>
      <c r="I111" s="120" cm="1">
        <f t="array" aca="1" ref="I111" ca="1">_FV(B111,"Price")</f>
        <v>1244.7</v>
      </c>
      <c r="J111" s="118">
        <f t="shared" ca="1" si="13"/>
        <v>3719.9606582484535</v>
      </c>
      <c r="K111" s="118">
        <f t="shared" ca="1" si="14"/>
        <v>3734.1000000000004</v>
      </c>
      <c r="L111" s="118">
        <f t="shared" ref="L111:L120" si="21">3*12+3*18+3*18+3*12+3*12</f>
        <v>216</v>
      </c>
      <c r="M111" s="118">
        <f t="shared" ca="1" si="15"/>
        <v>-1125.5326217515462</v>
      </c>
      <c r="N111" s="121">
        <f t="shared" ca="1" si="16"/>
        <v>-0.22237165189944622</v>
      </c>
      <c r="O111" s="122">
        <f t="shared" ca="1" si="17"/>
        <v>23.033333333333335</v>
      </c>
      <c r="P111" s="121">
        <f t="shared" ca="1" si="18"/>
        <v>-0.11585209071461741</v>
      </c>
      <c r="Q111" s="118">
        <f t="shared" ca="1" si="19"/>
        <v>5838.7136925511104</v>
      </c>
      <c r="R111" s="118">
        <f t="shared" si="20"/>
        <v>-5061.4932799999997</v>
      </c>
      <c r="S111" s="123" t="s">
        <v>230</v>
      </c>
      <c r="T111" s="118" t="s">
        <v>216</v>
      </c>
      <c r="U111" s="118" t="s">
        <v>217</v>
      </c>
      <c r="V111" s="118" t="s">
        <v>231</v>
      </c>
      <c r="W111" s="118" t="s">
        <v>219</v>
      </c>
    </row>
    <row r="112" spans="2:23" x14ac:dyDescent="0.3">
      <c r="B112" s="116" t="e" vm="8">
        <v>#VALUE!</v>
      </c>
      <c r="C112" s="117">
        <v>45541</v>
      </c>
      <c r="D112" s="116">
        <v>3</v>
      </c>
      <c r="E112" s="118">
        <v>1756.95</v>
      </c>
      <c r="F112" s="118">
        <f>D112*E112*0.0022+8.36</f>
        <v>19.955870000000001</v>
      </c>
      <c r="G112" s="118">
        <f t="shared" si="11"/>
        <v>5290.8058700000001</v>
      </c>
      <c r="H112" s="119">
        <f t="shared" si="12"/>
        <v>3.7860819412428733E-3</v>
      </c>
      <c r="I112" s="120" cm="1">
        <f t="array" aca="1" ref="I112" ca="1">_FV(B112,"Price")</f>
        <v>1244.7</v>
      </c>
      <c r="J112" s="118">
        <f t="shared" ca="1" si="13"/>
        <v>3719.9623914232052</v>
      </c>
      <c r="K112" s="118">
        <f t="shared" ca="1" si="14"/>
        <v>3734.1000000000004</v>
      </c>
      <c r="L112" s="118">
        <f t="shared" si="21"/>
        <v>216</v>
      </c>
      <c r="M112" s="118">
        <f t="shared" ca="1" si="15"/>
        <v>-1354.843478576795</v>
      </c>
      <c r="N112" s="121">
        <f t="shared" ca="1" si="16"/>
        <v>-0.25607506906633015</v>
      </c>
      <c r="O112" s="122">
        <f t="shared" ca="1" si="17"/>
        <v>22.566666666666666</v>
      </c>
      <c r="P112" s="121">
        <f t="shared" ca="1" si="18"/>
        <v>-0.13616990378711796</v>
      </c>
      <c r="Q112" s="118">
        <f t="shared" ca="1" si="19"/>
        <v>6086.778219775556</v>
      </c>
      <c r="R112" s="118">
        <f t="shared" si="20"/>
        <v>-5290.8058700000001</v>
      </c>
      <c r="S112" s="123" t="s">
        <v>230</v>
      </c>
      <c r="T112" s="118" t="s">
        <v>216</v>
      </c>
      <c r="U112" s="118" t="s">
        <v>217</v>
      </c>
      <c r="V112" s="118" t="s">
        <v>231</v>
      </c>
      <c r="W112" s="118" t="s">
        <v>219</v>
      </c>
    </row>
    <row r="113" spans="2:23" x14ac:dyDescent="0.3">
      <c r="B113" s="116" t="e" vm="8">
        <v>#VALUE!</v>
      </c>
      <c r="C113" s="117">
        <v>45558</v>
      </c>
      <c r="D113" s="116">
        <v>3</v>
      </c>
      <c r="E113" s="118">
        <v>1740.35</v>
      </c>
      <c r="F113" s="118">
        <f>D113*E113*0.0022+8.28</f>
        <v>19.766309999999997</v>
      </c>
      <c r="G113" s="118">
        <f t="shared" si="11"/>
        <v>5240.8163099999992</v>
      </c>
      <c r="H113" s="119">
        <f t="shared" si="12"/>
        <v>3.785887896112851E-3</v>
      </c>
      <c r="I113" s="120" cm="1">
        <f t="array" aca="1" ref="I113" ca="1">_FV(B113,"Price")</f>
        <v>1244.7</v>
      </c>
      <c r="J113" s="118">
        <f t="shared" ca="1" si="13"/>
        <v>3719.9631160071253</v>
      </c>
      <c r="K113" s="118">
        <f t="shared" ca="1" si="14"/>
        <v>3734.1000000000004</v>
      </c>
      <c r="L113" s="118">
        <f t="shared" si="21"/>
        <v>216</v>
      </c>
      <c r="M113" s="118">
        <f t="shared" ca="1" si="15"/>
        <v>-1304.8531939928739</v>
      </c>
      <c r="N113" s="121">
        <f t="shared" ca="1" si="16"/>
        <v>-0.24897899808147905</v>
      </c>
      <c r="O113" s="122">
        <f t="shared" ca="1" si="17"/>
        <v>22</v>
      </c>
      <c r="P113" s="121">
        <f t="shared" ca="1" si="18"/>
        <v>-0.1358067262262613</v>
      </c>
      <c r="Q113" s="118">
        <f t="shared" ca="1" si="19"/>
        <v>6009.4693687999988</v>
      </c>
      <c r="R113" s="118">
        <f t="shared" si="20"/>
        <v>-5240.8163099999992</v>
      </c>
      <c r="S113" s="123" t="s">
        <v>230</v>
      </c>
      <c r="T113" s="118" t="s">
        <v>216</v>
      </c>
      <c r="U113" s="118" t="s">
        <v>217</v>
      </c>
      <c r="V113" s="118" t="s">
        <v>231</v>
      </c>
      <c r="W113" s="118" t="s">
        <v>219</v>
      </c>
    </row>
    <row r="114" spans="2:23" x14ac:dyDescent="0.3">
      <c r="B114" s="116" t="e" vm="8">
        <v>#VALUE!</v>
      </c>
      <c r="C114" s="117">
        <v>45572</v>
      </c>
      <c r="D114" s="116">
        <v>3</v>
      </c>
      <c r="E114" s="118">
        <v>1773.35</v>
      </c>
      <c r="F114" s="118">
        <f>D114*E114*0.0022+8.43</f>
        <v>20.13411</v>
      </c>
      <c r="G114" s="118">
        <f t="shared" si="11"/>
        <v>5340.1841099999992</v>
      </c>
      <c r="H114" s="119">
        <f t="shared" si="12"/>
        <v>3.7845715735754367E-3</v>
      </c>
      <c r="I114" s="120" cm="1">
        <f t="array" aca="1" ref="I114" ca="1">_FV(B114,"Price")</f>
        <v>1244.7</v>
      </c>
      <c r="J114" s="118">
        <f t="shared" ca="1" si="13"/>
        <v>3719.9680312871124</v>
      </c>
      <c r="K114" s="118">
        <f t="shared" ca="1" si="14"/>
        <v>3734.1000000000004</v>
      </c>
      <c r="L114" s="118">
        <f t="shared" si="21"/>
        <v>216</v>
      </c>
      <c r="M114" s="118">
        <f t="shared" ca="1" si="15"/>
        <v>-1404.2160787128869</v>
      </c>
      <c r="N114" s="121">
        <f t="shared" ca="1" si="16"/>
        <v>-0.26295274653234513</v>
      </c>
      <c r="O114" s="122">
        <f t="shared" ca="1" si="17"/>
        <v>21.533333333333335</v>
      </c>
      <c r="P114" s="121">
        <f t="shared" ca="1" si="18"/>
        <v>-0.14653713429047097</v>
      </c>
      <c r="Q114" s="118">
        <f t="shared" ca="1" si="19"/>
        <v>6106.7972066799994</v>
      </c>
      <c r="R114" s="118">
        <f t="shared" si="20"/>
        <v>-5340.1841099999992</v>
      </c>
      <c r="S114" s="123" t="s">
        <v>230</v>
      </c>
      <c r="T114" s="118" t="s">
        <v>216</v>
      </c>
      <c r="U114" s="118" t="s">
        <v>217</v>
      </c>
      <c r="V114" s="118" t="s">
        <v>231</v>
      </c>
      <c r="W114" s="118" t="s">
        <v>219</v>
      </c>
    </row>
    <row r="115" spans="2:23" x14ac:dyDescent="0.3">
      <c r="B115" s="116" t="e" vm="8">
        <v>#VALUE!</v>
      </c>
      <c r="C115" s="117">
        <v>45586</v>
      </c>
      <c r="D115" s="116">
        <v>3</v>
      </c>
      <c r="E115" s="118">
        <v>1855.7</v>
      </c>
      <c r="F115" s="118">
        <f>D115*E115*0.0022+8.83</f>
        <v>21.077620000000003</v>
      </c>
      <c r="G115" s="118">
        <f t="shared" si="11"/>
        <v>5588.1776200000004</v>
      </c>
      <c r="H115" s="119">
        <f t="shared" si="12"/>
        <v>3.786104075730632E-3</v>
      </c>
      <c r="I115" s="120" cm="1">
        <f t="array" aca="1" ref="I115" ca="1">_FV(B115,"Price")</f>
        <v>1244.7</v>
      </c>
      <c r="J115" s="118">
        <f t="shared" ca="1" si="13"/>
        <v>3719.9623087708146</v>
      </c>
      <c r="K115" s="118">
        <f t="shared" ca="1" si="14"/>
        <v>3734.1000000000004</v>
      </c>
      <c r="L115" s="118">
        <f t="shared" si="21"/>
        <v>216</v>
      </c>
      <c r="M115" s="118">
        <f t="shared" ca="1" si="15"/>
        <v>-1652.2153112291858</v>
      </c>
      <c r="N115" s="121">
        <f t="shared" ca="1" si="16"/>
        <v>-0.29566263343454458</v>
      </c>
      <c r="O115" s="122">
        <f t="shared" ca="1" si="17"/>
        <v>21.066666666666666</v>
      </c>
      <c r="P115" s="121">
        <f t="shared" ca="1" si="18"/>
        <v>-0.16841542410828489</v>
      </c>
      <c r="Q115" s="118">
        <f t="shared" ca="1" si="19"/>
        <v>6373.006121297778</v>
      </c>
      <c r="R115" s="118">
        <f t="shared" si="20"/>
        <v>-5588.1776200000004</v>
      </c>
      <c r="S115" s="123" t="s">
        <v>230</v>
      </c>
      <c r="T115" s="118" t="s">
        <v>216</v>
      </c>
      <c r="U115" s="118" t="s">
        <v>217</v>
      </c>
      <c r="V115" s="118" t="s">
        <v>231</v>
      </c>
      <c r="W115" s="118" t="s">
        <v>219</v>
      </c>
    </row>
    <row r="116" spans="2:23" x14ac:dyDescent="0.3">
      <c r="B116" s="116" t="e" vm="8">
        <v>#VALUE!</v>
      </c>
      <c r="C116" s="117">
        <v>45601</v>
      </c>
      <c r="D116" s="116">
        <v>3</v>
      </c>
      <c r="E116" s="118">
        <v>1770.4</v>
      </c>
      <c r="F116" s="118">
        <f>D116*E116*0.0022+8.41</f>
        <v>20.094640000000002</v>
      </c>
      <c r="G116" s="118">
        <f t="shared" si="11"/>
        <v>5331.294640000001</v>
      </c>
      <c r="H116" s="119">
        <f t="shared" si="12"/>
        <v>3.7834463021539388E-3</v>
      </c>
      <c r="I116" s="120" cm="1">
        <f t="array" aca="1" ref="I116" ca="1">_FV(B116,"Price")</f>
        <v>1244.7</v>
      </c>
      <c r="J116" s="118">
        <f t="shared" ca="1" si="13"/>
        <v>3719.9722331631269</v>
      </c>
      <c r="K116" s="118">
        <f t="shared" ca="1" si="14"/>
        <v>3734.1000000000004</v>
      </c>
      <c r="L116" s="118">
        <f t="shared" si="21"/>
        <v>216</v>
      </c>
      <c r="M116" s="118">
        <f t="shared" ca="1" si="15"/>
        <v>-1395.3224068368741</v>
      </c>
      <c r="N116" s="121">
        <f t="shared" ca="1" si="16"/>
        <v>-0.26172299620582851</v>
      </c>
      <c r="O116" s="122">
        <f t="shared" ca="1" si="17"/>
        <v>20.6</v>
      </c>
      <c r="P116" s="121">
        <f t="shared" ca="1" si="18"/>
        <v>-0.15245999778980301</v>
      </c>
      <c r="Q116" s="118">
        <f t="shared" ca="1" si="19"/>
        <v>6063.459103893334</v>
      </c>
      <c r="R116" s="118">
        <f t="shared" si="20"/>
        <v>-5331.294640000001</v>
      </c>
      <c r="S116" s="123" t="s">
        <v>230</v>
      </c>
      <c r="T116" s="118" t="s">
        <v>216</v>
      </c>
      <c r="U116" s="118" t="s">
        <v>217</v>
      </c>
      <c r="V116" s="118" t="s">
        <v>231</v>
      </c>
      <c r="W116" s="118" t="s">
        <v>219</v>
      </c>
    </row>
    <row r="117" spans="2:23" x14ac:dyDescent="0.3">
      <c r="B117" s="116" t="e" vm="8">
        <v>#VALUE!</v>
      </c>
      <c r="C117" s="117">
        <v>45617</v>
      </c>
      <c r="D117" s="116">
        <v>3</v>
      </c>
      <c r="E117" s="118">
        <v>1827.65</v>
      </c>
      <c r="F117" s="118">
        <f>D117*E117*0.0022+8.67</f>
        <v>20.732490000000002</v>
      </c>
      <c r="G117" s="118">
        <f t="shared" si="11"/>
        <v>5503.6824900000011</v>
      </c>
      <c r="H117" s="119">
        <f t="shared" si="12"/>
        <v>3.7812655595983913E-3</v>
      </c>
      <c r="I117" s="120" cm="1">
        <f t="array" aca="1" ref="I117" ca="1">_FV(B117,"Price")</f>
        <v>1244.7</v>
      </c>
      <c r="J117" s="118">
        <f t="shared" ca="1" si="13"/>
        <v>3719.9803762739043</v>
      </c>
      <c r="K117" s="118">
        <f t="shared" ca="1" si="14"/>
        <v>3734.1000000000004</v>
      </c>
      <c r="L117" s="118">
        <f t="shared" si="21"/>
        <v>216</v>
      </c>
      <c r="M117" s="118">
        <f t="shared" ca="1" si="15"/>
        <v>-1567.7021137260967</v>
      </c>
      <c r="N117" s="121">
        <f t="shared" ca="1" si="16"/>
        <v>-0.2848460311027311</v>
      </c>
      <c r="O117" s="122">
        <f t="shared" ca="1" si="17"/>
        <v>20.066666666666666</v>
      </c>
      <c r="P117" s="121">
        <f t="shared" ca="1" si="18"/>
        <v>-0.1703398192640917</v>
      </c>
      <c r="Q117" s="118">
        <f t="shared" ca="1" si="19"/>
        <v>6239.9529031066677</v>
      </c>
      <c r="R117" s="118">
        <f t="shared" si="20"/>
        <v>-5503.6824900000011</v>
      </c>
      <c r="S117" s="123" t="s">
        <v>230</v>
      </c>
      <c r="T117" s="118" t="s">
        <v>216</v>
      </c>
      <c r="U117" s="118" t="s">
        <v>217</v>
      </c>
      <c r="V117" s="118" t="s">
        <v>231</v>
      </c>
      <c r="W117" s="118" t="s">
        <v>219</v>
      </c>
    </row>
    <row r="118" spans="2:23" x14ac:dyDescent="0.3">
      <c r="B118" s="116" t="e" vm="8">
        <v>#VALUE!</v>
      </c>
      <c r="C118" s="117">
        <v>45631</v>
      </c>
      <c r="D118" s="116">
        <v>3</v>
      </c>
      <c r="E118" s="118">
        <v>1891.55</v>
      </c>
      <c r="F118" s="118">
        <f>D118*E118*0.0022+8.98</f>
        <v>21.464230000000001</v>
      </c>
      <c r="G118" s="118">
        <f t="shared" si="11"/>
        <v>5696.1142299999992</v>
      </c>
      <c r="H118" s="119">
        <f t="shared" si="12"/>
        <v>3.7824764522922123E-3</v>
      </c>
      <c r="I118" s="120" cm="1">
        <f t="array" aca="1" ref="I118" ca="1">_FV(B118,"Price")</f>
        <v>1244.7</v>
      </c>
      <c r="J118" s="118">
        <f t="shared" ca="1" si="13"/>
        <v>3719.975854679496</v>
      </c>
      <c r="K118" s="118">
        <f t="shared" ca="1" si="14"/>
        <v>3734.1000000000004</v>
      </c>
      <c r="L118" s="118">
        <f t="shared" si="21"/>
        <v>216</v>
      </c>
      <c r="M118" s="118">
        <f t="shared" ca="1" si="15"/>
        <v>-1760.1383753205032</v>
      </c>
      <c r="N118" s="121">
        <f t="shared" ca="1" si="16"/>
        <v>-0.30900686051032783</v>
      </c>
      <c r="O118" s="122">
        <f t="shared" ca="1" si="17"/>
        <v>19.600000000000001</v>
      </c>
      <c r="P118" s="121">
        <f t="shared" ca="1" si="18"/>
        <v>-0.18918787378183333</v>
      </c>
      <c r="Q118" s="118">
        <f t="shared" ca="1" si="19"/>
        <v>6440.4064893866662</v>
      </c>
      <c r="R118" s="118">
        <f t="shared" si="20"/>
        <v>-5696.1142299999992</v>
      </c>
      <c r="S118" s="123" t="s">
        <v>230</v>
      </c>
      <c r="T118" s="118" t="s">
        <v>216</v>
      </c>
      <c r="U118" s="118" t="s">
        <v>217</v>
      </c>
      <c r="V118" s="118" t="s">
        <v>231</v>
      </c>
      <c r="W118" s="118" t="s">
        <v>219</v>
      </c>
    </row>
    <row r="119" spans="2:23" x14ac:dyDescent="0.3">
      <c r="B119" s="116" t="e" vm="8">
        <v>#VALUE!</v>
      </c>
      <c r="C119" s="117">
        <v>45646</v>
      </c>
      <c r="D119" s="116">
        <v>3</v>
      </c>
      <c r="E119" s="118">
        <v>1922</v>
      </c>
      <c r="F119" s="118">
        <f>D119*E119*0.0022+9.13</f>
        <v>21.815200000000001</v>
      </c>
      <c r="G119" s="118">
        <f t="shared" si="11"/>
        <v>5787.8152</v>
      </c>
      <c r="H119" s="119">
        <f t="shared" si="12"/>
        <v>3.7834200485605276E-3</v>
      </c>
      <c r="I119" s="120" cm="1">
        <f t="array" aca="1" ref="I119" ca="1">_FV(B119,"Price")</f>
        <v>1244.7</v>
      </c>
      <c r="J119" s="118">
        <f t="shared" ca="1" si="13"/>
        <v>3719.9723311966704</v>
      </c>
      <c r="K119" s="118">
        <f t="shared" ca="1" si="14"/>
        <v>3734.1000000000004</v>
      </c>
      <c r="L119" s="118">
        <f t="shared" si="21"/>
        <v>216</v>
      </c>
      <c r="M119" s="118">
        <f t="shared" ca="1" si="15"/>
        <v>-1851.8428688033296</v>
      </c>
      <c r="N119" s="121">
        <f t="shared" ca="1" si="16"/>
        <v>-0.3199554244239397</v>
      </c>
      <c r="O119" s="122">
        <f t="shared" ca="1" si="17"/>
        <v>19.100000000000001</v>
      </c>
      <c r="P119" s="121">
        <f t="shared" ca="1" si="18"/>
        <v>-0.20101911482132337</v>
      </c>
      <c r="Q119" s="118">
        <f t="shared" ca="1" si="19"/>
        <v>6524.7970021333331</v>
      </c>
      <c r="R119" s="118">
        <f t="shared" si="20"/>
        <v>-5787.8152</v>
      </c>
      <c r="S119" s="123" t="s">
        <v>230</v>
      </c>
      <c r="T119" s="118" t="s">
        <v>216</v>
      </c>
      <c r="U119" s="118" t="s">
        <v>217</v>
      </c>
      <c r="V119" s="118" t="s">
        <v>231</v>
      </c>
      <c r="W119" s="118" t="s">
        <v>219</v>
      </c>
    </row>
    <row r="120" spans="2:23" x14ac:dyDescent="0.3">
      <c r="B120" s="116" t="e" vm="8">
        <v>#VALUE!</v>
      </c>
      <c r="C120" s="117">
        <v>45663</v>
      </c>
      <c r="D120" s="116">
        <v>3</v>
      </c>
      <c r="E120" s="118">
        <v>1940</v>
      </c>
      <c r="F120" s="118">
        <f>D120*E120*0.0022+9.21</f>
        <v>22.014000000000003</v>
      </c>
      <c r="G120" s="118">
        <f t="shared" si="11"/>
        <v>5842.0140000000001</v>
      </c>
      <c r="H120" s="119">
        <f t="shared" si="12"/>
        <v>3.7824742268041242E-3</v>
      </c>
      <c r="I120" s="120" cm="1">
        <f t="array" aca="1" ref="I120" ca="1">_FV(B120,"Price")</f>
        <v>1244.7</v>
      </c>
      <c r="J120" s="118">
        <f t="shared" ca="1" si="13"/>
        <v>3719.975862989691</v>
      </c>
      <c r="K120" s="118">
        <f t="shared" ca="1" si="14"/>
        <v>3734.1000000000004</v>
      </c>
      <c r="L120" s="118">
        <f t="shared" si="21"/>
        <v>216</v>
      </c>
      <c r="M120" s="118">
        <f t="shared" ca="1" si="15"/>
        <v>-1906.0381370103091</v>
      </c>
      <c r="N120" s="121">
        <f t="shared" ca="1" si="16"/>
        <v>-0.3262638769798068</v>
      </c>
      <c r="O120" s="122">
        <f t="shared" ca="1" si="17"/>
        <v>18.566666666666666</v>
      </c>
      <c r="P120" s="121">
        <f t="shared" ca="1" si="18"/>
        <v>-0.21087072838910315</v>
      </c>
      <c r="Q120" s="118">
        <f t="shared" ca="1" si="19"/>
        <v>6565.1255106666667</v>
      </c>
      <c r="R120" s="118">
        <f t="shared" si="20"/>
        <v>-5842.0140000000001</v>
      </c>
      <c r="S120" s="123" t="s">
        <v>230</v>
      </c>
      <c r="T120" s="118" t="s">
        <v>216</v>
      </c>
      <c r="U120" s="118" t="s">
        <v>217</v>
      </c>
      <c r="V120" s="118" t="s">
        <v>231</v>
      </c>
      <c r="W120" s="118" t="s">
        <v>219</v>
      </c>
    </row>
    <row r="121" spans="2:23" x14ac:dyDescent="0.3">
      <c r="B121" s="116" t="e" vm="8">
        <v>#VALUE!</v>
      </c>
      <c r="C121" s="117">
        <v>45677</v>
      </c>
      <c r="D121" s="116">
        <v>3</v>
      </c>
      <c r="E121" s="118">
        <v>1780.5</v>
      </c>
      <c r="F121" s="118">
        <f>D121*E121*0.0022+8.24</f>
        <v>19.991300000000003</v>
      </c>
      <c r="G121" s="118">
        <f t="shared" si="11"/>
        <v>5361.4912999999997</v>
      </c>
      <c r="H121" s="119">
        <f t="shared" si="12"/>
        <v>3.7426378358139103E-3</v>
      </c>
      <c r="I121" s="120" cm="1">
        <f t="array" aca="1" ref="I121" ca="1">_FV(B121,"Price")</f>
        <v>1244.7</v>
      </c>
      <c r="J121" s="118">
        <f t="shared" ca="1" si="13"/>
        <v>3720.1246160572878</v>
      </c>
      <c r="K121" s="118">
        <f t="shared" ca="1" si="14"/>
        <v>3734.1000000000004</v>
      </c>
      <c r="L121" s="118">
        <f>3*18+3*12+3*12</f>
        <v>126</v>
      </c>
      <c r="M121" s="118">
        <f t="shared" ca="1" si="15"/>
        <v>-1515.3666839427119</v>
      </c>
      <c r="N121" s="121">
        <f t="shared" ca="1" si="16"/>
        <v>-0.28263902693318033</v>
      </c>
      <c r="O121" s="122">
        <f t="shared" ca="1" si="17"/>
        <v>18.100000000000001</v>
      </c>
      <c r="P121" s="121">
        <f t="shared" ca="1" si="18"/>
        <v>-0.18738499023194274</v>
      </c>
      <c r="Q121" s="118">
        <f t="shared" ca="1" si="19"/>
        <v>6008.4445835333327</v>
      </c>
      <c r="R121" s="118">
        <f t="shared" si="20"/>
        <v>-5361.4912999999997</v>
      </c>
      <c r="S121" s="123" t="s">
        <v>230</v>
      </c>
      <c r="T121" s="118" t="s">
        <v>216</v>
      </c>
      <c r="U121" s="118" t="s">
        <v>217</v>
      </c>
      <c r="V121" s="118" t="s">
        <v>231</v>
      </c>
      <c r="W121" s="118" t="s">
        <v>219</v>
      </c>
    </row>
    <row r="122" spans="2:23" x14ac:dyDescent="0.3">
      <c r="B122" s="116" t="e" vm="8">
        <v>#VALUE!</v>
      </c>
      <c r="C122" s="117">
        <v>45691</v>
      </c>
      <c r="D122" s="116">
        <v>3</v>
      </c>
      <c r="E122" s="118">
        <v>1679.45</v>
      </c>
      <c r="F122" s="118">
        <f>D122*E122*0.0022+7.98</f>
        <v>19.064370000000004</v>
      </c>
      <c r="G122" s="118">
        <f t="shared" si="11"/>
        <v>5057.4143700000004</v>
      </c>
      <c r="H122" s="119">
        <f t="shared" si="12"/>
        <v>3.7838518562624671E-3</v>
      </c>
      <c r="I122" s="120" cm="1">
        <f t="array" aca="1" ref="I122" ca="1">_FV(B122,"Price")</f>
        <v>1244.7</v>
      </c>
      <c r="J122" s="118">
        <f t="shared" ca="1" si="13"/>
        <v>3719.9707187835306</v>
      </c>
      <c r="K122" s="118">
        <f t="shared" ca="1" si="14"/>
        <v>3734.1000000000004</v>
      </c>
      <c r="L122" s="118">
        <f>3*18+3*12+3*12</f>
        <v>126</v>
      </c>
      <c r="M122" s="118">
        <f t="shared" ca="1" si="15"/>
        <v>-1211.4436512164698</v>
      </c>
      <c r="N122" s="121">
        <f t="shared" ca="1" si="16"/>
        <v>-0.23953814391848413</v>
      </c>
      <c r="O122" s="122">
        <f t="shared" ca="1" si="17"/>
        <v>17.666666666666668</v>
      </c>
      <c r="P122" s="121">
        <f t="shared" ca="1" si="18"/>
        <v>-0.16270515435972505</v>
      </c>
      <c r="Q122" s="118">
        <f t="shared" ca="1" si="19"/>
        <v>5653.0653958000003</v>
      </c>
      <c r="R122" s="118">
        <f t="shared" si="20"/>
        <v>-5057.4143700000004</v>
      </c>
      <c r="S122" s="123" t="s">
        <v>230</v>
      </c>
      <c r="T122" s="118" t="s">
        <v>216</v>
      </c>
      <c r="U122" s="118" t="s">
        <v>217</v>
      </c>
      <c r="V122" s="118" t="s">
        <v>231</v>
      </c>
      <c r="W122" s="118" t="s">
        <v>219</v>
      </c>
    </row>
    <row r="123" spans="2:23" x14ac:dyDescent="0.3">
      <c r="B123" s="116" t="e" vm="8">
        <v>#VALUE!</v>
      </c>
      <c r="C123" s="117">
        <v>45706</v>
      </c>
      <c r="D123" s="116">
        <v>3</v>
      </c>
      <c r="E123" s="118">
        <v>1712.7</v>
      </c>
      <c r="F123" s="118">
        <f>D123*E123*0.0022+8.14</f>
        <v>19.443820000000002</v>
      </c>
      <c r="G123" s="118">
        <f t="shared" si="11"/>
        <v>5157.5438200000008</v>
      </c>
      <c r="H123" s="119">
        <f t="shared" si="12"/>
        <v>3.7842432027403129E-3</v>
      </c>
      <c r="I123" s="120" cm="1">
        <f t="array" aca="1" ref="I123" ca="1">_FV(B123,"Price")</f>
        <v>1244.7</v>
      </c>
      <c r="J123" s="118">
        <f t="shared" ca="1" si="13"/>
        <v>3719.9692574566479</v>
      </c>
      <c r="K123" s="118">
        <f t="shared" ca="1" si="14"/>
        <v>3734.1000000000004</v>
      </c>
      <c r="L123" s="118">
        <f>3*18+3*12+3*12</f>
        <v>126</v>
      </c>
      <c r="M123" s="118">
        <f t="shared" ca="1" si="15"/>
        <v>-1311.5745625433528</v>
      </c>
      <c r="N123" s="121">
        <f t="shared" ca="1" si="16"/>
        <v>-0.25430216558845498</v>
      </c>
      <c r="O123" s="122">
        <f t="shared" ca="1" si="17"/>
        <v>17.166666666666668</v>
      </c>
      <c r="P123" s="121">
        <f t="shared" ca="1" si="18"/>
        <v>-0.17776462060552192</v>
      </c>
      <c r="Q123" s="118">
        <f t="shared" ca="1" si="19"/>
        <v>5747.7960571777785</v>
      </c>
      <c r="R123" s="118">
        <f t="shared" si="20"/>
        <v>-5157.5438200000008</v>
      </c>
      <c r="S123" s="123" t="s">
        <v>230</v>
      </c>
      <c r="T123" s="118" t="s">
        <v>216</v>
      </c>
      <c r="U123" s="118" t="s">
        <v>217</v>
      </c>
      <c r="V123" s="118" t="s">
        <v>231</v>
      </c>
      <c r="W123" s="118" t="s">
        <v>219</v>
      </c>
    </row>
    <row r="124" spans="2:23" x14ac:dyDescent="0.3">
      <c r="B124" s="116" t="e" vm="8">
        <v>#VALUE!</v>
      </c>
      <c r="C124" s="117">
        <v>45721</v>
      </c>
      <c r="D124" s="116">
        <v>3</v>
      </c>
      <c r="E124" s="118">
        <v>1565</v>
      </c>
      <c r="F124" s="118">
        <f>D124*E124*0.0022+7.44</f>
        <v>17.769000000000002</v>
      </c>
      <c r="G124" s="118">
        <f t="shared" si="11"/>
        <v>4712.7690000000002</v>
      </c>
      <c r="H124" s="119">
        <f t="shared" si="12"/>
        <v>3.7846645367412145E-3</v>
      </c>
      <c r="I124" s="120" cm="1">
        <f t="array" aca="1" ref="I124" ca="1">_FV(B124,"Price")</f>
        <v>1244.7</v>
      </c>
      <c r="J124" s="118">
        <f t="shared" ca="1" si="13"/>
        <v>3719.9676841533551</v>
      </c>
      <c r="K124" s="118">
        <f t="shared" ca="1" si="14"/>
        <v>3734.1000000000004</v>
      </c>
      <c r="L124" s="118">
        <f>3*18+3*12+3*12</f>
        <v>126</v>
      </c>
      <c r="M124" s="118">
        <f t="shared" ca="1" si="15"/>
        <v>-866.80131584664514</v>
      </c>
      <c r="N124" s="121">
        <f t="shared" ca="1" si="16"/>
        <v>-0.18392611983456966</v>
      </c>
      <c r="O124" s="122">
        <f t="shared" ca="1" si="17"/>
        <v>16.600000000000001</v>
      </c>
      <c r="P124" s="121">
        <f t="shared" ca="1" si="18"/>
        <v>-0.13295864084426723</v>
      </c>
      <c r="Q124" s="118">
        <f t="shared" ca="1" si="19"/>
        <v>5234.3154360000008</v>
      </c>
      <c r="R124" s="118">
        <f t="shared" si="20"/>
        <v>-4712.7690000000002</v>
      </c>
      <c r="S124" s="123" t="s">
        <v>230</v>
      </c>
      <c r="T124" s="118" t="s">
        <v>216</v>
      </c>
      <c r="U124" s="118" t="s">
        <v>217</v>
      </c>
      <c r="V124" s="118" t="s">
        <v>231</v>
      </c>
      <c r="W124" s="118" t="s">
        <v>219</v>
      </c>
    </row>
    <row r="125" spans="2:23" x14ac:dyDescent="0.3">
      <c r="B125" s="116" t="e" vm="8">
        <v>#VALUE!</v>
      </c>
      <c r="C125" s="117">
        <v>45736</v>
      </c>
      <c r="D125" s="116">
        <v>3</v>
      </c>
      <c r="E125" s="118">
        <v>1570.35</v>
      </c>
      <c r="F125" s="118">
        <f>D125*E125*0.0022+7.46</f>
        <v>17.824310000000001</v>
      </c>
      <c r="G125" s="118">
        <f t="shared" si="11"/>
        <v>4728.8743099999992</v>
      </c>
      <c r="H125" s="119">
        <f t="shared" si="12"/>
        <v>3.7835111068657739E-3</v>
      </c>
      <c r="I125" s="120" cm="1">
        <f t="array" aca="1" ref="I125" ca="1">_FV(B125,"Price")</f>
        <v>1244.7</v>
      </c>
      <c r="J125" s="118">
        <f t="shared" ca="1" si="13"/>
        <v>3719.971991175853</v>
      </c>
      <c r="K125" s="118">
        <f t="shared" ca="1" si="14"/>
        <v>3734.1000000000004</v>
      </c>
      <c r="L125" s="118">
        <f>3*18+3*12+3*12</f>
        <v>126</v>
      </c>
      <c r="M125" s="118">
        <f t="shared" ca="1" si="15"/>
        <v>-882.90231882414628</v>
      </c>
      <c r="N125" s="121">
        <f t="shared" ca="1" si="16"/>
        <v>-0.18670454339568743</v>
      </c>
      <c r="O125" s="122">
        <f t="shared" ca="1" si="17"/>
        <v>16.100000000000001</v>
      </c>
      <c r="P125" s="121">
        <f t="shared" ca="1" si="18"/>
        <v>-0.13915866588498441</v>
      </c>
      <c r="Q125" s="118">
        <f t="shared" ca="1" si="19"/>
        <v>5236.4401526066658</v>
      </c>
      <c r="R125" s="118">
        <f t="shared" si="20"/>
        <v>-4728.8743099999992</v>
      </c>
      <c r="S125" s="123" t="s">
        <v>230</v>
      </c>
      <c r="T125" s="118" t="s">
        <v>216</v>
      </c>
      <c r="U125" s="118" t="s">
        <v>217</v>
      </c>
      <c r="V125" s="118" t="s">
        <v>231</v>
      </c>
      <c r="W125" s="118" t="s">
        <v>219</v>
      </c>
    </row>
    <row r="126" spans="2:23" x14ac:dyDescent="0.3">
      <c r="B126" s="116" t="e" vm="8">
        <v>#VALUE!</v>
      </c>
      <c r="C126" s="117">
        <v>45751</v>
      </c>
      <c r="D126" s="116">
        <v>4</v>
      </c>
      <c r="E126" s="118">
        <v>1432.3</v>
      </c>
      <c r="F126" s="118">
        <f>D126*E126*0.0022+9.07</f>
        <v>21.674240000000001</v>
      </c>
      <c r="G126" s="118">
        <f t="shared" si="11"/>
        <v>5750.8742400000001</v>
      </c>
      <c r="H126" s="119">
        <f t="shared" si="12"/>
        <v>3.7831180618585493E-3</v>
      </c>
      <c r="I126" s="120" cm="1">
        <f t="array" aca="1" ref="I126" ca="1">_FV(B126,"Price")</f>
        <v>1244.7</v>
      </c>
      <c r="J126" s="118">
        <f t="shared" ca="1" si="13"/>
        <v>4959.9646117936181</v>
      </c>
      <c r="K126" s="118">
        <f t="shared" ca="1" si="14"/>
        <v>4978.8</v>
      </c>
      <c r="L126" s="118">
        <f>4*18+4*12+4*12</f>
        <v>168</v>
      </c>
      <c r="M126" s="118">
        <f t="shared" ca="1" si="15"/>
        <v>-622.90962820638197</v>
      </c>
      <c r="N126" s="121">
        <f t="shared" ca="1" si="16"/>
        <v>-0.10831564075488842</v>
      </c>
      <c r="O126" s="122">
        <f t="shared" ca="1" si="17"/>
        <v>15.633333333333333</v>
      </c>
      <c r="P126" s="121">
        <f t="shared" ca="1" si="18"/>
        <v>-8.3142069662600931E-2</v>
      </c>
      <c r="Q126" s="118">
        <f t="shared" ca="1" si="19"/>
        <v>6350.2431330133331</v>
      </c>
      <c r="R126" s="118">
        <f t="shared" si="20"/>
        <v>-5750.8742400000001</v>
      </c>
      <c r="S126" s="123" t="s">
        <v>230</v>
      </c>
      <c r="T126" s="118" t="s">
        <v>216</v>
      </c>
      <c r="U126" s="118" t="s">
        <v>217</v>
      </c>
      <c r="V126" s="118" t="s">
        <v>231</v>
      </c>
      <c r="W126" s="118" t="s">
        <v>219</v>
      </c>
    </row>
    <row r="127" spans="2:23" x14ac:dyDescent="0.3">
      <c r="B127" s="116" t="e" vm="8">
        <v>#VALUE!</v>
      </c>
      <c r="C127" s="117">
        <v>45768</v>
      </c>
      <c r="D127" s="116">
        <v>4</v>
      </c>
      <c r="E127" s="118">
        <v>1464</v>
      </c>
      <c r="F127" s="118">
        <f>D127*E127*0.0022+9.28</f>
        <v>22.1632</v>
      </c>
      <c r="G127" s="118">
        <f t="shared" si="11"/>
        <v>5878.1632</v>
      </c>
      <c r="H127" s="119">
        <f t="shared" si="12"/>
        <v>3.7846994535519125E-3</v>
      </c>
      <c r="I127" s="120" cm="1">
        <f t="array" aca="1" ref="I127" ca="1">_FV(B127,"Price")</f>
        <v>1244.7</v>
      </c>
      <c r="J127" s="118">
        <f t="shared" ca="1" si="13"/>
        <v>4959.9567383606563</v>
      </c>
      <c r="K127" s="118">
        <f t="shared" ca="1" si="14"/>
        <v>4978.8</v>
      </c>
      <c r="L127" s="118">
        <f>4*18+4*12+4*12</f>
        <v>168</v>
      </c>
      <c r="M127" s="118">
        <f t="shared" ca="1" si="15"/>
        <v>-750.20646163934362</v>
      </c>
      <c r="N127" s="121">
        <f t="shared" ca="1" si="16"/>
        <v>-0.12762600086355949</v>
      </c>
      <c r="O127" s="122">
        <f t="shared" ca="1" si="17"/>
        <v>15.066666666666666</v>
      </c>
      <c r="P127" s="121">
        <f t="shared" ca="1" si="18"/>
        <v>-0.1016490272364633</v>
      </c>
      <c r="Q127" s="118">
        <f t="shared" ca="1" si="19"/>
        <v>6468.5920369777778</v>
      </c>
      <c r="R127" s="118">
        <f t="shared" si="20"/>
        <v>-5878.1632</v>
      </c>
      <c r="S127" s="123" t="s">
        <v>230</v>
      </c>
      <c r="T127" s="118" t="s">
        <v>216</v>
      </c>
      <c r="U127" s="118" t="s">
        <v>217</v>
      </c>
      <c r="V127" s="118" t="s">
        <v>231</v>
      </c>
      <c r="W127" s="118" t="s">
        <v>219</v>
      </c>
    </row>
    <row r="128" spans="2:23" x14ac:dyDescent="0.3">
      <c r="B128" s="116" t="e" vm="8">
        <v>#VALUE!</v>
      </c>
      <c r="C128" s="117">
        <v>45782</v>
      </c>
      <c r="D128" s="116">
        <v>3</v>
      </c>
      <c r="E128" s="118">
        <v>1575.7</v>
      </c>
      <c r="F128" s="118">
        <f>D128*E128*0.0022+7.49</f>
        <v>17.889620000000001</v>
      </c>
      <c r="G128" s="118">
        <f t="shared" si="11"/>
        <v>4744.9896200000003</v>
      </c>
      <c r="H128" s="119">
        <f t="shared" si="12"/>
        <v>3.7844809714201095E-3</v>
      </c>
      <c r="I128" s="120" cm="1">
        <f t="array" aca="1" ref="I128" ca="1">_FV(B128,"Price")</f>
        <v>1244.7</v>
      </c>
      <c r="J128" s="118">
        <f t="shared" ca="1" si="13"/>
        <v>3719.9683696046204</v>
      </c>
      <c r="K128" s="118">
        <f t="shared" ca="1" si="14"/>
        <v>3734.1000000000004</v>
      </c>
      <c r="L128" s="118">
        <f>3*12+3*12</f>
        <v>72</v>
      </c>
      <c r="M128" s="118">
        <f t="shared" ca="1" si="15"/>
        <v>-953.02125039537987</v>
      </c>
      <c r="N128" s="121">
        <f t="shared" ca="1" si="16"/>
        <v>-0.20084791047348588</v>
      </c>
      <c r="O128" s="122">
        <f t="shared" ca="1" si="17"/>
        <v>14.6</v>
      </c>
      <c r="P128" s="121">
        <f t="shared" ca="1" si="18"/>
        <v>-0.16508047436176923</v>
      </c>
      <c r="Q128" s="118">
        <f t="shared" ca="1" si="19"/>
        <v>5206.8352763466673</v>
      </c>
      <c r="R128" s="118">
        <f t="shared" si="20"/>
        <v>-4744.9896200000003</v>
      </c>
      <c r="S128" s="123" t="s">
        <v>230</v>
      </c>
      <c r="T128" s="118" t="s">
        <v>216</v>
      </c>
      <c r="U128" s="118" t="s">
        <v>217</v>
      </c>
      <c r="V128" s="118" t="s">
        <v>231</v>
      </c>
      <c r="W128" s="118" t="s">
        <v>219</v>
      </c>
    </row>
    <row r="129" spans="2:23" x14ac:dyDescent="0.3">
      <c r="B129" s="116" t="e" vm="8">
        <v>#VALUE!</v>
      </c>
      <c r="C129" s="117">
        <v>45796</v>
      </c>
      <c r="D129" s="116">
        <v>3</v>
      </c>
      <c r="E129" s="118">
        <v>1648.2</v>
      </c>
      <c r="F129" s="118">
        <f>D129*E129*0.0022+7.83</f>
        <v>18.708120000000001</v>
      </c>
      <c r="G129" s="118">
        <f t="shared" si="11"/>
        <v>4963.3081200000006</v>
      </c>
      <c r="H129" s="119">
        <f t="shared" si="12"/>
        <v>3.7835456862031305E-3</v>
      </c>
      <c r="I129" s="120" cm="1">
        <f t="array" aca="1" ref="I129" ca="1">_FV(B129,"Price")</f>
        <v>1244.7</v>
      </c>
      <c r="J129" s="118">
        <f t="shared" ca="1" si="13"/>
        <v>3719.9718620531494</v>
      </c>
      <c r="K129" s="118">
        <f t="shared" ca="1" si="14"/>
        <v>3734.1000000000004</v>
      </c>
      <c r="L129" s="118">
        <f>3*12+3*12</f>
        <v>72</v>
      </c>
      <c r="M129" s="118">
        <f t="shared" ca="1" si="15"/>
        <v>-1171.3362579468512</v>
      </c>
      <c r="N129" s="121">
        <f t="shared" ca="1" si="16"/>
        <v>-0.23599910173355329</v>
      </c>
      <c r="O129" s="122">
        <f t="shared" ca="1" si="17"/>
        <v>14.133333333333333</v>
      </c>
      <c r="P129" s="121">
        <f t="shared" ca="1" si="18"/>
        <v>-0.20037659581150752</v>
      </c>
      <c r="Q129" s="118">
        <f t="shared" ca="1" si="19"/>
        <v>5430.9620406400009</v>
      </c>
      <c r="R129" s="118">
        <f t="shared" si="20"/>
        <v>-4963.3081200000006</v>
      </c>
      <c r="S129" s="123" t="s">
        <v>230</v>
      </c>
      <c r="T129" s="118" t="s">
        <v>216</v>
      </c>
      <c r="U129" s="118" t="s">
        <v>217</v>
      </c>
      <c r="V129" s="118" t="s">
        <v>231</v>
      </c>
      <c r="W129" s="118" t="s">
        <v>219</v>
      </c>
    </row>
    <row r="130" spans="2:23" x14ac:dyDescent="0.3">
      <c r="B130" s="116" t="e" vm="8">
        <v>#VALUE!</v>
      </c>
      <c r="C130" s="117">
        <v>45811</v>
      </c>
      <c r="D130" s="116">
        <v>3</v>
      </c>
      <c r="E130" s="118">
        <v>1631.3</v>
      </c>
      <c r="F130" s="118">
        <f>D130*E130*0.0022+7.75</f>
        <v>18.516579999999998</v>
      </c>
      <c r="G130" s="118">
        <f t="shared" si="11"/>
        <v>4912.4165800000001</v>
      </c>
      <c r="H130" s="119">
        <f t="shared" si="12"/>
        <v>3.7836040785467623E-3</v>
      </c>
      <c r="I130" s="120" cm="1">
        <f t="array" aca="1" ref="I130" ca="1">_FV(B130,"Price")</f>
        <v>1244.7</v>
      </c>
      <c r="J130" s="118">
        <f t="shared" ca="1" si="13"/>
        <v>3719.9716440102989</v>
      </c>
      <c r="K130" s="118">
        <f t="shared" ca="1" si="14"/>
        <v>3734.1000000000004</v>
      </c>
      <c r="L130" s="118">
        <f>3*12+3*12</f>
        <v>72</v>
      </c>
      <c r="M130" s="118">
        <f t="shared" ca="1" si="15"/>
        <v>-1120.4449359897012</v>
      </c>
      <c r="N130" s="121">
        <f t="shared" ca="1" si="16"/>
        <v>-0.22808426723242214</v>
      </c>
      <c r="O130" s="122">
        <f t="shared" ca="1" si="17"/>
        <v>13.666666666666666</v>
      </c>
      <c r="P130" s="121">
        <f t="shared" ca="1" si="18"/>
        <v>-0.20026911269188286</v>
      </c>
      <c r="Q130" s="118">
        <f t="shared" ca="1" si="19"/>
        <v>5359.9923128444443</v>
      </c>
      <c r="R130" s="118">
        <f t="shared" si="20"/>
        <v>-4912.4165800000001</v>
      </c>
      <c r="S130" s="123" t="s">
        <v>230</v>
      </c>
      <c r="T130" s="118" t="s">
        <v>216</v>
      </c>
      <c r="U130" s="118" t="s">
        <v>217</v>
      </c>
      <c r="V130" s="118" t="s">
        <v>231</v>
      </c>
      <c r="W130" s="118" t="s">
        <v>219</v>
      </c>
    </row>
    <row r="131" spans="2:23" x14ac:dyDescent="0.3">
      <c r="B131" s="116" t="e" vm="8">
        <v>#VALUE!</v>
      </c>
      <c r="C131" s="117">
        <v>45826</v>
      </c>
      <c r="D131" s="116">
        <v>3</v>
      </c>
      <c r="E131" s="118">
        <v>1720.9</v>
      </c>
      <c r="F131" s="118">
        <f>D131*E131*0.0022+8.16</f>
        <v>19.517940000000003</v>
      </c>
      <c r="G131" s="118">
        <f t="shared" ref="G131:G194" si="22">(E131*D131)+F131</f>
        <v>5182.2179400000005</v>
      </c>
      <c r="H131" s="119">
        <f t="shared" ref="H131:H194" si="23">F131/(D131*E131)</f>
        <v>3.7805683072810741E-3</v>
      </c>
      <c r="I131" s="120" cm="1">
        <f t="array" aca="1" ref="I131" ca="1">_FV(B131,"Price")</f>
        <v>1244.7</v>
      </c>
      <c r="J131" s="118">
        <f t="shared" ref="J131:J194" ca="1" si="24">I131*D131*(1-H131)</f>
        <v>3719.9829798837818</v>
      </c>
      <c r="K131" s="118">
        <f t="shared" ref="K131:K194" ca="1" si="25">I131*D131</f>
        <v>3734.1000000000004</v>
      </c>
      <c r="L131" s="118">
        <f>3*12+3*12</f>
        <v>72</v>
      </c>
      <c r="M131" s="118">
        <f t="shared" ref="M131:M194" ca="1" si="26">J131-G131+L131</f>
        <v>-1390.2349601162186</v>
      </c>
      <c r="N131" s="121">
        <f t="shared" ref="N131:N194" ca="1" si="27">M131/G131</f>
        <v>-0.26827026115312674</v>
      </c>
      <c r="O131" s="122">
        <f t="shared" ref="O131:O194" ca="1" si="28">(DAYS360(C131,NOW(),TRUE))/30</f>
        <v>13.166666666666666</v>
      </c>
      <c r="P131" s="121">
        <f t="shared" ref="P131:P194" ca="1" si="29">(N131/O131)*12</f>
        <v>-0.24449947851930537</v>
      </c>
      <c r="Q131" s="118">
        <f t="shared" ref="Q131:Q194" ca="1" si="30">G131+((G131*O131*8)/(100*12))</f>
        <v>5637.1015147333337</v>
      </c>
      <c r="R131" s="118">
        <f t="shared" ref="R131:R194" si="31">-G131</f>
        <v>-5182.2179400000005</v>
      </c>
      <c r="S131" s="123" t="s">
        <v>230</v>
      </c>
      <c r="T131" s="118" t="s">
        <v>216</v>
      </c>
      <c r="U131" s="118" t="s">
        <v>217</v>
      </c>
      <c r="V131" s="118" t="s">
        <v>231</v>
      </c>
      <c r="W131" s="118" t="s">
        <v>219</v>
      </c>
    </row>
    <row r="132" spans="2:23" x14ac:dyDescent="0.3">
      <c r="B132" s="116" t="e" vm="8">
        <v>#VALUE!</v>
      </c>
      <c r="C132" s="117">
        <v>45841</v>
      </c>
      <c r="D132" s="116">
        <v>3</v>
      </c>
      <c r="E132" s="118">
        <v>1729.7</v>
      </c>
      <c r="F132" s="118">
        <f>D132*E132*0.0022+8.21</f>
        <v>19.626020000000004</v>
      </c>
      <c r="G132" s="118">
        <f t="shared" si="22"/>
        <v>5208.7260200000001</v>
      </c>
      <c r="H132" s="119">
        <f t="shared" si="23"/>
        <v>3.7821626100865281E-3</v>
      </c>
      <c r="I132" s="120" cm="1">
        <f t="array" aca="1" ref="I132" ca="1">_FV(B132,"Price")</f>
        <v>1244.7</v>
      </c>
      <c r="J132" s="118">
        <f t="shared" ca="1" si="24"/>
        <v>3719.9770265976763</v>
      </c>
      <c r="K132" s="118">
        <f t="shared" ca="1" si="25"/>
        <v>3734.1000000000004</v>
      </c>
      <c r="L132" s="118">
        <f>3*12+3*12</f>
        <v>72</v>
      </c>
      <c r="M132" s="118">
        <f t="shared" ca="1" si="26"/>
        <v>-1416.7489934023238</v>
      </c>
      <c r="N132" s="121">
        <f t="shared" ca="1" si="27"/>
        <v>-0.27199529941917039</v>
      </c>
      <c r="O132" s="122">
        <f t="shared" ca="1" si="28"/>
        <v>12.666666666666666</v>
      </c>
      <c r="P132" s="121">
        <f t="shared" ca="1" si="29"/>
        <v>-0.25767975734447723</v>
      </c>
      <c r="Q132" s="118">
        <f t="shared" ca="1" si="30"/>
        <v>5648.5739950222223</v>
      </c>
      <c r="R132" s="118">
        <f t="shared" si="31"/>
        <v>-5208.7260200000001</v>
      </c>
      <c r="S132" s="123" t="s">
        <v>230</v>
      </c>
      <c r="T132" s="118" t="s">
        <v>216</v>
      </c>
      <c r="U132" s="118" t="s">
        <v>217</v>
      </c>
      <c r="V132" s="118" t="s">
        <v>231</v>
      </c>
      <c r="W132" s="118" t="s">
        <v>219</v>
      </c>
    </row>
    <row r="133" spans="2:23" x14ac:dyDescent="0.3">
      <c r="B133" s="116" t="e" vm="8">
        <v>#VALUE!</v>
      </c>
      <c r="C133" s="117">
        <v>45873</v>
      </c>
      <c r="D133" s="116">
        <v>4</v>
      </c>
      <c r="E133" s="118">
        <v>1454.8</v>
      </c>
      <c r="F133" s="118">
        <f>D133*E133*0.0022+9.21</f>
        <v>22.012240000000002</v>
      </c>
      <c r="G133" s="118">
        <f t="shared" si="22"/>
        <v>5841.2122399999998</v>
      </c>
      <c r="H133" s="119">
        <f t="shared" si="23"/>
        <v>3.782691778938686E-3</v>
      </c>
      <c r="I133" s="120" cm="1">
        <f t="array" aca="1" ref="I133" ca="1">_FV(B133,"Price")</f>
        <v>1244.7</v>
      </c>
      <c r="J133" s="118">
        <f t="shared" ca="1" si="24"/>
        <v>4959.9667341710201</v>
      </c>
      <c r="K133" s="118">
        <f t="shared" ca="1" si="25"/>
        <v>4978.8</v>
      </c>
      <c r="L133" s="118">
        <f t="shared" ref="L133:L138" si="32">3*12</f>
        <v>36</v>
      </c>
      <c r="M133" s="118">
        <f t="shared" ca="1" si="26"/>
        <v>-845.24550582897973</v>
      </c>
      <c r="N133" s="121">
        <f t="shared" ca="1" si="27"/>
        <v>-0.1447037825540439</v>
      </c>
      <c r="O133" s="122">
        <f t="shared" ca="1" si="28"/>
        <v>11.633333333333333</v>
      </c>
      <c r="P133" s="121">
        <f t="shared" ca="1" si="29"/>
        <v>-0.14926464676061835</v>
      </c>
      <c r="Q133" s="118">
        <f t="shared" ca="1" si="30"/>
        <v>6294.230700391111</v>
      </c>
      <c r="R133" s="118">
        <f t="shared" si="31"/>
        <v>-5841.2122399999998</v>
      </c>
      <c r="S133" s="123" t="s">
        <v>230</v>
      </c>
      <c r="T133" s="118" t="s">
        <v>216</v>
      </c>
      <c r="U133" s="118" t="s">
        <v>217</v>
      </c>
      <c r="V133" s="118" t="s">
        <v>231</v>
      </c>
      <c r="W133" s="118" t="s">
        <v>219</v>
      </c>
    </row>
    <row r="134" spans="2:23" x14ac:dyDescent="0.3">
      <c r="B134" s="116" t="e" vm="8">
        <v>#VALUE!</v>
      </c>
      <c r="C134" s="117">
        <v>45903</v>
      </c>
      <c r="D134" s="116">
        <v>4</v>
      </c>
      <c r="E134" s="118">
        <v>1461.4</v>
      </c>
      <c r="F134" s="118">
        <f>D134*E134*0.0022+9.27</f>
        <v>22.130320000000001</v>
      </c>
      <c r="G134" s="118">
        <f t="shared" si="22"/>
        <v>5867.7303200000006</v>
      </c>
      <c r="H134" s="119">
        <f t="shared" si="23"/>
        <v>3.7858081291911863E-3</v>
      </c>
      <c r="I134" s="120" cm="1">
        <f t="array" aca="1" ref="I134" ca="1">_FV(B134,"Price")</f>
        <v>1244.7</v>
      </c>
      <c r="J134" s="118">
        <f t="shared" ca="1" si="24"/>
        <v>4959.9512184863834</v>
      </c>
      <c r="K134" s="118">
        <f t="shared" ca="1" si="25"/>
        <v>4978.8</v>
      </c>
      <c r="L134" s="118">
        <f t="shared" si="32"/>
        <v>36</v>
      </c>
      <c r="M134" s="118">
        <f t="shared" ca="1" si="26"/>
        <v>-871.77910151361721</v>
      </c>
      <c r="N134" s="121">
        <f t="shared" ca="1" si="27"/>
        <v>-0.14857177374736899</v>
      </c>
      <c r="O134" s="122">
        <f t="shared" ca="1" si="28"/>
        <v>10.666666666666666</v>
      </c>
      <c r="P134" s="121">
        <f t="shared" ca="1" si="29"/>
        <v>-0.16714324546579012</v>
      </c>
      <c r="Q134" s="118">
        <f t="shared" ca="1" si="30"/>
        <v>6284.9911427555562</v>
      </c>
      <c r="R134" s="118">
        <f t="shared" si="31"/>
        <v>-5867.7303200000006</v>
      </c>
      <c r="S134" s="123" t="s">
        <v>230</v>
      </c>
      <c r="T134" s="118" t="s">
        <v>216</v>
      </c>
      <c r="U134" s="118" t="s">
        <v>217</v>
      </c>
      <c r="V134" s="118" t="s">
        <v>231</v>
      </c>
      <c r="W134" s="118" t="s">
        <v>219</v>
      </c>
    </row>
    <row r="135" spans="2:23" x14ac:dyDescent="0.3">
      <c r="B135" s="116" t="e" vm="8">
        <v>#VALUE!</v>
      </c>
      <c r="C135" s="117">
        <v>45933</v>
      </c>
      <c r="D135" s="116">
        <v>4</v>
      </c>
      <c r="E135" s="118">
        <v>1386.8</v>
      </c>
      <c r="F135" s="118">
        <f>D135*E135*0.0022+8.79</f>
        <v>20.993839999999999</v>
      </c>
      <c r="G135" s="118">
        <f t="shared" si="22"/>
        <v>5568.1938399999999</v>
      </c>
      <c r="H135" s="119">
        <f t="shared" si="23"/>
        <v>3.7845832131525813E-3</v>
      </c>
      <c r="I135" s="120" cm="1">
        <f t="array" aca="1" ref="I135" ca="1">_FV(B135,"Price")</f>
        <v>1244.7</v>
      </c>
      <c r="J135" s="118">
        <f t="shared" ca="1" si="24"/>
        <v>4959.9573170983558</v>
      </c>
      <c r="K135" s="118">
        <f t="shared" ca="1" si="25"/>
        <v>4978.8</v>
      </c>
      <c r="L135" s="118">
        <f t="shared" si="32"/>
        <v>36</v>
      </c>
      <c r="M135" s="118">
        <f t="shared" ca="1" si="26"/>
        <v>-572.23652290164409</v>
      </c>
      <c r="N135" s="121">
        <f t="shared" ca="1" si="27"/>
        <v>-0.10276878631467401</v>
      </c>
      <c r="O135" s="122">
        <f t="shared" ca="1" si="28"/>
        <v>9.6666666666666661</v>
      </c>
      <c r="P135" s="121">
        <f t="shared" ca="1" si="29"/>
        <v>-0.127575045080285</v>
      </c>
      <c r="Q135" s="118">
        <f t="shared" ca="1" si="30"/>
        <v>5927.032998577778</v>
      </c>
      <c r="R135" s="118">
        <f t="shared" si="31"/>
        <v>-5568.1938399999999</v>
      </c>
      <c r="S135" s="123" t="s">
        <v>230</v>
      </c>
      <c r="T135" s="118" t="s">
        <v>216</v>
      </c>
      <c r="U135" s="118" t="s">
        <v>217</v>
      </c>
      <c r="V135" s="118" t="s">
        <v>231</v>
      </c>
      <c r="W135" s="118" t="s">
        <v>219</v>
      </c>
    </row>
    <row r="136" spans="2:23" x14ac:dyDescent="0.3">
      <c r="B136" s="116" t="e" vm="8">
        <v>#VALUE!</v>
      </c>
      <c r="C136" s="117">
        <v>45964</v>
      </c>
      <c r="D136" s="116">
        <v>3</v>
      </c>
      <c r="E136" s="118">
        <v>1539.5</v>
      </c>
      <c r="F136" s="118">
        <f>D136*E136*0.0022+7.32</f>
        <v>17.480699999999999</v>
      </c>
      <c r="G136" s="118">
        <f t="shared" si="22"/>
        <v>4635.9807000000001</v>
      </c>
      <c r="H136" s="119">
        <f t="shared" si="23"/>
        <v>3.7849301721338095E-3</v>
      </c>
      <c r="I136" s="120" cm="1">
        <f t="array" aca="1" ref="I136" ca="1">_FV(B136,"Price")</f>
        <v>1244.7</v>
      </c>
      <c r="J136" s="118">
        <f t="shared" ca="1" si="24"/>
        <v>3719.9666922442357</v>
      </c>
      <c r="K136" s="118">
        <f t="shared" ca="1" si="25"/>
        <v>3734.1000000000004</v>
      </c>
      <c r="L136" s="118">
        <f t="shared" si="32"/>
        <v>36</v>
      </c>
      <c r="M136" s="118">
        <f t="shared" ca="1" si="26"/>
        <v>-880.0140077557644</v>
      </c>
      <c r="N136" s="121">
        <f t="shared" ca="1" si="27"/>
        <v>-0.18982262108118017</v>
      </c>
      <c r="O136" s="122">
        <f t="shared" ca="1" si="28"/>
        <v>8.6666666666666661</v>
      </c>
      <c r="P136" s="121">
        <f t="shared" ca="1" si="29"/>
        <v>-0.26283132149701871</v>
      </c>
      <c r="Q136" s="118">
        <f t="shared" ca="1" si="30"/>
        <v>4903.8373626666671</v>
      </c>
      <c r="R136" s="118">
        <f t="shared" si="31"/>
        <v>-4635.9807000000001</v>
      </c>
      <c r="S136" s="123" t="s">
        <v>230</v>
      </c>
      <c r="T136" s="118" t="s">
        <v>216</v>
      </c>
      <c r="U136" s="118" t="s">
        <v>217</v>
      </c>
      <c r="V136" s="118" t="s">
        <v>231</v>
      </c>
      <c r="W136" s="118" t="s">
        <v>219</v>
      </c>
    </row>
    <row r="137" spans="2:23" x14ac:dyDescent="0.3">
      <c r="B137" s="116" t="e" vm="8">
        <v>#VALUE!</v>
      </c>
      <c r="C137" s="117">
        <v>45994</v>
      </c>
      <c r="D137" s="116">
        <v>3</v>
      </c>
      <c r="E137" s="118">
        <v>1639</v>
      </c>
      <c r="F137" s="118">
        <f>D137*E137*0.0022+7.8</f>
        <v>18.6174</v>
      </c>
      <c r="G137" s="118">
        <f t="shared" si="22"/>
        <v>4935.6174000000001</v>
      </c>
      <c r="H137" s="119">
        <f t="shared" si="23"/>
        <v>3.7863331299572908E-3</v>
      </c>
      <c r="I137" s="120" cm="1">
        <f t="array" aca="1" ref="I137" ca="1">_FV(B137,"Price")</f>
        <v>1244.7</v>
      </c>
      <c r="J137" s="118">
        <f t="shared" ca="1" si="24"/>
        <v>3719.961453459427</v>
      </c>
      <c r="K137" s="118">
        <f t="shared" ca="1" si="25"/>
        <v>3734.1000000000004</v>
      </c>
      <c r="L137" s="118">
        <f t="shared" si="32"/>
        <v>36</v>
      </c>
      <c r="M137" s="118">
        <f t="shared" ca="1" si="26"/>
        <v>-1179.655946540573</v>
      </c>
      <c r="N137" s="121">
        <f t="shared" ca="1" si="27"/>
        <v>-0.23900879078280521</v>
      </c>
      <c r="O137" s="122">
        <f t="shared" ca="1" si="28"/>
        <v>7.666666666666667</v>
      </c>
      <c r="P137" s="121">
        <f t="shared" ca="1" si="29"/>
        <v>-0.37410071600786898</v>
      </c>
      <c r="Q137" s="118">
        <f t="shared" ca="1" si="30"/>
        <v>5187.8822893333336</v>
      </c>
      <c r="R137" s="118">
        <f t="shared" si="31"/>
        <v>-4935.6174000000001</v>
      </c>
      <c r="S137" s="123" t="s">
        <v>230</v>
      </c>
      <c r="T137" s="118" t="s">
        <v>216</v>
      </c>
      <c r="U137" s="118" t="s">
        <v>217</v>
      </c>
      <c r="V137" s="118" t="s">
        <v>231</v>
      </c>
      <c r="W137" s="118" t="s">
        <v>219</v>
      </c>
    </row>
    <row r="138" spans="2:23" x14ac:dyDescent="0.3">
      <c r="B138" s="116" t="e" vm="8">
        <v>#VALUE!</v>
      </c>
      <c r="C138" s="117">
        <v>46027</v>
      </c>
      <c r="D138" s="116">
        <v>3</v>
      </c>
      <c r="E138" s="118">
        <v>1601.3</v>
      </c>
      <c r="F138" s="118">
        <f>D138*E138*0.0022+7.6</f>
        <v>18.168579999999999</v>
      </c>
      <c r="G138" s="118">
        <f t="shared" si="22"/>
        <v>4822.0685799999992</v>
      </c>
      <c r="H138" s="119">
        <f t="shared" si="23"/>
        <v>3.7820479193988216E-3</v>
      </c>
      <c r="I138" s="120" cm="1">
        <f t="array" aca="1" ref="I138" ca="1">_FV(B138,"Price")</f>
        <v>1244.7</v>
      </c>
      <c r="J138" s="118">
        <f t="shared" ca="1" si="24"/>
        <v>3719.9774548641731</v>
      </c>
      <c r="K138" s="118">
        <f t="shared" ca="1" si="25"/>
        <v>3734.1000000000004</v>
      </c>
      <c r="L138" s="118">
        <f t="shared" si="32"/>
        <v>36</v>
      </c>
      <c r="M138" s="118">
        <f t="shared" ca="1" si="26"/>
        <v>-1066.0911251358261</v>
      </c>
      <c r="N138" s="121">
        <f t="shared" ca="1" si="27"/>
        <v>-0.2210858488320849</v>
      </c>
      <c r="O138" s="122">
        <f t="shared" ca="1" si="28"/>
        <v>6.6</v>
      </c>
      <c r="P138" s="121">
        <f t="shared" ca="1" si="29"/>
        <v>-0.40197427060379076</v>
      </c>
      <c r="Q138" s="118">
        <f t="shared" ca="1" si="30"/>
        <v>5034.2395975199988</v>
      </c>
      <c r="R138" s="118">
        <f t="shared" si="31"/>
        <v>-4822.0685799999992</v>
      </c>
      <c r="S138" s="123" t="s">
        <v>230</v>
      </c>
      <c r="T138" s="118" t="s">
        <v>216</v>
      </c>
      <c r="U138" s="118" t="s">
        <v>217</v>
      </c>
      <c r="V138" s="118" t="s">
        <v>231</v>
      </c>
      <c r="W138" s="118" t="s">
        <v>219</v>
      </c>
    </row>
    <row r="139" spans="2:23" x14ac:dyDescent="0.3">
      <c r="B139" s="116" t="e" vm="8">
        <v>#VALUE!</v>
      </c>
      <c r="C139" s="117">
        <v>46056</v>
      </c>
      <c r="D139" s="116">
        <v>3</v>
      </c>
      <c r="E139" s="118">
        <v>1713.6</v>
      </c>
      <c r="F139" s="118">
        <f>D139*E139*0.0022+8.14</f>
        <v>19.449759999999998</v>
      </c>
      <c r="G139" s="118">
        <f t="shared" si="22"/>
        <v>5160.2497599999997</v>
      </c>
      <c r="H139" s="119">
        <f t="shared" si="23"/>
        <v>3.7834111422346719E-3</v>
      </c>
      <c r="I139" s="120" cm="1">
        <f t="array" aca="1" ref="I139" ca="1">_FV(B139,"Price")</f>
        <v>1244.7</v>
      </c>
      <c r="J139" s="118">
        <f t="shared" ca="1" si="24"/>
        <v>3719.9723644537817</v>
      </c>
      <c r="K139" s="118">
        <f t="shared" ca="1" si="25"/>
        <v>3734.1000000000004</v>
      </c>
      <c r="L139" s="118">
        <v>0</v>
      </c>
      <c r="M139" s="118">
        <f t="shared" ca="1" si="26"/>
        <v>-1440.277395546218</v>
      </c>
      <c r="N139" s="121">
        <f t="shared" ca="1" si="27"/>
        <v>-0.27911001647839195</v>
      </c>
      <c r="O139" s="122">
        <f t="shared" ca="1" si="28"/>
        <v>5.666666666666667</v>
      </c>
      <c r="P139" s="121">
        <f t="shared" ca="1" si="29"/>
        <v>-0.59105650548365352</v>
      </c>
      <c r="Q139" s="118">
        <f t="shared" ca="1" si="30"/>
        <v>5355.1925287111108</v>
      </c>
      <c r="R139" s="118">
        <f t="shared" si="31"/>
        <v>-5160.2497599999997</v>
      </c>
      <c r="S139" s="123" t="s">
        <v>230</v>
      </c>
      <c r="T139" s="118" t="s">
        <v>216</v>
      </c>
      <c r="U139" s="118" t="s">
        <v>217</v>
      </c>
      <c r="V139" s="118" t="s">
        <v>231</v>
      </c>
      <c r="W139" s="118" t="s">
        <v>219</v>
      </c>
    </row>
    <row r="140" spans="2:23" x14ac:dyDescent="0.3">
      <c r="B140" s="116" t="e" vm="8">
        <v>#VALUE!</v>
      </c>
      <c r="C140" s="117">
        <v>46085</v>
      </c>
      <c r="D140" s="116">
        <v>4</v>
      </c>
      <c r="E140" s="118">
        <v>1367.8</v>
      </c>
      <c r="F140" s="118">
        <f>D140*E140*0.0022+8.65</f>
        <v>20.686640000000001</v>
      </c>
      <c r="G140" s="118">
        <f t="shared" si="22"/>
        <v>5491.8866399999997</v>
      </c>
      <c r="H140" s="119">
        <f t="shared" si="23"/>
        <v>3.7810059950285132E-3</v>
      </c>
      <c r="I140" s="120" cm="1">
        <f t="array" aca="1" ref="I140" ca="1">_FV(B140,"Price")</f>
        <v>1244.7</v>
      </c>
      <c r="J140" s="118">
        <f t="shared" ca="1" si="24"/>
        <v>4959.9751273519523</v>
      </c>
      <c r="K140" s="118">
        <f t="shared" ca="1" si="25"/>
        <v>4978.8</v>
      </c>
      <c r="L140" s="118">
        <v>0</v>
      </c>
      <c r="M140" s="118">
        <f t="shared" ca="1" si="26"/>
        <v>-531.91151264804739</v>
      </c>
      <c r="N140" s="121">
        <f t="shared" ca="1" si="27"/>
        <v>-9.6854058999303633E-2</v>
      </c>
      <c r="O140" s="122">
        <f t="shared" ca="1" si="28"/>
        <v>4.6333333333333337</v>
      </c>
      <c r="P140" s="121">
        <f t="shared" ca="1" si="29"/>
        <v>-0.25084504489028275</v>
      </c>
      <c r="Q140" s="118">
        <f t="shared" ca="1" si="30"/>
        <v>5661.5249162133332</v>
      </c>
      <c r="R140" s="118">
        <f t="shared" si="31"/>
        <v>-5491.8866399999997</v>
      </c>
      <c r="S140" s="123" t="s">
        <v>230</v>
      </c>
      <c r="T140" s="118" t="s">
        <v>216</v>
      </c>
      <c r="U140" s="118" t="s">
        <v>217</v>
      </c>
      <c r="V140" s="118" t="s">
        <v>231</v>
      </c>
      <c r="W140" s="118" t="s">
        <v>219</v>
      </c>
    </row>
    <row r="141" spans="2:23" x14ac:dyDescent="0.3">
      <c r="B141" s="116" t="e" vm="8">
        <v>#VALUE!</v>
      </c>
      <c r="C141" s="117">
        <v>46118</v>
      </c>
      <c r="D141" s="116">
        <v>4</v>
      </c>
      <c r="E141" s="118">
        <v>1406</v>
      </c>
      <c r="F141" s="118">
        <f>D141*E141*0.0022+8.9</f>
        <v>21.272800000000004</v>
      </c>
      <c r="G141" s="118">
        <f t="shared" si="22"/>
        <v>5645.2727999999997</v>
      </c>
      <c r="H141" s="119">
        <f t="shared" si="23"/>
        <v>3.7825035561877673E-3</v>
      </c>
      <c r="I141" s="120" cm="1">
        <f t="array" aca="1" ref="I141" ca="1">_FV(B141,"Price")</f>
        <v>1244.7</v>
      </c>
      <c r="J141" s="118">
        <f t="shared" ca="1" si="24"/>
        <v>4959.967671294452</v>
      </c>
      <c r="K141" s="118">
        <f t="shared" ca="1" si="25"/>
        <v>4978.8</v>
      </c>
      <c r="L141" s="118">
        <v>0</v>
      </c>
      <c r="M141" s="118">
        <f t="shared" ca="1" si="26"/>
        <v>-685.30512870554776</v>
      </c>
      <c r="N141" s="121">
        <f t="shared" ca="1" si="27"/>
        <v>-0.12139451059044441</v>
      </c>
      <c r="O141" s="122">
        <f t="shared" ca="1" si="28"/>
        <v>3.5666666666666669</v>
      </c>
      <c r="P141" s="121">
        <f t="shared" ca="1" si="29"/>
        <v>-0.40843012908934562</v>
      </c>
      <c r="Q141" s="118">
        <f t="shared" ca="1" si="30"/>
        <v>5779.5048421333331</v>
      </c>
      <c r="R141" s="118">
        <f t="shared" si="31"/>
        <v>-5645.2727999999997</v>
      </c>
      <c r="S141" s="123" t="s">
        <v>230</v>
      </c>
      <c r="T141" s="118" t="s">
        <v>216</v>
      </c>
      <c r="U141" s="118" t="s">
        <v>217</v>
      </c>
      <c r="V141" s="118" t="s">
        <v>231</v>
      </c>
      <c r="W141" s="118" t="s">
        <v>219</v>
      </c>
    </row>
    <row r="142" spans="2:23" x14ac:dyDescent="0.3">
      <c r="B142" s="116" t="e" vm="8">
        <v>#VALUE!</v>
      </c>
      <c r="C142" s="117">
        <v>46146</v>
      </c>
      <c r="D142" s="116">
        <v>4</v>
      </c>
      <c r="E142" s="118">
        <v>1200.8</v>
      </c>
      <c r="F142" s="118">
        <f>D142*E142*0.0022+7.74</f>
        <v>18.307040000000001</v>
      </c>
      <c r="G142" s="118">
        <f t="shared" si="22"/>
        <v>4821.5070399999995</v>
      </c>
      <c r="H142" s="119">
        <f t="shared" si="23"/>
        <v>3.8114257161892076E-3</v>
      </c>
      <c r="I142" s="120" cm="1">
        <f t="array" aca="1" ref="I142" ca="1">_FV(B142,"Price")</f>
        <v>1244.7</v>
      </c>
      <c r="J142" s="118">
        <f t="shared" ca="1" si="24"/>
        <v>4959.8236736442377</v>
      </c>
      <c r="K142" s="118">
        <f t="shared" ca="1" si="25"/>
        <v>4978.8</v>
      </c>
      <c r="L142" s="118">
        <v>0</v>
      </c>
      <c r="M142" s="118">
        <f t="shared" ca="1" si="26"/>
        <v>138.31663364423821</v>
      </c>
      <c r="N142" s="121">
        <f t="shared" ca="1" si="27"/>
        <v>2.8687427498651587E-2</v>
      </c>
      <c r="O142" s="122">
        <f t="shared" ca="1" si="28"/>
        <v>2.6333333333333333</v>
      </c>
      <c r="P142" s="121">
        <f t="shared" ca="1" si="29"/>
        <v>0.13072751771537433</v>
      </c>
      <c r="Q142" s="118">
        <f t="shared" ca="1" si="30"/>
        <v>4906.1512747022216</v>
      </c>
      <c r="R142" s="118">
        <f t="shared" si="31"/>
        <v>-4821.5070399999995</v>
      </c>
      <c r="S142" s="123" t="s">
        <v>230</v>
      </c>
      <c r="T142" s="118" t="s">
        <v>216</v>
      </c>
      <c r="U142" s="118" t="s">
        <v>217</v>
      </c>
      <c r="V142" s="118" t="s">
        <v>231</v>
      </c>
      <c r="W142" s="118" t="s">
        <v>219</v>
      </c>
    </row>
    <row r="143" spans="2:23" x14ac:dyDescent="0.3">
      <c r="B143" s="116" t="e" vm="8">
        <v>#VALUE!</v>
      </c>
      <c r="C143" s="117">
        <v>46176</v>
      </c>
      <c r="D143" s="116">
        <v>5</v>
      </c>
      <c r="E143" s="118">
        <v>1196.2</v>
      </c>
      <c r="F143" s="118">
        <f>D143*E143*0.0022+9.47</f>
        <v>22.6282</v>
      </c>
      <c r="G143" s="118">
        <f t="shared" si="22"/>
        <v>6003.6282000000001</v>
      </c>
      <c r="H143" s="119">
        <f t="shared" si="23"/>
        <v>3.7833472663434207E-3</v>
      </c>
      <c r="I143" s="120" cm="1">
        <f t="array" aca="1" ref="I143" ca="1">_FV(B143,"Price")</f>
        <v>1244.7</v>
      </c>
      <c r="J143" s="118">
        <f t="shared" ca="1" si="24"/>
        <v>6199.9543382879119</v>
      </c>
      <c r="K143" s="118">
        <f t="shared" ca="1" si="25"/>
        <v>6223.5</v>
      </c>
      <c r="L143" s="118">
        <v>0</v>
      </c>
      <c r="M143" s="118">
        <f t="shared" ca="1" si="26"/>
        <v>196.32613828791182</v>
      </c>
      <c r="N143" s="121">
        <f t="shared" ca="1" si="27"/>
        <v>3.2701248602955098E-2</v>
      </c>
      <c r="O143" s="122">
        <f t="shared" ca="1" si="28"/>
        <v>1.6666666666666667</v>
      </c>
      <c r="P143" s="121">
        <f t="shared" ca="1" si="29"/>
        <v>0.23544898994127667</v>
      </c>
      <c r="Q143" s="118">
        <f t="shared" ca="1" si="30"/>
        <v>6070.33518</v>
      </c>
      <c r="R143" s="118">
        <f t="shared" si="31"/>
        <v>-6003.6282000000001</v>
      </c>
      <c r="S143" s="123" t="s">
        <v>230</v>
      </c>
      <c r="T143" s="118" t="s">
        <v>216</v>
      </c>
      <c r="U143" s="118" t="s">
        <v>217</v>
      </c>
      <c r="V143" s="118" t="s">
        <v>231</v>
      </c>
      <c r="W143" s="118" t="s">
        <v>219</v>
      </c>
    </row>
    <row r="144" spans="2:23" x14ac:dyDescent="0.3">
      <c r="B144" s="116" t="e" vm="8">
        <v>#VALUE!</v>
      </c>
      <c r="C144" s="117">
        <v>46206</v>
      </c>
      <c r="D144" s="116">
        <v>5</v>
      </c>
      <c r="E144" s="118">
        <v>1124.5</v>
      </c>
      <c r="F144" s="118">
        <f>D144*E144*0.0022+8.9</f>
        <v>21.269500000000001</v>
      </c>
      <c r="G144" s="118">
        <f t="shared" si="22"/>
        <v>5643.7695000000003</v>
      </c>
      <c r="H144" s="119">
        <f t="shared" si="23"/>
        <v>3.7829257447754561E-3</v>
      </c>
      <c r="I144" s="120" cm="1">
        <f t="array" aca="1" ref="I144" ca="1">_FV(B144,"Price")</f>
        <v>1244.7</v>
      </c>
      <c r="J144" s="118">
        <f t="shared" ca="1" si="24"/>
        <v>6199.9569616273902</v>
      </c>
      <c r="K144" s="118">
        <f t="shared" ca="1" si="25"/>
        <v>6223.5</v>
      </c>
      <c r="L144" s="118">
        <v>0</v>
      </c>
      <c r="M144" s="118">
        <f t="shared" ca="1" si="26"/>
        <v>556.18746162738989</v>
      </c>
      <c r="N144" s="121">
        <f t="shared" ca="1" si="27"/>
        <v>9.8548932876757256E-2</v>
      </c>
      <c r="O144" s="122">
        <f t="shared" ca="1" si="28"/>
        <v>0.66666666666666663</v>
      </c>
      <c r="P144" s="121">
        <f t="shared" ca="1" si="29"/>
        <v>1.7738807917816306</v>
      </c>
      <c r="Q144" s="118">
        <f t="shared" ca="1" si="30"/>
        <v>5668.8529200000003</v>
      </c>
      <c r="R144" s="118">
        <f t="shared" si="31"/>
        <v>-5643.7695000000003</v>
      </c>
      <c r="S144" s="123" t="s">
        <v>230</v>
      </c>
      <c r="T144" s="118" t="s">
        <v>216</v>
      </c>
      <c r="U144" s="118" t="s">
        <v>217</v>
      </c>
      <c r="V144" s="118" t="s">
        <v>231</v>
      </c>
      <c r="W144" s="118" t="s">
        <v>219</v>
      </c>
    </row>
    <row r="145" spans="2:23" x14ac:dyDescent="0.3">
      <c r="B145" s="116" t="e" vm="9">
        <v>#VALUE!</v>
      </c>
      <c r="C145" s="117">
        <v>45558</v>
      </c>
      <c r="D145" s="116">
        <f>2*11</f>
        <v>22</v>
      </c>
      <c r="E145" s="118">
        <f>1756.5/2</f>
        <v>878.25</v>
      </c>
      <c r="F145" s="118">
        <f>D145*E145*0.0022+30.54</f>
        <v>73.047300000000007</v>
      </c>
      <c r="G145" s="118">
        <f t="shared" si="22"/>
        <v>19394.547299999998</v>
      </c>
      <c r="H145" s="119">
        <f t="shared" si="23"/>
        <v>3.7806226224672002E-3</v>
      </c>
      <c r="I145" s="120" cm="1">
        <f t="array" aca="1" ref="I145" ca="1">_FV(B145,"Price")</f>
        <v>747.25</v>
      </c>
      <c r="J145" s="118">
        <f t="shared" ca="1" si="24"/>
        <v>16377.34845439795</v>
      </c>
      <c r="K145" s="118">
        <f t="shared" ca="1" si="25"/>
        <v>16439.5</v>
      </c>
      <c r="L145" s="118">
        <f>55+242</f>
        <v>297</v>
      </c>
      <c r="M145" s="118">
        <f t="shared" ca="1" si="26"/>
        <v>-2720.1988456020481</v>
      </c>
      <c r="N145" s="121">
        <f t="shared" ca="1" si="27"/>
        <v>-0.14025585663461443</v>
      </c>
      <c r="O145" s="122">
        <f t="shared" ca="1" si="28"/>
        <v>22</v>
      </c>
      <c r="P145" s="121">
        <f t="shared" ca="1" si="29"/>
        <v>-7.650319452797151E-2</v>
      </c>
      <c r="Q145" s="118">
        <f t="shared" ca="1" si="30"/>
        <v>22239.080903999999</v>
      </c>
      <c r="R145" s="118">
        <f t="shared" si="31"/>
        <v>-19394.547299999998</v>
      </c>
      <c r="S145" s="123" t="s">
        <v>222</v>
      </c>
      <c r="T145" s="118" t="s">
        <v>216</v>
      </c>
      <c r="U145" s="118" t="s">
        <v>217</v>
      </c>
      <c r="V145" s="118" t="s">
        <v>232</v>
      </c>
      <c r="W145" s="118" t="s">
        <v>219</v>
      </c>
    </row>
    <row r="146" spans="2:23" x14ac:dyDescent="0.3">
      <c r="B146" s="116" t="e" vm="10">
        <v>#VALUE!</v>
      </c>
      <c r="C146" s="117">
        <v>45826</v>
      </c>
      <c r="D146" s="116">
        <v>50</v>
      </c>
      <c r="E146" s="118">
        <v>455</v>
      </c>
      <c r="F146" s="118">
        <f>D146*E146*0.0022+35.77</f>
        <v>85.820000000000007</v>
      </c>
      <c r="G146" s="118">
        <f t="shared" si="22"/>
        <v>22835.82</v>
      </c>
      <c r="H146" s="119">
        <f t="shared" si="23"/>
        <v>3.7723076923076924E-3</v>
      </c>
      <c r="I146" s="120" cm="1">
        <f t="array" aca="1" ref="I146" ca="1">_FV(B146,"Price")</f>
        <v>531.15</v>
      </c>
      <c r="J146" s="118">
        <f t="shared" ca="1" si="24"/>
        <v>26457.316938461536</v>
      </c>
      <c r="K146" s="118">
        <f t="shared" ca="1" si="25"/>
        <v>26557.5</v>
      </c>
      <c r="L146" s="118">
        <f>550</f>
        <v>550</v>
      </c>
      <c r="M146" s="118">
        <f t="shared" ca="1" si="26"/>
        <v>4171.496938461536</v>
      </c>
      <c r="N146" s="121">
        <f t="shared" ca="1" si="27"/>
        <v>0.18267340250805691</v>
      </c>
      <c r="O146" s="122">
        <f t="shared" ca="1" si="28"/>
        <v>13.166666666666666</v>
      </c>
      <c r="P146" s="121">
        <f t="shared" ca="1" si="29"/>
        <v>0.16648715165291264</v>
      </c>
      <c r="Q146" s="118">
        <f t="shared" ca="1" si="30"/>
        <v>24840.297533333334</v>
      </c>
      <c r="R146" s="118">
        <f t="shared" si="31"/>
        <v>-22835.82</v>
      </c>
      <c r="S146" s="123" t="s">
        <v>233</v>
      </c>
      <c r="T146" s="118" t="s">
        <v>216</v>
      </c>
      <c r="U146" s="118" t="s">
        <v>217</v>
      </c>
      <c r="V146" s="118" t="s">
        <v>234</v>
      </c>
      <c r="W146" s="118" t="s">
        <v>235</v>
      </c>
    </row>
    <row r="147" spans="2:23" x14ac:dyDescent="0.3">
      <c r="B147" s="116" t="e" vm="11">
        <v>#VALUE!</v>
      </c>
      <c r="C147" s="117">
        <v>45526</v>
      </c>
      <c r="D147" s="116">
        <v>5</v>
      </c>
      <c r="E147" s="118">
        <v>1183.55</v>
      </c>
      <c r="F147" s="118">
        <f>D147*E147*0.0022+9.39</f>
        <v>22.409050000000001</v>
      </c>
      <c r="G147" s="118">
        <f t="shared" si="22"/>
        <v>5940.1590500000002</v>
      </c>
      <c r="H147" s="119">
        <f t="shared" si="23"/>
        <v>3.7867517215157791E-3</v>
      </c>
      <c r="I147" s="120" cm="1">
        <f t="array" aca="1" ref="I147" ca="1">_FV(B147,"Price")</f>
        <v>1434.6</v>
      </c>
      <c r="J147" s="118">
        <f t="shared" ca="1" si="24"/>
        <v>7145.8376299015672</v>
      </c>
      <c r="K147" s="118">
        <f t="shared" ca="1" si="25"/>
        <v>7173</v>
      </c>
      <c r="L147" s="118">
        <v>0</v>
      </c>
      <c r="M147" s="118">
        <f t="shared" ca="1" si="26"/>
        <v>1205.678579901567</v>
      </c>
      <c r="N147" s="121">
        <f t="shared" ca="1" si="27"/>
        <v>0.20297075713849227</v>
      </c>
      <c r="O147" s="122">
        <f t="shared" ca="1" si="28"/>
        <v>23.033333333333335</v>
      </c>
      <c r="P147" s="121">
        <f t="shared" ca="1" si="29"/>
        <v>0.10574453338618989</v>
      </c>
      <c r="Q147" s="118">
        <f t="shared" ca="1" si="30"/>
        <v>6852.3034730111112</v>
      </c>
      <c r="R147" s="118">
        <f t="shared" si="31"/>
        <v>-5940.1590500000002</v>
      </c>
      <c r="S147" s="123" t="s">
        <v>222</v>
      </c>
      <c r="T147" s="118" t="s">
        <v>216</v>
      </c>
      <c r="U147" s="118" t="s">
        <v>217</v>
      </c>
      <c r="V147" s="118" t="s">
        <v>236</v>
      </c>
      <c r="W147" s="118" t="s">
        <v>219</v>
      </c>
    </row>
    <row r="148" spans="2:23" x14ac:dyDescent="0.3">
      <c r="B148" s="116" t="e" vm="11">
        <v>#VALUE!</v>
      </c>
      <c r="C148" s="117">
        <v>45541</v>
      </c>
      <c r="D148" s="116">
        <v>4</v>
      </c>
      <c r="E148" s="118">
        <v>1221.9000000000001</v>
      </c>
      <c r="F148" s="118">
        <f>D148*E148*0.0022+7.76</f>
        <v>18.512720000000002</v>
      </c>
      <c r="G148" s="118">
        <f t="shared" si="22"/>
        <v>4906.1127200000001</v>
      </c>
      <c r="H148" s="119">
        <f t="shared" si="23"/>
        <v>3.7876913004337509E-3</v>
      </c>
      <c r="I148" s="120" cm="1">
        <f t="array" aca="1" ref="I148" ca="1">_FV(B148,"Price")</f>
        <v>1434.6</v>
      </c>
      <c r="J148" s="118">
        <f t="shared" ca="1" si="24"/>
        <v>5716.6647122415907</v>
      </c>
      <c r="K148" s="118">
        <f t="shared" ca="1" si="25"/>
        <v>5738.4</v>
      </c>
      <c r="L148" s="118">
        <v>0</v>
      </c>
      <c r="M148" s="118">
        <f t="shared" ca="1" si="26"/>
        <v>810.5519922415906</v>
      </c>
      <c r="N148" s="121">
        <f t="shared" ca="1" si="27"/>
        <v>0.16521267212987936</v>
      </c>
      <c r="O148" s="122">
        <f t="shared" ca="1" si="28"/>
        <v>22.566666666666666</v>
      </c>
      <c r="P148" s="121">
        <f t="shared" ca="1" si="29"/>
        <v>8.7853119596390805E-2</v>
      </c>
      <c r="Q148" s="118">
        <f t="shared" ca="1" si="30"/>
        <v>5644.2101225422221</v>
      </c>
      <c r="R148" s="118">
        <f t="shared" si="31"/>
        <v>-4906.1127200000001</v>
      </c>
      <c r="S148" s="123" t="s">
        <v>222</v>
      </c>
      <c r="T148" s="118" t="s">
        <v>216</v>
      </c>
      <c r="U148" s="118" t="s">
        <v>217</v>
      </c>
      <c r="V148" s="118" t="s">
        <v>236</v>
      </c>
      <c r="W148" s="118" t="s">
        <v>219</v>
      </c>
    </row>
    <row r="149" spans="2:23" x14ac:dyDescent="0.3">
      <c r="B149" s="116" t="e" vm="11">
        <v>#VALUE!</v>
      </c>
      <c r="C149" s="117">
        <v>45558</v>
      </c>
      <c r="D149" s="116">
        <v>4</v>
      </c>
      <c r="E149" s="118">
        <v>1318.15</v>
      </c>
      <c r="F149" s="118">
        <f>D149*E149*0.0022+8.36</f>
        <v>19.959720000000001</v>
      </c>
      <c r="G149" s="118">
        <f t="shared" si="22"/>
        <v>5292.5597200000002</v>
      </c>
      <c r="H149" s="119">
        <f t="shared" si="23"/>
        <v>3.7855555134089442E-3</v>
      </c>
      <c r="I149" s="120" cm="1">
        <f t="array" aca="1" ref="I149" ca="1">_FV(B149,"Price")</f>
        <v>1434.6</v>
      </c>
      <c r="J149" s="118">
        <f t="shared" ca="1" si="24"/>
        <v>5716.6769682418535</v>
      </c>
      <c r="K149" s="118">
        <f t="shared" ca="1" si="25"/>
        <v>5738.4</v>
      </c>
      <c r="L149" s="118">
        <v>0</v>
      </c>
      <c r="M149" s="118">
        <f t="shared" ca="1" si="26"/>
        <v>424.1172482418533</v>
      </c>
      <c r="N149" s="121">
        <f t="shared" ca="1" si="27"/>
        <v>8.0134617402456684E-2</v>
      </c>
      <c r="O149" s="122">
        <f t="shared" ca="1" si="28"/>
        <v>22</v>
      </c>
      <c r="P149" s="121">
        <f t="shared" ca="1" si="29"/>
        <v>4.3709791310430922E-2</v>
      </c>
      <c r="Q149" s="118">
        <f t="shared" ca="1" si="30"/>
        <v>6068.8018122666672</v>
      </c>
      <c r="R149" s="118">
        <f t="shared" si="31"/>
        <v>-5292.5597200000002</v>
      </c>
      <c r="S149" s="123" t="s">
        <v>222</v>
      </c>
      <c r="T149" s="118" t="s">
        <v>216</v>
      </c>
      <c r="U149" s="118" t="s">
        <v>217</v>
      </c>
      <c r="V149" s="118" t="s">
        <v>236</v>
      </c>
      <c r="W149" s="118" t="s">
        <v>219</v>
      </c>
    </row>
    <row r="150" spans="2:23" x14ac:dyDescent="0.3">
      <c r="B150" s="116" t="e" vm="11">
        <v>#VALUE!</v>
      </c>
      <c r="C150" s="117">
        <v>45572</v>
      </c>
      <c r="D150" s="116">
        <v>4</v>
      </c>
      <c r="E150" s="118">
        <v>1251.4000000000001</v>
      </c>
      <c r="F150" s="118">
        <f>D150*E150*0.0022+7.93</f>
        <v>18.942320000000002</v>
      </c>
      <c r="G150" s="118">
        <f t="shared" si="22"/>
        <v>5024.5423200000005</v>
      </c>
      <c r="H150" s="119">
        <f t="shared" si="23"/>
        <v>3.7842256672526772E-3</v>
      </c>
      <c r="I150" s="120" cm="1">
        <f t="array" aca="1" ref="I150" ca="1">_FV(B150,"Price")</f>
        <v>1434.6</v>
      </c>
      <c r="J150" s="118">
        <f t="shared" ca="1" si="24"/>
        <v>5716.684599431037</v>
      </c>
      <c r="K150" s="118">
        <f t="shared" ca="1" si="25"/>
        <v>5738.4</v>
      </c>
      <c r="L150" s="118">
        <v>0</v>
      </c>
      <c r="M150" s="118">
        <f t="shared" ca="1" si="26"/>
        <v>692.14227943103651</v>
      </c>
      <c r="N150" s="121">
        <f t="shared" ca="1" si="27"/>
        <v>0.13775230366276156</v>
      </c>
      <c r="O150" s="122">
        <f t="shared" ca="1" si="28"/>
        <v>21.533333333333335</v>
      </c>
      <c r="P150" s="121">
        <f t="shared" ca="1" si="29"/>
        <v>7.6765989657266498E-2</v>
      </c>
      <c r="Q150" s="118">
        <f t="shared" ca="1" si="30"/>
        <v>5745.8432841600006</v>
      </c>
      <c r="R150" s="118">
        <f t="shared" si="31"/>
        <v>-5024.5423200000005</v>
      </c>
      <c r="S150" s="123" t="s">
        <v>222</v>
      </c>
      <c r="T150" s="118" t="s">
        <v>216</v>
      </c>
      <c r="U150" s="118" t="s">
        <v>217</v>
      </c>
      <c r="V150" s="118" t="s">
        <v>236</v>
      </c>
      <c r="W150" s="118" t="s">
        <v>219</v>
      </c>
    </row>
    <row r="151" spans="2:23" x14ac:dyDescent="0.3">
      <c r="B151" s="116" t="e" vm="11">
        <v>#VALUE!</v>
      </c>
      <c r="C151" s="117">
        <v>45586</v>
      </c>
      <c r="D151" s="116">
        <v>4</v>
      </c>
      <c r="E151" s="118">
        <v>1256.7</v>
      </c>
      <c r="F151" s="118">
        <f>D151*E151*0.0022+7.96</f>
        <v>19.01896</v>
      </c>
      <c r="G151" s="118">
        <f t="shared" si="22"/>
        <v>5045.8189600000005</v>
      </c>
      <c r="H151" s="119">
        <f t="shared" si="23"/>
        <v>3.7835123736770907E-3</v>
      </c>
      <c r="I151" s="120" cm="1">
        <f t="array" aca="1" ref="I151" ca="1">_FV(B151,"Price")</f>
        <v>1434.6</v>
      </c>
      <c r="J151" s="118">
        <f t="shared" ca="1" si="24"/>
        <v>5716.6886925948911</v>
      </c>
      <c r="K151" s="118">
        <f t="shared" ca="1" si="25"/>
        <v>5738.4</v>
      </c>
      <c r="L151" s="118">
        <v>0</v>
      </c>
      <c r="M151" s="118">
        <f t="shared" ca="1" si="26"/>
        <v>670.86973259489059</v>
      </c>
      <c r="N151" s="121">
        <f t="shared" ca="1" si="27"/>
        <v>0.13295556933633831</v>
      </c>
      <c r="O151" s="122">
        <f t="shared" ca="1" si="28"/>
        <v>21.066666666666666</v>
      </c>
      <c r="P151" s="121">
        <f t="shared" ca="1" si="29"/>
        <v>7.5734185065002846E-2</v>
      </c>
      <c r="Q151" s="118">
        <f t="shared" ca="1" si="30"/>
        <v>5754.4762006044448</v>
      </c>
      <c r="R151" s="118">
        <f t="shared" si="31"/>
        <v>-5045.8189600000005</v>
      </c>
      <c r="S151" s="123" t="s">
        <v>222</v>
      </c>
      <c r="T151" s="118" t="s">
        <v>216</v>
      </c>
      <c r="U151" s="118" t="s">
        <v>217</v>
      </c>
      <c r="V151" s="118" t="s">
        <v>236</v>
      </c>
      <c r="W151" s="118" t="s">
        <v>219</v>
      </c>
    </row>
    <row r="152" spans="2:23" x14ac:dyDescent="0.3">
      <c r="B152" s="116" t="e" vm="11">
        <v>#VALUE!</v>
      </c>
      <c r="C152" s="117">
        <v>45601</v>
      </c>
      <c r="D152" s="116">
        <v>4</v>
      </c>
      <c r="E152" s="118">
        <v>1273.1500000000001</v>
      </c>
      <c r="F152" s="118">
        <f>D152*E152*0.0022+8.06</f>
        <v>19.263720000000003</v>
      </c>
      <c r="G152" s="118">
        <f t="shared" si="22"/>
        <v>5111.8637200000003</v>
      </c>
      <c r="H152" s="119">
        <f t="shared" si="23"/>
        <v>3.7826886069983901E-3</v>
      </c>
      <c r="I152" s="120" cm="1">
        <f t="array" aca="1" ref="I152" ca="1">_FV(B152,"Price")</f>
        <v>1434.6</v>
      </c>
      <c r="J152" s="118">
        <f t="shared" ca="1" si="24"/>
        <v>5716.6934196975999</v>
      </c>
      <c r="K152" s="118">
        <f t="shared" ca="1" si="25"/>
        <v>5738.4</v>
      </c>
      <c r="L152" s="118">
        <v>0</v>
      </c>
      <c r="M152" s="118">
        <f t="shared" ca="1" si="26"/>
        <v>604.82969969759961</v>
      </c>
      <c r="N152" s="121">
        <f t="shared" ca="1" si="27"/>
        <v>0.11831882319773571</v>
      </c>
      <c r="O152" s="122">
        <f t="shared" ca="1" si="28"/>
        <v>20.6</v>
      </c>
      <c r="P152" s="121">
        <f t="shared" ca="1" si="29"/>
        <v>6.8923586328778083E-2</v>
      </c>
      <c r="Q152" s="118">
        <f t="shared" ca="1" si="30"/>
        <v>5813.8930042133334</v>
      </c>
      <c r="R152" s="118">
        <f t="shared" si="31"/>
        <v>-5111.8637200000003</v>
      </c>
      <c r="S152" s="123" t="s">
        <v>222</v>
      </c>
      <c r="T152" s="118" t="s">
        <v>216</v>
      </c>
      <c r="U152" s="118" t="s">
        <v>217</v>
      </c>
      <c r="V152" s="118" t="s">
        <v>236</v>
      </c>
      <c r="W152" s="118" t="s">
        <v>219</v>
      </c>
    </row>
    <row r="153" spans="2:23" x14ac:dyDescent="0.3">
      <c r="B153" s="116" t="e" vm="11">
        <v>#VALUE!</v>
      </c>
      <c r="C153" s="117">
        <v>45617</v>
      </c>
      <c r="D153" s="116">
        <v>4</v>
      </c>
      <c r="E153" s="118">
        <v>1244.05</v>
      </c>
      <c r="F153" s="118">
        <f>D153*E153*0.0022+7.89</f>
        <v>18.83764</v>
      </c>
      <c r="G153" s="118">
        <f t="shared" si="22"/>
        <v>4995.0376399999996</v>
      </c>
      <c r="H153" s="119">
        <f t="shared" si="23"/>
        <v>3.7855472046943455E-3</v>
      </c>
      <c r="I153" s="120" cm="1">
        <f t="array" aca="1" ref="I153" ca="1">_FV(B153,"Price")</f>
        <v>1434.6</v>
      </c>
      <c r="J153" s="118">
        <f t="shared" ca="1" si="24"/>
        <v>5716.6770159205817</v>
      </c>
      <c r="K153" s="118">
        <f t="shared" ca="1" si="25"/>
        <v>5738.4</v>
      </c>
      <c r="L153" s="118">
        <v>0</v>
      </c>
      <c r="M153" s="118">
        <f t="shared" ca="1" si="26"/>
        <v>721.6393759205821</v>
      </c>
      <c r="N153" s="121">
        <f t="shared" ca="1" si="27"/>
        <v>0.14447125886334306</v>
      </c>
      <c r="O153" s="122">
        <f t="shared" ca="1" si="28"/>
        <v>20.066666666666666</v>
      </c>
      <c r="P153" s="121">
        <f t="shared" ca="1" si="29"/>
        <v>8.6394772742198506E-2</v>
      </c>
      <c r="Q153" s="118">
        <f t="shared" ca="1" si="30"/>
        <v>5663.2626753955556</v>
      </c>
      <c r="R153" s="118">
        <f t="shared" si="31"/>
        <v>-4995.0376399999996</v>
      </c>
      <c r="S153" s="123" t="s">
        <v>222</v>
      </c>
      <c r="T153" s="118" t="s">
        <v>216</v>
      </c>
      <c r="U153" s="118" t="s">
        <v>217</v>
      </c>
      <c r="V153" s="118" t="s">
        <v>236</v>
      </c>
      <c r="W153" s="118" t="s">
        <v>219</v>
      </c>
    </row>
    <row r="154" spans="2:23" x14ac:dyDescent="0.3">
      <c r="B154" s="116" t="e" vm="11">
        <v>#VALUE!</v>
      </c>
      <c r="C154" s="117">
        <v>45631</v>
      </c>
      <c r="D154" s="116">
        <v>4</v>
      </c>
      <c r="E154" s="118">
        <v>1311.5</v>
      </c>
      <c r="F154" s="118">
        <f>D154*E154*0.0022+8.32</f>
        <v>19.8612</v>
      </c>
      <c r="G154" s="118">
        <f t="shared" si="22"/>
        <v>5265.8612000000003</v>
      </c>
      <c r="H154" s="119">
        <f t="shared" si="23"/>
        <v>3.7859702630575675E-3</v>
      </c>
      <c r="I154" s="120" cm="1">
        <f t="array" aca="1" ref="I154" ca="1">_FV(B154,"Price")</f>
        <v>1434.6</v>
      </c>
      <c r="J154" s="118">
        <f t="shared" ca="1" si="24"/>
        <v>5716.6745882424702</v>
      </c>
      <c r="K154" s="118">
        <f t="shared" ca="1" si="25"/>
        <v>5738.4</v>
      </c>
      <c r="L154" s="118">
        <v>0</v>
      </c>
      <c r="M154" s="118">
        <f t="shared" ca="1" si="26"/>
        <v>450.81338824246996</v>
      </c>
      <c r="N154" s="121">
        <f t="shared" ca="1" si="27"/>
        <v>8.5610571779307421E-2</v>
      </c>
      <c r="O154" s="122">
        <f t="shared" ca="1" si="28"/>
        <v>19.600000000000001</v>
      </c>
      <c r="P154" s="121">
        <f t="shared" ca="1" si="29"/>
        <v>5.2414635783249439E-2</v>
      </c>
      <c r="Q154" s="118">
        <f t="shared" ca="1" si="30"/>
        <v>5953.9337301333335</v>
      </c>
      <c r="R154" s="118">
        <f t="shared" si="31"/>
        <v>-5265.8612000000003</v>
      </c>
      <c r="S154" s="123" t="s">
        <v>222</v>
      </c>
      <c r="T154" s="118" t="s">
        <v>216</v>
      </c>
      <c r="U154" s="118" t="s">
        <v>217</v>
      </c>
      <c r="V154" s="118" t="s">
        <v>236</v>
      </c>
      <c r="W154" s="118" t="s">
        <v>219</v>
      </c>
    </row>
    <row r="155" spans="2:23" x14ac:dyDescent="0.3">
      <c r="B155" s="116" t="e" vm="11">
        <v>#VALUE!</v>
      </c>
      <c r="C155" s="117">
        <v>45646</v>
      </c>
      <c r="D155" s="116">
        <v>4</v>
      </c>
      <c r="E155" s="118">
        <v>1288.6500000000001</v>
      </c>
      <c r="F155" s="118">
        <f>D155*E155*0.0022+8.15</f>
        <v>19.490120000000001</v>
      </c>
      <c r="G155" s="118">
        <f t="shared" si="22"/>
        <v>5174.0901200000008</v>
      </c>
      <c r="H155" s="119">
        <f t="shared" si="23"/>
        <v>3.7811120164513248E-3</v>
      </c>
      <c r="I155" s="120" cm="1">
        <f t="array" aca="1" ref="I155" ca="1">_FV(B155,"Price")</f>
        <v>1434.6</v>
      </c>
      <c r="J155" s="118">
        <f t="shared" ca="1" si="24"/>
        <v>5716.7024668047952</v>
      </c>
      <c r="K155" s="118">
        <f t="shared" ca="1" si="25"/>
        <v>5738.4</v>
      </c>
      <c r="L155" s="118">
        <v>0</v>
      </c>
      <c r="M155" s="118">
        <f t="shared" ca="1" si="26"/>
        <v>542.61234680479447</v>
      </c>
      <c r="N155" s="121">
        <f t="shared" ca="1" si="27"/>
        <v>0.10487106606577513</v>
      </c>
      <c r="O155" s="122">
        <f t="shared" ca="1" si="28"/>
        <v>19.100000000000001</v>
      </c>
      <c r="P155" s="121">
        <f t="shared" ca="1" si="29"/>
        <v>6.5887580774308979E-2</v>
      </c>
      <c r="Q155" s="118">
        <f t="shared" ca="1" si="30"/>
        <v>5832.9242619466677</v>
      </c>
      <c r="R155" s="118">
        <f t="shared" si="31"/>
        <v>-5174.0901200000008</v>
      </c>
      <c r="S155" s="123" t="s">
        <v>222</v>
      </c>
      <c r="T155" s="118" t="s">
        <v>216</v>
      </c>
      <c r="U155" s="118" t="s">
        <v>217</v>
      </c>
      <c r="V155" s="118" t="s">
        <v>236</v>
      </c>
      <c r="W155" s="118" t="s">
        <v>219</v>
      </c>
    </row>
    <row r="156" spans="2:23" x14ac:dyDescent="0.3">
      <c r="B156" s="116" t="e" vm="11">
        <v>#VALUE!</v>
      </c>
      <c r="C156" s="117">
        <v>45663</v>
      </c>
      <c r="D156" s="116">
        <v>4</v>
      </c>
      <c r="E156" s="118">
        <v>1266</v>
      </c>
      <c r="F156" s="118">
        <f>D156*E156*0.0022+8.02</f>
        <v>19.160800000000002</v>
      </c>
      <c r="G156" s="118">
        <f t="shared" si="22"/>
        <v>5083.1607999999997</v>
      </c>
      <c r="H156" s="119">
        <f t="shared" si="23"/>
        <v>3.7837282780410746E-3</v>
      </c>
      <c r="I156" s="120" cm="1">
        <f t="array" aca="1" ref="I156" ca="1">_FV(B156,"Price")</f>
        <v>1434.6</v>
      </c>
      <c r="J156" s="118">
        <f t="shared" ca="1" si="24"/>
        <v>5716.6874536492887</v>
      </c>
      <c r="K156" s="118">
        <f t="shared" ca="1" si="25"/>
        <v>5738.4</v>
      </c>
      <c r="L156" s="118">
        <v>0</v>
      </c>
      <c r="M156" s="118">
        <f t="shared" ca="1" si="26"/>
        <v>633.52665364928907</v>
      </c>
      <c r="N156" s="121">
        <f t="shared" ca="1" si="27"/>
        <v>0.12463242430758616</v>
      </c>
      <c r="O156" s="122">
        <f t="shared" ca="1" si="28"/>
        <v>18.566666666666666</v>
      </c>
      <c r="P156" s="121">
        <f t="shared" ca="1" si="29"/>
        <v>8.0552374776895891E-2</v>
      </c>
      <c r="Q156" s="118">
        <f t="shared" ca="1" si="30"/>
        <v>5712.3431479111105</v>
      </c>
      <c r="R156" s="118">
        <f t="shared" si="31"/>
        <v>-5083.1607999999997</v>
      </c>
      <c r="S156" s="123" t="s">
        <v>222</v>
      </c>
      <c r="T156" s="118" t="s">
        <v>216</v>
      </c>
      <c r="U156" s="118" t="s">
        <v>217</v>
      </c>
      <c r="V156" s="118" t="s">
        <v>236</v>
      </c>
      <c r="W156" s="118" t="s">
        <v>219</v>
      </c>
    </row>
    <row r="157" spans="2:23" x14ac:dyDescent="0.3">
      <c r="B157" s="116" t="e" vm="11">
        <v>#VALUE!</v>
      </c>
      <c r="C157" s="117">
        <v>45677</v>
      </c>
      <c r="D157" s="116">
        <v>4</v>
      </c>
      <c r="E157" s="118">
        <v>1221.4000000000001</v>
      </c>
      <c r="F157" s="118">
        <f>D157*E157*0.0022+7.73</f>
        <v>18.478320000000004</v>
      </c>
      <c r="G157" s="118">
        <f t="shared" si="22"/>
        <v>4904.0783200000005</v>
      </c>
      <c r="H157" s="119">
        <f t="shared" si="23"/>
        <v>3.7822007532339942E-3</v>
      </c>
      <c r="I157" s="120" cm="1">
        <f t="array" aca="1" ref="I157" ca="1">_FV(B157,"Price")</f>
        <v>1434.6</v>
      </c>
      <c r="J157" s="118">
        <f t="shared" ca="1" si="24"/>
        <v>5716.6962191976418</v>
      </c>
      <c r="K157" s="118">
        <f t="shared" ca="1" si="25"/>
        <v>5738.4</v>
      </c>
      <c r="L157" s="118">
        <v>0</v>
      </c>
      <c r="M157" s="118">
        <f t="shared" ca="1" si="26"/>
        <v>812.61789919764124</v>
      </c>
      <c r="N157" s="121">
        <f t="shared" ca="1" si="27"/>
        <v>0.16570247173329017</v>
      </c>
      <c r="O157" s="122">
        <f t="shared" ca="1" si="28"/>
        <v>18.100000000000001</v>
      </c>
      <c r="P157" s="121">
        <f t="shared" ca="1" si="29"/>
        <v>0.10985799230936363</v>
      </c>
      <c r="Q157" s="118">
        <f t="shared" ca="1" si="30"/>
        <v>5495.8371039466674</v>
      </c>
      <c r="R157" s="118">
        <f t="shared" si="31"/>
        <v>-4904.0783200000005</v>
      </c>
      <c r="S157" s="123" t="s">
        <v>222</v>
      </c>
      <c r="T157" s="118" t="s">
        <v>216</v>
      </c>
      <c r="U157" s="118" t="s">
        <v>217</v>
      </c>
      <c r="V157" s="118" t="s">
        <v>236</v>
      </c>
      <c r="W157" s="118" t="s">
        <v>219</v>
      </c>
    </row>
    <row r="158" spans="2:23" x14ac:dyDescent="0.3">
      <c r="B158" s="116" t="e" vm="11">
        <v>#VALUE!</v>
      </c>
      <c r="C158" s="117">
        <v>45691</v>
      </c>
      <c r="D158" s="116">
        <v>4</v>
      </c>
      <c r="E158" s="118">
        <v>1246.71</v>
      </c>
      <c r="F158" s="118">
        <f>D158*E158*0.0022+7.93</f>
        <v>18.901048000000003</v>
      </c>
      <c r="G158" s="118">
        <f t="shared" si="22"/>
        <v>5005.7410479999999</v>
      </c>
      <c r="H158" s="119">
        <f t="shared" si="23"/>
        <v>3.7901853678882825E-3</v>
      </c>
      <c r="I158" s="120" cm="1">
        <f t="array" aca="1" ref="I158" ca="1">_FV(B158,"Price")</f>
        <v>1434.6</v>
      </c>
      <c r="J158" s="118">
        <f t="shared" ca="1" si="24"/>
        <v>5716.6504002849097</v>
      </c>
      <c r="K158" s="118">
        <f t="shared" ca="1" si="25"/>
        <v>5738.4</v>
      </c>
      <c r="L158" s="118">
        <v>0</v>
      </c>
      <c r="M158" s="118">
        <f t="shared" ca="1" si="26"/>
        <v>710.9093522849098</v>
      </c>
      <c r="N158" s="121">
        <f t="shared" ca="1" si="27"/>
        <v>0.14201880310387757</v>
      </c>
      <c r="O158" s="122">
        <f t="shared" ca="1" si="28"/>
        <v>17.666666666666668</v>
      </c>
      <c r="P158" s="121">
        <f t="shared" ca="1" si="29"/>
        <v>9.6465602108294191E-2</v>
      </c>
      <c r="Q158" s="118">
        <f t="shared" ca="1" si="30"/>
        <v>5595.3061047644442</v>
      </c>
      <c r="R158" s="118">
        <f t="shared" si="31"/>
        <v>-5005.7410479999999</v>
      </c>
      <c r="S158" s="123" t="s">
        <v>222</v>
      </c>
      <c r="T158" s="118" t="s">
        <v>216</v>
      </c>
      <c r="U158" s="118" t="s">
        <v>217</v>
      </c>
      <c r="V158" s="118" t="s">
        <v>236</v>
      </c>
      <c r="W158" s="118" t="s">
        <v>219</v>
      </c>
    </row>
    <row r="159" spans="2:23" x14ac:dyDescent="0.3">
      <c r="B159" s="116" t="e" vm="11">
        <v>#VALUE!</v>
      </c>
      <c r="C159" s="117">
        <v>45706</v>
      </c>
      <c r="D159" s="116">
        <v>4</v>
      </c>
      <c r="E159" s="118">
        <v>1238.05</v>
      </c>
      <c r="F159" s="118">
        <f>D159*E159*0.0022+7.84</f>
        <v>18.734839999999998</v>
      </c>
      <c r="G159" s="118">
        <f t="shared" si="22"/>
        <v>4970.9348399999999</v>
      </c>
      <c r="H159" s="119">
        <f t="shared" si="23"/>
        <v>3.7831347683857678E-3</v>
      </c>
      <c r="I159" s="120" cm="1">
        <f t="array" aca="1" ref="I159" ca="1">_FV(B159,"Price")</f>
        <v>1434.6</v>
      </c>
      <c r="J159" s="118">
        <f t="shared" ca="1" si="24"/>
        <v>5716.6908594450952</v>
      </c>
      <c r="K159" s="118">
        <f t="shared" ca="1" si="25"/>
        <v>5738.4</v>
      </c>
      <c r="L159" s="118">
        <v>0</v>
      </c>
      <c r="M159" s="118">
        <f t="shared" ca="1" si="26"/>
        <v>745.75601944509526</v>
      </c>
      <c r="N159" s="121">
        <f t="shared" ca="1" si="27"/>
        <v>0.15002329409835821</v>
      </c>
      <c r="O159" s="122">
        <f t="shared" ca="1" si="28"/>
        <v>17.166666666666668</v>
      </c>
      <c r="P159" s="121">
        <f t="shared" ca="1" si="29"/>
        <v>0.10487065218526009</v>
      </c>
      <c r="Q159" s="118">
        <f t="shared" ca="1" si="30"/>
        <v>5539.8307161333332</v>
      </c>
      <c r="R159" s="118">
        <f t="shared" si="31"/>
        <v>-4970.9348399999999</v>
      </c>
      <c r="S159" s="123" t="s">
        <v>222</v>
      </c>
      <c r="T159" s="118" t="s">
        <v>216</v>
      </c>
      <c r="U159" s="118" t="s">
        <v>217</v>
      </c>
      <c r="V159" s="118" t="s">
        <v>236</v>
      </c>
      <c r="W159" s="118" t="s">
        <v>219</v>
      </c>
    </row>
    <row r="160" spans="2:23" x14ac:dyDescent="0.3">
      <c r="B160" s="116" t="e" vm="11">
        <v>#VALUE!</v>
      </c>
      <c r="C160" s="117">
        <v>45721</v>
      </c>
      <c r="D160" s="116">
        <v>4</v>
      </c>
      <c r="E160" s="118">
        <v>1217.45</v>
      </c>
      <c r="F160" s="118">
        <f>D160*E160*0.0022+7.71</f>
        <v>18.423560000000002</v>
      </c>
      <c r="G160" s="118">
        <f t="shared" si="22"/>
        <v>4888.2235600000004</v>
      </c>
      <c r="H160" s="119">
        <f t="shared" si="23"/>
        <v>3.7832272372582041E-3</v>
      </c>
      <c r="I160" s="120" cm="1">
        <f t="array" aca="1" ref="I160" ca="1">_FV(B160,"Price")</f>
        <v>1434.6</v>
      </c>
      <c r="J160" s="118">
        <f t="shared" ca="1" si="24"/>
        <v>5716.6903288217172</v>
      </c>
      <c r="K160" s="118">
        <f t="shared" ca="1" si="25"/>
        <v>5738.4</v>
      </c>
      <c r="L160" s="118">
        <v>0</v>
      </c>
      <c r="M160" s="118">
        <f t="shared" ca="1" si="26"/>
        <v>828.46676882171687</v>
      </c>
      <c r="N160" s="121">
        <f t="shared" ca="1" si="27"/>
        <v>0.16948217663386017</v>
      </c>
      <c r="O160" s="122">
        <f t="shared" ca="1" si="28"/>
        <v>16.600000000000001</v>
      </c>
      <c r="P160" s="121">
        <f t="shared" ca="1" si="29"/>
        <v>0.12251723612086277</v>
      </c>
      <c r="Q160" s="118">
        <f t="shared" ca="1" si="30"/>
        <v>5429.1869673066667</v>
      </c>
      <c r="R160" s="118">
        <f t="shared" si="31"/>
        <v>-4888.2235600000004</v>
      </c>
      <c r="S160" s="123" t="s">
        <v>222</v>
      </c>
      <c r="T160" s="118" t="s">
        <v>216</v>
      </c>
      <c r="U160" s="118" t="s">
        <v>217</v>
      </c>
      <c r="V160" s="118" t="s">
        <v>236</v>
      </c>
      <c r="W160" s="118" t="s">
        <v>219</v>
      </c>
    </row>
    <row r="161" spans="2:23" x14ac:dyDescent="0.3">
      <c r="B161" s="116" t="e" vm="11">
        <v>#VALUE!</v>
      </c>
      <c r="C161" s="117">
        <v>45736</v>
      </c>
      <c r="D161" s="116">
        <v>4</v>
      </c>
      <c r="E161" s="118">
        <v>1317.7</v>
      </c>
      <c r="F161" s="118">
        <f>D161*E161*0.0022+8.35</f>
        <v>19.94576</v>
      </c>
      <c r="G161" s="118">
        <f t="shared" si="22"/>
        <v>5290.7457599999998</v>
      </c>
      <c r="H161" s="119">
        <f t="shared" si="23"/>
        <v>3.7841997419746525E-3</v>
      </c>
      <c r="I161" s="120" cm="1">
        <f t="array" aca="1" ref="I161" ca="1">_FV(B161,"Price")</f>
        <v>1434.6</v>
      </c>
      <c r="J161" s="118">
        <f t="shared" ca="1" si="24"/>
        <v>5716.6847482006524</v>
      </c>
      <c r="K161" s="118">
        <f t="shared" ca="1" si="25"/>
        <v>5738.4</v>
      </c>
      <c r="L161" s="118">
        <v>0</v>
      </c>
      <c r="M161" s="118">
        <f t="shared" ca="1" si="26"/>
        <v>425.9389882006526</v>
      </c>
      <c r="N161" s="121">
        <f t="shared" ca="1" si="27"/>
        <v>8.0506417719201195E-2</v>
      </c>
      <c r="O161" s="122">
        <f t="shared" ca="1" si="28"/>
        <v>16.100000000000001</v>
      </c>
      <c r="P161" s="121">
        <f t="shared" ca="1" si="29"/>
        <v>6.0004783393193428E-2</v>
      </c>
      <c r="Q161" s="118">
        <f t="shared" ca="1" si="30"/>
        <v>5858.6191382400002</v>
      </c>
      <c r="R161" s="118">
        <f t="shared" si="31"/>
        <v>-5290.7457599999998</v>
      </c>
      <c r="S161" s="123" t="s">
        <v>222</v>
      </c>
      <c r="T161" s="118" t="s">
        <v>216</v>
      </c>
      <c r="U161" s="118" t="s">
        <v>217</v>
      </c>
      <c r="V161" s="118" t="s">
        <v>236</v>
      </c>
      <c r="W161" s="118" t="s">
        <v>219</v>
      </c>
    </row>
    <row r="162" spans="2:23" x14ac:dyDescent="0.3">
      <c r="B162" s="116" t="e" vm="11">
        <v>#VALUE!</v>
      </c>
      <c r="C162" s="117">
        <v>45751</v>
      </c>
      <c r="D162" s="116">
        <v>4</v>
      </c>
      <c r="E162" s="118">
        <v>1331</v>
      </c>
      <c r="F162" s="118">
        <f>D162*E162*0.0022+8.43</f>
        <v>20.142800000000001</v>
      </c>
      <c r="G162" s="118">
        <f t="shared" si="22"/>
        <v>5344.1427999999996</v>
      </c>
      <c r="H162" s="119">
        <f t="shared" si="23"/>
        <v>3.7833959429000755E-3</v>
      </c>
      <c r="I162" s="120" cm="1">
        <f t="array" aca="1" ref="I162" ca="1">_FV(B162,"Price")</f>
        <v>1434.6</v>
      </c>
      <c r="J162" s="118">
        <f t="shared" ca="1" si="24"/>
        <v>5716.6893607212614</v>
      </c>
      <c r="K162" s="118">
        <f t="shared" ca="1" si="25"/>
        <v>5738.4</v>
      </c>
      <c r="L162" s="118">
        <v>0</v>
      </c>
      <c r="M162" s="118">
        <f t="shared" ca="1" si="26"/>
        <v>372.54656072126181</v>
      </c>
      <c r="N162" s="121">
        <f t="shared" ca="1" si="27"/>
        <v>6.9711191235620015E-2</v>
      </c>
      <c r="O162" s="122">
        <f t="shared" ca="1" si="28"/>
        <v>15.633333333333333</v>
      </c>
      <c r="P162" s="121">
        <f t="shared" ca="1" si="29"/>
        <v>5.3509656385550546E-2</v>
      </c>
      <c r="Q162" s="118">
        <f t="shared" ca="1" si="30"/>
        <v>5901.1212384888886</v>
      </c>
      <c r="R162" s="118">
        <f t="shared" si="31"/>
        <v>-5344.1427999999996</v>
      </c>
      <c r="S162" s="123" t="s">
        <v>222</v>
      </c>
      <c r="T162" s="118" t="s">
        <v>216</v>
      </c>
      <c r="U162" s="118" t="s">
        <v>217</v>
      </c>
      <c r="V162" s="118" t="s">
        <v>236</v>
      </c>
      <c r="W162" s="118" t="s">
        <v>219</v>
      </c>
    </row>
    <row r="163" spans="2:23" x14ac:dyDescent="0.3">
      <c r="B163" s="116" t="e" vm="11">
        <v>#VALUE!</v>
      </c>
      <c r="C163" s="117">
        <v>45768</v>
      </c>
      <c r="D163" s="116">
        <v>4</v>
      </c>
      <c r="E163" s="118">
        <v>1414.8</v>
      </c>
      <c r="F163" s="118">
        <f>D163*E163*0.0022+8.96</f>
        <v>21.410240000000002</v>
      </c>
      <c r="G163" s="118">
        <f t="shared" si="22"/>
        <v>5680.61024</v>
      </c>
      <c r="H163" s="119">
        <f t="shared" si="23"/>
        <v>3.7832626519649424E-3</v>
      </c>
      <c r="I163" s="120" cm="1">
        <f t="array" aca="1" ref="I163" ca="1">_FV(B163,"Price")</f>
        <v>1434.6</v>
      </c>
      <c r="J163" s="118">
        <f t="shared" ca="1" si="24"/>
        <v>5716.6901255979637</v>
      </c>
      <c r="K163" s="118">
        <f t="shared" ca="1" si="25"/>
        <v>5738.4</v>
      </c>
      <c r="L163" s="118">
        <v>0</v>
      </c>
      <c r="M163" s="118">
        <f t="shared" ca="1" si="26"/>
        <v>36.079885597963766</v>
      </c>
      <c r="N163" s="121">
        <f t="shared" ca="1" si="27"/>
        <v>6.3514101608146533E-3</v>
      </c>
      <c r="O163" s="122">
        <f t="shared" ca="1" si="28"/>
        <v>15.066666666666666</v>
      </c>
      <c r="P163" s="121">
        <f t="shared" ca="1" si="29"/>
        <v>5.0586452608258302E-3</v>
      </c>
      <c r="Q163" s="118">
        <f t="shared" ca="1" si="30"/>
        <v>6251.1959796622223</v>
      </c>
      <c r="R163" s="118">
        <f t="shared" si="31"/>
        <v>-5680.61024</v>
      </c>
      <c r="S163" s="123" t="s">
        <v>222</v>
      </c>
      <c r="T163" s="118" t="s">
        <v>216</v>
      </c>
      <c r="U163" s="118" t="s">
        <v>217</v>
      </c>
      <c r="V163" s="118" t="s">
        <v>236</v>
      </c>
      <c r="W163" s="118" t="s">
        <v>219</v>
      </c>
    </row>
    <row r="164" spans="2:23" x14ac:dyDescent="0.3">
      <c r="B164" s="116" t="e" vm="11">
        <v>#VALUE!</v>
      </c>
      <c r="C164" s="117">
        <v>45782</v>
      </c>
      <c r="D164" s="116">
        <v>4</v>
      </c>
      <c r="E164" s="118">
        <v>1430</v>
      </c>
      <c r="F164" s="118">
        <f>D164*E164*0.0022+9.06</f>
        <v>21.644000000000002</v>
      </c>
      <c r="G164" s="118">
        <f t="shared" si="22"/>
        <v>5741.6440000000002</v>
      </c>
      <c r="H164" s="119">
        <f t="shared" si="23"/>
        <v>3.7839160839160842E-3</v>
      </c>
      <c r="I164" s="120" cm="1">
        <f t="array" aca="1" ref="I164" ca="1">_FV(B164,"Price")</f>
        <v>1434.6</v>
      </c>
      <c r="J164" s="118">
        <f t="shared" ca="1" si="24"/>
        <v>5716.6863759440557</v>
      </c>
      <c r="K164" s="118">
        <f t="shared" ca="1" si="25"/>
        <v>5738.4</v>
      </c>
      <c r="L164" s="118">
        <v>0</v>
      </c>
      <c r="M164" s="118">
        <f t="shared" ca="1" si="26"/>
        <v>-24.957624055944507</v>
      </c>
      <c r="N164" s="121">
        <f t="shared" ca="1" si="27"/>
        <v>-4.3467731639134201E-3</v>
      </c>
      <c r="O164" s="122">
        <f t="shared" ca="1" si="28"/>
        <v>14.6</v>
      </c>
      <c r="P164" s="121">
        <f t="shared" ca="1" si="29"/>
        <v>-3.5726902717096607E-3</v>
      </c>
      <c r="Q164" s="118">
        <f t="shared" ca="1" si="30"/>
        <v>6300.4973493333337</v>
      </c>
      <c r="R164" s="118">
        <f t="shared" si="31"/>
        <v>-5741.6440000000002</v>
      </c>
      <c r="S164" s="123" t="s">
        <v>222</v>
      </c>
      <c r="T164" s="118" t="s">
        <v>216</v>
      </c>
      <c r="U164" s="118" t="s">
        <v>217</v>
      </c>
      <c r="V164" s="118" t="s">
        <v>236</v>
      </c>
      <c r="W164" s="118" t="s">
        <v>219</v>
      </c>
    </row>
    <row r="165" spans="2:23" x14ac:dyDescent="0.3">
      <c r="B165" s="116" t="e" vm="11">
        <v>#VALUE!</v>
      </c>
      <c r="C165" s="117">
        <v>45796</v>
      </c>
      <c r="D165" s="116">
        <v>4</v>
      </c>
      <c r="E165" s="118">
        <v>1456.5</v>
      </c>
      <c r="F165" s="118">
        <f>D165*E165*0.0022+9.36</f>
        <v>22.177199999999999</v>
      </c>
      <c r="G165" s="118">
        <f t="shared" si="22"/>
        <v>5848.1772000000001</v>
      </c>
      <c r="H165" s="119">
        <f t="shared" si="23"/>
        <v>3.8065911431513903E-3</v>
      </c>
      <c r="I165" s="120" cm="1">
        <f t="array" aca="1" ref="I165" ca="1">_FV(B165,"Price")</f>
        <v>1434.6</v>
      </c>
      <c r="J165" s="118">
        <f t="shared" ca="1" si="24"/>
        <v>5716.5562573841398</v>
      </c>
      <c r="K165" s="118">
        <f t="shared" ca="1" si="25"/>
        <v>5738.4</v>
      </c>
      <c r="L165" s="118">
        <v>0</v>
      </c>
      <c r="M165" s="118">
        <f t="shared" ca="1" si="26"/>
        <v>-131.62094261586026</v>
      </c>
      <c r="N165" s="121">
        <f t="shared" ca="1" si="27"/>
        <v>-2.2506319168280376E-2</v>
      </c>
      <c r="O165" s="122">
        <f t="shared" ca="1" si="28"/>
        <v>14.133333333333333</v>
      </c>
      <c r="P165" s="121">
        <f t="shared" ca="1" si="29"/>
        <v>-1.9109138916464471E-2</v>
      </c>
      <c r="Q165" s="118">
        <f t="shared" ca="1" si="30"/>
        <v>6399.2054517333336</v>
      </c>
      <c r="R165" s="118">
        <f t="shared" si="31"/>
        <v>-5848.1772000000001</v>
      </c>
      <c r="S165" s="123" t="s">
        <v>222</v>
      </c>
      <c r="T165" s="118" t="s">
        <v>216</v>
      </c>
      <c r="U165" s="118" t="s">
        <v>217</v>
      </c>
      <c r="V165" s="118" t="s">
        <v>236</v>
      </c>
      <c r="W165" s="118" t="s">
        <v>219</v>
      </c>
    </row>
    <row r="166" spans="2:23" x14ac:dyDescent="0.3">
      <c r="B166" s="116" t="e" vm="11">
        <v>#VALUE!</v>
      </c>
      <c r="C166" s="117">
        <v>45811</v>
      </c>
      <c r="D166" s="116">
        <v>4</v>
      </c>
      <c r="E166" s="118">
        <v>1438.6</v>
      </c>
      <c r="F166" s="118">
        <f>D166*E166*0.0022+9.1</f>
        <v>21.759679999999999</v>
      </c>
      <c r="G166" s="118">
        <f t="shared" si="22"/>
        <v>5776.1596799999998</v>
      </c>
      <c r="H166" s="119">
        <f t="shared" si="23"/>
        <v>3.7813985819546785E-3</v>
      </c>
      <c r="I166" s="120" cm="1">
        <f t="array" aca="1" ref="I166" ca="1">_FV(B166,"Price")</f>
        <v>1434.6</v>
      </c>
      <c r="J166" s="118">
        <f t="shared" ca="1" si="24"/>
        <v>5716.7008223773109</v>
      </c>
      <c r="K166" s="118">
        <f t="shared" ca="1" si="25"/>
        <v>5738.4</v>
      </c>
      <c r="L166" s="118">
        <v>0</v>
      </c>
      <c r="M166" s="118">
        <f t="shared" ca="1" si="26"/>
        <v>-59.458857622688811</v>
      </c>
      <c r="N166" s="121">
        <f t="shared" ca="1" si="27"/>
        <v>-1.0293838972036316E-2</v>
      </c>
      <c r="O166" s="122">
        <f t="shared" ca="1" si="28"/>
        <v>13.666666666666666</v>
      </c>
      <c r="P166" s="121">
        <f t="shared" ca="1" si="29"/>
        <v>-9.038492755934326E-3</v>
      </c>
      <c r="Q166" s="118">
        <f t="shared" ca="1" si="30"/>
        <v>6302.4320063999994</v>
      </c>
      <c r="R166" s="118">
        <f t="shared" si="31"/>
        <v>-5776.1596799999998</v>
      </c>
      <c r="S166" s="123" t="s">
        <v>222</v>
      </c>
      <c r="T166" s="118" t="s">
        <v>216</v>
      </c>
      <c r="U166" s="118" t="s">
        <v>217</v>
      </c>
      <c r="V166" s="118" t="s">
        <v>236</v>
      </c>
      <c r="W166" s="118" t="s">
        <v>219</v>
      </c>
    </row>
    <row r="167" spans="2:23" x14ac:dyDescent="0.3">
      <c r="B167" s="116" t="e" vm="11">
        <v>#VALUE!</v>
      </c>
      <c r="C167" s="117">
        <v>45826</v>
      </c>
      <c r="D167" s="116">
        <v>4</v>
      </c>
      <c r="E167" s="118">
        <v>1414</v>
      </c>
      <c r="F167" s="118">
        <f>D167*E167*0.0022+8.96</f>
        <v>21.403200000000002</v>
      </c>
      <c r="G167" s="118">
        <f t="shared" si="22"/>
        <v>5677.4031999999997</v>
      </c>
      <c r="H167" s="119">
        <f t="shared" si="23"/>
        <v>3.7841584158415844E-3</v>
      </c>
      <c r="I167" s="120" cm="1">
        <f t="array" aca="1" ref="I167" ca="1">_FV(B167,"Price")</f>
        <v>1434.6</v>
      </c>
      <c r="J167" s="118">
        <f t="shared" ca="1" si="24"/>
        <v>5716.6849853465346</v>
      </c>
      <c r="K167" s="118">
        <f t="shared" ca="1" si="25"/>
        <v>5738.4</v>
      </c>
      <c r="L167" s="118">
        <v>0</v>
      </c>
      <c r="M167" s="118">
        <f t="shared" ca="1" si="26"/>
        <v>39.281785346534889</v>
      </c>
      <c r="N167" s="121">
        <f t="shared" ca="1" si="27"/>
        <v>6.918970515698954E-3</v>
      </c>
      <c r="O167" s="122">
        <f t="shared" ca="1" si="28"/>
        <v>13.166666666666666</v>
      </c>
      <c r="P167" s="121">
        <f t="shared" ca="1" si="29"/>
        <v>6.3058971788648695E-3</v>
      </c>
      <c r="Q167" s="118">
        <f t="shared" ca="1" si="30"/>
        <v>6175.7530364444438</v>
      </c>
      <c r="R167" s="118">
        <f t="shared" si="31"/>
        <v>-5677.4031999999997</v>
      </c>
      <c r="S167" s="123" t="s">
        <v>222</v>
      </c>
      <c r="T167" s="118" t="s">
        <v>216</v>
      </c>
      <c r="U167" s="118" t="s">
        <v>217</v>
      </c>
      <c r="V167" s="118" t="s">
        <v>236</v>
      </c>
      <c r="W167" s="118" t="s">
        <v>219</v>
      </c>
    </row>
    <row r="168" spans="2:23" x14ac:dyDescent="0.3">
      <c r="B168" s="116" t="e" vm="11">
        <v>#VALUE!</v>
      </c>
      <c r="C168" s="117">
        <v>45841</v>
      </c>
      <c r="D168" s="116">
        <v>4</v>
      </c>
      <c r="E168" s="118">
        <v>1434.7</v>
      </c>
      <c r="F168" s="118">
        <f>D168*E168*0.0022+9.09</f>
        <v>21.71536</v>
      </c>
      <c r="G168" s="118">
        <f t="shared" si="22"/>
        <v>5760.5153600000003</v>
      </c>
      <c r="H168" s="119">
        <f t="shared" si="23"/>
        <v>3.7839548337631561E-3</v>
      </c>
      <c r="I168" s="120" cm="1">
        <f t="array" aca="1" ref="I168" ca="1">_FV(B168,"Price")</f>
        <v>1434.6</v>
      </c>
      <c r="J168" s="118">
        <f t="shared" ca="1" si="24"/>
        <v>5716.6861535819335</v>
      </c>
      <c r="K168" s="118">
        <f t="shared" ca="1" si="25"/>
        <v>5738.4</v>
      </c>
      <c r="L168" s="118">
        <v>0</v>
      </c>
      <c r="M168" s="118">
        <f t="shared" ca="1" si="26"/>
        <v>-43.82920641806686</v>
      </c>
      <c r="N168" s="121">
        <f t="shared" ca="1" si="27"/>
        <v>-7.6085564709034749E-3</v>
      </c>
      <c r="O168" s="122">
        <f t="shared" ca="1" si="28"/>
        <v>12.666666666666666</v>
      </c>
      <c r="P168" s="121">
        <f t="shared" ca="1" si="29"/>
        <v>-7.2081061303296079E-3</v>
      </c>
      <c r="Q168" s="118">
        <f t="shared" ca="1" si="30"/>
        <v>6246.958879288889</v>
      </c>
      <c r="R168" s="118">
        <f t="shared" si="31"/>
        <v>-5760.5153600000003</v>
      </c>
      <c r="S168" s="123" t="s">
        <v>222</v>
      </c>
      <c r="T168" s="118" t="s">
        <v>216</v>
      </c>
      <c r="U168" s="118" t="s">
        <v>217</v>
      </c>
      <c r="V168" s="118" t="s">
        <v>236</v>
      </c>
      <c r="W168" s="118" t="s">
        <v>219</v>
      </c>
    </row>
    <row r="169" spans="2:23" x14ac:dyDescent="0.3">
      <c r="B169" s="116" t="e" vm="11">
        <v>#VALUE!</v>
      </c>
      <c r="C169" s="117">
        <v>45873</v>
      </c>
      <c r="D169" s="116">
        <v>4</v>
      </c>
      <c r="E169" s="118">
        <v>1468</v>
      </c>
      <c r="F169" s="118">
        <f>D169*E169*0.0022+9.3</f>
        <v>22.218400000000003</v>
      </c>
      <c r="G169" s="118">
        <f t="shared" si="22"/>
        <v>5894.2183999999997</v>
      </c>
      <c r="H169" s="119">
        <f t="shared" si="23"/>
        <v>3.783787465940055E-3</v>
      </c>
      <c r="I169" s="120" cm="1">
        <f t="array" aca="1" ref="I169" ca="1">_FV(B169,"Price")</f>
        <v>1434.6</v>
      </c>
      <c r="J169" s="118">
        <f t="shared" ca="1" si="24"/>
        <v>5716.6871140054491</v>
      </c>
      <c r="K169" s="118">
        <f t="shared" ca="1" si="25"/>
        <v>5738.4</v>
      </c>
      <c r="L169" s="118">
        <v>0</v>
      </c>
      <c r="M169" s="118">
        <f t="shared" ca="1" si="26"/>
        <v>-177.53128599455067</v>
      </c>
      <c r="N169" s="121">
        <f t="shared" ca="1" si="27"/>
        <v>-3.0119563603980246E-2</v>
      </c>
      <c r="O169" s="122">
        <f t="shared" ca="1" si="28"/>
        <v>11.633333333333333</v>
      </c>
      <c r="P169" s="121">
        <f t="shared" ca="1" si="29"/>
        <v>-3.1068890823589938E-2</v>
      </c>
      <c r="Q169" s="118">
        <f t="shared" ca="1" si="30"/>
        <v>6351.3477825777773</v>
      </c>
      <c r="R169" s="118">
        <f t="shared" si="31"/>
        <v>-5894.2183999999997</v>
      </c>
      <c r="S169" s="123" t="s">
        <v>222</v>
      </c>
      <c r="T169" s="118" t="s">
        <v>216</v>
      </c>
      <c r="U169" s="118" t="s">
        <v>217</v>
      </c>
      <c r="V169" s="118" t="s">
        <v>236</v>
      </c>
      <c r="W169" s="118" t="s">
        <v>219</v>
      </c>
    </row>
    <row r="170" spans="2:23" x14ac:dyDescent="0.3">
      <c r="B170" s="116" t="e" vm="11">
        <v>#VALUE!</v>
      </c>
      <c r="C170" s="117">
        <v>45903</v>
      </c>
      <c r="D170" s="116">
        <v>4</v>
      </c>
      <c r="E170" s="118">
        <v>1391.1</v>
      </c>
      <c r="F170" s="118">
        <f>D170*E170*0.0022+8.81</f>
        <v>21.051680000000001</v>
      </c>
      <c r="G170" s="118">
        <f t="shared" si="22"/>
        <v>5585.4516799999992</v>
      </c>
      <c r="H170" s="119">
        <f t="shared" si="23"/>
        <v>3.7832794191646904E-3</v>
      </c>
      <c r="I170" s="120" cm="1">
        <f t="array" aca="1" ref="I170" ca="1">_FV(B170,"Price")</f>
        <v>1434.6</v>
      </c>
      <c r="J170" s="118">
        <f t="shared" ca="1" si="24"/>
        <v>5716.690029381065</v>
      </c>
      <c r="K170" s="118">
        <f t="shared" ca="1" si="25"/>
        <v>5738.4</v>
      </c>
      <c r="L170" s="118">
        <v>0</v>
      </c>
      <c r="M170" s="118">
        <f t="shared" ca="1" si="26"/>
        <v>131.23834938106575</v>
      </c>
      <c r="N170" s="121">
        <f t="shared" ca="1" si="27"/>
        <v>2.3496461324872792E-2</v>
      </c>
      <c r="O170" s="122">
        <f t="shared" ca="1" si="28"/>
        <v>10.666666666666666</v>
      </c>
      <c r="P170" s="121">
        <f t="shared" ca="1" si="29"/>
        <v>2.6433518990481891E-2</v>
      </c>
      <c r="Q170" s="118">
        <f t="shared" ca="1" si="30"/>
        <v>5982.639355022221</v>
      </c>
      <c r="R170" s="118">
        <f t="shared" si="31"/>
        <v>-5585.4516799999992</v>
      </c>
      <c r="S170" s="123" t="s">
        <v>222</v>
      </c>
      <c r="T170" s="118" t="s">
        <v>216</v>
      </c>
      <c r="U170" s="118" t="s">
        <v>217</v>
      </c>
      <c r="V170" s="118" t="s">
        <v>236</v>
      </c>
      <c r="W170" s="118" t="s">
        <v>219</v>
      </c>
    </row>
    <row r="171" spans="2:23" x14ac:dyDescent="0.3">
      <c r="B171" s="116" t="e" vm="11">
        <v>#VALUE!</v>
      </c>
      <c r="C171" s="117">
        <v>45933</v>
      </c>
      <c r="D171" s="116">
        <v>4</v>
      </c>
      <c r="E171" s="118">
        <v>1365.3</v>
      </c>
      <c r="F171" s="118">
        <f>D171*E171*0.0022+8.64</f>
        <v>20.654640000000001</v>
      </c>
      <c r="G171" s="118">
        <f t="shared" si="22"/>
        <v>5481.8546399999996</v>
      </c>
      <c r="H171" s="119">
        <f t="shared" si="23"/>
        <v>3.7820698747528018E-3</v>
      </c>
      <c r="I171" s="120" cm="1">
        <f t="array" aca="1" ref="I171" ca="1">_FV(B171,"Price")</f>
        <v>1434.6</v>
      </c>
      <c r="J171" s="118">
        <f t="shared" ca="1" si="24"/>
        <v>5716.6969702307179</v>
      </c>
      <c r="K171" s="118">
        <f t="shared" ca="1" si="25"/>
        <v>5738.4</v>
      </c>
      <c r="L171" s="118">
        <v>0</v>
      </c>
      <c r="M171" s="118">
        <f t="shared" ca="1" si="26"/>
        <v>234.84233023071829</v>
      </c>
      <c r="N171" s="121">
        <f t="shared" ca="1" si="27"/>
        <v>4.2839941160993336E-2</v>
      </c>
      <c r="O171" s="122">
        <f t="shared" ca="1" si="28"/>
        <v>9.6666666666666661</v>
      </c>
      <c r="P171" s="121">
        <f t="shared" ca="1" si="29"/>
        <v>5.3180616613646911E-2</v>
      </c>
      <c r="Q171" s="118">
        <f t="shared" ca="1" si="30"/>
        <v>5835.1297167999992</v>
      </c>
      <c r="R171" s="118">
        <f t="shared" si="31"/>
        <v>-5481.8546399999996</v>
      </c>
      <c r="S171" s="123" t="s">
        <v>222</v>
      </c>
      <c r="T171" s="118" t="s">
        <v>216</v>
      </c>
      <c r="U171" s="118" t="s">
        <v>217</v>
      </c>
      <c r="V171" s="118" t="s">
        <v>236</v>
      </c>
      <c r="W171" s="118" t="s">
        <v>219</v>
      </c>
    </row>
    <row r="172" spans="2:23" x14ac:dyDescent="0.3">
      <c r="B172" s="116" t="e" vm="11">
        <v>#VALUE!</v>
      </c>
      <c r="C172" s="117">
        <v>45964</v>
      </c>
      <c r="D172" s="116">
        <v>4</v>
      </c>
      <c r="E172" s="118">
        <v>1345.2</v>
      </c>
      <c r="F172" s="118">
        <f>D172*E172*0.0022+8.52</f>
        <v>20.357759999999999</v>
      </c>
      <c r="G172" s="118">
        <f t="shared" si="22"/>
        <v>5401.1577600000001</v>
      </c>
      <c r="H172" s="119">
        <f t="shared" si="23"/>
        <v>3.7834076717216769E-3</v>
      </c>
      <c r="I172" s="120" cm="1">
        <f t="array" aca="1" ref="I172" ca="1">_FV(B172,"Price")</f>
        <v>1434.6</v>
      </c>
      <c r="J172" s="118">
        <f t="shared" ca="1" si="24"/>
        <v>5716.6892934165917</v>
      </c>
      <c r="K172" s="118">
        <f t="shared" ca="1" si="25"/>
        <v>5738.4</v>
      </c>
      <c r="L172" s="118">
        <v>0</v>
      </c>
      <c r="M172" s="118">
        <f t="shared" ca="1" si="26"/>
        <v>315.53153341659163</v>
      </c>
      <c r="N172" s="121">
        <f t="shared" ca="1" si="27"/>
        <v>5.8419240362383273E-2</v>
      </c>
      <c r="O172" s="122">
        <f t="shared" ca="1" si="28"/>
        <v>8.6666666666666661</v>
      </c>
      <c r="P172" s="121">
        <f t="shared" ca="1" si="29"/>
        <v>8.0888178963299931E-2</v>
      </c>
      <c r="Q172" s="118">
        <f t="shared" ca="1" si="30"/>
        <v>5713.2246527999996</v>
      </c>
      <c r="R172" s="118">
        <f t="shared" si="31"/>
        <v>-5401.1577600000001</v>
      </c>
      <c r="S172" s="123" t="s">
        <v>222</v>
      </c>
      <c r="T172" s="118" t="s">
        <v>216</v>
      </c>
      <c r="U172" s="118" t="s">
        <v>217</v>
      </c>
      <c r="V172" s="118" t="s">
        <v>236</v>
      </c>
      <c r="W172" s="118" t="s">
        <v>219</v>
      </c>
    </row>
    <row r="173" spans="2:23" x14ac:dyDescent="0.3">
      <c r="B173" s="116" t="e" vm="11">
        <v>#VALUE!</v>
      </c>
      <c r="C173" s="117">
        <v>45994</v>
      </c>
      <c r="D173" s="116">
        <v>4</v>
      </c>
      <c r="E173" s="118">
        <v>1376.9</v>
      </c>
      <c r="F173" s="118">
        <f>D173*E173*0.0022+8.72</f>
        <v>20.83672</v>
      </c>
      <c r="G173" s="118">
        <f t="shared" si="22"/>
        <v>5528.4367200000006</v>
      </c>
      <c r="H173" s="119">
        <f t="shared" si="23"/>
        <v>3.7832667586607592E-3</v>
      </c>
      <c r="I173" s="120" cm="1">
        <f t="array" aca="1" ref="I173" ca="1">_FV(B173,"Price")</f>
        <v>1434.6</v>
      </c>
      <c r="J173" s="118">
        <f t="shared" ca="1" si="24"/>
        <v>5716.6901020321002</v>
      </c>
      <c r="K173" s="118">
        <f t="shared" ca="1" si="25"/>
        <v>5738.4</v>
      </c>
      <c r="L173" s="118">
        <v>0</v>
      </c>
      <c r="M173" s="118">
        <f t="shared" ca="1" si="26"/>
        <v>188.25338203209958</v>
      </c>
      <c r="N173" s="121">
        <f t="shared" ca="1" si="27"/>
        <v>3.4051829037142267E-2</v>
      </c>
      <c r="O173" s="122">
        <f t="shared" ca="1" si="28"/>
        <v>7.666666666666667</v>
      </c>
      <c r="P173" s="121">
        <f t="shared" ca="1" si="29"/>
        <v>5.329851501465746E-2</v>
      </c>
      <c r="Q173" s="118">
        <f t="shared" ca="1" si="30"/>
        <v>5811.0012634666673</v>
      </c>
      <c r="R173" s="118">
        <f t="shared" si="31"/>
        <v>-5528.4367200000006</v>
      </c>
      <c r="S173" s="123" t="s">
        <v>222</v>
      </c>
      <c r="T173" s="118" t="s">
        <v>216</v>
      </c>
      <c r="U173" s="118" t="s">
        <v>217</v>
      </c>
      <c r="V173" s="118" t="s">
        <v>236</v>
      </c>
      <c r="W173" s="118" t="s">
        <v>219</v>
      </c>
    </row>
    <row r="174" spans="2:23" x14ac:dyDescent="0.3">
      <c r="B174" s="116" t="e" vm="11">
        <v>#VALUE!</v>
      </c>
      <c r="C174" s="117">
        <v>46027</v>
      </c>
      <c r="D174" s="116">
        <v>4</v>
      </c>
      <c r="E174" s="118">
        <v>1365.6</v>
      </c>
      <c r="F174" s="118">
        <f>D174*E174*0.0022+8.64</f>
        <v>20.65728</v>
      </c>
      <c r="G174" s="118">
        <f t="shared" si="22"/>
        <v>5483.05728</v>
      </c>
      <c r="H174" s="119">
        <f t="shared" si="23"/>
        <v>3.7817223198594028E-3</v>
      </c>
      <c r="I174" s="120" cm="1">
        <f t="array" aca="1" ref="I174" ca="1">_FV(B174,"Price")</f>
        <v>1434.6</v>
      </c>
      <c r="J174" s="118">
        <f t="shared" ca="1" si="24"/>
        <v>5716.6989646397187</v>
      </c>
      <c r="K174" s="118">
        <f t="shared" ca="1" si="25"/>
        <v>5738.4</v>
      </c>
      <c r="L174" s="118">
        <v>0</v>
      </c>
      <c r="M174" s="118">
        <f t="shared" ca="1" si="26"/>
        <v>233.64168463971873</v>
      </c>
      <c r="N174" s="121">
        <f t="shared" ca="1" si="27"/>
        <v>4.2611571010200855E-2</v>
      </c>
      <c r="O174" s="122">
        <f t="shared" ca="1" si="28"/>
        <v>6.6</v>
      </c>
      <c r="P174" s="121">
        <f t="shared" ca="1" si="29"/>
        <v>7.7475583654910654E-2</v>
      </c>
      <c r="Q174" s="118">
        <f t="shared" ca="1" si="30"/>
        <v>5724.3118003199997</v>
      </c>
      <c r="R174" s="118">
        <f t="shared" si="31"/>
        <v>-5483.05728</v>
      </c>
      <c r="S174" s="123" t="s">
        <v>222</v>
      </c>
      <c r="T174" s="118" t="s">
        <v>216</v>
      </c>
      <c r="U174" s="118" t="s">
        <v>217</v>
      </c>
      <c r="V174" s="118" t="s">
        <v>236</v>
      </c>
      <c r="W174" s="118" t="s">
        <v>219</v>
      </c>
    </row>
    <row r="175" spans="2:23" x14ac:dyDescent="0.3">
      <c r="B175" s="116" t="e" vm="11">
        <v>#VALUE!</v>
      </c>
      <c r="C175" s="117">
        <v>46056</v>
      </c>
      <c r="D175" s="116">
        <v>4</v>
      </c>
      <c r="E175" s="118">
        <v>1395</v>
      </c>
      <c r="F175" s="118">
        <f>D175*E175*0.0022+8.84</f>
        <v>21.116</v>
      </c>
      <c r="G175" s="118">
        <f t="shared" si="22"/>
        <v>5601.116</v>
      </c>
      <c r="H175" s="119">
        <f t="shared" si="23"/>
        <v>3.7842293906810037E-3</v>
      </c>
      <c r="I175" s="120" cm="1">
        <f t="array" aca="1" ref="I175" ca="1">_FV(B175,"Price")</f>
        <v>1434.6</v>
      </c>
      <c r="J175" s="118">
        <f t="shared" ca="1" si="24"/>
        <v>5716.6845780645153</v>
      </c>
      <c r="K175" s="118">
        <f t="shared" ca="1" si="25"/>
        <v>5738.4</v>
      </c>
      <c r="L175" s="118">
        <v>0</v>
      </c>
      <c r="M175" s="118">
        <f t="shared" ca="1" si="26"/>
        <v>115.56857806451535</v>
      </c>
      <c r="N175" s="121">
        <f t="shared" ca="1" si="27"/>
        <v>2.0633134194063353E-2</v>
      </c>
      <c r="O175" s="122">
        <f t="shared" ca="1" si="28"/>
        <v>5.666666666666667</v>
      </c>
      <c r="P175" s="121">
        <f t="shared" ca="1" si="29"/>
        <v>4.3693695940369454E-2</v>
      </c>
      <c r="Q175" s="118">
        <f t="shared" ca="1" si="30"/>
        <v>5812.7137155555556</v>
      </c>
      <c r="R175" s="118">
        <f t="shared" si="31"/>
        <v>-5601.116</v>
      </c>
      <c r="S175" s="123" t="s">
        <v>222</v>
      </c>
      <c r="T175" s="118" t="s">
        <v>216</v>
      </c>
      <c r="U175" s="118" t="s">
        <v>217</v>
      </c>
      <c r="V175" s="118" t="s">
        <v>236</v>
      </c>
      <c r="W175" s="118" t="s">
        <v>219</v>
      </c>
    </row>
    <row r="176" spans="2:23" x14ac:dyDescent="0.3">
      <c r="B176" s="116" t="e" vm="11">
        <v>#VALUE!</v>
      </c>
      <c r="C176" s="117">
        <v>46085</v>
      </c>
      <c r="D176" s="116">
        <v>4</v>
      </c>
      <c r="E176" s="118">
        <v>1352.8</v>
      </c>
      <c r="F176" s="118">
        <f>D176*E176*0.0022+8.57</f>
        <v>20.474640000000001</v>
      </c>
      <c r="G176" s="118">
        <f t="shared" si="22"/>
        <v>5431.6746400000002</v>
      </c>
      <c r="H176" s="119">
        <f t="shared" si="23"/>
        <v>3.783752217622709E-3</v>
      </c>
      <c r="I176" s="120" cm="1">
        <f t="array" aca="1" ref="I176" ca="1">_FV(B176,"Price")</f>
        <v>1434.6</v>
      </c>
      <c r="J176" s="118">
        <f t="shared" ca="1" si="24"/>
        <v>5716.6873162743932</v>
      </c>
      <c r="K176" s="118">
        <f t="shared" ca="1" si="25"/>
        <v>5738.4</v>
      </c>
      <c r="L176" s="118">
        <v>0</v>
      </c>
      <c r="M176" s="118">
        <f t="shared" ca="1" si="26"/>
        <v>285.01267627439302</v>
      </c>
      <c r="N176" s="121">
        <f t="shared" ca="1" si="27"/>
        <v>5.2472339594035959E-2</v>
      </c>
      <c r="O176" s="122">
        <f t="shared" ca="1" si="28"/>
        <v>4.6333333333333337</v>
      </c>
      <c r="P176" s="121">
        <f t="shared" ca="1" si="29"/>
        <v>0.13589958456009313</v>
      </c>
      <c r="Q176" s="118">
        <f t="shared" ca="1" si="30"/>
        <v>5599.4530344355553</v>
      </c>
      <c r="R176" s="118">
        <f t="shared" si="31"/>
        <v>-5431.6746400000002</v>
      </c>
      <c r="S176" s="123" t="s">
        <v>222</v>
      </c>
      <c r="T176" s="118" t="s">
        <v>216</v>
      </c>
      <c r="U176" s="118" t="s">
        <v>217</v>
      </c>
      <c r="V176" s="118" t="s">
        <v>236</v>
      </c>
      <c r="W176" s="118" t="s">
        <v>219</v>
      </c>
    </row>
    <row r="177" spans="2:23" x14ac:dyDescent="0.3">
      <c r="B177" s="116" t="e" vm="11">
        <v>#VALUE!</v>
      </c>
      <c r="C177" s="117">
        <v>46118</v>
      </c>
      <c r="D177" s="116">
        <v>4</v>
      </c>
      <c r="E177" s="118">
        <v>1208</v>
      </c>
      <c r="F177" s="118">
        <f>D177*E177*0.0022+7.64</f>
        <v>18.270399999999999</v>
      </c>
      <c r="G177" s="118">
        <f t="shared" si="22"/>
        <v>4850.2704000000003</v>
      </c>
      <c r="H177" s="119">
        <f t="shared" si="23"/>
        <v>3.7811258278145693E-3</v>
      </c>
      <c r="I177" s="120" cm="1">
        <f t="array" aca="1" ref="I177" ca="1">_FV(B177,"Price")</f>
        <v>1434.6</v>
      </c>
      <c r="J177" s="118">
        <f t="shared" ca="1" si="24"/>
        <v>5716.7023875496689</v>
      </c>
      <c r="K177" s="118">
        <f t="shared" ca="1" si="25"/>
        <v>5738.4</v>
      </c>
      <c r="L177" s="118">
        <v>0</v>
      </c>
      <c r="M177" s="118">
        <f t="shared" ca="1" si="26"/>
        <v>866.43198754966852</v>
      </c>
      <c r="N177" s="121">
        <f t="shared" ca="1" si="27"/>
        <v>0.17863581122192043</v>
      </c>
      <c r="O177" s="122">
        <f t="shared" ca="1" si="28"/>
        <v>3.5666666666666669</v>
      </c>
      <c r="P177" s="121">
        <f t="shared" ca="1" si="29"/>
        <v>0.60101768261580701</v>
      </c>
      <c r="Q177" s="118">
        <f t="shared" ca="1" si="30"/>
        <v>4965.5990517333339</v>
      </c>
      <c r="R177" s="118">
        <f t="shared" si="31"/>
        <v>-4850.2704000000003</v>
      </c>
      <c r="S177" s="123" t="s">
        <v>222</v>
      </c>
      <c r="T177" s="118" t="s">
        <v>216</v>
      </c>
      <c r="U177" s="118" t="s">
        <v>217</v>
      </c>
      <c r="V177" s="118" t="s">
        <v>236</v>
      </c>
      <c r="W177" s="118" t="s">
        <v>219</v>
      </c>
    </row>
    <row r="178" spans="2:23" x14ac:dyDescent="0.3">
      <c r="B178" s="116" t="e" vm="11">
        <v>#VALUE!</v>
      </c>
      <c r="C178" s="117">
        <v>46146</v>
      </c>
      <c r="D178" s="116">
        <v>4</v>
      </c>
      <c r="E178" s="118">
        <v>1276.4000000000001</v>
      </c>
      <c r="F178" s="118">
        <f>D178*E178*0.0022+8.09</f>
        <v>19.322320000000001</v>
      </c>
      <c r="G178" s="118">
        <f t="shared" si="22"/>
        <v>5124.9223200000006</v>
      </c>
      <c r="H178" s="119">
        <f t="shared" si="23"/>
        <v>3.7845346286430586E-3</v>
      </c>
      <c r="I178" s="120" cm="1">
        <f t="array" aca="1" ref="I178" ca="1">_FV(B178,"Price")</f>
        <v>1434.6</v>
      </c>
      <c r="J178" s="118">
        <f t="shared" ca="1" si="24"/>
        <v>5716.6828264869946</v>
      </c>
      <c r="K178" s="118">
        <f t="shared" ca="1" si="25"/>
        <v>5738.4</v>
      </c>
      <c r="L178" s="118">
        <v>0</v>
      </c>
      <c r="M178" s="118">
        <f t="shared" ca="1" si="26"/>
        <v>591.76050648699402</v>
      </c>
      <c r="N178" s="121">
        <f t="shared" ca="1" si="27"/>
        <v>0.11546721482541299</v>
      </c>
      <c r="O178" s="122">
        <f t="shared" ca="1" si="28"/>
        <v>2.6333333333333333</v>
      </c>
      <c r="P178" s="121">
        <f t="shared" ca="1" si="29"/>
        <v>0.52617971312846423</v>
      </c>
      <c r="Q178" s="118">
        <f t="shared" ca="1" si="30"/>
        <v>5214.893178506667</v>
      </c>
      <c r="R178" s="118">
        <f t="shared" si="31"/>
        <v>-5124.9223200000006</v>
      </c>
      <c r="S178" s="123" t="s">
        <v>222</v>
      </c>
      <c r="T178" s="118" t="s">
        <v>216</v>
      </c>
      <c r="U178" s="118" t="s">
        <v>217</v>
      </c>
      <c r="V178" s="118" t="s">
        <v>236</v>
      </c>
      <c r="W178" s="118" t="s">
        <v>219</v>
      </c>
    </row>
    <row r="179" spans="2:23" x14ac:dyDescent="0.3">
      <c r="B179" s="116" t="e" vm="11">
        <v>#VALUE!</v>
      </c>
      <c r="C179" s="117">
        <v>46176</v>
      </c>
      <c r="D179" s="116">
        <v>4</v>
      </c>
      <c r="E179" s="118">
        <v>1220.2</v>
      </c>
      <c r="F179" s="118">
        <f>D179*E179*0.0022+7.72</f>
        <v>18.45776</v>
      </c>
      <c r="G179" s="118">
        <f t="shared" si="22"/>
        <v>4899.2577600000004</v>
      </c>
      <c r="H179" s="119">
        <f t="shared" si="23"/>
        <v>3.7817079167349614E-3</v>
      </c>
      <c r="I179" s="120" cm="1">
        <f t="array" aca="1" ref="I179" ca="1">_FV(B179,"Price")</f>
        <v>1434.6</v>
      </c>
      <c r="J179" s="118">
        <f t="shared" ca="1" si="24"/>
        <v>5716.6990472906082</v>
      </c>
      <c r="K179" s="118">
        <f t="shared" ca="1" si="25"/>
        <v>5738.4</v>
      </c>
      <c r="L179" s="118">
        <v>0</v>
      </c>
      <c r="M179" s="118">
        <f t="shared" ca="1" si="26"/>
        <v>817.44128729060776</v>
      </c>
      <c r="N179" s="121">
        <f t="shared" ca="1" si="27"/>
        <v>0.16685002654169551</v>
      </c>
      <c r="O179" s="122">
        <f t="shared" ca="1" si="28"/>
        <v>1.6666666666666667</v>
      </c>
      <c r="P179" s="121">
        <f t="shared" ca="1" si="29"/>
        <v>1.2013201911002076</v>
      </c>
      <c r="Q179" s="118">
        <f t="shared" ca="1" si="30"/>
        <v>4953.6939573333339</v>
      </c>
      <c r="R179" s="118">
        <f t="shared" si="31"/>
        <v>-4899.2577600000004</v>
      </c>
      <c r="S179" s="123" t="s">
        <v>222</v>
      </c>
      <c r="T179" s="118" t="s">
        <v>216</v>
      </c>
      <c r="U179" s="118" t="s">
        <v>217</v>
      </c>
      <c r="V179" s="118" t="s">
        <v>236</v>
      </c>
      <c r="W179" s="118" t="s">
        <v>219</v>
      </c>
    </row>
    <row r="180" spans="2:23" x14ac:dyDescent="0.3">
      <c r="B180" s="116" t="e" vm="11">
        <v>#VALUE!</v>
      </c>
      <c r="C180" s="117">
        <v>46206</v>
      </c>
      <c r="D180" s="116">
        <v>4</v>
      </c>
      <c r="E180" s="118">
        <v>1412.4</v>
      </c>
      <c r="F180" s="118">
        <f>D180*E180*0.0022+8.94</f>
        <v>21.369120000000002</v>
      </c>
      <c r="G180" s="118">
        <f t="shared" si="22"/>
        <v>5670.9691200000007</v>
      </c>
      <c r="H180" s="119">
        <f t="shared" si="23"/>
        <v>3.7824129141886152E-3</v>
      </c>
      <c r="I180" s="120" cm="1">
        <f t="array" aca="1" ref="I180" ca="1">_FV(B180,"Price")</f>
        <v>1434.6</v>
      </c>
      <c r="J180" s="118">
        <f t="shared" ca="1" si="24"/>
        <v>5716.6950017332201</v>
      </c>
      <c r="K180" s="118">
        <f t="shared" ca="1" si="25"/>
        <v>5738.4</v>
      </c>
      <c r="L180" s="118">
        <v>0</v>
      </c>
      <c r="M180" s="118">
        <f t="shared" ca="1" si="26"/>
        <v>45.725881733219467</v>
      </c>
      <c r="N180" s="121">
        <f t="shared" ca="1" si="27"/>
        <v>8.0631512472808982E-3</v>
      </c>
      <c r="O180" s="122">
        <f t="shared" ca="1" si="28"/>
        <v>0.66666666666666663</v>
      </c>
      <c r="P180" s="121">
        <f t="shared" ca="1" si="29"/>
        <v>0.14513672245105616</v>
      </c>
      <c r="Q180" s="118">
        <f t="shared" ca="1" si="30"/>
        <v>5696.1734272000003</v>
      </c>
      <c r="R180" s="118">
        <f t="shared" si="31"/>
        <v>-5670.9691200000007</v>
      </c>
      <c r="S180" s="123" t="s">
        <v>222</v>
      </c>
      <c r="T180" s="118" t="s">
        <v>216</v>
      </c>
      <c r="U180" s="118" t="s">
        <v>217</v>
      </c>
      <c r="V180" s="118" t="s">
        <v>236</v>
      </c>
      <c r="W180" s="118" t="s">
        <v>219</v>
      </c>
    </row>
    <row r="181" spans="2:23" x14ac:dyDescent="0.3">
      <c r="B181" s="116" t="e" vm="12">
        <v>#VALUE!</v>
      </c>
      <c r="C181" s="117">
        <v>45665</v>
      </c>
      <c r="D181" s="116">
        <v>200</v>
      </c>
      <c r="E181" s="118">
        <v>297</v>
      </c>
      <c r="F181" s="118">
        <f>D181*E181*0.0022+93.74</f>
        <v>224.42000000000002</v>
      </c>
      <c r="G181" s="118">
        <f t="shared" si="22"/>
        <v>59624.42</v>
      </c>
      <c r="H181" s="119">
        <f t="shared" si="23"/>
        <v>3.7781144781144785E-3</v>
      </c>
      <c r="I181" s="120" cm="1">
        <f t="array" aca="1" ref="I181" ca="1">_FV(B181,"Price")</f>
        <v>233.16</v>
      </c>
      <c r="J181" s="118">
        <f t="shared" ca="1" si="24"/>
        <v>46455.818965656566</v>
      </c>
      <c r="K181" s="118">
        <f t="shared" ca="1" si="25"/>
        <v>46632</v>
      </c>
      <c r="L181" s="118">
        <f>100</f>
        <v>100</v>
      </c>
      <c r="M181" s="118">
        <f t="shared" ca="1" si="26"/>
        <v>-13068.601034343432</v>
      </c>
      <c r="N181" s="121">
        <f t="shared" ca="1" si="27"/>
        <v>-0.21918202364640918</v>
      </c>
      <c r="O181" s="122">
        <f t="shared" ca="1" si="28"/>
        <v>18.5</v>
      </c>
      <c r="P181" s="121">
        <f t="shared" ca="1" si="29"/>
        <v>-0.14217212344631946</v>
      </c>
      <c r="Q181" s="118">
        <f t="shared" ca="1" si="30"/>
        <v>66978.098466666663</v>
      </c>
      <c r="R181" s="118">
        <f t="shared" si="31"/>
        <v>-59624.42</v>
      </c>
      <c r="S181" s="123" t="s">
        <v>237</v>
      </c>
      <c r="T181" s="118" t="s">
        <v>216</v>
      </c>
      <c r="U181" s="118" t="s">
        <v>217</v>
      </c>
      <c r="V181" s="118" t="s">
        <v>238</v>
      </c>
      <c r="W181" s="118" t="s">
        <v>219</v>
      </c>
    </row>
    <row r="182" spans="2:23" x14ac:dyDescent="0.3">
      <c r="B182" s="116" t="e" vm="13">
        <v>#VALUE!</v>
      </c>
      <c r="C182" s="117">
        <v>45526</v>
      </c>
      <c r="D182" s="116">
        <v>1</v>
      </c>
      <c r="E182" s="118">
        <v>3606.5</v>
      </c>
      <c r="F182" s="118">
        <f>D182*E182*0.0022+5.72</f>
        <v>13.654299999999999</v>
      </c>
      <c r="G182" s="118">
        <f t="shared" si="22"/>
        <v>3620.1543000000001</v>
      </c>
      <c r="H182" s="119">
        <f t="shared" si="23"/>
        <v>3.7860252322196031E-3</v>
      </c>
      <c r="I182" s="120" cm="1">
        <f t="array" aca="1" ref="I182" ca="1">_FV(B182,"Price")</f>
        <v>3792.4</v>
      </c>
      <c r="J182" s="118">
        <f t="shared" ca="1" si="24"/>
        <v>3778.0418779093307</v>
      </c>
      <c r="K182" s="118">
        <f t="shared" ca="1" si="25"/>
        <v>3792.4</v>
      </c>
      <c r="L182" s="118">
        <f>34+38</f>
        <v>72</v>
      </c>
      <c r="M182" s="118">
        <f t="shared" ca="1" si="26"/>
        <v>229.8875779093305</v>
      </c>
      <c r="N182" s="121">
        <f t="shared" ca="1" si="27"/>
        <v>6.3502149040810363E-2</v>
      </c>
      <c r="O182" s="122">
        <f t="shared" ca="1" si="28"/>
        <v>23.033333333333335</v>
      </c>
      <c r="P182" s="121">
        <f t="shared" ca="1" si="29"/>
        <v>3.3083608762216679E-2</v>
      </c>
      <c r="Q182" s="118">
        <f t="shared" ca="1" si="30"/>
        <v>4176.0491047333335</v>
      </c>
      <c r="R182" s="118">
        <f t="shared" si="31"/>
        <v>-3620.1543000000001</v>
      </c>
      <c r="S182" s="123" t="s">
        <v>239</v>
      </c>
      <c r="T182" s="118" t="s">
        <v>216</v>
      </c>
      <c r="U182" s="118" t="s">
        <v>217</v>
      </c>
      <c r="V182" s="118" t="s">
        <v>240</v>
      </c>
      <c r="W182" s="118" t="s">
        <v>219</v>
      </c>
    </row>
    <row r="183" spans="2:23" x14ac:dyDescent="0.3">
      <c r="B183" s="116" t="e" vm="13">
        <v>#VALUE!</v>
      </c>
      <c r="C183" s="117">
        <v>45541</v>
      </c>
      <c r="D183" s="116">
        <v>2</v>
      </c>
      <c r="E183" s="118">
        <v>3567.75</v>
      </c>
      <c r="F183" s="118">
        <f>D183*E183*0.0022+11.32</f>
        <v>27.0181</v>
      </c>
      <c r="G183" s="118">
        <f t="shared" si="22"/>
        <v>7162.5181000000002</v>
      </c>
      <c r="H183" s="119">
        <f t="shared" si="23"/>
        <v>3.7864340270478592E-3</v>
      </c>
      <c r="I183" s="120" cm="1">
        <f t="array" aca="1" ref="I183" ca="1">_FV(B183,"Price")</f>
        <v>3792.4</v>
      </c>
      <c r="J183" s="118">
        <f t="shared" ca="1" si="24"/>
        <v>7556.0806551916476</v>
      </c>
      <c r="K183" s="118">
        <f t="shared" ca="1" si="25"/>
        <v>7584.8</v>
      </c>
      <c r="L183" s="118">
        <f t="shared" ref="L183:L197" si="33">2*34+2*38</f>
        <v>144</v>
      </c>
      <c r="M183" s="118">
        <f t="shared" ca="1" si="26"/>
        <v>537.56255519164733</v>
      </c>
      <c r="N183" s="121">
        <f t="shared" ca="1" si="27"/>
        <v>7.5052174065940211E-2</v>
      </c>
      <c r="O183" s="122">
        <f t="shared" ca="1" si="28"/>
        <v>22.566666666666666</v>
      </c>
      <c r="P183" s="121">
        <f t="shared" ca="1" si="29"/>
        <v>3.9909575574207504E-2</v>
      </c>
      <c r="Q183" s="118">
        <f t="shared" ca="1" si="30"/>
        <v>8240.0791563777784</v>
      </c>
      <c r="R183" s="118">
        <f t="shared" si="31"/>
        <v>-7162.5181000000002</v>
      </c>
      <c r="S183" s="123" t="s">
        <v>239</v>
      </c>
      <c r="T183" s="118" t="s">
        <v>216</v>
      </c>
      <c r="U183" s="118" t="s">
        <v>217</v>
      </c>
      <c r="V183" s="118" t="s">
        <v>240</v>
      </c>
      <c r="W183" s="118" t="s">
        <v>219</v>
      </c>
    </row>
    <row r="184" spans="2:23" x14ac:dyDescent="0.3">
      <c r="B184" s="116" t="e" vm="13">
        <v>#VALUE!</v>
      </c>
      <c r="C184" s="117">
        <v>45558</v>
      </c>
      <c r="D184" s="116">
        <v>2</v>
      </c>
      <c r="E184" s="118">
        <v>3757.55</v>
      </c>
      <c r="F184" s="118">
        <f>D184*E184*0.0022+11.93</f>
        <v>28.46322</v>
      </c>
      <c r="G184" s="118">
        <f t="shared" si="22"/>
        <v>7543.56322</v>
      </c>
      <c r="H184" s="119">
        <f t="shared" si="23"/>
        <v>3.787470559273995E-3</v>
      </c>
      <c r="I184" s="120" cm="1">
        <f t="array" aca="1" ref="I184" ca="1">_FV(B184,"Price")</f>
        <v>3792.4</v>
      </c>
      <c r="J184" s="118">
        <f t="shared" ca="1" si="24"/>
        <v>7556.0727933020189</v>
      </c>
      <c r="K184" s="118">
        <f t="shared" ca="1" si="25"/>
        <v>7584.8</v>
      </c>
      <c r="L184" s="118">
        <f t="shared" si="33"/>
        <v>144</v>
      </c>
      <c r="M184" s="118">
        <f t="shared" ca="1" si="26"/>
        <v>156.50957330201891</v>
      </c>
      <c r="N184" s="121">
        <f t="shared" ca="1" si="27"/>
        <v>2.0747433107880669E-2</v>
      </c>
      <c r="O184" s="122">
        <f t="shared" ca="1" si="28"/>
        <v>22</v>
      </c>
      <c r="P184" s="121">
        <f t="shared" ca="1" si="29"/>
        <v>1.1316781695207638E-2</v>
      </c>
      <c r="Q184" s="118">
        <f t="shared" ca="1" si="30"/>
        <v>8649.952492266666</v>
      </c>
      <c r="R184" s="118">
        <f t="shared" si="31"/>
        <v>-7543.56322</v>
      </c>
      <c r="S184" s="123" t="s">
        <v>239</v>
      </c>
      <c r="T184" s="118" t="s">
        <v>216</v>
      </c>
      <c r="U184" s="118" t="s">
        <v>217</v>
      </c>
      <c r="V184" s="118" t="s">
        <v>240</v>
      </c>
      <c r="W184" s="118" t="s">
        <v>219</v>
      </c>
    </row>
    <row r="185" spans="2:23" x14ac:dyDescent="0.3">
      <c r="B185" s="116" t="e" vm="13">
        <v>#VALUE!</v>
      </c>
      <c r="C185" s="117">
        <v>45572</v>
      </c>
      <c r="D185" s="116">
        <v>2</v>
      </c>
      <c r="E185" s="118">
        <v>3448.15</v>
      </c>
      <c r="F185" s="118">
        <f>D185*E185*0.0022+10.92</f>
        <v>26.09186</v>
      </c>
      <c r="G185" s="118">
        <f t="shared" si="22"/>
        <v>6922.3918600000006</v>
      </c>
      <c r="H185" s="119">
        <f t="shared" si="23"/>
        <v>3.7834577962095614E-3</v>
      </c>
      <c r="I185" s="120" cm="1">
        <f t="array" aca="1" ref="I185" ca="1">_FV(B185,"Price")</f>
        <v>3792.4</v>
      </c>
      <c r="J185" s="118">
        <f t="shared" ca="1" si="24"/>
        <v>7556.1032293073094</v>
      </c>
      <c r="K185" s="118">
        <f t="shared" ca="1" si="25"/>
        <v>7584.8</v>
      </c>
      <c r="L185" s="118">
        <f t="shared" si="33"/>
        <v>144</v>
      </c>
      <c r="M185" s="118">
        <f t="shared" ca="1" si="26"/>
        <v>777.71136930730881</v>
      </c>
      <c r="N185" s="121">
        <f t="shared" ca="1" si="27"/>
        <v>0.11234720383299837</v>
      </c>
      <c r="O185" s="122">
        <f t="shared" ca="1" si="28"/>
        <v>21.533333333333335</v>
      </c>
      <c r="P185" s="121">
        <f t="shared" ca="1" si="29"/>
        <v>6.2608348885262247E-2</v>
      </c>
      <c r="Q185" s="118">
        <f t="shared" ca="1" si="30"/>
        <v>7916.1396692355565</v>
      </c>
      <c r="R185" s="118">
        <f t="shared" si="31"/>
        <v>-6922.3918600000006</v>
      </c>
      <c r="S185" s="123" t="s">
        <v>239</v>
      </c>
      <c r="T185" s="118" t="s">
        <v>216</v>
      </c>
      <c r="U185" s="118" t="s">
        <v>217</v>
      </c>
      <c r="V185" s="118" t="s">
        <v>240</v>
      </c>
      <c r="W185" s="118" t="s">
        <v>219</v>
      </c>
    </row>
    <row r="186" spans="2:23" x14ac:dyDescent="0.3">
      <c r="B186" s="116" t="e" vm="13">
        <v>#VALUE!</v>
      </c>
      <c r="C186" s="117">
        <v>45586</v>
      </c>
      <c r="D186" s="116">
        <v>2</v>
      </c>
      <c r="E186" s="118">
        <v>3591.6</v>
      </c>
      <c r="F186" s="118">
        <f>D186*E186*0.0022+11.44</f>
        <v>27.243040000000001</v>
      </c>
      <c r="G186" s="118">
        <f t="shared" si="22"/>
        <v>7210.4430400000001</v>
      </c>
      <c r="H186" s="119">
        <f t="shared" si="23"/>
        <v>3.7926049671455622E-3</v>
      </c>
      <c r="I186" s="120" cm="1">
        <f t="array" aca="1" ref="I186" ca="1">_FV(B186,"Price")</f>
        <v>3792.4</v>
      </c>
      <c r="J186" s="118">
        <f t="shared" ca="1" si="24"/>
        <v>7556.0338498451947</v>
      </c>
      <c r="K186" s="118">
        <f t="shared" ca="1" si="25"/>
        <v>7584.8</v>
      </c>
      <c r="L186" s="118">
        <f t="shared" si="33"/>
        <v>144</v>
      </c>
      <c r="M186" s="118">
        <f t="shared" ca="1" si="26"/>
        <v>489.5908098451946</v>
      </c>
      <c r="N186" s="121">
        <f t="shared" ca="1" si="27"/>
        <v>6.7900239573239124E-2</v>
      </c>
      <c r="O186" s="122">
        <f t="shared" ca="1" si="28"/>
        <v>21.066666666666666</v>
      </c>
      <c r="P186" s="121">
        <f t="shared" ca="1" si="29"/>
        <v>3.8677351655642539E-2</v>
      </c>
      <c r="Q186" s="118">
        <f t="shared" ca="1" si="30"/>
        <v>8223.1097069511106</v>
      </c>
      <c r="R186" s="118">
        <f t="shared" si="31"/>
        <v>-7210.4430400000001</v>
      </c>
      <c r="S186" s="123" t="s">
        <v>239</v>
      </c>
      <c r="T186" s="118" t="s">
        <v>216</v>
      </c>
      <c r="U186" s="118" t="s">
        <v>217</v>
      </c>
      <c r="V186" s="118" t="s">
        <v>240</v>
      </c>
      <c r="W186" s="118" t="s">
        <v>219</v>
      </c>
    </row>
    <row r="187" spans="2:23" x14ac:dyDescent="0.3">
      <c r="B187" s="116" t="e" vm="13">
        <v>#VALUE!</v>
      </c>
      <c r="C187" s="117">
        <v>45601</v>
      </c>
      <c r="D187" s="116">
        <v>2</v>
      </c>
      <c r="E187" s="118">
        <v>3550.5</v>
      </c>
      <c r="F187" s="118">
        <f>D187*E187*0.0022+11.39</f>
        <v>27.0122</v>
      </c>
      <c r="G187" s="118">
        <f t="shared" si="22"/>
        <v>7128.0122000000001</v>
      </c>
      <c r="H187" s="119">
        <f t="shared" si="23"/>
        <v>3.8039994366990564E-3</v>
      </c>
      <c r="I187" s="120" cm="1">
        <f t="array" aca="1" ref="I187" ca="1">_FV(B187,"Price")</f>
        <v>3792.4</v>
      </c>
      <c r="J187" s="118">
        <f t="shared" ca="1" si="24"/>
        <v>7555.9474250725252</v>
      </c>
      <c r="K187" s="118">
        <f t="shared" ca="1" si="25"/>
        <v>7584.8</v>
      </c>
      <c r="L187" s="118">
        <f t="shared" si="33"/>
        <v>144</v>
      </c>
      <c r="M187" s="118">
        <f t="shared" ca="1" si="26"/>
        <v>571.9352250725251</v>
      </c>
      <c r="N187" s="121">
        <f t="shared" ca="1" si="27"/>
        <v>8.0237688857003511E-2</v>
      </c>
      <c r="O187" s="122">
        <f t="shared" ca="1" si="28"/>
        <v>20.6</v>
      </c>
      <c r="P187" s="121">
        <f t="shared" ca="1" si="29"/>
        <v>4.6740401275924374E-2</v>
      </c>
      <c r="Q187" s="118">
        <f t="shared" ca="1" si="30"/>
        <v>8106.9258754666671</v>
      </c>
      <c r="R187" s="118">
        <f t="shared" si="31"/>
        <v>-7128.0122000000001</v>
      </c>
      <c r="S187" s="123" t="s">
        <v>239</v>
      </c>
      <c r="T187" s="118" t="s">
        <v>216</v>
      </c>
      <c r="U187" s="118" t="s">
        <v>217</v>
      </c>
      <c r="V187" s="118" t="s">
        <v>240</v>
      </c>
      <c r="W187" s="118" t="s">
        <v>219</v>
      </c>
    </row>
    <row r="188" spans="2:23" x14ac:dyDescent="0.3">
      <c r="B188" s="116" t="e" vm="13">
        <v>#VALUE!</v>
      </c>
      <c r="C188" s="117">
        <v>45617</v>
      </c>
      <c r="D188" s="116">
        <v>2</v>
      </c>
      <c r="E188" s="118">
        <v>3480.65</v>
      </c>
      <c r="F188" s="118">
        <f>D188*E188*0.0022+11.25</f>
        <v>26.564860000000003</v>
      </c>
      <c r="G188" s="118">
        <f t="shared" si="22"/>
        <v>6987.8648600000006</v>
      </c>
      <c r="H188" s="119">
        <f t="shared" si="23"/>
        <v>3.8160774567968631E-3</v>
      </c>
      <c r="I188" s="120" cm="1">
        <f t="array" aca="1" ref="I188" ca="1">_FV(B188,"Price")</f>
        <v>3792.4</v>
      </c>
      <c r="J188" s="118">
        <f t="shared" ca="1" si="24"/>
        <v>7555.8558157056868</v>
      </c>
      <c r="K188" s="118">
        <f t="shared" ca="1" si="25"/>
        <v>7584.8</v>
      </c>
      <c r="L188" s="118">
        <f t="shared" si="33"/>
        <v>144</v>
      </c>
      <c r="M188" s="118">
        <f t="shared" ca="1" si="26"/>
        <v>711.99095570568625</v>
      </c>
      <c r="N188" s="121">
        <f t="shared" ca="1" si="27"/>
        <v>0.10188962865914471</v>
      </c>
      <c r="O188" s="122">
        <f t="shared" ca="1" si="28"/>
        <v>20.066666666666666</v>
      </c>
      <c r="P188" s="121">
        <f t="shared" ca="1" si="29"/>
        <v>6.0930674945667937E-2</v>
      </c>
      <c r="Q188" s="118">
        <f t="shared" ca="1" si="30"/>
        <v>7922.6858923822228</v>
      </c>
      <c r="R188" s="118">
        <f t="shared" si="31"/>
        <v>-6987.8648600000006</v>
      </c>
      <c r="S188" s="123" t="s">
        <v>239</v>
      </c>
      <c r="T188" s="118" t="s">
        <v>216</v>
      </c>
      <c r="U188" s="118" t="s">
        <v>217</v>
      </c>
      <c r="V188" s="118" t="s">
        <v>240</v>
      </c>
      <c r="W188" s="118" t="s">
        <v>219</v>
      </c>
    </row>
    <row r="189" spans="2:23" x14ac:dyDescent="0.3">
      <c r="B189" s="116" t="e" vm="13">
        <v>#VALUE!</v>
      </c>
      <c r="C189" s="117">
        <v>45631</v>
      </c>
      <c r="D189" s="116">
        <v>2</v>
      </c>
      <c r="E189" s="118">
        <v>3777.75</v>
      </c>
      <c r="F189" s="118">
        <f>D189*E189*0.0022+11.85</f>
        <v>28.472099999999998</v>
      </c>
      <c r="G189" s="118">
        <f t="shared" si="22"/>
        <v>7583.9721</v>
      </c>
      <c r="H189" s="119">
        <f t="shared" si="23"/>
        <v>3.7683938852491558E-3</v>
      </c>
      <c r="I189" s="120" cm="1">
        <f t="array" aca="1" ref="I189" ca="1">_FV(B189,"Price")</f>
        <v>3792.4</v>
      </c>
      <c r="J189" s="118">
        <f t="shared" ca="1" si="24"/>
        <v>7556.2174860591622</v>
      </c>
      <c r="K189" s="118">
        <f t="shared" ca="1" si="25"/>
        <v>7584.8</v>
      </c>
      <c r="L189" s="118">
        <f t="shared" si="33"/>
        <v>144</v>
      </c>
      <c r="M189" s="118">
        <f t="shared" ca="1" si="26"/>
        <v>116.24538605916223</v>
      </c>
      <c r="N189" s="121">
        <f t="shared" ca="1" si="27"/>
        <v>1.5327770794299497E-2</v>
      </c>
      <c r="O189" s="122">
        <f t="shared" ca="1" si="28"/>
        <v>19.600000000000001</v>
      </c>
      <c r="P189" s="121">
        <f t="shared" ca="1" si="29"/>
        <v>9.3843494658976505E-3</v>
      </c>
      <c r="Q189" s="118">
        <f t="shared" ca="1" si="30"/>
        <v>8574.9444543999998</v>
      </c>
      <c r="R189" s="118">
        <f t="shared" si="31"/>
        <v>-7583.9721</v>
      </c>
      <c r="S189" s="123" t="s">
        <v>239</v>
      </c>
      <c r="T189" s="118" t="s">
        <v>216</v>
      </c>
      <c r="U189" s="118" t="s">
        <v>217</v>
      </c>
      <c r="V189" s="118" t="s">
        <v>240</v>
      </c>
      <c r="W189" s="118" t="s">
        <v>219</v>
      </c>
    </row>
    <row r="190" spans="2:23" x14ac:dyDescent="0.3">
      <c r="B190" s="116" t="e" vm="13">
        <v>#VALUE!</v>
      </c>
      <c r="C190" s="117">
        <v>45646</v>
      </c>
      <c r="D190" s="116">
        <v>2</v>
      </c>
      <c r="E190" s="118">
        <v>3680</v>
      </c>
      <c r="F190" s="118">
        <f>D190*E190*0.0022+11.56</f>
        <v>27.752000000000002</v>
      </c>
      <c r="G190" s="118">
        <f t="shared" si="22"/>
        <v>7387.7520000000004</v>
      </c>
      <c r="H190" s="119">
        <f t="shared" si="23"/>
        <v>3.7706521739130439E-3</v>
      </c>
      <c r="I190" s="120" cm="1">
        <f t="array" aca="1" ref="I190" ca="1">_FV(B190,"Price")</f>
        <v>3792.4</v>
      </c>
      <c r="J190" s="118">
        <f t="shared" ca="1" si="24"/>
        <v>7556.2003573913044</v>
      </c>
      <c r="K190" s="118">
        <f t="shared" ca="1" si="25"/>
        <v>7584.8</v>
      </c>
      <c r="L190" s="118">
        <f t="shared" si="33"/>
        <v>144</v>
      </c>
      <c r="M190" s="118">
        <f t="shared" ca="1" si="26"/>
        <v>312.44835739130394</v>
      </c>
      <c r="N190" s="121">
        <f t="shared" ca="1" si="27"/>
        <v>4.2292751217326181E-2</v>
      </c>
      <c r="O190" s="122">
        <f t="shared" ca="1" si="28"/>
        <v>19.100000000000001</v>
      </c>
      <c r="P190" s="121">
        <f t="shared" ca="1" si="29"/>
        <v>2.6571362021356765E-2</v>
      </c>
      <c r="Q190" s="118">
        <f t="shared" ca="1" si="30"/>
        <v>8328.4590879999996</v>
      </c>
      <c r="R190" s="118">
        <f t="shared" si="31"/>
        <v>-7387.7520000000004</v>
      </c>
      <c r="S190" s="123" t="s">
        <v>239</v>
      </c>
      <c r="T190" s="118" t="s">
        <v>216</v>
      </c>
      <c r="U190" s="118" t="s">
        <v>217</v>
      </c>
      <c r="V190" s="118" t="s">
        <v>240</v>
      </c>
      <c r="W190" s="118" t="s">
        <v>219</v>
      </c>
    </row>
    <row r="191" spans="2:23" x14ac:dyDescent="0.3">
      <c r="B191" s="116" t="e" vm="13">
        <v>#VALUE!</v>
      </c>
      <c r="C191" s="117">
        <v>45663</v>
      </c>
      <c r="D191" s="116">
        <v>2</v>
      </c>
      <c r="E191" s="118">
        <v>3612.95</v>
      </c>
      <c r="F191" s="118">
        <f>D191*E191*0.0022+11</f>
        <v>26.896979999999999</v>
      </c>
      <c r="G191" s="118">
        <f t="shared" si="22"/>
        <v>7252.7969800000001</v>
      </c>
      <c r="H191" s="119">
        <f t="shared" si="23"/>
        <v>3.7223017202009439E-3</v>
      </c>
      <c r="I191" s="120" cm="1">
        <f t="array" aca="1" ref="I191" ca="1">_FV(B191,"Price")</f>
        <v>3792.4</v>
      </c>
      <c r="J191" s="118">
        <f t="shared" ca="1" si="24"/>
        <v>7556.5670859126203</v>
      </c>
      <c r="K191" s="118">
        <f t="shared" ca="1" si="25"/>
        <v>7584.8</v>
      </c>
      <c r="L191" s="118">
        <f t="shared" si="33"/>
        <v>144</v>
      </c>
      <c r="M191" s="118">
        <f t="shared" ca="1" si="26"/>
        <v>447.77010591262024</v>
      </c>
      <c r="N191" s="121">
        <f t="shared" ca="1" si="27"/>
        <v>6.1737576158187216E-2</v>
      </c>
      <c r="O191" s="122">
        <f t="shared" ca="1" si="28"/>
        <v>18.566666666666666</v>
      </c>
      <c r="P191" s="121">
        <f t="shared" ca="1" si="29"/>
        <v>3.9902203621090482E-2</v>
      </c>
      <c r="Q191" s="118">
        <f t="shared" ca="1" si="30"/>
        <v>8150.5320728577781</v>
      </c>
      <c r="R191" s="118">
        <f t="shared" si="31"/>
        <v>-7252.7969800000001</v>
      </c>
      <c r="S191" s="123" t="s">
        <v>239</v>
      </c>
      <c r="T191" s="118" t="s">
        <v>216</v>
      </c>
      <c r="U191" s="118" t="s">
        <v>217</v>
      </c>
      <c r="V191" s="118" t="s">
        <v>240</v>
      </c>
      <c r="W191" s="118" t="s">
        <v>219</v>
      </c>
    </row>
    <row r="192" spans="2:23" x14ac:dyDescent="0.3">
      <c r="B192" s="116" t="e" vm="13">
        <v>#VALUE!</v>
      </c>
      <c r="C192" s="117">
        <v>45677</v>
      </c>
      <c r="D192" s="116">
        <v>2</v>
      </c>
      <c r="E192" s="118">
        <v>3579.98</v>
      </c>
      <c r="F192" s="118">
        <f>D192*E192*0.0022+11.54</f>
        <v>27.291912</v>
      </c>
      <c r="G192" s="118">
        <f t="shared" si="22"/>
        <v>7187.2519119999997</v>
      </c>
      <c r="H192" s="119">
        <f t="shared" si="23"/>
        <v>3.8117408477142331E-3</v>
      </c>
      <c r="I192" s="120" cm="1">
        <f t="array" aca="1" ref="I192" ca="1">_FV(B192,"Price")</f>
        <v>3792.4</v>
      </c>
      <c r="J192" s="118">
        <f t="shared" ca="1" si="24"/>
        <v>7555.8887080182576</v>
      </c>
      <c r="K192" s="118">
        <f t="shared" ca="1" si="25"/>
        <v>7584.8</v>
      </c>
      <c r="L192" s="118">
        <f t="shared" si="33"/>
        <v>144</v>
      </c>
      <c r="M192" s="118">
        <f t="shared" ca="1" si="26"/>
        <v>512.63679601825788</v>
      </c>
      <c r="N192" s="121">
        <f t="shared" ca="1" si="27"/>
        <v>7.1325842240529763E-2</v>
      </c>
      <c r="O192" s="122">
        <f t="shared" ca="1" si="28"/>
        <v>18.100000000000001</v>
      </c>
      <c r="P192" s="121">
        <f t="shared" ca="1" si="29"/>
        <v>4.7287851209190997E-2</v>
      </c>
      <c r="Q192" s="118">
        <f t="shared" ca="1" si="30"/>
        <v>8054.5136427146663</v>
      </c>
      <c r="R192" s="118">
        <f t="shared" si="31"/>
        <v>-7187.2519119999997</v>
      </c>
      <c r="S192" s="123" t="s">
        <v>239</v>
      </c>
      <c r="T192" s="118" t="s">
        <v>216</v>
      </c>
      <c r="U192" s="118" t="s">
        <v>217</v>
      </c>
      <c r="V192" s="118" t="s">
        <v>240</v>
      </c>
      <c r="W192" s="118" t="s">
        <v>219</v>
      </c>
    </row>
    <row r="193" spans="2:23" x14ac:dyDescent="0.3">
      <c r="B193" s="116" t="e" vm="13">
        <v>#VALUE!</v>
      </c>
      <c r="C193" s="117">
        <v>45691</v>
      </c>
      <c r="D193" s="116">
        <v>2</v>
      </c>
      <c r="E193" s="118">
        <v>3276.1</v>
      </c>
      <c r="F193" s="118">
        <f>D193*E193*0.0022+10.59</f>
        <v>25.004840000000002</v>
      </c>
      <c r="G193" s="118">
        <f t="shared" si="22"/>
        <v>6577.2048399999994</v>
      </c>
      <c r="H193" s="119">
        <f t="shared" si="23"/>
        <v>3.8162510301883341E-3</v>
      </c>
      <c r="I193" s="120" cm="1">
        <f t="array" aca="1" ref="I193" ca="1">_FV(B193,"Price")</f>
        <v>3792.4</v>
      </c>
      <c r="J193" s="118">
        <f t="shared" ca="1" si="24"/>
        <v>7555.8544991862273</v>
      </c>
      <c r="K193" s="118">
        <f t="shared" ca="1" si="25"/>
        <v>7584.8</v>
      </c>
      <c r="L193" s="118">
        <f t="shared" si="33"/>
        <v>144</v>
      </c>
      <c r="M193" s="118">
        <f t="shared" ca="1" si="26"/>
        <v>1122.6496591862278</v>
      </c>
      <c r="N193" s="121">
        <f t="shared" ca="1" si="27"/>
        <v>0.17068795734606129</v>
      </c>
      <c r="O193" s="122">
        <f t="shared" ca="1" si="28"/>
        <v>17.666666666666668</v>
      </c>
      <c r="P193" s="121">
        <f t="shared" ca="1" si="29"/>
        <v>0.11593898989543786</v>
      </c>
      <c r="Q193" s="118">
        <f t="shared" ca="1" si="30"/>
        <v>7351.853410044444</v>
      </c>
      <c r="R193" s="118">
        <f t="shared" si="31"/>
        <v>-6577.2048399999994</v>
      </c>
      <c r="S193" s="123" t="s">
        <v>239</v>
      </c>
      <c r="T193" s="118" t="s">
        <v>216</v>
      </c>
      <c r="U193" s="118" t="s">
        <v>217</v>
      </c>
      <c r="V193" s="118" t="s">
        <v>240</v>
      </c>
      <c r="W193" s="118" t="s">
        <v>219</v>
      </c>
    </row>
    <row r="194" spans="2:23" x14ac:dyDescent="0.3">
      <c r="B194" s="116" t="e" vm="13">
        <v>#VALUE!</v>
      </c>
      <c r="C194" s="117">
        <v>45706</v>
      </c>
      <c r="D194" s="116">
        <v>2</v>
      </c>
      <c r="E194" s="118">
        <v>3199.93</v>
      </c>
      <c r="F194" s="118">
        <f>D194*E194*0.0022+10.56</f>
        <v>24.639692</v>
      </c>
      <c r="G194" s="118">
        <f t="shared" si="22"/>
        <v>6424.4996919999994</v>
      </c>
      <c r="H194" s="119">
        <f t="shared" si="23"/>
        <v>3.8500360945395683E-3</v>
      </c>
      <c r="I194" s="120" cm="1">
        <f t="array" aca="1" ref="I194" ca="1">_FV(B194,"Price")</f>
        <v>3792.4</v>
      </c>
      <c r="J194" s="118">
        <f t="shared" ca="1" si="24"/>
        <v>7555.5982462301363</v>
      </c>
      <c r="K194" s="118">
        <f t="shared" ca="1" si="25"/>
        <v>7584.8</v>
      </c>
      <c r="L194" s="118">
        <f t="shared" si="33"/>
        <v>144</v>
      </c>
      <c r="M194" s="118">
        <f t="shared" ca="1" si="26"/>
        <v>1275.0985542301369</v>
      </c>
      <c r="N194" s="121">
        <f t="shared" ca="1" si="27"/>
        <v>0.19847437393730938</v>
      </c>
      <c r="O194" s="122">
        <f t="shared" ca="1" si="28"/>
        <v>17.166666666666668</v>
      </c>
      <c r="P194" s="121">
        <f t="shared" ca="1" si="29"/>
        <v>0.13873936818918711</v>
      </c>
      <c r="Q194" s="118">
        <f t="shared" ca="1" si="30"/>
        <v>7159.7479900844437</v>
      </c>
      <c r="R194" s="118">
        <f t="shared" si="31"/>
        <v>-6424.4996919999994</v>
      </c>
      <c r="S194" s="123" t="s">
        <v>239</v>
      </c>
      <c r="T194" s="118" t="s">
        <v>216</v>
      </c>
      <c r="U194" s="118" t="s">
        <v>217</v>
      </c>
      <c r="V194" s="118" t="s">
        <v>240</v>
      </c>
      <c r="W194" s="118" t="s">
        <v>219</v>
      </c>
    </row>
    <row r="195" spans="2:23" x14ac:dyDescent="0.3">
      <c r="B195" s="116" t="e" vm="13">
        <v>#VALUE!</v>
      </c>
      <c r="C195" s="117">
        <v>45721</v>
      </c>
      <c r="D195" s="116">
        <v>2</v>
      </c>
      <c r="E195" s="118">
        <v>3223.5</v>
      </c>
      <c r="F195" s="118">
        <f>D195*E195*0.0022+9.71</f>
        <v>23.8934</v>
      </c>
      <c r="G195" s="118">
        <f t="shared" ref="G195:G258" si="34">(E195*D195)+F195</f>
        <v>6470.8933999999999</v>
      </c>
      <c r="H195" s="119">
        <f t="shared" ref="H195:H258" si="35">F195/(D195*E195)</f>
        <v>3.7061268807197147E-3</v>
      </c>
      <c r="I195" s="120" cm="1">
        <f t="array" aca="1" ref="I195" ca="1">_FV(B195,"Price")</f>
        <v>3792.4</v>
      </c>
      <c r="J195" s="118">
        <f t="shared" ref="J195:J258" ca="1" si="36">I195*D195*(1-H195)</f>
        <v>7556.6897688351173</v>
      </c>
      <c r="K195" s="118">
        <f t="shared" ref="K195:K258" ca="1" si="37">I195*D195</f>
        <v>7584.8</v>
      </c>
      <c r="L195" s="118">
        <f t="shared" si="33"/>
        <v>144</v>
      </c>
      <c r="M195" s="118">
        <f t="shared" ref="M195:M258" ca="1" si="38">J195-G195+L195</f>
        <v>1229.7963688351174</v>
      </c>
      <c r="N195" s="121">
        <f t="shared" ref="N195:N258" ca="1" si="39">M195/G195</f>
        <v>0.19005047569399264</v>
      </c>
      <c r="O195" s="122">
        <f t="shared" ref="O195:O258" ca="1" si="40">(DAYS360(C195,NOW(),TRUE))/30</f>
        <v>16.600000000000001</v>
      </c>
      <c r="P195" s="121">
        <f t="shared" ref="P195:P258" ca="1" si="41">(N195/O195)*12</f>
        <v>0.1373858860438501</v>
      </c>
      <c r="Q195" s="118">
        <f t="shared" ref="Q195:Q258" ca="1" si="42">G195+((G195*O195*8)/(100*12))</f>
        <v>7187.0056029333336</v>
      </c>
      <c r="R195" s="118">
        <f t="shared" ref="R195:R258" si="43">-G195</f>
        <v>-6470.8933999999999</v>
      </c>
      <c r="S195" s="123" t="s">
        <v>239</v>
      </c>
      <c r="T195" s="118" t="s">
        <v>216</v>
      </c>
      <c r="U195" s="118" t="s">
        <v>217</v>
      </c>
      <c r="V195" s="118" t="s">
        <v>240</v>
      </c>
      <c r="W195" s="118" t="s">
        <v>219</v>
      </c>
    </row>
    <row r="196" spans="2:23" x14ac:dyDescent="0.3">
      <c r="B196" s="116" t="e" vm="13">
        <v>#VALUE!</v>
      </c>
      <c r="C196" s="117">
        <v>45736</v>
      </c>
      <c r="D196" s="116">
        <v>2</v>
      </c>
      <c r="E196" s="118">
        <v>3304.6</v>
      </c>
      <c r="F196" s="118">
        <f>D196*E196*0.0022+10.87</f>
        <v>25.410240000000002</v>
      </c>
      <c r="G196" s="118">
        <f t="shared" si="34"/>
        <v>6634.61024</v>
      </c>
      <c r="H196" s="119">
        <f t="shared" si="35"/>
        <v>3.8446771167463538E-3</v>
      </c>
      <c r="I196" s="120" cm="1">
        <f t="array" aca="1" ref="I196" ca="1">_FV(B196,"Price")</f>
        <v>3792.4</v>
      </c>
      <c r="J196" s="118">
        <f t="shared" ca="1" si="36"/>
        <v>7555.6388930049025</v>
      </c>
      <c r="K196" s="118">
        <f t="shared" ca="1" si="37"/>
        <v>7584.8</v>
      </c>
      <c r="L196" s="118">
        <f t="shared" si="33"/>
        <v>144</v>
      </c>
      <c r="M196" s="118">
        <f t="shared" ca="1" si="38"/>
        <v>1065.0286530049025</v>
      </c>
      <c r="N196" s="121">
        <f t="shared" ca="1" si="39"/>
        <v>0.16052618231947602</v>
      </c>
      <c r="O196" s="122">
        <f t="shared" ca="1" si="40"/>
        <v>16.100000000000001</v>
      </c>
      <c r="P196" s="121">
        <f t="shared" ca="1" si="41"/>
        <v>0.11964684396482683</v>
      </c>
      <c r="Q196" s="118">
        <f t="shared" ca="1" si="42"/>
        <v>7346.7250724266669</v>
      </c>
      <c r="R196" s="118">
        <f t="shared" si="43"/>
        <v>-6634.61024</v>
      </c>
      <c r="S196" s="123" t="s">
        <v>239</v>
      </c>
      <c r="T196" s="118" t="s">
        <v>216</v>
      </c>
      <c r="U196" s="118" t="s">
        <v>217</v>
      </c>
      <c r="V196" s="118" t="s">
        <v>240</v>
      </c>
      <c r="W196" s="118" t="s">
        <v>219</v>
      </c>
    </row>
    <row r="197" spans="2:23" x14ac:dyDescent="0.3">
      <c r="B197" s="116" t="e" vm="13">
        <v>#VALUE!</v>
      </c>
      <c r="C197" s="117">
        <v>45751</v>
      </c>
      <c r="D197" s="116">
        <v>2</v>
      </c>
      <c r="E197" s="118">
        <v>3279.65</v>
      </c>
      <c r="F197" s="118">
        <f>D197*E197*0.0022+10.67</f>
        <v>25.100460000000002</v>
      </c>
      <c r="G197" s="118">
        <f t="shared" si="34"/>
        <v>6584.4004599999998</v>
      </c>
      <c r="H197" s="119">
        <f t="shared" si="35"/>
        <v>3.8266979708200572E-3</v>
      </c>
      <c r="I197" s="120" cm="1">
        <f t="array" aca="1" ref="I197" ca="1">_FV(B197,"Price")</f>
        <v>3792.4</v>
      </c>
      <c r="J197" s="118">
        <f t="shared" ca="1" si="36"/>
        <v>7555.7752612309241</v>
      </c>
      <c r="K197" s="118">
        <f t="shared" ca="1" si="37"/>
        <v>7584.8</v>
      </c>
      <c r="L197" s="118">
        <f t="shared" si="33"/>
        <v>144</v>
      </c>
      <c r="M197" s="118">
        <f t="shared" ca="1" si="38"/>
        <v>1115.3748012309243</v>
      </c>
      <c r="N197" s="121">
        <f t="shared" ca="1" si="39"/>
        <v>0.1693965620722474</v>
      </c>
      <c r="O197" s="122">
        <f t="shared" ca="1" si="40"/>
        <v>15.633333333333333</v>
      </c>
      <c r="P197" s="121">
        <f t="shared" ca="1" si="41"/>
        <v>0.13002721182517923</v>
      </c>
      <c r="Q197" s="118">
        <f t="shared" ca="1" si="42"/>
        <v>7270.6413079422218</v>
      </c>
      <c r="R197" s="118">
        <f t="shared" si="43"/>
        <v>-6584.4004599999998</v>
      </c>
      <c r="S197" s="123" t="s">
        <v>239</v>
      </c>
      <c r="T197" s="118" t="s">
        <v>216</v>
      </c>
      <c r="U197" s="118" t="s">
        <v>217</v>
      </c>
      <c r="V197" s="118" t="s">
        <v>240</v>
      </c>
      <c r="W197" s="118" t="s">
        <v>219</v>
      </c>
    </row>
    <row r="198" spans="2:23" x14ac:dyDescent="0.3">
      <c r="B198" s="116" t="e" vm="13">
        <v>#VALUE!</v>
      </c>
      <c r="C198" s="117">
        <v>45754</v>
      </c>
      <c r="D198" s="116">
        <v>15</v>
      </c>
      <c r="E198" s="118">
        <v>3041.6</v>
      </c>
      <c r="F198" s="118">
        <f>D198*E198*0.0022+72.78</f>
        <v>173.15280000000001</v>
      </c>
      <c r="G198" s="118">
        <f t="shared" si="34"/>
        <v>45797.152800000003</v>
      </c>
      <c r="H198" s="119">
        <f t="shared" si="35"/>
        <v>3.7952130457653871E-3</v>
      </c>
      <c r="I198" s="120" cm="1">
        <f t="array" aca="1" ref="I198" ca="1">_FV(B198,"Price")</f>
        <v>3792.4</v>
      </c>
      <c r="J198" s="118">
        <f t="shared" ca="1" si="36"/>
        <v>56670.105510678593</v>
      </c>
      <c r="K198" s="118">
        <f t="shared" ca="1" si="37"/>
        <v>56886</v>
      </c>
      <c r="L198" s="118">
        <f>15*34+15*38</f>
        <v>1080</v>
      </c>
      <c r="M198" s="118">
        <f t="shared" ca="1" si="38"/>
        <v>11952.95271067859</v>
      </c>
      <c r="N198" s="121">
        <f t="shared" ca="1" si="39"/>
        <v>0.26099772540179811</v>
      </c>
      <c r="O198" s="122">
        <f t="shared" ca="1" si="40"/>
        <v>15.533333333333333</v>
      </c>
      <c r="P198" s="121">
        <f t="shared" ca="1" si="41"/>
        <v>0.20162914408722604</v>
      </c>
      <c r="Q198" s="118">
        <f t="shared" ca="1" si="42"/>
        <v>50539.702401066672</v>
      </c>
      <c r="R198" s="118">
        <f t="shared" si="43"/>
        <v>-45797.152800000003</v>
      </c>
      <c r="S198" s="123" t="s">
        <v>239</v>
      </c>
      <c r="T198" s="118" t="s">
        <v>216</v>
      </c>
      <c r="U198" s="118" t="s">
        <v>217</v>
      </c>
      <c r="V198" s="118" t="s">
        <v>240</v>
      </c>
      <c r="W198" s="118" t="s">
        <v>219</v>
      </c>
    </row>
    <row r="199" spans="2:23" x14ac:dyDescent="0.3">
      <c r="B199" s="116" t="e" vm="13">
        <v>#VALUE!</v>
      </c>
      <c r="C199" s="117">
        <v>45768</v>
      </c>
      <c r="D199" s="116">
        <v>2</v>
      </c>
      <c r="E199" s="118">
        <v>3276.8</v>
      </c>
      <c r="F199" s="118">
        <f>D199*E199*0.0022+10.44</f>
        <v>24.85792</v>
      </c>
      <c r="G199" s="118">
        <f t="shared" si="34"/>
        <v>6578.4579200000007</v>
      </c>
      <c r="H199" s="119">
        <f t="shared" si="35"/>
        <v>3.7930175781249998E-3</v>
      </c>
      <c r="I199" s="120" cm="1">
        <f t="array" aca="1" ref="I199" ca="1">_FV(B199,"Price")</f>
        <v>3792.4</v>
      </c>
      <c r="J199" s="118">
        <f t="shared" ca="1" si="36"/>
        <v>7556.0307202734375</v>
      </c>
      <c r="K199" s="118">
        <f t="shared" ca="1" si="37"/>
        <v>7584.8</v>
      </c>
      <c r="L199" s="118">
        <f>2*34+2*38</f>
        <v>144</v>
      </c>
      <c r="M199" s="118">
        <f t="shared" ca="1" si="38"/>
        <v>1121.5728002734368</v>
      </c>
      <c r="N199" s="121">
        <f t="shared" ca="1" si="39"/>
        <v>0.17049174957304228</v>
      </c>
      <c r="O199" s="122">
        <f t="shared" ca="1" si="40"/>
        <v>15.066666666666666</v>
      </c>
      <c r="P199" s="121">
        <f t="shared" ca="1" si="41"/>
        <v>0.13578988904047615</v>
      </c>
      <c r="Q199" s="118">
        <f t="shared" ca="1" si="42"/>
        <v>7239.2274710755564</v>
      </c>
      <c r="R199" s="118">
        <f t="shared" si="43"/>
        <v>-6578.4579200000007</v>
      </c>
      <c r="S199" s="123" t="s">
        <v>239</v>
      </c>
      <c r="T199" s="118" t="s">
        <v>216</v>
      </c>
      <c r="U199" s="118" t="s">
        <v>217</v>
      </c>
      <c r="V199" s="118" t="s">
        <v>240</v>
      </c>
      <c r="W199" s="118" t="s">
        <v>219</v>
      </c>
    </row>
    <row r="200" spans="2:23" x14ac:dyDescent="0.3">
      <c r="B200" s="116" t="e" vm="13">
        <v>#VALUE!</v>
      </c>
      <c r="C200" s="117">
        <v>45782</v>
      </c>
      <c r="D200" s="116">
        <v>2</v>
      </c>
      <c r="E200" s="118">
        <v>3333.2</v>
      </c>
      <c r="F200" s="118">
        <f>D200*E200*0.0022+10.51</f>
        <v>25.176079999999999</v>
      </c>
      <c r="G200" s="118">
        <f t="shared" si="34"/>
        <v>6691.5760799999998</v>
      </c>
      <c r="H200" s="119">
        <f t="shared" si="35"/>
        <v>3.7765630625225008E-3</v>
      </c>
      <c r="I200" s="120" cm="1">
        <f t="array" aca="1" ref="I200" ca="1">_FV(B200,"Price")</f>
        <v>3792.4</v>
      </c>
      <c r="J200" s="118">
        <f t="shared" ca="1" si="36"/>
        <v>7556.1555244833798</v>
      </c>
      <c r="K200" s="118">
        <f t="shared" ca="1" si="37"/>
        <v>7584.8</v>
      </c>
      <c r="L200" s="118">
        <f>2*34+2*38</f>
        <v>144</v>
      </c>
      <c r="M200" s="118">
        <f t="shared" ca="1" si="38"/>
        <v>1008.57944448338</v>
      </c>
      <c r="N200" s="121">
        <f t="shared" ca="1" si="39"/>
        <v>0.1507237506419235</v>
      </c>
      <c r="O200" s="122">
        <f t="shared" ca="1" si="40"/>
        <v>14.6</v>
      </c>
      <c r="P200" s="121">
        <f t="shared" ca="1" si="41"/>
        <v>0.12388253477418371</v>
      </c>
      <c r="Q200" s="118">
        <f t="shared" ca="1" si="42"/>
        <v>7342.8894851200002</v>
      </c>
      <c r="R200" s="118">
        <f t="shared" si="43"/>
        <v>-6691.5760799999998</v>
      </c>
      <c r="S200" s="123" t="s">
        <v>239</v>
      </c>
      <c r="T200" s="118" t="s">
        <v>216</v>
      </c>
      <c r="U200" s="118" t="s">
        <v>217</v>
      </c>
      <c r="V200" s="118" t="s">
        <v>240</v>
      </c>
      <c r="W200" s="118" t="s">
        <v>219</v>
      </c>
    </row>
    <row r="201" spans="2:23" x14ac:dyDescent="0.3">
      <c r="B201" s="116" t="e" vm="13">
        <v>#VALUE!</v>
      </c>
      <c r="C201" s="117">
        <v>45796</v>
      </c>
      <c r="D201" s="116">
        <v>2</v>
      </c>
      <c r="E201" s="118">
        <v>3604.3</v>
      </c>
      <c r="F201" s="118">
        <f>D201*E201*0.0022+11.29</f>
        <v>27.14892</v>
      </c>
      <c r="G201" s="118">
        <f t="shared" si="34"/>
        <v>7235.74892</v>
      </c>
      <c r="H201" s="119">
        <f t="shared" si="35"/>
        <v>3.7661848347806783E-3</v>
      </c>
      <c r="I201" s="120" cm="1">
        <f t="array" aca="1" ref="I201" ca="1">_FV(B201,"Price")</f>
        <v>3792.4</v>
      </c>
      <c r="J201" s="118">
        <f t="shared" ca="1" si="36"/>
        <v>7556.234241265156</v>
      </c>
      <c r="K201" s="118">
        <f t="shared" ca="1" si="37"/>
        <v>7584.8</v>
      </c>
      <c r="L201" s="118">
        <f>2*34+2*38</f>
        <v>144</v>
      </c>
      <c r="M201" s="118">
        <f t="shared" ca="1" si="38"/>
        <v>464.48532126515602</v>
      </c>
      <c r="N201" s="121">
        <f t="shared" ca="1" si="39"/>
        <v>6.4193123116985662E-2</v>
      </c>
      <c r="O201" s="122">
        <f t="shared" ca="1" si="40"/>
        <v>14.133333333333333</v>
      </c>
      <c r="P201" s="121">
        <f t="shared" ca="1" si="41"/>
        <v>5.4503595099327451E-2</v>
      </c>
      <c r="Q201" s="118">
        <f t="shared" ca="1" si="42"/>
        <v>7917.5172626844442</v>
      </c>
      <c r="R201" s="118">
        <f t="shared" si="43"/>
        <v>-7235.74892</v>
      </c>
      <c r="S201" s="123" t="s">
        <v>239</v>
      </c>
      <c r="T201" s="118" t="s">
        <v>216</v>
      </c>
      <c r="U201" s="118" t="s">
        <v>217</v>
      </c>
      <c r="V201" s="118" t="s">
        <v>240</v>
      </c>
      <c r="W201" s="118" t="s">
        <v>219</v>
      </c>
    </row>
    <row r="202" spans="2:23" x14ac:dyDescent="0.3">
      <c r="B202" s="116" t="e" vm="13">
        <v>#VALUE!</v>
      </c>
      <c r="C202" s="117">
        <v>45811</v>
      </c>
      <c r="D202" s="116">
        <v>2</v>
      </c>
      <c r="E202" s="118">
        <v>3636.8</v>
      </c>
      <c r="F202" s="118">
        <f>D202*E202*0.0022+11.46</f>
        <v>27.461920000000003</v>
      </c>
      <c r="G202" s="118">
        <f t="shared" si="34"/>
        <v>7301.0619200000001</v>
      </c>
      <c r="H202" s="119">
        <f t="shared" si="35"/>
        <v>3.7755609326880777E-3</v>
      </c>
      <c r="I202" s="120" cm="1">
        <f t="array" aca="1" ref="I202" ca="1">_FV(B202,"Price")</f>
        <v>3792.4</v>
      </c>
      <c r="J202" s="118">
        <f t="shared" ca="1" si="36"/>
        <v>7556.163125437748</v>
      </c>
      <c r="K202" s="118">
        <f t="shared" ca="1" si="37"/>
        <v>7584.8</v>
      </c>
      <c r="L202" s="118">
        <f>2*38</f>
        <v>76</v>
      </c>
      <c r="M202" s="118">
        <f t="shared" ca="1" si="38"/>
        <v>331.10120543774792</v>
      </c>
      <c r="N202" s="121">
        <f t="shared" ca="1" si="39"/>
        <v>4.5349732554760734E-2</v>
      </c>
      <c r="O202" s="122">
        <f t="shared" ca="1" si="40"/>
        <v>13.666666666666666</v>
      </c>
      <c r="P202" s="121">
        <f t="shared" ca="1" si="41"/>
        <v>3.9819277365155767E-2</v>
      </c>
      <c r="Q202" s="118">
        <f t="shared" ca="1" si="42"/>
        <v>7966.2697838222221</v>
      </c>
      <c r="R202" s="118">
        <f t="shared" si="43"/>
        <v>-7301.0619200000001</v>
      </c>
      <c r="S202" s="123" t="s">
        <v>239</v>
      </c>
      <c r="T202" s="118" t="s">
        <v>216</v>
      </c>
      <c r="U202" s="118" t="s">
        <v>217</v>
      </c>
      <c r="V202" s="118" t="s">
        <v>240</v>
      </c>
      <c r="W202" s="118" t="s">
        <v>219</v>
      </c>
    </row>
    <row r="203" spans="2:23" x14ac:dyDescent="0.3">
      <c r="B203" s="116" t="e" vm="13">
        <v>#VALUE!</v>
      </c>
      <c r="C203" s="117">
        <v>45826</v>
      </c>
      <c r="D203" s="116">
        <v>2</v>
      </c>
      <c r="E203" s="118">
        <v>3609.1</v>
      </c>
      <c r="F203" s="118">
        <f>D203*E203*0.0022+11.38</f>
        <v>27.260040000000004</v>
      </c>
      <c r="G203" s="118">
        <f t="shared" si="34"/>
        <v>7245.4600399999999</v>
      </c>
      <c r="H203" s="119">
        <f t="shared" si="35"/>
        <v>3.7765703360948719E-3</v>
      </c>
      <c r="I203" s="120" cm="1">
        <f t="array" aca="1" ref="I203" ca="1">_FV(B203,"Price")</f>
        <v>3792.4</v>
      </c>
      <c r="J203" s="118">
        <f t="shared" ca="1" si="36"/>
        <v>7556.1554693147873</v>
      </c>
      <c r="K203" s="118">
        <f t="shared" ca="1" si="37"/>
        <v>7584.8</v>
      </c>
      <c r="L203" s="118">
        <f t="shared" ref="L203:L214" si="44">2*38</f>
        <v>76</v>
      </c>
      <c r="M203" s="118">
        <f t="shared" ca="1" si="38"/>
        <v>386.69542931478736</v>
      </c>
      <c r="N203" s="121">
        <f t="shared" ca="1" si="39"/>
        <v>5.3370721414507639E-2</v>
      </c>
      <c r="O203" s="122">
        <f t="shared" ca="1" si="40"/>
        <v>13.166666666666666</v>
      </c>
      <c r="P203" s="121">
        <f t="shared" ca="1" si="41"/>
        <v>4.8641670149931024E-2</v>
      </c>
      <c r="Q203" s="118">
        <f t="shared" ca="1" si="42"/>
        <v>7881.4504212888887</v>
      </c>
      <c r="R203" s="118">
        <f t="shared" si="43"/>
        <v>-7245.4600399999999</v>
      </c>
      <c r="S203" s="123" t="s">
        <v>239</v>
      </c>
      <c r="T203" s="118" t="s">
        <v>216</v>
      </c>
      <c r="U203" s="118" t="s">
        <v>217</v>
      </c>
      <c r="V203" s="118" t="s">
        <v>240</v>
      </c>
      <c r="W203" s="118" t="s">
        <v>219</v>
      </c>
    </row>
    <row r="204" spans="2:23" x14ac:dyDescent="0.3">
      <c r="B204" s="116" t="e" vm="13">
        <v>#VALUE!</v>
      </c>
      <c r="C204" s="117">
        <v>45841</v>
      </c>
      <c r="D204" s="116">
        <v>2</v>
      </c>
      <c r="E204" s="118">
        <v>3603.2</v>
      </c>
      <c r="F204" s="118">
        <f>D204*E204*0.0022+11.55</f>
        <v>27.40408</v>
      </c>
      <c r="G204" s="118">
        <f t="shared" si="34"/>
        <v>7233.8040799999999</v>
      </c>
      <c r="H204" s="119">
        <f t="shared" si="35"/>
        <v>3.8027420071047959E-3</v>
      </c>
      <c r="I204" s="120" cm="1">
        <f t="array" aca="1" ref="I204" ca="1">_FV(B204,"Price")</f>
        <v>3792.4</v>
      </c>
      <c r="J204" s="118">
        <f t="shared" ca="1" si="36"/>
        <v>7555.9569624245114</v>
      </c>
      <c r="K204" s="118">
        <f t="shared" ca="1" si="37"/>
        <v>7584.8</v>
      </c>
      <c r="L204" s="118">
        <f t="shared" si="44"/>
        <v>76</v>
      </c>
      <c r="M204" s="118">
        <f t="shared" ca="1" si="38"/>
        <v>398.15288242451152</v>
      </c>
      <c r="N204" s="121">
        <f t="shared" ca="1" si="39"/>
        <v>5.5040595241627216E-2</v>
      </c>
      <c r="O204" s="122">
        <f t="shared" ca="1" si="40"/>
        <v>12.666666666666666</v>
      </c>
      <c r="P204" s="121">
        <f t="shared" ca="1" si="41"/>
        <v>5.2143721807857361E-2</v>
      </c>
      <c r="Q204" s="118">
        <f t="shared" ca="1" si="42"/>
        <v>7844.6586467555553</v>
      </c>
      <c r="R204" s="118">
        <f t="shared" si="43"/>
        <v>-7233.8040799999999</v>
      </c>
      <c r="S204" s="123" t="s">
        <v>239</v>
      </c>
      <c r="T204" s="118" t="s">
        <v>216</v>
      </c>
      <c r="U204" s="118" t="s">
        <v>217</v>
      </c>
      <c r="V204" s="118" t="s">
        <v>240</v>
      </c>
      <c r="W204" s="118" t="s">
        <v>219</v>
      </c>
    </row>
    <row r="205" spans="2:23" x14ac:dyDescent="0.3">
      <c r="B205" s="116" t="e" vm="13">
        <v>#VALUE!</v>
      </c>
      <c r="C205" s="117">
        <v>45873</v>
      </c>
      <c r="D205" s="116">
        <v>2</v>
      </c>
      <c r="E205" s="118">
        <v>3625.8</v>
      </c>
      <c r="F205" s="118">
        <f>D205*E205*0.0022+11.2</f>
        <v>27.15352</v>
      </c>
      <c r="G205" s="118">
        <f t="shared" si="34"/>
        <v>7278.7535200000002</v>
      </c>
      <c r="H205" s="119">
        <f t="shared" si="35"/>
        <v>3.7444867339621601E-3</v>
      </c>
      <c r="I205" s="120" cm="1">
        <f t="array" aca="1" ref="I205" ca="1">_FV(B205,"Price")</f>
        <v>3792.4</v>
      </c>
      <c r="J205" s="118">
        <f t="shared" ca="1" si="36"/>
        <v>7556.3988170202438</v>
      </c>
      <c r="K205" s="118">
        <f t="shared" ca="1" si="37"/>
        <v>7584.8</v>
      </c>
      <c r="L205" s="118">
        <f t="shared" si="44"/>
        <v>76</v>
      </c>
      <c r="M205" s="118">
        <f t="shared" ca="1" si="38"/>
        <v>353.64529702024356</v>
      </c>
      <c r="N205" s="121">
        <f t="shared" ca="1" si="39"/>
        <v>4.8585969568625202E-2</v>
      </c>
      <c r="O205" s="122">
        <f t="shared" ca="1" si="40"/>
        <v>11.633333333333333</v>
      </c>
      <c r="P205" s="121">
        <f t="shared" ca="1" si="41"/>
        <v>5.0117332506318266E-2</v>
      </c>
      <c r="Q205" s="118">
        <f t="shared" ca="1" si="42"/>
        <v>7843.2612929955558</v>
      </c>
      <c r="R205" s="118">
        <f t="shared" si="43"/>
        <v>-7278.7535200000002</v>
      </c>
      <c r="S205" s="123" t="s">
        <v>239</v>
      </c>
      <c r="T205" s="118" t="s">
        <v>216</v>
      </c>
      <c r="U205" s="118" t="s">
        <v>217</v>
      </c>
      <c r="V205" s="118" t="s">
        <v>240</v>
      </c>
      <c r="W205" s="118" t="s">
        <v>219</v>
      </c>
    </row>
    <row r="206" spans="2:23" x14ac:dyDescent="0.3">
      <c r="B206" s="116" t="e" vm="13">
        <v>#VALUE!</v>
      </c>
      <c r="C206" s="117">
        <v>45903</v>
      </c>
      <c r="D206" s="116">
        <v>2</v>
      </c>
      <c r="E206" s="118">
        <v>3574.8</v>
      </c>
      <c r="F206" s="118">
        <f>D206*E206*0.0022+11.25</f>
        <v>26.979120000000002</v>
      </c>
      <c r="G206" s="118">
        <f t="shared" si="34"/>
        <v>7176.5791200000003</v>
      </c>
      <c r="H206" s="119">
        <f t="shared" si="35"/>
        <v>3.7735146022155087E-3</v>
      </c>
      <c r="I206" s="120" cm="1">
        <f t="array" aca="1" ref="I206" ca="1">_FV(B206,"Price")</f>
        <v>3792.4</v>
      </c>
      <c r="J206" s="118">
        <f t="shared" ca="1" si="36"/>
        <v>7556.1786464451161</v>
      </c>
      <c r="K206" s="118">
        <f t="shared" ca="1" si="37"/>
        <v>7584.8</v>
      </c>
      <c r="L206" s="118">
        <f t="shared" si="44"/>
        <v>76</v>
      </c>
      <c r="M206" s="118">
        <f t="shared" ca="1" si="38"/>
        <v>455.59952644511577</v>
      </c>
      <c r="N206" s="121">
        <f t="shared" ca="1" si="39"/>
        <v>6.3484219824934601E-2</v>
      </c>
      <c r="O206" s="122">
        <f t="shared" ca="1" si="40"/>
        <v>10.666666666666666</v>
      </c>
      <c r="P206" s="121">
        <f t="shared" ca="1" si="41"/>
        <v>7.1419747303051423E-2</v>
      </c>
      <c r="Q206" s="118">
        <f t="shared" ca="1" si="42"/>
        <v>7686.9136352000005</v>
      </c>
      <c r="R206" s="118">
        <f t="shared" si="43"/>
        <v>-7176.5791200000003</v>
      </c>
      <c r="S206" s="123" t="s">
        <v>239</v>
      </c>
      <c r="T206" s="118" t="s">
        <v>216</v>
      </c>
      <c r="U206" s="118" t="s">
        <v>217</v>
      </c>
      <c r="V206" s="118" t="s">
        <v>240</v>
      </c>
      <c r="W206" s="118" t="s">
        <v>219</v>
      </c>
    </row>
    <row r="207" spans="2:23" x14ac:dyDescent="0.3">
      <c r="B207" s="116" t="e" vm="13">
        <v>#VALUE!</v>
      </c>
      <c r="C207" s="117">
        <v>45933</v>
      </c>
      <c r="D207" s="116">
        <v>2</v>
      </c>
      <c r="E207" s="118">
        <v>3706.7</v>
      </c>
      <c r="F207" s="118">
        <f>D207*E207*0.0022+11.4</f>
        <v>27.709479999999999</v>
      </c>
      <c r="G207" s="118">
        <f t="shared" si="34"/>
        <v>7441.1094800000001</v>
      </c>
      <c r="H207" s="119">
        <f t="shared" si="35"/>
        <v>3.7377559554320557E-3</v>
      </c>
      <c r="I207" s="120" cm="1">
        <f t="array" aca="1" ref="I207" ca="1">_FV(B207,"Price")</f>
        <v>3792.4</v>
      </c>
      <c r="J207" s="118">
        <f t="shared" ca="1" si="36"/>
        <v>7556.4498686292391</v>
      </c>
      <c r="K207" s="118">
        <f t="shared" ca="1" si="37"/>
        <v>7584.8</v>
      </c>
      <c r="L207" s="118">
        <f t="shared" si="44"/>
        <v>76</v>
      </c>
      <c r="M207" s="118">
        <f t="shared" ca="1" si="38"/>
        <v>191.34038862923899</v>
      </c>
      <c r="N207" s="121">
        <f t="shared" ca="1" si="39"/>
        <v>2.5713959610931432E-2</v>
      </c>
      <c r="O207" s="122">
        <f t="shared" ca="1" si="40"/>
        <v>9.6666666666666661</v>
      </c>
      <c r="P207" s="121">
        <f t="shared" ca="1" si="41"/>
        <v>3.1920777448052814E-2</v>
      </c>
      <c r="Q207" s="118">
        <f t="shared" ca="1" si="42"/>
        <v>7920.6476464888892</v>
      </c>
      <c r="R207" s="118">
        <f t="shared" si="43"/>
        <v>-7441.1094800000001</v>
      </c>
      <c r="S207" s="123" t="s">
        <v>239</v>
      </c>
      <c r="T207" s="118" t="s">
        <v>216</v>
      </c>
      <c r="U207" s="118" t="s">
        <v>217</v>
      </c>
      <c r="V207" s="118" t="s">
        <v>240</v>
      </c>
      <c r="W207" s="118" t="s">
        <v>219</v>
      </c>
    </row>
    <row r="208" spans="2:23" x14ac:dyDescent="0.3">
      <c r="B208" s="116" t="e" vm="13">
        <v>#VALUE!</v>
      </c>
      <c r="C208" s="117">
        <v>45964</v>
      </c>
      <c r="D208" s="116">
        <v>2</v>
      </c>
      <c r="E208" s="118">
        <v>4031</v>
      </c>
      <c r="F208" s="118">
        <f>D208*E208*0.0022+13.14</f>
        <v>30.8764</v>
      </c>
      <c r="G208" s="118">
        <f t="shared" si="34"/>
        <v>8092.8764000000001</v>
      </c>
      <c r="H208" s="119">
        <f t="shared" si="35"/>
        <v>3.8298685189779211E-3</v>
      </c>
      <c r="I208" s="120" cm="1">
        <f t="array" aca="1" ref="I208" ca="1">_FV(B208,"Price")</f>
        <v>3792.4</v>
      </c>
      <c r="J208" s="118">
        <f t="shared" ca="1" si="36"/>
        <v>7555.7512132572565</v>
      </c>
      <c r="K208" s="118">
        <f t="shared" ca="1" si="37"/>
        <v>7584.8</v>
      </c>
      <c r="L208" s="118">
        <f t="shared" si="44"/>
        <v>76</v>
      </c>
      <c r="M208" s="118">
        <f t="shared" ca="1" si="38"/>
        <v>-461.12518674274361</v>
      </c>
      <c r="N208" s="121">
        <f t="shared" ca="1" si="39"/>
        <v>-5.6979146097269395E-2</v>
      </c>
      <c r="O208" s="122">
        <f t="shared" ca="1" si="40"/>
        <v>8.6666666666666661</v>
      </c>
      <c r="P208" s="121">
        <f t="shared" ca="1" si="41"/>
        <v>-7.8894202288526866E-2</v>
      </c>
      <c r="Q208" s="118">
        <f t="shared" ca="1" si="42"/>
        <v>8560.4648142222213</v>
      </c>
      <c r="R208" s="118">
        <f t="shared" si="43"/>
        <v>-8092.8764000000001</v>
      </c>
      <c r="S208" s="123" t="s">
        <v>239</v>
      </c>
      <c r="T208" s="118" t="s">
        <v>216</v>
      </c>
      <c r="U208" s="118" t="s">
        <v>217</v>
      </c>
      <c r="V208" s="118" t="s">
        <v>240</v>
      </c>
      <c r="W208" s="118" t="s">
        <v>219</v>
      </c>
    </row>
    <row r="209" spans="2:23" x14ac:dyDescent="0.3">
      <c r="B209" s="116" t="e" vm="13">
        <v>#VALUE!</v>
      </c>
      <c r="C209" s="117">
        <v>45994</v>
      </c>
      <c r="D209" s="116">
        <v>2</v>
      </c>
      <c r="E209" s="118">
        <v>3991.1</v>
      </c>
      <c r="F209" s="118">
        <f>D209*E209*0.0022+13.04</f>
        <v>30.600839999999998</v>
      </c>
      <c r="G209" s="118">
        <f t="shared" si="34"/>
        <v>8012.8008399999999</v>
      </c>
      <c r="H209" s="119">
        <f t="shared" si="35"/>
        <v>3.8336348375134673E-3</v>
      </c>
      <c r="I209" s="120" cm="1">
        <f t="array" aca="1" ref="I209" ca="1">_FV(B209,"Price")</f>
        <v>3792.4</v>
      </c>
      <c r="J209" s="118">
        <f t="shared" ca="1" si="36"/>
        <v>7555.722646484428</v>
      </c>
      <c r="K209" s="118">
        <f t="shared" ca="1" si="37"/>
        <v>7584.8</v>
      </c>
      <c r="L209" s="118">
        <f t="shared" si="44"/>
        <v>76</v>
      </c>
      <c r="M209" s="118">
        <f t="shared" ca="1" si="38"/>
        <v>-381.07819351557191</v>
      </c>
      <c r="N209" s="121">
        <f t="shared" ca="1" si="39"/>
        <v>-4.7558675315281129E-2</v>
      </c>
      <c r="O209" s="122">
        <f t="shared" ca="1" si="40"/>
        <v>7.666666666666667</v>
      </c>
      <c r="P209" s="121">
        <f t="shared" ca="1" si="41"/>
        <v>-7.4439665710874806E-2</v>
      </c>
      <c r="Q209" s="118">
        <f t="shared" ca="1" si="42"/>
        <v>8422.3439940444441</v>
      </c>
      <c r="R209" s="118">
        <f t="shared" si="43"/>
        <v>-8012.8008399999999</v>
      </c>
      <c r="S209" s="123" t="s">
        <v>239</v>
      </c>
      <c r="T209" s="118" t="s">
        <v>216</v>
      </c>
      <c r="U209" s="118" t="s">
        <v>217</v>
      </c>
      <c r="V209" s="118" t="s">
        <v>240</v>
      </c>
      <c r="W209" s="118" t="s">
        <v>219</v>
      </c>
    </row>
    <row r="210" spans="2:23" x14ac:dyDescent="0.3">
      <c r="B210" s="116" t="e" vm="13">
        <v>#VALUE!</v>
      </c>
      <c r="C210" s="117">
        <v>46027</v>
      </c>
      <c r="D210" s="116">
        <v>2</v>
      </c>
      <c r="E210" s="118">
        <v>4181.3</v>
      </c>
      <c r="F210" s="118">
        <f>D210*E210*0.0022+13.56</f>
        <v>31.957720000000002</v>
      </c>
      <c r="G210" s="118">
        <f t="shared" si="34"/>
        <v>8394.5577200000007</v>
      </c>
      <c r="H210" s="119">
        <f t="shared" si="35"/>
        <v>3.82150527347954E-3</v>
      </c>
      <c r="I210" s="120" cm="1">
        <f t="array" aca="1" ref="I210" ca="1">_FV(B210,"Price")</f>
        <v>3792.4</v>
      </c>
      <c r="J210" s="118">
        <f t="shared" ca="1" si="36"/>
        <v>7555.8146468017121</v>
      </c>
      <c r="K210" s="118">
        <f t="shared" ca="1" si="37"/>
        <v>7584.8</v>
      </c>
      <c r="L210" s="118">
        <f t="shared" si="44"/>
        <v>76</v>
      </c>
      <c r="M210" s="118">
        <f t="shared" ca="1" si="38"/>
        <v>-762.74307319828858</v>
      </c>
      <c r="N210" s="121">
        <f t="shared" ca="1" si="39"/>
        <v>-9.0861615184449351E-2</v>
      </c>
      <c r="O210" s="122">
        <f t="shared" ca="1" si="40"/>
        <v>6.6</v>
      </c>
      <c r="P210" s="121">
        <f t="shared" ca="1" si="41"/>
        <v>-0.16520293669899883</v>
      </c>
      <c r="Q210" s="118">
        <f t="shared" ca="1" si="42"/>
        <v>8763.9182596800001</v>
      </c>
      <c r="R210" s="118">
        <f t="shared" si="43"/>
        <v>-8394.5577200000007</v>
      </c>
      <c r="S210" s="123" t="s">
        <v>239</v>
      </c>
      <c r="T210" s="118" t="s">
        <v>216</v>
      </c>
      <c r="U210" s="118" t="s">
        <v>217</v>
      </c>
      <c r="V210" s="118" t="s">
        <v>240</v>
      </c>
      <c r="W210" s="118" t="s">
        <v>219</v>
      </c>
    </row>
    <row r="211" spans="2:23" x14ac:dyDescent="0.3">
      <c r="B211" s="116" t="e" vm="13">
        <v>#VALUE!</v>
      </c>
      <c r="C211" s="117">
        <v>46056</v>
      </c>
      <c r="D211" s="116">
        <v>2</v>
      </c>
      <c r="E211" s="118">
        <v>4078.8</v>
      </c>
      <c r="F211" s="118">
        <f>D211*E211*0.0022+13.24</f>
        <v>31.186720000000001</v>
      </c>
      <c r="G211" s="118">
        <f t="shared" si="34"/>
        <v>8188.7867200000001</v>
      </c>
      <c r="H211" s="119">
        <f t="shared" si="35"/>
        <v>3.8230263803079338E-3</v>
      </c>
      <c r="I211" s="120" cm="1">
        <f t="array" aca="1" ref="I211" ca="1">_FV(B211,"Price")</f>
        <v>3792.4</v>
      </c>
      <c r="J211" s="118">
        <f t="shared" ca="1" si="36"/>
        <v>7555.8031095106408</v>
      </c>
      <c r="K211" s="118">
        <f t="shared" ca="1" si="37"/>
        <v>7584.8</v>
      </c>
      <c r="L211" s="118">
        <f t="shared" si="44"/>
        <v>76</v>
      </c>
      <c r="M211" s="118">
        <f t="shared" ca="1" si="38"/>
        <v>-556.98361048935931</v>
      </c>
      <c r="N211" s="121">
        <f t="shared" ca="1" si="39"/>
        <v>-6.8017843123084704E-2</v>
      </c>
      <c r="O211" s="122">
        <f t="shared" ca="1" si="40"/>
        <v>5.666666666666667</v>
      </c>
      <c r="P211" s="121">
        <f t="shared" ca="1" si="41"/>
        <v>-0.14403778543712054</v>
      </c>
      <c r="Q211" s="118">
        <f t="shared" ca="1" si="42"/>
        <v>8498.1408849777781</v>
      </c>
      <c r="R211" s="118">
        <f t="shared" si="43"/>
        <v>-8188.7867200000001</v>
      </c>
      <c r="S211" s="123" t="s">
        <v>239</v>
      </c>
      <c r="T211" s="118" t="s">
        <v>216</v>
      </c>
      <c r="U211" s="118" t="s">
        <v>217</v>
      </c>
      <c r="V211" s="118" t="s">
        <v>240</v>
      </c>
      <c r="W211" s="118" t="s">
        <v>219</v>
      </c>
    </row>
    <row r="212" spans="2:23" x14ac:dyDescent="0.3">
      <c r="B212" s="116" t="e" vm="13">
        <v>#VALUE!</v>
      </c>
      <c r="C212" s="117">
        <v>46085</v>
      </c>
      <c r="D212" s="116">
        <v>2</v>
      </c>
      <c r="E212" s="118">
        <v>3813.9</v>
      </c>
      <c r="F212" s="118">
        <f>D212*E212*0.0022+12.07</f>
        <v>28.85116</v>
      </c>
      <c r="G212" s="118">
        <f t="shared" si="34"/>
        <v>7656.6511600000003</v>
      </c>
      <c r="H212" s="119">
        <f t="shared" si="35"/>
        <v>3.7823697527465325E-3</v>
      </c>
      <c r="I212" s="120" cm="1">
        <f t="array" aca="1" ref="I212" ca="1">_FV(B212,"Price")</f>
        <v>3792.4</v>
      </c>
      <c r="J212" s="118">
        <f t="shared" ca="1" si="36"/>
        <v>7556.1114818993683</v>
      </c>
      <c r="K212" s="118">
        <f t="shared" ca="1" si="37"/>
        <v>7584.8</v>
      </c>
      <c r="L212" s="118">
        <f t="shared" si="44"/>
        <v>76</v>
      </c>
      <c r="M212" s="118">
        <f t="shared" ca="1" si="38"/>
        <v>-24.539678100632045</v>
      </c>
      <c r="N212" s="121">
        <f t="shared" ca="1" si="39"/>
        <v>-3.2050145145481649E-3</v>
      </c>
      <c r="O212" s="122">
        <f t="shared" ca="1" si="40"/>
        <v>4.6333333333333337</v>
      </c>
      <c r="P212" s="121">
        <f t="shared" ca="1" si="41"/>
        <v>-8.3007570160959655E-3</v>
      </c>
      <c r="Q212" s="118">
        <f t="shared" ca="1" si="42"/>
        <v>7893.1566069422224</v>
      </c>
      <c r="R212" s="118">
        <f t="shared" si="43"/>
        <v>-7656.6511600000003</v>
      </c>
      <c r="S212" s="123" t="s">
        <v>239</v>
      </c>
      <c r="T212" s="118" t="s">
        <v>216</v>
      </c>
      <c r="U212" s="118" t="s">
        <v>217</v>
      </c>
      <c r="V212" s="118" t="s">
        <v>240</v>
      </c>
      <c r="W212" s="118" t="s">
        <v>219</v>
      </c>
    </row>
    <row r="213" spans="2:23" x14ac:dyDescent="0.3">
      <c r="B213" s="116" t="e" vm="13">
        <v>#VALUE!</v>
      </c>
      <c r="C213" s="117">
        <v>46118</v>
      </c>
      <c r="D213" s="116">
        <v>2</v>
      </c>
      <c r="E213" s="118">
        <v>3594.4</v>
      </c>
      <c r="F213" s="118">
        <f>D213*E213*0.0022+11.39</f>
        <v>27.205360000000002</v>
      </c>
      <c r="G213" s="118">
        <f t="shared" si="34"/>
        <v>7216.0053600000001</v>
      </c>
      <c r="H213" s="119">
        <f t="shared" si="35"/>
        <v>3.784409080792344E-3</v>
      </c>
      <c r="I213" s="120" cm="1">
        <f t="array" aca="1" ref="I213" ca="1">_FV(B213,"Price")</f>
        <v>3792.4</v>
      </c>
      <c r="J213" s="118">
        <f t="shared" ca="1" si="36"/>
        <v>7556.0960140040061</v>
      </c>
      <c r="K213" s="118">
        <f t="shared" ca="1" si="37"/>
        <v>7584.8</v>
      </c>
      <c r="L213" s="118">
        <f t="shared" si="44"/>
        <v>76</v>
      </c>
      <c r="M213" s="118">
        <f t="shared" ca="1" si="38"/>
        <v>416.09065400400596</v>
      </c>
      <c r="N213" s="121">
        <f t="shared" ca="1" si="39"/>
        <v>5.7662187490948029E-2</v>
      </c>
      <c r="O213" s="122">
        <f t="shared" ca="1" si="40"/>
        <v>3.5666666666666669</v>
      </c>
      <c r="P213" s="121">
        <f t="shared" ca="1" si="41"/>
        <v>0.19400362146487185</v>
      </c>
      <c r="Q213" s="118">
        <f t="shared" ca="1" si="42"/>
        <v>7387.5859318933335</v>
      </c>
      <c r="R213" s="118">
        <f t="shared" si="43"/>
        <v>-7216.0053600000001</v>
      </c>
      <c r="S213" s="123" t="s">
        <v>239</v>
      </c>
      <c r="T213" s="118" t="s">
        <v>216</v>
      </c>
      <c r="U213" s="118" t="s">
        <v>217</v>
      </c>
      <c r="V213" s="118" t="s">
        <v>240</v>
      </c>
      <c r="W213" s="118" t="s">
        <v>219</v>
      </c>
    </row>
    <row r="214" spans="2:23" x14ac:dyDescent="0.3">
      <c r="B214" s="116" t="e" vm="13">
        <v>#VALUE!</v>
      </c>
      <c r="C214" s="117">
        <v>46146</v>
      </c>
      <c r="D214" s="116">
        <v>2</v>
      </c>
      <c r="E214" s="118">
        <v>4103.2</v>
      </c>
      <c r="F214" s="118">
        <f>D214*E214*0.0022+12.97</f>
        <v>31.024079999999998</v>
      </c>
      <c r="G214" s="118">
        <f t="shared" si="34"/>
        <v>8237.4240799999989</v>
      </c>
      <c r="H214" s="119">
        <f t="shared" si="35"/>
        <v>3.7804737765646324E-3</v>
      </c>
      <c r="I214" s="120" cm="1">
        <f t="array" aca="1" ref="I214" ca="1">_FV(B214,"Price")</f>
        <v>3792.4</v>
      </c>
      <c r="J214" s="118">
        <f t="shared" ca="1" si="36"/>
        <v>7556.1258624995126</v>
      </c>
      <c r="K214" s="118">
        <f t="shared" ca="1" si="37"/>
        <v>7584.8</v>
      </c>
      <c r="L214" s="118">
        <f t="shared" si="44"/>
        <v>76</v>
      </c>
      <c r="M214" s="118">
        <f t="shared" ca="1" si="38"/>
        <v>-605.29821750048632</v>
      </c>
      <c r="N214" s="121">
        <f t="shared" ca="1" si="39"/>
        <v>-7.3481492712038007E-2</v>
      </c>
      <c r="O214" s="122">
        <f t="shared" ca="1" si="40"/>
        <v>2.6333333333333333</v>
      </c>
      <c r="P214" s="121">
        <f t="shared" ca="1" si="41"/>
        <v>-0.33485237185232508</v>
      </c>
      <c r="Q214" s="118">
        <f t="shared" ca="1" si="42"/>
        <v>8382.0366360711105</v>
      </c>
      <c r="R214" s="118">
        <f t="shared" si="43"/>
        <v>-8237.4240799999989</v>
      </c>
      <c r="S214" s="123" t="s">
        <v>239</v>
      </c>
      <c r="T214" s="118" t="s">
        <v>216</v>
      </c>
      <c r="U214" s="118" t="s">
        <v>217</v>
      </c>
      <c r="V214" s="118" t="s">
        <v>240</v>
      </c>
      <c r="W214" s="118" t="s">
        <v>219</v>
      </c>
    </row>
    <row r="215" spans="2:23" x14ac:dyDescent="0.3">
      <c r="B215" s="116" t="e" vm="13">
        <v>#VALUE!</v>
      </c>
      <c r="C215" s="117">
        <v>46176</v>
      </c>
      <c r="D215" s="116">
        <v>2</v>
      </c>
      <c r="E215" s="118">
        <v>3936</v>
      </c>
      <c r="F215" s="118">
        <f>D215*E215*0.0022+12.27</f>
        <v>29.5884</v>
      </c>
      <c r="G215" s="118">
        <f t="shared" si="34"/>
        <v>7901.5883999999996</v>
      </c>
      <c r="H215" s="119">
        <f t="shared" si="35"/>
        <v>3.7586890243902441E-3</v>
      </c>
      <c r="I215" s="120" cm="1">
        <f t="array" aca="1" ref="I215" ca="1">_FV(B215,"Price")</f>
        <v>3792.4</v>
      </c>
      <c r="J215" s="118">
        <f t="shared" ca="1" si="36"/>
        <v>7556.2910954878053</v>
      </c>
      <c r="K215" s="118">
        <f t="shared" ca="1" si="37"/>
        <v>7584.8</v>
      </c>
      <c r="L215" s="118">
        <v>0</v>
      </c>
      <c r="M215" s="118">
        <f t="shared" ca="1" si="38"/>
        <v>-345.29730451219439</v>
      </c>
      <c r="N215" s="121">
        <f t="shared" ca="1" si="39"/>
        <v>-4.3699733146337315E-2</v>
      </c>
      <c r="O215" s="122">
        <f t="shared" ca="1" si="40"/>
        <v>1.6666666666666667</v>
      </c>
      <c r="P215" s="121">
        <f t="shared" ca="1" si="41"/>
        <v>-0.31463807865362869</v>
      </c>
      <c r="Q215" s="118">
        <f t="shared" ca="1" si="42"/>
        <v>7989.3838266666662</v>
      </c>
      <c r="R215" s="118">
        <f t="shared" si="43"/>
        <v>-7901.5883999999996</v>
      </c>
      <c r="S215" s="123" t="s">
        <v>239</v>
      </c>
      <c r="T215" s="118" t="s">
        <v>216</v>
      </c>
      <c r="U215" s="118" t="s">
        <v>217</v>
      </c>
      <c r="V215" s="118" t="s">
        <v>240</v>
      </c>
      <c r="W215" s="118" t="s">
        <v>219</v>
      </c>
    </row>
    <row r="216" spans="2:23" x14ac:dyDescent="0.3">
      <c r="B216" s="116" t="e" vm="13">
        <v>#VALUE!</v>
      </c>
      <c r="C216" s="117">
        <v>46206</v>
      </c>
      <c r="D216" s="116">
        <v>2</v>
      </c>
      <c r="E216" s="118">
        <v>4060</v>
      </c>
      <c r="F216" s="118">
        <f>D216*E216*0.0022+12.86</f>
        <v>30.724</v>
      </c>
      <c r="G216" s="118">
        <f t="shared" si="34"/>
        <v>8150.7240000000002</v>
      </c>
      <c r="H216" s="119">
        <f t="shared" si="35"/>
        <v>3.7837438423645319E-3</v>
      </c>
      <c r="I216" s="120" cm="1">
        <f t="array" aca="1" ref="I216" ca="1">_FV(B216,"Price")</f>
        <v>3792.4</v>
      </c>
      <c r="J216" s="118">
        <f t="shared" ca="1" si="36"/>
        <v>7556.1010597044333</v>
      </c>
      <c r="K216" s="118">
        <f t="shared" ca="1" si="37"/>
        <v>7584.8</v>
      </c>
      <c r="L216" s="118">
        <v>0</v>
      </c>
      <c r="M216" s="118">
        <f t="shared" ca="1" si="38"/>
        <v>-594.62294029556688</v>
      </c>
      <c r="N216" s="121">
        <f t="shared" ca="1" si="39"/>
        <v>-7.2953389207580432E-2</v>
      </c>
      <c r="O216" s="122">
        <f t="shared" ca="1" si="40"/>
        <v>0.66666666666666663</v>
      </c>
      <c r="P216" s="121">
        <f t="shared" ca="1" si="41"/>
        <v>-1.3131610057364478</v>
      </c>
      <c r="Q216" s="118">
        <f t="shared" ca="1" si="42"/>
        <v>8186.9494400000003</v>
      </c>
      <c r="R216" s="118">
        <f t="shared" si="43"/>
        <v>-8150.7240000000002</v>
      </c>
      <c r="S216" s="123" t="s">
        <v>239</v>
      </c>
      <c r="T216" s="118" t="s">
        <v>216</v>
      </c>
      <c r="U216" s="118" t="s">
        <v>217</v>
      </c>
      <c r="V216" s="118" t="s">
        <v>240</v>
      </c>
      <c r="W216" s="118" t="s">
        <v>219</v>
      </c>
    </row>
    <row r="217" spans="2:23" x14ac:dyDescent="0.3">
      <c r="B217" s="116" t="e" vm="14">
        <v>#VALUE!</v>
      </c>
      <c r="C217" s="117">
        <v>45526</v>
      </c>
      <c r="D217" s="116">
        <v>2</v>
      </c>
      <c r="E217" s="118">
        <v>2752.7</v>
      </c>
      <c r="F217" s="118">
        <f>D217*E217*0.0022+8.74</f>
        <v>20.851880000000001</v>
      </c>
      <c r="G217" s="118">
        <f t="shared" si="34"/>
        <v>5526.2518799999998</v>
      </c>
      <c r="H217" s="119">
        <f t="shared" si="35"/>
        <v>3.7875322410724022E-3</v>
      </c>
      <c r="I217" s="120" cm="1">
        <f t="array" aca="1" ref="I217" ca="1">_FV(B217,"Price")</f>
        <v>3229.7</v>
      </c>
      <c r="J217" s="118">
        <f t="shared" ca="1" si="36"/>
        <v>6434.9348142420167</v>
      </c>
      <c r="K217" s="118">
        <f t="shared" ca="1" si="37"/>
        <v>6459.4</v>
      </c>
      <c r="L217" s="118">
        <f>2*25.3</f>
        <v>50.6</v>
      </c>
      <c r="M217" s="118">
        <f t="shared" ca="1" si="38"/>
        <v>959.28293424201695</v>
      </c>
      <c r="N217" s="121">
        <f t="shared" ca="1" si="39"/>
        <v>0.17358653841200178</v>
      </c>
      <c r="O217" s="122">
        <f t="shared" ca="1" si="40"/>
        <v>23.033333333333335</v>
      </c>
      <c r="P217" s="121">
        <f t="shared" ca="1" si="41"/>
        <v>9.0435823195833043E-2</v>
      </c>
      <c r="Q217" s="118">
        <f t="shared" ca="1" si="42"/>
        <v>6374.8385575733328</v>
      </c>
      <c r="R217" s="118">
        <f t="shared" si="43"/>
        <v>-5526.2518799999998</v>
      </c>
      <c r="S217" s="123" t="s">
        <v>220</v>
      </c>
      <c r="T217" s="118" t="s">
        <v>216</v>
      </c>
      <c r="U217" s="118" t="s">
        <v>217</v>
      </c>
      <c r="V217" s="118" t="s">
        <v>241</v>
      </c>
      <c r="W217" s="118" t="s">
        <v>219</v>
      </c>
    </row>
    <row r="218" spans="2:23" x14ac:dyDescent="0.3">
      <c r="B218" s="116" t="e" vm="14">
        <v>#VALUE!</v>
      </c>
      <c r="C218" s="117">
        <v>45541</v>
      </c>
      <c r="D218" s="116">
        <v>2</v>
      </c>
      <c r="E218" s="118">
        <v>2684.85</v>
      </c>
      <c r="F218" s="118">
        <f>D218*E218*0.0022+8.52</f>
        <v>20.33334</v>
      </c>
      <c r="G218" s="118">
        <f t="shared" si="34"/>
        <v>5390.03334</v>
      </c>
      <c r="H218" s="119">
        <f t="shared" si="35"/>
        <v>3.786680820157551E-3</v>
      </c>
      <c r="I218" s="120" cm="1">
        <f t="array" aca="1" ref="I218" ca="1">_FV(B218,"Price")</f>
        <v>3229.7</v>
      </c>
      <c r="J218" s="118">
        <f t="shared" ca="1" si="36"/>
        <v>6434.9403139102742</v>
      </c>
      <c r="K218" s="118">
        <f t="shared" ca="1" si="37"/>
        <v>6459.4</v>
      </c>
      <c r="L218" s="118">
        <f t="shared" ref="L218:L239" si="45">2*25.3</f>
        <v>50.6</v>
      </c>
      <c r="M218" s="118">
        <f t="shared" ca="1" si="38"/>
        <v>1095.5069739102742</v>
      </c>
      <c r="N218" s="121">
        <f t="shared" ca="1" si="39"/>
        <v>0.20324678991879375</v>
      </c>
      <c r="O218" s="122">
        <f t="shared" ca="1" si="40"/>
        <v>22.566666666666666</v>
      </c>
      <c r="P218" s="121">
        <f t="shared" ca="1" si="41"/>
        <v>0.10807805667764513</v>
      </c>
      <c r="Q218" s="118">
        <f t="shared" ca="1" si="42"/>
        <v>6200.9339113733331</v>
      </c>
      <c r="R218" s="118">
        <f t="shared" si="43"/>
        <v>-5390.03334</v>
      </c>
      <c r="S218" s="123" t="s">
        <v>220</v>
      </c>
      <c r="T218" s="118" t="s">
        <v>216</v>
      </c>
      <c r="U218" s="118" t="s">
        <v>217</v>
      </c>
      <c r="V218" s="118" t="s">
        <v>241</v>
      </c>
      <c r="W218" s="118" t="s">
        <v>219</v>
      </c>
    </row>
    <row r="219" spans="2:23" x14ac:dyDescent="0.3">
      <c r="B219" s="116" t="e" vm="14">
        <v>#VALUE!</v>
      </c>
      <c r="C219" s="117">
        <v>45558</v>
      </c>
      <c r="D219" s="116">
        <v>2</v>
      </c>
      <c r="E219" s="118">
        <v>3028.55</v>
      </c>
      <c r="F219" s="118">
        <f>D219*E219*0.0022+9.82</f>
        <v>23.145620000000001</v>
      </c>
      <c r="G219" s="118">
        <f t="shared" si="34"/>
        <v>6080.2456200000006</v>
      </c>
      <c r="H219" s="119">
        <f t="shared" si="35"/>
        <v>3.8212378861171188E-3</v>
      </c>
      <c r="I219" s="120" cm="1">
        <f t="array" aca="1" ref="I219" ca="1">_FV(B219,"Price")</f>
        <v>3229.7</v>
      </c>
      <c r="J219" s="118">
        <f t="shared" ca="1" si="36"/>
        <v>6434.7170959984151</v>
      </c>
      <c r="K219" s="118">
        <f t="shared" ca="1" si="37"/>
        <v>6459.4</v>
      </c>
      <c r="L219" s="118">
        <f t="shared" si="45"/>
        <v>50.6</v>
      </c>
      <c r="M219" s="118">
        <f t="shared" ca="1" si="38"/>
        <v>405.07147599841448</v>
      </c>
      <c r="N219" s="121">
        <f t="shared" ca="1" si="39"/>
        <v>6.6620906672914051E-2</v>
      </c>
      <c r="O219" s="122">
        <f t="shared" ca="1" si="40"/>
        <v>22</v>
      </c>
      <c r="P219" s="121">
        <f t="shared" ca="1" si="41"/>
        <v>3.6338676367044027E-2</v>
      </c>
      <c r="Q219" s="118">
        <f t="shared" ca="1" si="42"/>
        <v>6972.0149776000007</v>
      </c>
      <c r="R219" s="118">
        <f t="shared" si="43"/>
        <v>-6080.2456200000006</v>
      </c>
      <c r="S219" s="123" t="s">
        <v>220</v>
      </c>
      <c r="T219" s="118" t="s">
        <v>216</v>
      </c>
      <c r="U219" s="118" t="s">
        <v>217</v>
      </c>
      <c r="V219" s="118" t="s">
        <v>241</v>
      </c>
      <c r="W219" s="118" t="s">
        <v>219</v>
      </c>
    </row>
    <row r="220" spans="2:23" x14ac:dyDescent="0.3">
      <c r="B220" s="116" t="e" vm="14">
        <v>#VALUE!</v>
      </c>
      <c r="C220" s="117">
        <v>45572</v>
      </c>
      <c r="D220" s="116">
        <v>2</v>
      </c>
      <c r="E220" s="118">
        <v>3010.4</v>
      </c>
      <c r="F220" s="118">
        <f>D220*E220*0.0022+9.53</f>
        <v>22.775759999999998</v>
      </c>
      <c r="G220" s="118">
        <f t="shared" si="34"/>
        <v>6043.5757600000006</v>
      </c>
      <c r="H220" s="119">
        <f t="shared" si="35"/>
        <v>3.7828461334041986E-3</v>
      </c>
      <c r="I220" s="120" cm="1">
        <f t="array" aca="1" ref="I220" ca="1">_FV(B220,"Price")</f>
        <v>3229.7</v>
      </c>
      <c r="J220" s="118">
        <f t="shared" ca="1" si="36"/>
        <v>6434.9650836858891</v>
      </c>
      <c r="K220" s="118">
        <f t="shared" ca="1" si="37"/>
        <v>6459.4</v>
      </c>
      <c r="L220" s="118">
        <f t="shared" si="45"/>
        <v>50.6</v>
      </c>
      <c r="M220" s="118">
        <f t="shared" ca="1" si="38"/>
        <v>441.98932368588851</v>
      </c>
      <c r="N220" s="121">
        <f t="shared" ca="1" si="39"/>
        <v>7.3133744200120435E-2</v>
      </c>
      <c r="O220" s="122">
        <f t="shared" ca="1" si="40"/>
        <v>21.533333333333335</v>
      </c>
      <c r="P220" s="121">
        <f t="shared" ca="1" si="41"/>
        <v>4.0755646922667733E-2</v>
      </c>
      <c r="Q220" s="118">
        <f t="shared" ca="1" si="42"/>
        <v>6911.1646357688896</v>
      </c>
      <c r="R220" s="118">
        <f t="shared" si="43"/>
        <v>-6043.5757600000006</v>
      </c>
      <c r="S220" s="123" t="s">
        <v>220</v>
      </c>
      <c r="T220" s="118" t="s">
        <v>216</v>
      </c>
      <c r="U220" s="118" t="s">
        <v>217</v>
      </c>
      <c r="V220" s="118" t="s">
        <v>241</v>
      </c>
      <c r="W220" s="118" t="s">
        <v>219</v>
      </c>
    </row>
    <row r="221" spans="2:23" x14ac:dyDescent="0.3">
      <c r="B221" s="116" t="e" vm="14">
        <v>#VALUE!</v>
      </c>
      <c r="C221" s="117">
        <v>45586</v>
      </c>
      <c r="D221" s="116">
        <v>2</v>
      </c>
      <c r="E221" s="118">
        <v>2939.75</v>
      </c>
      <c r="F221" s="118">
        <f>D221*E221*0.0022+9.31</f>
        <v>22.244900000000001</v>
      </c>
      <c r="G221" s="118">
        <f t="shared" si="34"/>
        <v>5901.7448999999997</v>
      </c>
      <c r="H221" s="119">
        <f t="shared" si="35"/>
        <v>3.7834679819712565E-3</v>
      </c>
      <c r="I221" s="120" cm="1">
        <f t="array" aca="1" ref="I221" ca="1">_FV(B221,"Price")</f>
        <v>3229.7</v>
      </c>
      <c r="J221" s="118">
        <f t="shared" ca="1" si="36"/>
        <v>6434.9610669172544</v>
      </c>
      <c r="K221" s="118">
        <f t="shared" ca="1" si="37"/>
        <v>6459.4</v>
      </c>
      <c r="L221" s="118">
        <f t="shared" si="45"/>
        <v>50.6</v>
      </c>
      <c r="M221" s="118">
        <f t="shared" ca="1" si="38"/>
        <v>583.81616691725469</v>
      </c>
      <c r="N221" s="121">
        <f t="shared" ca="1" si="39"/>
        <v>9.8922636747185516E-2</v>
      </c>
      <c r="O221" s="122">
        <f t="shared" ca="1" si="40"/>
        <v>21.066666666666666</v>
      </c>
      <c r="P221" s="121">
        <f t="shared" ca="1" si="41"/>
        <v>5.6348337387637316E-2</v>
      </c>
      <c r="Q221" s="118">
        <f t="shared" ca="1" si="42"/>
        <v>6730.612183733333</v>
      </c>
      <c r="R221" s="118">
        <f t="shared" si="43"/>
        <v>-5901.7448999999997</v>
      </c>
      <c r="S221" s="123" t="s">
        <v>220</v>
      </c>
      <c r="T221" s="118" t="s">
        <v>216</v>
      </c>
      <c r="U221" s="118" t="s">
        <v>217</v>
      </c>
      <c r="V221" s="118" t="s">
        <v>241</v>
      </c>
      <c r="W221" s="118" t="s">
        <v>219</v>
      </c>
    </row>
    <row r="222" spans="2:23" x14ac:dyDescent="0.3">
      <c r="B222" s="116" t="e" vm="14">
        <v>#VALUE!</v>
      </c>
      <c r="C222" s="117">
        <v>45601</v>
      </c>
      <c r="D222" s="116">
        <v>2</v>
      </c>
      <c r="E222" s="118">
        <v>2878.3</v>
      </c>
      <c r="F222" s="118">
        <f>D222*E222*0.0022+9.11</f>
        <v>21.774520000000003</v>
      </c>
      <c r="G222" s="118">
        <f t="shared" si="34"/>
        <v>5778.3745200000003</v>
      </c>
      <c r="H222" s="119">
        <f t="shared" si="35"/>
        <v>3.7825313553139007E-3</v>
      </c>
      <c r="I222" s="120" cm="1">
        <f t="array" aca="1" ref="I222" ca="1">_FV(B222,"Price")</f>
        <v>3229.7</v>
      </c>
      <c r="J222" s="118">
        <f t="shared" ca="1" si="36"/>
        <v>6434.9671169634848</v>
      </c>
      <c r="K222" s="118">
        <f t="shared" ca="1" si="37"/>
        <v>6459.4</v>
      </c>
      <c r="L222" s="118">
        <f t="shared" si="45"/>
        <v>50.6</v>
      </c>
      <c r="M222" s="118">
        <f t="shared" ca="1" si="38"/>
        <v>707.19259696348456</v>
      </c>
      <c r="N222" s="121">
        <f t="shared" ca="1" si="39"/>
        <v>0.12238607838861308</v>
      </c>
      <c r="O222" s="122">
        <f t="shared" ca="1" si="40"/>
        <v>20.6</v>
      </c>
      <c r="P222" s="121">
        <f t="shared" ca="1" si="41"/>
        <v>7.129286119725034E-2</v>
      </c>
      <c r="Q222" s="118">
        <f t="shared" ca="1" si="42"/>
        <v>6571.9379540800001</v>
      </c>
      <c r="R222" s="118">
        <f t="shared" si="43"/>
        <v>-5778.3745200000003</v>
      </c>
      <c r="S222" s="123" t="s">
        <v>220</v>
      </c>
      <c r="T222" s="118" t="s">
        <v>216</v>
      </c>
      <c r="U222" s="118" t="s">
        <v>217</v>
      </c>
      <c r="V222" s="118" t="s">
        <v>241</v>
      </c>
      <c r="W222" s="118" t="s">
        <v>219</v>
      </c>
    </row>
    <row r="223" spans="2:23" x14ac:dyDescent="0.3">
      <c r="B223" s="116" t="e" vm="14">
        <v>#VALUE!</v>
      </c>
      <c r="C223" s="117">
        <v>45617</v>
      </c>
      <c r="D223" s="116">
        <v>2</v>
      </c>
      <c r="E223" s="118">
        <v>2939.1</v>
      </c>
      <c r="F223" s="118">
        <f>D223*E223*0.0022+9.31</f>
        <v>22.242040000000003</v>
      </c>
      <c r="G223" s="118">
        <f t="shared" si="34"/>
        <v>5900.4420399999999</v>
      </c>
      <c r="H223" s="119">
        <f t="shared" si="35"/>
        <v>3.7838181756319968E-3</v>
      </c>
      <c r="I223" s="120" cm="1">
        <f t="array" aca="1" ref="I223" ca="1">_FV(B223,"Price")</f>
        <v>3229.7</v>
      </c>
      <c r="J223" s="118">
        <f t="shared" ca="1" si="36"/>
        <v>6434.9588048763226</v>
      </c>
      <c r="K223" s="118">
        <f t="shared" ca="1" si="37"/>
        <v>6459.4</v>
      </c>
      <c r="L223" s="118">
        <f t="shared" si="45"/>
        <v>50.6</v>
      </c>
      <c r="M223" s="118">
        <f t="shared" ca="1" si="38"/>
        <v>585.11676487632269</v>
      </c>
      <c r="N223" s="121">
        <f t="shared" ca="1" si="39"/>
        <v>9.9164903393631626E-2</v>
      </c>
      <c r="O223" s="122">
        <f t="shared" ca="1" si="40"/>
        <v>20.066666666666666</v>
      </c>
      <c r="P223" s="121">
        <f t="shared" ca="1" si="41"/>
        <v>5.9301271132404298E-2</v>
      </c>
      <c r="Q223" s="118">
        <f t="shared" ca="1" si="42"/>
        <v>6689.7900640177777</v>
      </c>
      <c r="R223" s="118">
        <f t="shared" si="43"/>
        <v>-5900.4420399999999</v>
      </c>
      <c r="S223" s="123" t="s">
        <v>220</v>
      </c>
      <c r="T223" s="118" t="s">
        <v>216</v>
      </c>
      <c r="U223" s="118" t="s">
        <v>217</v>
      </c>
      <c r="V223" s="118" t="s">
        <v>241</v>
      </c>
      <c r="W223" s="118" t="s">
        <v>219</v>
      </c>
    </row>
    <row r="224" spans="2:23" x14ac:dyDescent="0.3">
      <c r="B224" s="116" t="e" vm="14">
        <v>#VALUE!</v>
      </c>
      <c r="C224" s="117">
        <v>45631</v>
      </c>
      <c r="D224" s="116">
        <v>2</v>
      </c>
      <c r="E224" s="118">
        <v>3027.7</v>
      </c>
      <c r="F224" s="118">
        <f>D224*E224*0.0022+9.59</f>
        <v>22.91188</v>
      </c>
      <c r="G224" s="118">
        <f t="shared" si="34"/>
        <v>6078.3118799999993</v>
      </c>
      <c r="H224" s="119">
        <f t="shared" si="35"/>
        <v>3.7837104072398191E-3</v>
      </c>
      <c r="I224" s="120" cm="1">
        <f t="array" aca="1" ref="I224" ca="1">_FV(B224,"Price")</f>
        <v>3229.7</v>
      </c>
      <c r="J224" s="118">
        <f t="shared" ca="1" si="36"/>
        <v>6434.9595009954746</v>
      </c>
      <c r="K224" s="118">
        <f t="shared" ca="1" si="37"/>
        <v>6459.4</v>
      </c>
      <c r="L224" s="118">
        <f t="shared" si="45"/>
        <v>50.6</v>
      </c>
      <c r="M224" s="118">
        <f t="shared" ca="1" si="38"/>
        <v>407.24762099547536</v>
      </c>
      <c r="N224" s="121">
        <f t="shared" ca="1" si="39"/>
        <v>6.7000119282374732E-2</v>
      </c>
      <c r="O224" s="122">
        <f t="shared" ca="1" si="40"/>
        <v>19.600000000000001</v>
      </c>
      <c r="P224" s="121">
        <f t="shared" ca="1" si="41"/>
        <v>4.1020481193290645E-2</v>
      </c>
      <c r="Q224" s="118">
        <f t="shared" ca="1" si="42"/>
        <v>6872.5446323199994</v>
      </c>
      <c r="R224" s="118">
        <f t="shared" si="43"/>
        <v>-6078.3118799999993</v>
      </c>
      <c r="S224" s="123" t="s">
        <v>220</v>
      </c>
      <c r="T224" s="118" t="s">
        <v>216</v>
      </c>
      <c r="U224" s="118" t="s">
        <v>217</v>
      </c>
      <c r="V224" s="118" t="s">
        <v>241</v>
      </c>
      <c r="W224" s="118" t="s">
        <v>219</v>
      </c>
    </row>
    <row r="225" spans="2:23" x14ac:dyDescent="0.3">
      <c r="B225" s="116" t="e" vm="14">
        <v>#VALUE!</v>
      </c>
      <c r="C225" s="117">
        <v>45646</v>
      </c>
      <c r="D225" s="116">
        <v>2</v>
      </c>
      <c r="E225" s="118">
        <v>2998.05</v>
      </c>
      <c r="F225" s="118">
        <f>D225*E225*0.0022+9.5</f>
        <v>22.691420000000001</v>
      </c>
      <c r="G225" s="118">
        <f t="shared" si="34"/>
        <v>6018.7914200000005</v>
      </c>
      <c r="H225" s="119">
        <f t="shared" si="35"/>
        <v>3.7843631693934392E-3</v>
      </c>
      <c r="I225" s="120" cm="1">
        <f t="array" aca="1" ref="I225" ca="1">_FV(B225,"Price")</f>
        <v>3229.7</v>
      </c>
      <c r="J225" s="118">
        <f t="shared" ca="1" si="36"/>
        <v>6434.9552845436192</v>
      </c>
      <c r="K225" s="118">
        <f t="shared" ca="1" si="37"/>
        <v>6459.4</v>
      </c>
      <c r="L225" s="118">
        <f t="shared" si="45"/>
        <v>50.6</v>
      </c>
      <c r="M225" s="118">
        <f t="shared" ca="1" si="38"/>
        <v>466.76386454361875</v>
      </c>
      <c r="N225" s="121">
        <f t="shared" ca="1" si="39"/>
        <v>7.7551094891342612E-2</v>
      </c>
      <c r="O225" s="122">
        <f t="shared" ca="1" si="40"/>
        <v>19.100000000000001</v>
      </c>
      <c r="P225" s="121">
        <f t="shared" ca="1" si="41"/>
        <v>4.8723200978853992E-2</v>
      </c>
      <c r="Q225" s="118">
        <f t="shared" ca="1" si="42"/>
        <v>6785.1841941466673</v>
      </c>
      <c r="R225" s="118">
        <f t="shared" si="43"/>
        <v>-6018.7914200000005</v>
      </c>
      <c r="S225" s="123" t="s">
        <v>220</v>
      </c>
      <c r="T225" s="118" t="s">
        <v>216</v>
      </c>
      <c r="U225" s="118" t="s">
        <v>217</v>
      </c>
      <c r="V225" s="118" t="s">
        <v>241</v>
      </c>
      <c r="W225" s="118" t="s">
        <v>219</v>
      </c>
    </row>
    <row r="226" spans="2:23" x14ac:dyDescent="0.3">
      <c r="B226" s="116" t="e" vm="14">
        <v>#VALUE!</v>
      </c>
      <c r="C226" s="117">
        <v>45663</v>
      </c>
      <c r="D226" s="116">
        <v>2</v>
      </c>
      <c r="E226" s="118">
        <v>3117.25</v>
      </c>
      <c r="F226" s="118">
        <f>D226*E226*0.0022+9.87</f>
        <v>23.585900000000002</v>
      </c>
      <c r="G226" s="118">
        <f t="shared" si="34"/>
        <v>6258.0859</v>
      </c>
      <c r="H226" s="119">
        <f t="shared" si="35"/>
        <v>3.7831261528590908E-3</v>
      </c>
      <c r="I226" s="120" cm="1">
        <f t="array" aca="1" ref="I226" ca="1">_FV(B226,"Price")</f>
        <v>3229.7</v>
      </c>
      <c r="J226" s="118">
        <f t="shared" ca="1" si="36"/>
        <v>6434.9632749282209</v>
      </c>
      <c r="K226" s="118">
        <f t="shared" ca="1" si="37"/>
        <v>6459.4</v>
      </c>
      <c r="L226" s="118">
        <f t="shared" si="45"/>
        <v>50.6</v>
      </c>
      <c r="M226" s="118">
        <f t="shared" ca="1" si="38"/>
        <v>227.47737492822088</v>
      </c>
      <c r="N226" s="121">
        <f t="shared" ca="1" si="39"/>
        <v>3.6349353230869026E-2</v>
      </c>
      <c r="O226" s="122">
        <f t="shared" ca="1" si="40"/>
        <v>18.566666666666666</v>
      </c>
      <c r="P226" s="121">
        <f t="shared" ca="1" si="41"/>
        <v>2.3493298317976391E-2</v>
      </c>
      <c r="Q226" s="118">
        <f t="shared" ca="1" si="42"/>
        <v>7032.6978658444441</v>
      </c>
      <c r="R226" s="118">
        <f t="shared" si="43"/>
        <v>-6258.0859</v>
      </c>
      <c r="S226" s="123" t="s">
        <v>220</v>
      </c>
      <c r="T226" s="118" t="s">
        <v>216</v>
      </c>
      <c r="U226" s="118" t="s">
        <v>217</v>
      </c>
      <c r="V226" s="118" t="s">
        <v>241</v>
      </c>
      <c r="W226" s="118" t="s">
        <v>219</v>
      </c>
    </row>
    <row r="227" spans="2:23" x14ac:dyDescent="0.3">
      <c r="B227" s="116" t="e" vm="14">
        <v>#VALUE!</v>
      </c>
      <c r="C227" s="117">
        <v>45677</v>
      </c>
      <c r="D227" s="116">
        <v>2</v>
      </c>
      <c r="E227" s="118">
        <v>2890</v>
      </c>
      <c r="F227" s="118">
        <f>D227*E227*0.0022+9.15</f>
        <v>21.866</v>
      </c>
      <c r="G227" s="118">
        <f t="shared" si="34"/>
        <v>5801.866</v>
      </c>
      <c r="H227" s="119">
        <f t="shared" si="35"/>
        <v>3.7830449826989619E-3</v>
      </c>
      <c r="I227" s="120" cm="1">
        <f t="array" aca="1" ref="I227" ca="1">_FV(B227,"Price")</f>
        <v>3229.7</v>
      </c>
      <c r="J227" s="118">
        <f t="shared" ca="1" si="36"/>
        <v>6434.9637992387534</v>
      </c>
      <c r="K227" s="118">
        <f t="shared" ca="1" si="37"/>
        <v>6459.4</v>
      </c>
      <c r="L227" s="118">
        <f t="shared" si="45"/>
        <v>50.6</v>
      </c>
      <c r="M227" s="118">
        <f t="shared" ca="1" si="38"/>
        <v>683.69779923875342</v>
      </c>
      <c r="N227" s="121">
        <f t="shared" ca="1" si="39"/>
        <v>0.11784101860311035</v>
      </c>
      <c r="O227" s="122">
        <f t="shared" ca="1" si="40"/>
        <v>18.100000000000001</v>
      </c>
      <c r="P227" s="121">
        <f t="shared" ca="1" si="41"/>
        <v>7.8126642167807958E-2</v>
      </c>
      <c r="Q227" s="118">
        <f t="shared" ca="1" si="42"/>
        <v>6501.9578306666663</v>
      </c>
      <c r="R227" s="118">
        <f t="shared" si="43"/>
        <v>-5801.866</v>
      </c>
      <c r="S227" s="123" t="s">
        <v>220</v>
      </c>
      <c r="T227" s="118" t="s">
        <v>216</v>
      </c>
      <c r="U227" s="118" t="s">
        <v>217</v>
      </c>
      <c r="V227" s="118" t="s">
        <v>241</v>
      </c>
      <c r="W227" s="118" t="s">
        <v>219</v>
      </c>
    </row>
    <row r="228" spans="2:23" x14ac:dyDescent="0.3">
      <c r="B228" s="116" t="e" vm="14">
        <v>#VALUE!</v>
      </c>
      <c r="C228" s="117">
        <v>45691</v>
      </c>
      <c r="D228" s="116">
        <v>2</v>
      </c>
      <c r="E228" s="118">
        <v>3125.53</v>
      </c>
      <c r="F228" s="118">
        <f>D228*E228*0.0022+9.91</f>
        <v>23.662331999999999</v>
      </c>
      <c r="G228" s="118">
        <f t="shared" si="34"/>
        <v>6274.7223320000003</v>
      </c>
      <c r="H228" s="119">
        <f t="shared" si="35"/>
        <v>3.7853311278407179E-3</v>
      </c>
      <c r="I228" s="120" cm="1">
        <f t="array" aca="1" ref="I228" ca="1">_FV(B228,"Price")</f>
        <v>3229.7</v>
      </c>
      <c r="J228" s="118">
        <f t="shared" ca="1" si="36"/>
        <v>6434.9490321128251</v>
      </c>
      <c r="K228" s="118">
        <f t="shared" ca="1" si="37"/>
        <v>6459.4</v>
      </c>
      <c r="L228" s="118">
        <f t="shared" si="45"/>
        <v>50.6</v>
      </c>
      <c r="M228" s="118">
        <f t="shared" ca="1" si="38"/>
        <v>210.8267001128248</v>
      </c>
      <c r="N228" s="121">
        <f t="shared" ca="1" si="39"/>
        <v>3.359936726405327E-2</v>
      </c>
      <c r="O228" s="122">
        <f t="shared" ca="1" si="40"/>
        <v>17.666666666666668</v>
      </c>
      <c r="P228" s="121">
        <f t="shared" ca="1" si="41"/>
        <v>2.2822211726526747E-2</v>
      </c>
      <c r="Q228" s="118">
        <f t="shared" ca="1" si="42"/>
        <v>7013.7451844355555</v>
      </c>
      <c r="R228" s="118">
        <f t="shared" si="43"/>
        <v>-6274.7223320000003</v>
      </c>
      <c r="S228" s="123" t="s">
        <v>220</v>
      </c>
      <c r="T228" s="118" t="s">
        <v>216</v>
      </c>
      <c r="U228" s="118" t="s">
        <v>217</v>
      </c>
      <c r="V228" s="118" t="s">
        <v>241</v>
      </c>
      <c r="W228" s="118" t="s">
        <v>219</v>
      </c>
    </row>
    <row r="229" spans="2:23" x14ac:dyDescent="0.3">
      <c r="B229" s="116" t="e" vm="14">
        <v>#VALUE!</v>
      </c>
      <c r="C229" s="117">
        <v>45706</v>
      </c>
      <c r="D229" s="116">
        <v>2</v>
      </c>
      <c r="E229" s="118">
        <v>2769.8</v>
      </c>
      <c r="F229" s="118">
        <f>D229*E229*0.0022+8.78</f>
        <v>20.967120000000001</v>
      </c>
      <c r="G229" s="118">
        <f t="shared" si="34"/>
        <v>5560.5671200000006</v>
      </c>
      <c r="H229" s="119">
        <f t="shared" si="35"/>
        <v>3.78495198209257E-3</v>
      </c>
      <c r="I229" s="120" cm="1">
        <f t="array" aca="1" ref="I229" ca="1">_FV(B229,"Price")</f>
        <v>3229.7</v>
      </c>
      <c r="J229" s="118">
        <f t="shared" ca="1" si="36"/>
        <v>6434.9514811668705</v>
      </c>
      <c r="K229" s="118">
        <f t="shared" ca="1" si="37"/>
        <v>6459.4</v>
      </c>
      <c r="L229" s="118">
        <f t="shared" si="45"/>
        <v>50.6</v>
      </c>
      <c r="M229" s="118">
        <f t="shared" ca="1" si="38"/>
        <v>924.98436116686992</v>
      </c>
      <c r="N229" s="121">
        <f t="shared" ca="1" si="39"/>
        <v>0.16634712632816306</v>
      </c>
      <c r="O229" s="122">
        <f t="shared" ca="1" si="40"/>
        <v>17.166666666666668</v>
      </c>
      <c r="P229" s="121">
        <f t="shared" ca="1" si="41"/>
        <v>0.11628148636531785</v>
      </c>
      <c r="Q229" s="118">
        <f t="shared" ca="1" si="42"/>
        <v>6196.943134844445</v>
      </c>
      <c r="R229" s="118">
        <f t="shared" si="43"/>
        <v>-5560.5671200000006</v>
      </c>
      <c r="S229" s="123" t="s">
        <v>220</v>
      </c>
      <c r="T229" s="118" t="s">
        <v>216</v>
      </c>
      <c r="U229" s="118" t="s">
        <v>217</v>
      </c>
      <c r="V229" s="118" t="s">
        <v>241</v>
      </c>
      <c r="W229" s="118" t="s">
        <v>219</v>
      </c>
    </row>
    <row r="230" spans="2:23" x14ac:dyDescent="0.3">
      <c r="B230" s="116" t="e" vm="14">
        <v>#VALUE!</v>
      </c>
      <c r="C230" s="117">
        <v>45709</v>
      </c>
      <c r="D230" s="116">
        <v>19</v>
      </c>
      <c r="E230" s="118">
        <v>2682.6</v>
      </c>
      <c r="F230" s="118">
        <f>D230*E230*0.0022+81.1</f>
        <v>193.23268000000002</v>
      </c>
      <c r="G230" s="118">
        <f t="shared" si="34"/>
        <v>51162.632680000002</v>
      </c>
      <c r="H230" s="119">
        <f t="shared" si="35"/>
        <v>3.7911507688927083E-3</v>
      </c>
      <c r="I230" s="120" cm="1">
        <f t="array" aca="1" ref="I230" ca="1">_FV(B230,"Price")</f>
        <v>3229.7</v>
      </c>
      <c r="J230" s="118">
        <f t="shared" ca="1" si="36"/>
        <v>61131.658686872433</v>
      </c>
      <c r="K230" s="118">
        <f t="shared" ca="1" si="37"/>
        <v>61364.299999999996</v>
      </c>
      <c r="L230" s="118">
        <f>19*25.3</f>
        <v>480.7</v>
      </c>
      <c r="M230" s="118">
        <f t="shared" ca="1" si="38"/>
        <v>10449.726006872432</v>
      </c>
      <c r="N230" s="121">
        <f t="shared" ca="1" si="39"/>
        <v>0.20424527549688304</v>
      </c>
      <c r="O230" s="122">
        <f t="shared" ca="1" si="40"/>
        <v>17.066666666666666</v>
      </c>
      <c r="P230" s="121">
        <f t="shared" ca="1" si="41"/>
        <v>0.1436099593337459</v>
      </c>
      <c r="Q230" s="118">
        <f t="shared" ca="1" si="42"/>
        <v>56983.803331591116</v>
      </c>
      <c r="R230" s="118">
        <f t="shared" si="43"/>
        <v>-51162.632680000002</v>
      </c>
      <c r="S230" s="123" t="s">
        <v>220</v>
      </c>
      <c r="T230" s="118" t="s">
        <v>216</v>
      </c>
      <c r="U230" s="118" t="s">
        <v>217</v>
      </c>
      <c r="V230" s="118" t="s">
        <v>241</v>
      </c>
      <c r="W230" s="118" t="s">
        <v>219</v>
      </c>
    </row>
    <row r="231" spans="2:23" x14ac:dyDescent="0.3">
      <c r="B231" s="116" t="e" vm="14">
        <v>#VALUE!</v>
      </c>
      <c r="C231" s="117">
        <v>45721</v>
      </c>
      <c r="D231" s="116">
        <v>2</v>
      </c>
      <c r="E231" s="118">
        <v>2718</v>
      </c>
      <c r="F231" s="118">
        <f>D231*E231*0.0022+8.61</f>
        <v>20.569200000000002</v>
      </c>
      <c r="G231" s="118">
        <f t="shared" si="34"/>
        <v>5456.5691999999999</v>
      </c>
      <c r="H231" s="119">
        <f t="shared" si="35"/>
        <v>3.7838852097130246E-3</v>
      </c>
      <c r="I231" s="120" cm="1">
        <f t="array" aca="1" ref="I231" ca="1">_FV(B231,"Price")</f>
        <v>3229.7</v>
      </c>
      <c r="J231" s="118">
        <f t="shared" ca="1" si="36"/>
        <v>6434.9583718763788</v>
      </c>
      <c r="K231" s="118">
        <f t="shared" ca="1" si="37"/>
        <v>6459.4</v>
      </c>
      <c r="L231" s="118">
        <f t="shared" ref="L231:L252" si="46">2*25.3</f>
        <v>50.6</v>
      </c>
      <c r="M231" s="118">
        <f t="shared" ca="1" si="38"/>
        <v>1028.9891718763788</v>
      </c>
      <c r="N231" s="121">
        <f t="shared" ca="1" si="39"/>
        <v>0.18857804861640512</v>
      </c>
      <c r="O231" s="122">
        <f t="shared" ca="1" si="40"/>
        <v>16.600000000000001</v>
      </c>
      <c r="P231" s="121">
        <f t="shared" ca="1" si="41"/>
        <v>0.13632148092752178</v>
      </c>
      <c r="Q231" s="118">
        <f t="shared" ca="1" si="42"/>
        <v>6060.4295247999999</v>
      </c>
      <c r="R231" s="118">
        <f t="shared" si="43"/>
        <v>-5456.5691999999999</v>
      </c>
      <c r="S231" s="123" t="s">
        <v>220</v>
      </c>
      <c r="T231" s="118" t="s">
        <v>216</v>
      </c>
      <c r="U231" s="118" t="s">
        <v>217</v>
      </c>
      <c r="V231" s="118" t="s">
        <v>241</v>
      </c>
      <c r="W231" s="118" t="s">
        <v>219</v>
      </c>
    </row>
    <row r="232" spans="2:23" x14ac:dyDescent="0.3">
      <c r="B232" s="116" t="e" vm="14">
        <v>#VALUE!</v>
      </c>
      <c r="C232" s="117">
        <v>45736</v>
      </c>
      <c r="D232" s="116">
        <v>2</v>
      </c>
      <c r="E232" s="118">
        <v>2823.75</v>
      </c>
      <c r="F232" s="118">
        <f>D232*E232*0.0022+8.95</f>
        <v>21.374499999999998</v>
      </c>
      <c r="G232" s="118">
        <f t="shared" si="34"/>
        <v>5668.8744999999999</v>
      </c>
      <c r="H232" s="119">
        <f t="shared" si="35"/>
        <v>3.7847720230190346E-3</v>
      </c>
      <c r="I232" s="120" cm="1">
        <f t="array" aca="1" ref="I232" ca="1">_FV(B232,"Price")</f>
        <v>3229.7</v>
      </c>
      <c r="J232" s="118">
        <f t="shared" ca="1" si="36"/>
        <v>6434.9526435945099</v>
      </c>
      <c r="K232" s="118">
        <f t="shared" ca="1" si="37"/>
        <v>6459.4</v>
      </c>
      <c r="L232" s="118">
        <f t="shared" si="46"/>
        <v>50.6</v>
      </c>
      <c r="M232" s="118">
        <f t="shared" ca="1" si="38"/>
        <v>816.67814359451006</v>
      </c>
      <c r="N232" s="121">
        <f t="shared" ca="1" si="39"/>
        <v>0.14406354270049726</v>
      </c>
      <c r="O232" s="122">
        <f t="shared" ca="1" si="40"/>
        <v>16.100000000000001</v>
      </c>
      <c r="P232" s="121">
        <f t="shared" ca="1" si="41"/>
        <v>0.10737655356558801</v>
      </c>
      <c r="Q232" s="118">
        <f t="shared" ca="1" si="42"/>
        <v>6277.3336963333331</v>
      </c>
      <c r="R232" s="118">
        <f t="shared" si="43"/>
        <v>-5668.8744999999999</v>
      </c>
      <c r="S232" s="123" t="s">
        <v>220</v>
      </c>
      <c r="T232" s="118" t="s">
        <v>216</v>
      </c>
      <c r="U232" s="118" t="s">
        <v>217</v>
      </c>
      <c r="V232" s="118" t="s">
        <v>241</v>
      </c>
      <c r="W232" s="118" t="s">
        <v>219</v>
      </c>
    </row>
    <row r="233" spans="2:23" x14ac:dyDescent="0.3">
      <c r="B233" s="116" t="e" vm="14">
        <v>#VALUE!</v>
      </c>
      <c r="C233" s="117">
        <v>45751</v>
      </c>
      <c r="D233" s="116">
        <v>2</v>
      </c>
      <c r="E233" s="118">
        <v>2619.9</v>
      </c>
      <c r="F233" s="118">
        <f>D233*E233*0.0022+8.3</f>
        <v>19.827560000000002</v>
      </c>
      <c r="G233" s="118">
        <f t="shared" si="34"/>
        <v>5259.6275599999999</v>
      </c>
      <c r="H233" s="119">
        <f t="shared" si="35"/>
        <v>3.7840299248062905E-3</v>
      </c>
      <c r="I233" s="120" cm="1">
        <f t="array" aca="1" ref="I233" ca="1">_FV(B233,"Price")</f>
        <v>3229.7</v>
      </c>
      <c r="J233" s="118">
        <f t="shared" ca="1" si="36"/>
        <v>6434.9574371037061</v>
      </c>
      <c r="K233" s="118">
        <f t="shared" ca="1" si="37"/>
        <v>6459.4</v>
      </c>
      <c r="L233" s="118">
        <f t="shared" si="46"/>
        <v>50.6</v>
      </c>
      <c r="M233" s="118">
        <f t="shared" ca="1" si="38"/>
        <v>1225.9298771037061</v>
      </c>
      <c r="N233" s="121">
        <f t="shared" ca="1" si="39"/>
        <v>0.23308302025546959</v>
      </c>
      <c r="O233" s="122">
        <f t="shared" ca="1" si="40"/>
        <v>15.633333333333333</v>
      </c>
      <c r="P233" s="121">
        <f t="shared" ca="1" si="41"/>
        <v>0.17891233964172507</v>
      </c>
      <c r="Q233" s="118">
        <f t="shared" ca="1" si="42"/>
        <v>5807.7976323644443</v>
      </c>
      <c r="R233" s="118">
        <f t="shared" si="43"/>
        <v>-5259.6275599999999</v>
      </c>
      <c r="S233" s="123" t="s">
        <v>220</v>
      </c>
      <c r="T233" s="118" t="s">
        <v>216</v>
      </c>
      <c r="U233" s="118" t="s">
        <v>217</v>
      </c>
      <c r="V233" s="118" t="s">
        <v>241</v>
      </c>
      <c r="W233" s="118" t="s">
        <v>219</v>
      </c>
    </row>
    <row r="234" spans="2:23" x14ac:dyDescent="0.3">
      <c r="B234" s="116" t="e" vm="14">
        <v>#VALUE!</v>
      </c>
      <c r="C234" s="117">
        <v>45768</v>
      </c>
      <c r="D234" s="116">
        <v>2</v>
      </c>
      <c r="E234" s="118">
        <v>2760.4</v>
      </c>
      <c r="F234" s="118">
        <f>D234*E234*0.0022+8.75</f>
        <v>20.895760000000003</v>
      </c>
      <c r="G234" s="118">
        <f t="shared" si="34"/>
        <v>5541.6957600000005</v>
      </c>
      <c r="H234" s="119">
        <f t="shared" si="35"/>
        <v>3.7849152296768589E-3</v>
      </c>
      <c r="I234" s="120" cm="1">
        <f t="array" aca="1" ref="I234" ca="1">_FV(B234,"Price")</f>
        <v>3229.7</v>
      </c>
      <c r="J234" s="118">
        <f t="shared" ca="1" si="36"/>
        <v>6434.9517185654249</v>
      </c>
      <c r="K234" s="118">
        <f t="shared" ca="1" si="37"/>
        <v>6459.4</v>
      </c>
      <c r="L234" s="118">
        <f t="shared" si="46"/>
        <v>50.6</v>
      </c>
      <c r="M234" s="118">
        <f t="shared" ca="1" si="38"/>
        <v>943.85595856542443</v>
      </c>
      <c r="N234" s="121">
        <f t="shared" ca="1" si="39"/>
        <v>0.17031897806050333</v>
      </c>
      <c r="O234" s="122">
        <f t="shared" ca="1" si="40"/>
        <v>15.066666666666666</v>
      </c>
      <c r="P234" s="121">
        <f t="shared" ca="1" si="41"/>
        <v>0.13565228341102037</v>
      </c>
      <c r="Q234" s="118">
        <f t="shared" ca="1" si="42"/>
        <v>6098.3283118933341</v>
      </c>
      <c r="R234" s="118">
        <f t="shared" si="43"/>
        <v>-5541.6957600000005</v>
      </c>
      <c r="S234" s="123" t="s">
        <v>220</v>
      </c>
      <c r="T234" s="118" t="s">
        <v>216</v>
      </c>
      <c r="U234" s="118" t="s">
        <v>217</v>
      </c>
      <c r="V234" s="118" t="s">
        <v>241</v>
      </c>
      <c r="W234" s="118" t="s">
        <v>219</v>
      </c>
    </row>
    <row r="235" spans="2:23" x14ac:dyDescent="0.3">
      <c r="B235" s="116" t="e" vm="14">
        <v>#VALUE!</v>
      </c>
      <c r="C235" s="117">
        <v>45782</v>
      </c>
      <c r="D235" s="116">
        <v>2</v>
      </c>
      <c r="E235" s="118">
        <v>2970.8</v>
      </c>
      <c r="F235" s="118">
        <f>D235*E235*0.0022+9.41</f>
        <v>22.481520000000003</v>
      </c>
      <c r="G235" s="118">
        <f t="shared" si="34"/>
        <v>5964.0815200000006</v>
      </c>
      <c r="H235" s="119">
        <f t="shared" si="35"/>
        <v>3.7837484852564968E-3</v>
      </c>
      <c r="I235" s="120" cm="1">
        <f t="array" aca="1" ref="I235" ca="1">_FV(B235,"Price")</f>
        <v>3229.7</v>
      </c>
      <c r="J235" s="118">
        <f t="shared" ca="1" si="36"/>
        <v>6434.9592550343332</v>
      </c>
      <c r="K235" s="118">
        <f t="shared" ca="1" si="37"/>
        <v>6459.4</v>
      </c>
      <c r="L235" s="118">
        <f t="shared" si="46"/>
        <v>50.6</v>
      </c>
      <c r="M235" s="118">
        <f t="shared" ca="1" si="38"/>
        <v>521.47773503433257</v>
      </c>
      <c r="N235" s="121">
        <f t="shared" ca="1" si="39"/>
        <v>8.7436386187144624E-2</v>
      </c>
      <c r="O235" s="122">
        <f t="shared" ca="1" si="40"/>
        <v>14.6</v>
      </c>
      <c r="P235" s="121">
        <f t="shared" ca="1" si="41"/>
        <v>7.1865522893543532E-2</v>
      </c>
      <c r="Q235" s="118">
        <f t="shared" ca="1" si="42"/>
        <v>6544.5854546133342</v>
      </c>
      <c r="R235" s="118">
        <f t="shared" si="43"/>
        <v>-5964.0815200000006</v>
      </c>
      <c r="S235" s="123" t="s">
        <v>220</v>
      </c>
      <c r="T235" s="118" t="s">
        <v>216</v>
      </c>
      <c r="U235" s="118" t="s">
        <v>217</v>
      </c>
      <c r="V235" s="118" t="s">
        <v>241</v>
      </c>
      <c r="W235" s="118" t="s">
        <v>219</v>
      </c>
    </row>
    <row r="236" spans="2:23" x14ac:dyDescent="0.3">
      <c r="B236" s="116" t="e" vm="14">
        <v>#VALUE!</v>
      </c>
      <c r="C236" s="117">
        <v>45796</v>
      </c>
      <c r="D236" s="116">
        <v>2</v>
      </c>
      <c r="E236" s="118">
        <v>3131.9</v>
      </c>
      <c r="F236" s="118">
        <f>D236*E236*0.0022+9.92</f>
        <v>23.700360000000003</v>
      </c>
      <c r="G236" s="118">
        <f t="shared" si="34"/>
        <v>6287.50036</v>
      </c>
      <c r="H236" s="119">
        <f t="shared" si="35"/>
        <v>3.7837031833711171E-3</v>
      </c>
      <c r="I236" s="120" cm="1">
        <f t="array" aca="1" ref="I236" ca="1">_FV(B236,"Price")</f>
        <v>3229.7</v>
      </c>
      <c r="J236" s="118">
        <f t="shared" ca="1" si="36"/>
        <v>6434.9595476573322</v>
      </c>
      <c r="K236" s="118">
        <f t="shared" ca="1" si="37"/>
        <v>6459.4</v>
      </c>
      <c r="L236" s="118">
        <f t="shared" si="46"/>
        <v>50.6</v>
      </c>
      <c r="M236" s="118">
        <f t="shared" ca="1" si="38"/>
        <v>198.05918765733222</v>
      </c>
      <c r="N236" s="121">
        <f t="shared" ca="1" si="39"/>
        <v>3.1500465418236923E-2</v>
      </c>
      <c r="O236" s="122">
        <f t="shared" ca="1" si="40"/>
        <v>14.133333333333333</v>
      </c>
      <c r="P236" s="121">
        <f t="shared" ca="1" si="41"/>
        <v>2.6745678185295503E-2</v>
      </c>
      <c r="Q236" s="118">
        <f t="shared" ca="1" si="42"/>
        <v>6879.9226161422221</v>
      </c>
      <c r="R236" s="118">
        <f t="shared" si="43"/>
        <v>-6287.50036</v>
      </c>
      <c r="S236" s="123" t="s">
        <v>220</v>
      </c>
      <c r="T236" s="118" t="s">
        <v>216</v>
      </c>
      <c r="U236" s="118" t="s">
        <v>217</v>
      </c>
      <c r="V236" s="118" t="s">
        <v>241</v>
      </c>
      <c r="W236" s="118" t="s">
        <v>219</v>
      </c>
    </row>
    <row r="237" spans="2:23" x14ac:dyDescent="0.3">
      <c r="B237" s="116" t="e" vm="14">
        <v>#VALUE!</v>
      </c>
      <c r="C237" s="117">
        <v>45811</v>
      </c>
      <c r="D237" s="116">
        <v>2</v>
      </c>
      <c r="E237" s="118">
        <v>3040.4</v>
      </c>
      <c r="F237" s="118">
        <f>D237*E237*0.0022+9.62</f>
        <v>22.99776</v>
      </c>
      <c r="G237" s="118">
        <f t="shared" si="34"/>
        <v>6103.7977600000004</v>
      </c>
      <c r="H237" s="119">
        <f t="shared" si="35"/>
        <v>3.7820286804367844E-3</v>
      </c>
      <c r="I237" s="120" cm="1">
        <f t="array" aca="1" ref="I237" ca="1">_FV(B237,"Price")</f>
        <v>3229.7</v>
      </c>
      <c r="J237" s="118">
        <f t="shared" ca="1" si="36"/>
        <v>6434.9703639415866</v>
      </c>
      <c r="K237" s="118">
        <f t="shared" ca="1" si="37"/>
        <v>6459.4</v>
      </c>
      <c r="L237" s="118">
        <f t="shared" si="46"/>
        <v>50.6</v>
      </c>
      <c r="M237" s="118">
        <f t="shared" ca="1" si="38"/>
        <v>381.77260394158623</v>
      </c>
      <c r="N237" s="121">
        <f t="shared" ca="1" si="39"/>
        <v>6.2546732207193284E-2</v>
      </c>
      <c r="O237" s="122">
        <f t="shared" ca="1" si="40"/>
        <v>13.666666666666666</v>
      </c>
      <c r="P237" s="121">
        <f t="shared" ca="1" si="41"/>
        <v>5.4919081938023369E-2</v>
      </c>
      <c r="Q237" s="118">
        <f t="shared" ca="1" si="42"/>
        <v>6659.9215559111117</v>
      </c>
      <c r="R237" s="118">
        <f t="shared" si="43"/>
        <v>-6103.7977600000004</v>
      </c>
      <c r="S237" s="123" t="s">
        <v>220</v>
      </c>
      <c r="T237" s="118" t="s">
        <v>216</v>
      </c>
      <c r="U237" s="118" t="s">
        <v>217</v>
      </c>
      <c r="V237" s="118" t="s">
        <v>241</v>
      </c>
      <c r="W237" s="118" t="s">
        <v>219</v>
      </c>
    </row>
    <row r="238" spans="2:23" x14ac:dyDescent="0.3">
      <c r="B238" s="116" t="e" vm="14">
        <v>#VALUE!</v>
      </c>
      <c r="C238" s="117">
        <v>45826</v>
      </c>
      <c r="D238" s="116">
        <v>2</v>
      </c>
      <c r="E238" s="118">
        <v>3053.5</v>
      </c>
      <c r="F238" s="118">
        <f>D238*E238*0.0022+9.67</f>
        <v>23.105400000000003</v>
      </c>
      <c r="G238" s="118">
        <f t="shared" si="34"/>
        <v>6130.1054000000004</v>
      </c>
      <c r="H238" s="119">
        <f t="shared" si="35"/>
        <v>3.7834288521368924E-3</v>
      </c>
      <c r="I238" s="120" cm="1">
        <f t="array" aca="1" ref="I238" ca="1">_FV(B238,"Price")</f>
        <v>3229.7</v>
      </c>
      <c r="J238" s="118">
        <f t="shared" ca="1" si="36"/>
        <v>6434.9613196725068</v>
      </c>
      <c r="K238" s="118">
        <f t="shared" ca="1" si="37"/>
        <v>6459.4</v>
      </c>
      <c r="L238" s="118">
        <f t="shared" si="46"/>
        <v>50.6</v>
      </c>
      <c r="M238" s="118">
        <f t="shared" ca="1" si="38"/>
        <v>355.45591967250641</v>
      </c>
      <c r="N238" s="121">
        <f t="shared" ca="1" si="39"/>
        <v>5.7985286790094404E-2</v>
      </c>
      <c r="O238" s="122">
        <f t="shared" ca="1" si="40"/>
        <v>13.166666666666666</v>
      </c>
      <c r="P238" s="121">
        <f t="shared" ca="1" si="41"/>
        <v>5.2847349985908822E-2</v>
      </c>
      <c r="Q238" s="118">
        <f t="shared" ca="1" si="42"/>
        <v>6668.1924295555564</v>
      </c>
      <c r="R238" s="118">
        <f t="shared" si="43"/>
        <v>-6130.1054000000004</v>
      </c>
      <c r="S238" s="123" t="s">
        <v>220</v>
      </c>
      <c r="T238" s="118" t="s">
        <v>216</v>
      </c>
      <c r="U238" s="118" t="s">
        <v>217</v>
      </c>
      <c r="V238" s="118" t="s">
        <v>241</v>
      </c>
      <c r="W238" s="118" t="s">
        <v>219</v>
      </c>
    </row>
    <row r="239" spans="2:23" x14ac:dyDescent="0.3">
      <c r="B239" s="116" t="e" vm="14">
        <v>#VALUE!</v>
      </c>
      <c r="C239" s="117">
        <v>45841</v>
      </c>
      <c r="D239" s="116">
        <v>2</v>
      </c>
      <c r="E239" s="118">
        <v>3201.4</v>
      </c>
      <c r="F239" s="118">
        <f>D239*E239*0.0022+10.13</f>
        <v>24.216160000000002</v>
      </c>
      <c r="G239" s="118">
        <f t="shared" si="34"/>
        <v>6427.0161600000001</v>
      </c>
      <c r="H239" s="119">
        <f t="shared" si="35"/>
        <v>3.782120322358968E-3</v>
      </c>
      <c r="I239" s="120" cm="1">
        <f t="array" aca="1" ref="I239" ca="1">_FV(B239,"Price")</f>
        <v>3229.7</v>
      </c>
      <c r="J239" s="118">
        <f t="shared" ca="1" si="36"/>
        <v>6434.969771989754</v>
      </c>
      <c r="K239" s="118">
        <f t="shared" ca="1" si="37"/>
        <v>6459.4</v>
      </c>
      <c r="L239" s="118">
        <f t="shared" si="46"/>
        <v>50.6</v>
      </c>
      <c r="M239" s="118">
        <f t="shared" ca="1" si="38"/>
        <v>58.553611989753882</v>
      </c>
      <c r="N239" s="121">
        <f t="shared" ca="1" si="39"/>
        <v>9.1105437627768283E-3</v>
      </c>
      <c r="O239" s="122">
        <f t="shared" ca="1" si="40"/>
        <v>12.666666666666666</v>
      </c>
      <c r="P239" s="121">
        <f t="shared" ca="1" si="41"/>
        <v>8.6310414594727852E-3</v>
      </c>
      <c r="Q239" s="118">
        <f t="shared" ca="1" si="42"/>
        <v>6969.7419690666666</v>
      </c>
      <c r="R239" s="118">
        <f t="shared" si="43"/>
        <v>-6427.0161600000001</v>
      </c>
      <c r="S239" s="123" t="s">
        <v>220</v>
      </c>
      <c r="T239" s="118" t="s">
        <v>216</v>
      </c>
      <c r="U239" s="118" t="s">
        <v>217</v>
      </c>
      <c r="V239" s="118" t="s">
        <v>241</v>
      </c>
      <c r="W239" s="118" t="s">
        <v>219</v>
      </c>
    </row>
    <row r="240" spans="2:23" x14ac:dyDescent="0.3">
      <c r="B240" s="116" t="e" vm="14">
        <v>#VALUE!</v>
      </c>
      <c r="C240" s="117">
        <v>45873</v>
      </c>
      <c r="D240" s="116">
        <v>2</v>
      </c>
      <c r="E240" s="118">
        <v>3195.6</v>
      </c>
      <c r="F240" s="118">
        <f>D240*E240*0.0022+10.23</f>
        <v>24.290640000000003</v>
      </c>
      <c r="G240" s="118">
        <f t="shared" si="34"/>
        <v>6415.49064</v>
      </c>
      <c r="H240" s="119">
        <f t="shared" si="35"/>
        <v>3.8006383777694336E-3</v>
      </c>
      <c r="I240" s="120" cm="1">
        <f t="array" aca="1" ref="I240" ca="1">_FV(B240,"Price")</f>
        <v>3229.7</v>
      </c>
      <c r="J240" s="118">
        <f t="shared" ca="1" si="36"/>
        <v>6434.8501564626358</v>
      </c>
      <c r="K240" s="118">
        <f t="shared" ca="1" si="37"/>
        <v>6459.4</v>
      </c>
      <c r="L240" s="118">
        <v>0</v>
      </c>
      <c r="M240" s="118">
        <f t="shared" ca="1" si="38"/>
        <v>19.359516462635838</v>
      </c>
      <c r="N240" s="121">
        <f t="shared" ca="1" si="39"/>
        <v>3.0176205607613262E-3</v>
      </c>
      <c r="O240" s="122">
        <f t="shared" ca="1" si="40"/>
        <v>11.633333333333333</v>
      </c>
      <c r="P240" s="121">
        <f t="shared" ca="1" si="41"/>
        <v>3.1127318105274426E-3</v>
      </c>
      <c r="Q240" s="118">
        <f t="shared" ca="1" si="42"/>
        <v>6913.0475807466664</v>
      </c>
      <c r="R240" s="118">
        <f t="shared" si="43"/>
        <v>-6415.49064</v>
      </c>
      <c r="S240" s="123" t="s">
        <v>220</v>
      </c>
      <c r="T240" s="118" t="s">
        <v>216</v>
      </c>
      <c r="U240" s="118" t="s">
        <v>217</v>
      </c>
      <c r="V240" s="118" t="s">
        <v>241</v>
      </c>
      <c r="W240" s="118" t="s">
        <v>219</v>
      </c>
    </row>
    <row r="241" spans="2:23" x14ac:dyDescent="0.3">
      <c r="B241" s="116" t="e" vm="14">
        <v>#VALUE!</v>
      </c>
      <c r="C241" s="117">
        <v>45903</v>
      </c>
      <c r="D241" s="116">
        <v>2</v>
      </c>
      <c r="E241" s="118">
        <v>3263.8</v>
      </c>
      <c r="F241" s="118">
        <f>D241*E241*0.0022+10.34</f>
        <v>24.700720000000004</v>
      </c>
      <c r="G241" s="118">
        <f t="shared" si="34"/>
        <v>6552.3007200000002</v>
      </c>
      <c r="H241" s="119">
        <f t="shared" si="35"/>
        <v>3.7840431398982787E-3</v>
      </c>
      <c r="I241" s="120" cm="1">
        <f t="array" aca="1" ref="I241" ca="1">_FV(B241,"Price")</f>
        <v>3229.7</v>
      </c>
      <c r="J241" s="118">
        <f t="shared" ca="1" si="36"/>
        <v>6434.9573517421404</v>
      </c>
      <c r="K241" s="118">
        <f t="shared" ca="1" si="37"/>
        <v>6459.4</v>
      </c>
      <c r="L241" s="118">
        <v>0</v>
      </c>
      <c r="M241" s="118">
        <f t="shared" ca="1" si="38"/>
        <v>-117.34336825785977</v>
      </c>
      <c r="N241" s="121">
        <f t="shared" ca="1" si="39"/>
        <v>-1.7908727525231743E-2</v>
      </c>
      <c r="O241" s="122">
        <f t="shared" ca="1" si="40"/>
        <v>10.666666666666666</v>
      </c>
      <c r="P241" s="121">
        <f t="shared" ca="1" si="41"/>
        <v>-2.0147318465885713E-2</v>
      </c>
      <c r="Q241" s="118">
        <f t="shared" ca="1" si="42"/>
        <v>7018.2421045333331</v>
      </c>
      <c r="R241" s="118">
        <f t="shared" si="43"/>
        <v>-6552.3007200000002</v>
      </c>
      <c r="S241" s="123" t="s">
        <v>220</v>
      </c>
      <c r="T241" s="118" t="s">
        <v>216</v>
      </c>
      <c r="U241" s="118" t="s">
        <v>217</v>
      </c>
      <c r="V241" s="118" t="s">
        <v>241</v>
      </c>
      <c r="W241" s="118" t="s">
        <v>219</v>
      </c>
    </row>
    <row r="242" spans="2:23" x14ac:dyDescent="0.3">
      <c r="B242" s="116" t="e" vm="14">
        <v>#VALUE!</v>
      </c>
      <c r="C242" s="117">
        <v>45933</v>
      </c>
      <c r="D242" s="116">
        <v>2</v>
      </c>
      <c r="E242" s="118">
        <v>3441.9</v>
      </c>
      <c r="F242" s="118">
        <f>D242*E242*0.0022+10.9</f>
        <v>26.044360000000001</v>
      </c>
      <c r="G242" s="118">
        <f t="shared" si="34"/>
        <v>6909.8443600000001</v>
      </c>
      <c r="H242" s="119">
        <f t="shared" si="35"/>
        <v>3.7834277579244023E-3</v>
      </c>
      <c r="I242" s="120" cm="1">
        <f t="array" aca="1" ref="I242" ca="1">_FV(B242,"Price")</f>
        <v>3229.7</v>
      </c>
      <c r="J242" s="118">
        <f t="shared" ca="1" si="36"/>
        <v>6434.9613267404629</v>
      </c>
      <c r="K242" s="118">
        <f t="shared" ca="1" si="37"/>
        <v>6459.4</v>
      </c>
      <c r="L242" s="118">
        <v>0</v>
      </c>
      <c r="M242" s="118">
        <f t="shared" ca="1" si="38"/>
        <v>-474.88303325953711</v>
      </c>
      <c r="N242" s="121">
        <f t="shared" ca="1" si="39"/>
        <v>-6.8725575934612967E-2</v>
      </c>
      <c r="O242" s="122">
        <f t="shared" ca="1" si="40"/>
        <v>9.6666666666666661</v>
      </c>
      <c r="P242" s="121">
        <f t="shared" ca="1" si="41"/>
        <v>-8.5314508056760927E-2</v>
      </c>
      <c r="Q242" s="118">
        <f t="shared" ca="1" si="42"/>
        <v>7355.145440977778</v>
      </c>
      <c r="R242" s="118">
        <f t="shared" si="43"/>
        <v>-6909.8443600000001</v>
      </c>
      <c r="S242" s="123" t="s">
        <v>220</v>
      </c>
      <c r="T242" s="118" t="s">
        <v>216</v>
      </c>
      <c r="U242" s="118" t="s">
        <v>217</v>
      </c>
      <c r="V242" s="118" t="s">
        <v>241</v>
      </c>
      <c r="W242" s="118" t="s">
        <v>219</v>
      </c>
    </row>
    <row r="243" spans="2:23" x14ac:dyDescent="0.3">
      <c r="B243" s="116" t="e" vm="14">
        <v>#VALUE!</v>
      </c>
      <c r="C243" s="117">
        <v>45964</v>
      </c>
      <c r="D243" s="116">
        <v>2</v>
      </c>
      <c r="E243" s="118">
        <v>3557</v>
      </c>
      <c r="F243" s="118">
        <f>D243*E243*0.0022+11.27</f>
        <v>26.9208</v>
      </c>
      <c r="G243" s="118">
        <f t="shared" si="34"/>
        <v>7140.9207999999999</v>
      </c>
      <c r="H243" s="119">
        <f t="shared" si="35"/>
        <v>3.784200168681473E-3</v>
      </c>
      <c r="I243" s="120" cm="1">
        <f t="array" aca="1" ref="I243" ca="1">_FV(B243,"Price")</f>
        <v>3229.7</v>
      </c>
      <c r="J243" s="118">
        <f t="shared" ca="1" si="36"/>
        <v>6434.9563374304189</v>
      </c>
      <c r="K243" s="118">
        <f t="shared" ca="1" si="37"/>
        <v>6459.4</v>
      </c>
      <c r="L243" s="118">
        <v>0</v>
      </c>
      <c r="M243" s="118">
        <f t="shared" ca="1" si="38"/>
        <v>-705.96446256958097</v>
      </c>
      <c r="N243" s="121">
        <f t="shared" ca="1" si="39"/>
        <v>-9.886182501416077E-2</v>
      </c>
      <c r="O243" s="122">
        <f t="shared" ca="1" si="40"/>
        <v>8.6666666666666661</v>
      </c>
      <c r="P243" s="121">
        <f t="shared" ca="1" si="41"/>
        <v>-0.1368856038657611</v>
      </c>
      <c r="Q243" s="118">
        <f t="shared" ca="1" si="42"/>
        <v>7553.5073351111114</v>
      </c>
      <c r="R243" s="118">
        <f t="shared" si="43"/>
        <v>-7140.9207999999999</v>
      </c>
      <c r="S243" s="123" t="s">
        <v>220</v>
      </c>
      <c r="T243" s="118" t="s">
        <v>216</v>
      </c>
      <c r="U243" s="118" t="s">
        <v>217</v>
      </c>
      <c r="V243" s="118" t="s">
        <v>241</v>
      </c>
      <c r="W243" s="118" t="s">
        <v>219</v>
      </c>
    </row>
    <row r="244" spans="2:23" x14ac:dyDescent="0.3">
      <c r="B244" s="116" t="e" vm="14">
        <v>#VALUE!</v>
      </c>
      <c r="C244" s="117">
        <v>45994</v>
      </c>
      <c r="D244" s="116">
        <v>2</v>
      </c>
      <c r="E244" s="118">
        <v>3643.1</v>
      </c>
      <c r="F244" s="118">
        <f>D244*E244*0.0022+11.54</f>
        <v>27.56964</v>
      </c>
      <c r="G244" s="118">
        <f t="shared" si="34"/>
        <v>7313.7696399999995</v>
      </c>
      <c r="H244" s="119">
        <f t="shared" si="35"/>
        <v>3.7838159808953912E-3</v>
      </c>
      <c r="I244" s="120" cm="1">
        <f t="array" aca="1" ref="I244" ca="1">_FV(B244,"Price")</f>
        <v>3229.7</v>
      </c>
      <c r="J244" s="118">
        <f t="shared" ca="1" si="36"/>
        <v>6434.9588190530039</v>
      </c>
      <c r="K244" s="118">
        <f t="shared" ca="1" si="37"/>
        <v>6459.4</v>
      </c>
      <c r="L244" s="118">
        <v>0</v>
      </c>
      <c r="M244" s="118">
        <f t="shared" ca="1" si="38"/>
        <v>-878.81082094699559</v>
      </c>
      <c r="N244" s="121">
        <f t="shared" ca="1" si="39"/>
        <v>-0.12015839494597422</v>
      </c>
      <c r="O244" s="122">
        <f t="shared" ca="1" si="40"/>
        <v>7.666666666666667</v>
      </c>
      <c r="P244" s="121">
        <f t="shared" ca="1" si="41"/>
        <v>-0.18807400948065531</v>
      </c>
      <c r="Q244" s="118">
        <f t="shared" ca="1" si="42"/>
        <v>7687.584532711111</v>
      </c>
      <c r="R244" s="118">
        <f t="shared" si="43"/>
        <v>-7313.7696399999995</v>
      </c>
      <c r="S244" s="123" t="s">
        <v>220</v>
      </c>
      <c r="T244" s="118" t="s">
        <v>216</v>
      </c>
      <c r="U244" s="118" t="s">
        <v>217</v>
      </c>
      <c r="V244" s="118" t="s">
        <v>241</v>
      </c>
      <c r="W244" s="118" t="s">
        <v>219</v>
      </c>
    </row>
    <row r="245" spans="2:23" x14ac:dyDescent="0.3">
      <c r="B245" s="116" t="e" vm="14">
        <v>#VALUE!</v>
      </c>
      <c r="C245" s="117">
        <v>46027</v>
      </c>
      <c r="D245" s="116">
        <v>2</v>
      </c>
      <c r="E245" s="118">
        <v>3831.9</v>
      </c>
      <c r="F245" s="118">
        <f>D245*E245*0.0022+12.13</f>
        <v>28.990360000000003</v>
      </c>
      <c r="G245" s="118">
        <f t="shared" si="34"/>
        <v>7692.79036</v>
      </c>
      <c r="H245" s="119">
        <f t="shared" si="35"/>
        <v>3.7827657297946193E-3</v>
      </c>
      <c r="I245" s="120" cm="1">
        <f t="array" aca="1" ref="I245" ca="1">_FV(B245,"Price")</f>
        <v>3229.7</v>
      </c>
      <c r="J245" s="118">
        <f t="shared" ca="1" si="36"/>
        <v>6434.9656030449642</v>
      </c>
      <c r="K245" s="118">
        <f t="shared" ca="1" si="37"/>
        <v>6459.4</v>
      </c>
      <c r="L245" s="118">
        <v>0</v>
      </c>
      <c r="M245" s="118">
        <f t="shared" ca="1" si="38"/>
        <v>-1257.8247569550358</v>
      </c>
      <c r="N245" s="121">
        <f t="shared" ca="1" si="39"/>
        <v>-0.1635069588657081</v>
      </c>
      <c r="O245" s="122">
        <f t="shared" ca="1" si="40"/>
        <v>6.6</v>
      </c>
      <c r="P245" s="121">
        <f t="shared" ca="1" si="41"/>
        <v>-0.29728537975583291</v>
      </c>
      <c r="Q245" s="118">
        <f t="shared" ca="1" si="42"/>
        <v>8031.2731358399997</v>
      </c>
      <c r="R245" s="118">
        <f t="shared" si="43"/>
        <v>-7692.79036</v>
      </c>
      <c r="S245" s="123" t="s">
        <v>220</v>
      </c>
      <c r="T245" s="118" t="s">
        <v>216</v>
      </c>
      <c r="U245" s="118" t="s">
        <v>217</v>
      </c>
      <c r="V245" s="118" t="s">
        <v>241</v>
      </c>
      <c r="W245" s="118" t="s">
        <v>219</v>
      </c>
    </row>
    <row r="246" spans="2:23" x14ac:dyDescent="0.3">
      <c r="B246" s="116" t="e" vm="14">
        <v>#VALUE!</v>
      </c>
      <c r="C246" s="117">
        <v>46056</v>
      </c>
      <c r="D246" s="116">
        <v>2</v>
      </c>
      <c r="E246" s="118">
        <v>3544.1</v>
      </c>
      <c r="F246" s="118">
        <f>D246*E246*0.0022+11.22</f>
        <v>26.814039999999999</v>
      </c>
      <c r="G246" s="118">
        <f t="shared" si="34"/>
        <v>7115.01404</v>
      </c>
      <c r="H246" s="119">
        <f t="shared" si="35"/>
        <v>3.7829124460370756E-3</v>
      </c>
      <c r="I246" s="120" cm="1">
        <f t="array" aca="1" ref="I246" ca="1">_FV(B246,"Price")</f>
        <v>3229.7</v>
      </c>
      <c r="J246" s="118">
        <f t="shared" ca="1" si="36"/>
        <v>6434.964655346067</v>
      </c>
      <c r="K246" s="118">
        <f t="shared" ca="1" si="37"/>
        <v>6459.4</v>
      </c>
      <c r="L246" s="118">
        <v>0</v>
      </c>
      <c r="M246" s="118">
        <f t="shared" ca="1" si="38"/>
        <v>-680.04938465393298</v>
      </c>
      <c r="N246" s="121">
        <f t="shared" ca="1" si="39"/>
        <v>-9.5579485975818682E-2</v>
      </c>
      <c r="O246" s="122">
        <f t="shared" ca="1" si="40"/>
        <v>5.666666666666667</v>
      </c>
      <c r="P246" s="121">
        <f t="shared" ca="1" si="41"/>
        <v>-0.2024036173605572</v>
      </c>
      <c r="Q246" s="118">
        <f t="shared" ca="1" si="42"/>
        <v>7383.8034592888889</v>
      </c>
      <c r="R246" s="118">
        <f t="shared" si="43"/>
        <v>-7115.01404</v>
      </c>
      <c r="S246" s="123" t="s">
        <v>220</v>
      </c>
      <c r="T246" s="118" t="s">
        <v>216</v>
      </c>
      <c r="U246" s="118" t="s">
        <v>217</v>
      </c>
      <c r="V246" s="118" t="s">
        <v>241</v>
      </c>
      <c r="W246" s="118" t="s">
        <v>219</v>
      </c>
    </row>
    <row r="247" spans="2:23" x14ac:dyDescent="0.3">
      <c r="B247" s="116" t="e" vm="14">
        <v>#VALUE!</v>
      </c>
      <c r="C247" s="117">
        <v>46085</v>
      </c>
      <c r="D247" s="116">
        <v>2</v>
      </c>
      <c r="E247" s="118">
        <v>3238.4</v>
      </c>
      <c r="F247" s="118">
        <f>D247*E247*0.0022+10.3</f>
        <v>24.548960000000001</v>
      </c>
      <c r="G247" s="118">
        <f t="shared" si="34"/>
        <v>6501.3489600000003</v>
      </c>
      <c r="H247" s="119">
        <f t="shared" si="35"/>
        <v>3.7902915019762846E-3</v>
      </c>
      <c r="I247" s="120" cm="1">
        <f t="array" aca="1" ref="I247" ca="1">_FV(B247,"Price")</f>
        <v>3229.7</v>
      </c>
      <c r="J247" s="118">
        <f t="shared" ca="1" si="36"/>
        <v>6434.9169910721339</v>
      </c>
      <c r="K247" s="118">
        <f t="shared" ca="1" si="37"/>
        <v>6459.4</v>
      </c>
      <c r="L247" s="118">
        <v>0</v>
      </c>
      <c r="M247" s="118">
        <f t="shared" ca="1" si="38"/>
        <v>-66.431968927866365</v>
      </c>
      <c r="N247" s="121">
        <f t="shared" ca="1" si="39"/>
        <v>-1.0218182309024429E-2</v>
      </c>
      <c r="O247" s="122">
        <f t="shared" ca="1" si="40"/>
        <v>4.6333333333333337</v>
      </c>
      <c r="P247" s="121">
        <f t="shared" ca="1" si="41"/>
        <v>-2.6464357059343843E-2</v>
      </c>
      <c r="Q247" s="118">
        <f t="shared" ca="1" si="42"/>
        <v>6702.168405653334</v>
      </c>
      <c r="R247" s="118">
        <f t="shared" si="43"/>
        <v>-6501.3489600000003</v>
      </c>
      <c r="S247" s="123" t="s">
        <v>220</v>
      </c>
      <c r="T247" s="118" t="s">
        <v>216</v>
      </c>
      <c r="U247" s="118" t="s">
        <v>217</v>
      </c>
      <c r="V247" s="118" t="s">
        <v>241</v>
      </c>
      <c r="W247" s="118" t="s">
        <v>219</v>
      </c>
    </row>
    <row r="248" spans="2:23" x14ac:dyDescent="0.3">
      <c r="B248" s="116" t="e" vm="14">
        <v>#VALUE!</v>
      </c>
      <c r="C248" s="117">
        <v>46118</v>
      </c>
      <c r="D248" s="116">
        <v>2</v>
      </c>
      <c r="E248" s="118">
        <v>2981.4</v>
      </c>
      <c r="F248" s="118">
        <f>D248*E248*0.0022+9.44</f>
        <v>22.558160000000001</v>
      </c>
      <c r="G248" s="118">
        <f t="shared" si="34"/>
        <v>5985.3581599999998</v>
      </c>
      <c r="H248" s="119">
        <f t="shared" si="35"/>
        <v>3.7831488562420339E-3</v>
      </c>
      <c r="I248" s="120" cm="1">
        <f t="array" aca="1" ref="I248" ca="1">_FV(B248,"Price")</f>
        <v>3229.7</v>
      </c>
      <c r="J248" s="118">
        <f t="shared" ca="1" si="36"/>
        <v>6434.9631282779901</v>
      </c>
      <c r="K248" s="118">
        <f t="shared" ca="1" si="37"/>
        <v>6459.4</v>
      </c>
      <c r="L248" s="118">
        <v>0</v>
      </c>
      <c r="M248" s="118">
        <f t="shared" ca="1" si="38"/>
        <v>449.60496827799034</v>
      </c>
      <c r="N248" s="121">
        <f t="shared" ca="1" si="39"/>
        <v>7.5117471045039408E-2</v>
      </c>
      <c r="O248" s="122">
        <f t="shared" ca="1" si="40"/>
        <v>3.5666666666666669</v>
      </c>
      <c r="P248" s="121">
        <f t="shared" ca="1" si="41"/>
        <v>0.25273167828237558</v>
      </c>
      <c r="Q248" s="118">
        <f t="shared" ca="1" si="42"/>
        <v>6127.6766762488887</v>
      </c>
      <c r="R248" s="118">
        <f t="shared" si="43"/>
        <v>-5985.3581599999998</v>
      </c>
      <c r="S248" s="123" t="s">
        <v>220</v>
      </c>
      <c r="T248" s="118" t="s">
        <v>216</v>
      </c>
      <c r="U248" s="118" t="s">
        <v>217</v>
      </c>
      <c r="V248" s="118" t="s">
        <v>241</v>
      </c>
      <c r="W248" s="118" t="s">
        <v>219</v>
      </c>
    </row>
    <row r="249" spans="2:23" x14ac:dyDescent="0.3">
      <c r="B249" s="116" t="e" vm="14">
        <v>#VALUE!</v>
      </c>
      <c r="C249" s="117">
        <v>46146</v>
      </c>
      <c r="D249" s="116">
        <v>2</v>
      </c>
      <c r="E249" s="118">
        <v>3136</v>
      </c>
      <c r="F249" s="118">
        <f>D249*E249*0.0022+9.93</f>
        <v>23.728400000000001</v>
      </c>
      <c r="G249" s="118">
        <f t="shared" si="34"/>
        <v>6295.7284</v>
      </c>
      <c r="H249" s="119">
        <f t="shared" si="35"/>
        <v>3.7832270408163266E-3</v>
      </c>
      <c r="I249" s="120" cm="1">
        <f t="array" aca="1" ref="I249" ca="1">_FV(B249,"Price")</f>
        <v>3229.7</v>
      </c>
      <c r="J249" s="118">
        <f t="shared" ca="1" si="36"/>
        <v>6434.9626232525507</v>
      </c>
      <c r="K249" s="118">
        <f t="shared" ca="1" si="37"/>
        <v>6459.4</v>
      </c>
      <c r="L249" s="118">
        <v>0</v>
      </c>
      <c r="M249" s="118">
        <f t="shared" ca="1" si="38"/>
        <v>139.23422325255069</v>
      </c>
      <c r="N249" s="121">
        <f t="shared" ca="1" si="39"/>
        <v>2.2115665480828349E-2</v>
      </c>
      <c r="O249" s="122">
        <f t="shared" ca="1" si="40"/>
        <v>2.6333333333333333</v>
      </c>
      <c r="P249" s="121">
        <f t="shared" ca="1" si="41"/>
        <v>0.1007802477607368</v>
      </c>
      <c r="Q249" s="118">
        <f t="shared" ca="1" si="42"/>
        <v>6406.2534096888885</v>
      </c>
      <c r="R249" s="118">
        <f t="shared" si="43"/>
        <v>-6295.7284</v>
      </c>
      <c r="S249" s="123" t="s">
        <v>220</v>
      </c>
      <c r="T249" s="118" t="s">
        <v>216</v>
      </c>
      <c r="U249" s="118" t="s">
        <v>217</v>
      </c>
      <c r="V249" s="118" t="s">
        <v>241</v>
      </c>
      <c r="W249" s="118" t="s">
        <v>219</v>
      </c>
    </row>
    <row r="250" spans="2:23" x14ac:dyDescent="0.3">
      <c r="B250" s="116" t="e" vm="14">
        <v>#VALUE!</v>
      </c>
      <c r="C250" s="117">
        <v>46176</v>
      </c>
      <c r="D250" s="116">
        <v>2</v>
      </c>
      <c r="E250" s="118">
        <v>3005.1</v>
      </c>
      <c r="F250" s="118">
        <f>D250*E250*0.0022+9.51</f>
        <v>22.73244</v>
      </c>
      <c r="G250" s="118">
        <f t="shared" si="34"/>
        <v>6032.9324399999996</v>
      </c>
      <c r="H250" s="119">
        <f t="shared" si="35"/>
        <v>3.7823100728761106E-3</v>
      </c>
      <c r="I250" s="120" cm="1">
        <f t="array" aca="1" ref="I250" ca="1">_FV(B250,"Price")</f>
        <v>3229.7</v>
      </c>
      <c r="J250" s="118">
        <f t="shared" ca="1" si="36"/>
        <v>6434.9685463152637</v>
      </c>
      <c r="K250" s="118">
        <f t="shared" ca="1" si="37"/>
        <v>6459.4</v>
      </c>
      <c r="L250" s="118">
        <v>0</v>
      </c>
      <c r="M250" s="118">
        <f t="shared" ca="1" si="38"/>
        <v>402.03610631526408</v>
      </c>
      <c r="N250" s="121">
        <f t="shared" ca="1" si="39"/>
        <v>6.664024673136637E-2</v>
      </c>
      <c r="O250" s="122">
        <f t="shared" ca="1" si="40"/>
        <v>1.6666666666666667</v>
      </c>
      <c r="P250" s="121">
        <f t="shared" ca="1" si="41"/>
        <v>0.47980977646583783</v>
      </c>
      <c r="Q250" s="118">
        <f t="shared" ca="1" si="42"/>
        <v>6099.9650226666663</v>
      </c>
      <c r="R250" s="118">
        <f t="shared" si="43"/>
        <v>-6032.9324399999996</v>
      </c>
      <c r="S250" s="123" t="s">
        <v>220</v>
      </c>
      <c r="T250" s="118" t="s">
        <v>216</v>
      </c>
      <c r="U250" s="118" t="s">
        <v>217</v>
      </c>
      <c r="V250" s="118" t="s">
        <v>241</v>
      </c>
      <c r="W250" s="118" t="s">
        <v>219</v>
      </c>
    </row>
    <row r="251" spans="2:23" x14ac:dyDescent="0.3">
      <c r="B251" s="116" t="e" vm="14">
        <v>#VALUE!</v>
      </c>
      <c r="C251" s="117">
        <v>46206</v>
      </c>
      <c r="D251" s="116">
        <v>2</v>
      </c>
      <c r="E251" s="118">
        <v>3144.2</v>
      </c>
      <c r="F251" s="118">
        <f>D251*E251*0.0022+9.96</f>
        <v>23.79448</v>
      </c>
      <c r="G251" s="118">
        <f t="shared" si="34"/>
        <v>6312.1944799999992</v>
      </c>
      <c r="H251" s="119">
        <f t="shared" si="35"/>
        <v>3.7838687106418168E-3</v>
      </c>
      <c r="I251" s="120" cm="1">
        <f t="array" aca="1" ref="I251" ca="1">_FV(B251,"Price")</f>
        <v>3229.7</v>
      </c>
      <c r="J251" s="118">
        <f t="shared" ca="1" si="36"/>
        <v>6434.9584784504796</v>
      </c>
      <c r="K251" s="118">
        <f t="shared" ca="1" si="37"/>
        <v>6459.4</v>
      </c>
      <c r="L251" s="118">
        <v>0</v>
      </c>
      <c r="M251" s="118">
        <f t="shared" ca="1" si="38"/>
        <v>122.76399845048036</v>
      </c>
      <c r="N251" s="121">
        <f t="shared" ca="1" si="39"/>
        <v>1.9448703432610393E-2</v>
      </c>
      <c r="O251" s="122">
        <f t="shared" ca="1" si="40"/>
        <v>0.66666666666666663</v>
      </c>
      <c r="P251" s="121">
        <f t="shared" ca="1" si="41"/>
        <v>0.3500766617869871</v>
      </c>
      <c r="Q251" s="118">
        <f t="shared" ca="1" si="42"/>
        <v>6340.2486776888882</v>
      </c>
      <c r="R251" s="118">
        <f t="shared" si="43"/>
        <v>-6312.1944799999992</v>
      </c>
      <c r="S251" s="123" t="s">
        <v>220</v>
      </c>
      <c r="T251" s="118" t="s">
        <v>216</v>
      </c>
      <c r="U251" s="118" t="s">
        <v>217</v>
      </c>
      <c r="V251" s="118" t="s">
        <v>241</v>
      </c>
      <c r="W251" s="118" t="s">
        <v>219</v>
      </c>
    </row>
    <row r="252" spans="2:23" x14ac:dyDescent="0.3">
      <c r="B252" s="116" t="e" vm="15">
        <v>#VALUE!</v>
      </c>
      <c r="C252" s="117">
        <v>45505</v>
      </c>
      <c r="D252" s="116">
        <v>4</v>
      </c>
      <c r="E252" s="118">
        <v>13131.44</v>
      </c>
      <c r="F252" s="118">
        <f>D252*E252*0.0022+83.92</f>
        <v>199.47667200000001</v>
      </c>
      <c r="G252" s="118">
        <f t="shared" si="34"/>
        <v>52725.236671999999</v>
      </c>
      <c r="H252" s="119">
        <f t="shared" si="35"/>
        <v>3.7976922561425101E-3</v>
      </c>
      <c r="I252" s="120" cm="1">
        <f t="array" aca="1" ref="I252" ca="1">_FV(B252,"Price")</f>
        <v>13403</v>
      </c>
      <c r="J252" s="118">
        <f t="shared" ca="1" si="36"/>
        <v>53408.39812276369</v>
      </c>
      <c r="K252" s="118">
        <f t="shared" ca="1" si="37"/>
        <v>53612</v>
      </c>
      <c r="L252" s="118">
        <f>500+540</f>
        <v>1040</v>
      </c>
      <c r="M252" s="118">
        <f t="shared" ca="1" si="38"/>
        <v>1723.1614507636914</v>
      </c>
      <c r="N252" s="121">
        <f t="shared" ca="1" si="39"/>
        <v>3.2681910210917743E-2</v>
      </c>
      <c r="O252" s="122">
        <f t="shared" ca="1" si="40"/>
        <v>23.733333333333334</v>
      </c>
      <c r="P252" s="121">
        <f t="shared" ca="1" si="41"/>
        <v>1.6524561342598859E-2</v>
      </c>
      <c r="Q252" s="118">
        <f t="shared" ca="1" si="42"/>
        <v>61067.540785436446</v>
      </c>
      <c r="R252" s="118">
        <f t="shared" si="43"/>
        <v>-52725.236671999999</v>
      </c>
      <c r="S252" s="123" t="s">
        <v>220</v>
      </c>
      <c r="T252" s="118" t="s">
        <v>216</v>
      </c>
      <c r="U252" s="118" t="s">
        <v>217</v>
      </c>
      <c r="V252" s="118" t="s">
        <v>242</v>
      </c>
      <c r="W252" s="118" t="s">
        <v>219</v>
      </c>
    </row>
    <row r="253" spans="2:23" x14ac:dyDescent="0.3">
      <c r="B253" s="116" t="e" vm="16">
        <v>#VALUE!</v>
      </c>
      <c r="C253" s="117">
        <v>45721</v>
      </c>
      <c r="D253" s="116">
        <v>46</v>
      </c>
      <c r="E253" s="118">
        <v>128.30000000000001</v>
      </c>
      <c r="F253" s="118">
        <f>D253*E253*0.0022+3.45</f>
        <v>16.433960000000003</v>
      </c>
      <c r="G253" s="118">
        <f t="shared" si="34"/>
        <v>5918.2339600000005</v>
      </c>
      <c r="H253" s="119">
        <f t="shared" si="35"/>
        <v>2.7845674201091197E-3</v>
      </c>
      <c r="I253" s="120" cm="1">
        <f t="array" aca="1" ref="I253" ca="1">_FV(B253,"Price")</f>
        <v>197.77</v>
      </c>
      <c r="J253" s="118">
        <f t="shared" ca="1" si="36"/>
        <v>9072.0876206609501</v>
      </c>
      <c r="K253" s="118">
        <f t="shared" ca="1" si="37"/>
        <v>9097.42</v>
      </c>
      <c r="L253" s="118">
        <f>0</f>
        <v>0</v>
      </c>
      <c r="M253" s="118">
        <f t="shared" ca="1" si="38"/>
        <v>3153.8536606609496</v>
      </c>
      <c r="N253" s="121">
        <f t="shared" ca="1" si="39"/>
        <v>0.53290452556913603</v>
      </c>
      <c r="O253" s="122">
        <f t="shared" ca="1" si="40"/>
        <v>16.600000000000001</v>
      </c>
      <c r="P253" s="121">
        <f t="shared" ca="1" si="41"/>
        <v>0.38523218715841157</v>
      </c>
      <c r="Q253" s="118">
        <f t="shared" ca="1" si="42"/>
        <v>6573.185184906667</v>
      </c>
      <c r="R253" s="118">
        <f t="shared" si="43"/>
        <v>-5918.2339600000005</v>
      </c>
      <c r="S253" s="123" t="s">
        <v>229</v>
      </c>
      <c r="T253" s="118" t="s">
        <v>216</v>
      </c>
      <c r="U253" s="118" t="s">
        <v>217</v>
      </c>
      <c r="V253" s="118" t="s">
        <v>223</v>
      </c>
      <c r="W253" s="118" t="s">
        <v>219</v>
      </c>
    </row>
    <row r="254" spans="2:23" x14ac:dyDescent="0.3">
      <c r="B254" s="116" t="e" vm="16">
        <v>#VALUE!</v>
      </c>
      <c r="C254" s="117">
        <v>45736</v>
      </c>
      <c r="D254" s="116">
        <v>49</v>
      </c>
      <c r="E254" s="118">
        <v>121.43</v>
      </c>
      <c r="F254" s="118">
        <f>D254*E254*0.0022+3.47</f>
        <v>16.560154000000001</v>
      </c>
      <c r="G254" s="118">
        <f t="shared" si="34"/>
        <v>5966.6301540000004</v>
      </c>
      <c r="H254" s="119">
        <f t="shared" si="35"/>
        <v>2.7831864162942621E-3</v>
      </c>
      <c r="I254" s="120" cm="1">
        <f t="array" aca="1" ref="I254" ca="1">_FV(B254,"Price")</f>
        <v>197.77</v>
      </c>
      <c r="J254" s="118">
        <f t="shared" ca="1" si="36"/>
        <v>9663.7588919000264</v>
      </c>
      <c r="K254" s="118">
        <f t="shared" ca="1" si="37"/>
        <v>9690.7300000000014</v>
      </c>
      <c r="L254" s="118">
        <f>0</f>
        <v>0</v>
      </c>
      <c r="M254" s="118">
        <f t="shared" ca="1" si="38"/>
        <v>3697.128737900026</v>
      </c>
      <c r="N254" s="121">
        <f t="shared" ca="1" si="39"/>
        <v>0.61963430654763951</v>
      </c>
      <c r="O254" s="122">
        <f t="shared" ca="1" si="40"/>
        <v>16.100000000000001</v>
      </c>
      <c r="P254" s="121">
        <f t="shared" ca="1" si="41"/>
        <v>0.46183923469389276</v>
      </c>
      <c r="Q254" s="118">
        <f t="shared" ca="1" si="42"/>
        <v>6607.0484571960005</v>
      </c>
      <c r="R254" s="118">
        <f t="shared" si="43"/>
        <v>-5966.6301540000004</v>
      </c>
      <c r="S254" s="123" t="s">
        <v>229</v>
      </c>
      <c r="T254" s="118" t="s">
        <v>216</v>
      </c>
      <c r="U254" s="118" t="s">
        <v>217</v>
      </c>
      <c r="V254" s="118" t="s">
        <v>223</v>
      </c>
      <c r="W254" s="118" t="s">
        <v>219</v>
      </c>
    </row>
    <row r="255" spans="2:23" x14ac:dyDescent="0.3">
      <c r="B255" s="116" t="e" vm="16">
        <v>#VALUE!</v>
      </c>
      <c r="C255" s="117">
        <v>45751</v>
      </c>
      <c r="D255" s="116">
        <v>52</v>
      </c>
      <c r="E255" s="118">
        <v>114.25</v>
      </c>
      <c r="F255" s="118">
        <f>D255*E255*0.0022+3.47</f>
        <v>16.540200000000002</v>
      </c>
      <c r="G255" s="118">
        <f t="shared" si="34"/>
        <v>5957.5402000000004</v>
      </c>
      <c r="H255" s="119">
        <f t="shared" si="35"/>
        <v>2.7840767547550921E-3</v>
      </c>
      <c r="I255" s="120" cm="1">
        <f t="array" aca="1" ref="I255" ca="1">_FV(B255,"Price")</f>
        <v>197.77</v>
      </c>
      <c r="J255" s="118">
        <f t="shared" ca="1" si="36"/>
        <v>10255.408443291029</v>
      </c>
      <c r="K255" s="118">
        <f t="shared" ca="1" si="37"/>
        <v>10284.040000000001</v>
      </c>
      <c r="L255" s="118">
        <f>0</f>
        <v>0</v>
      </c>
      <c r="M255" s="118">
        <f t="shared" ca="1" si="38"/>
        <v>4297.8682432910291</v>
      </c>
      <c r="N255" s="121">
        <f t="shared" ca="1" si="39"/>
        <v>0.72141657445988006</v>
      </c>
      <c r="O255" s="122">
        <f t="shared" ca="1" si="40"/>
        <v>15.633333333333333</v>
      </c>
      <c r="P255" s="121">
        <f t="shared" ca="1" si="41"/>
        <v>0.55375259446813818</v>
      </c>
      <c r="Q255" s="118">
        <f t="shared" ca="1" si="42"/>
        <v>6578.4482786222225</v>
      </c>
      <c r="R255" s="118">
        <f t="shared" si="43"/>
        <v>-5957.5402000000004</v>
      </c>
      <c r="S255" s="123" t="s">
        <v>229</v>
      </c>
      <c r="T255" s="118" t="s">
        <v>216</v>
      </c>
      <c r="U255" s="118" t="s">
        <v>217</v>
      </c>
      <c r="V255" s="118" t="s">
        <v>223</v>
      </c>
      <c r="W255" s="118" t="s">
        <v>219</v>
      </c>
    </row>
    <row r="256" spans="2:23" x14ac:dyDescent="0.3">
      <c r="B256" s="116" t="e" vm="16">
        <v>#VALUE!</v>
      </c>
      <c r="C256" s="117">
        <v>45768</v>
      </c>
      <c r="D256" s="116">
        <v>52</v>
      </c>
      <c r="E256" s="118">
        <v>113.73</v>
      </c>
      <c r="F256" s="118">
        <f>D256*E256*0.0022+3.46</f>
        <v>16.470712000000002</v>
      </c>
      <c r="G256" s="118">
        <f t="shared" si="34"/>
        <v>5930.4307120000003</v>
      </c>
      <c r="H256" s="119">
        <f t="shared" si="35"/>
        <v>2.7850563750853917E-3</v>
      </c>
      <c r="I256" s="120" cm="1">
        <f t="array" aca="1" ref="I256" ca="1">_FV(B256,"Price")</f>
        <v>197.77</v>
      </c>
      <c r="J256" s="118">
        <f t="shared" ca="1" si="36"/>
        <v>10255.398368836368</v>
      </c>
      <c r="K256" s="118">
        <f t="shared" ca="1" si="37"/>
        <v>10284.040000000001</v>
      </c>
      <c r="L256" s="118">
        <f>0</f>
        <v>0</v>
      </c>
      <c r="M256" s="118">
        <f t="shared" ca="1" si="38"/>
        <v>4324.9676568363675</v>
      </c>
      <c r="N256" s="121">
        <f t="shared" ca="1" si="39"/>
        <v>0.72928390312106006</v>
      </c>
      <c r="O256" s="122">
        <f t="shared" ca="1" si="40"/>
        <v>15.066666666666666</v>
      </c>
      <c r="P256" s="121">
        <f t="shared" ca="1" si="41"/>
        <v>0.58084558655659646</v>
      </c>
      <c r="Q256" s="118">
        <f t="shared" ca="1" si="42"/>
        <v>6526.1095301831119</v>
      </c>
      <c r="R256" s="118">
        <f t="shared" si="43"/>
        <v>-5930.4307120000003</v>
      </c>
      <c r="S256" s="123" t="s">
        <v>229</v>
      </c>
      <c r="T256" s="118" t="s">
        <v>216</v>
      </c>
      <c r="U256" s="118" t="s">
        <v>217</v>
      </c>
      <c r="V256" s="118" t="s">
        <v>223</v>
      </c>
      <c r="W256" s="118" t="s">
        <v>219</v>
      </c>
    </row>
    <row r="257" spans="2:23" x14ac:dyDescent="0.3">
      <c r="B257" s="116" t="e" vm="16">
        <v>#VALUE!</v>
      </c>
      <c r="C257" s="117">
        <v>45782</v>
      </c>
      <c r="D257" s="116">
        <v>48</v>
      </c>
      <c r="E257" s="118">
        <v>124.29</v>
      </c>
      <c r="F257" s="118">
        <f>D257*E257*0.0022+3.48</f>
        <v>16.605024</v>
      </c>
      <c r="G257" s="118">
        <f t="shared" si="34"/>
        <v>5982.5250240000005</v>
      </c>
      <c r="H257" s="119">
        <f t="shared" si="35"/>
        <v>2.7833132190843994E-3</v>
      </c>
      <c r="I257" s="120" cm="1">
        <f t="array" aca="1" ref="I257" ca="1">_FV(B257,"Price")</f>
        <v>197.77</v>
      </c>
      <c r="J257" s="118">
        <f t="shared" ca="1" si="36"/>
        <v>9466.5381189437612</v>
      </c>
      <c r="K257" s="118">
        <f t="shared" ca="1" si="37"/>
        <v>9492.9600000000009</v>
      </c>
      <c r="L257" s="118">
        <f>0</f>
        <v>0</v>
      </c>
      <c r="M257" s="118">
        <f t="shared" ca="1" si="38"/>
        <v>3484.0130949437607</v>
      </c>
      <c r="N257" s="121">
        <f t="shared" ca="1" si="39"/>
        <v>0.58236498484619803</v>
      </c>
      <c r="O257" s="122">
        <f t="shared" ca="1" si="40"/>
        <v>14.6</v>
      </c>
      <c r="P257" s="121">
        <f t="shared" ca="1" si="41"/>
        <v>0.47865615192838196</v>
      </c>
      <c r="Q257" s="118">
        <f t="shared" ca="1" si="42"/>
        <v>6564.8241263360005</v>
      </c>
      <c r="R257" s="118">
        <f t="shared" si="43"/>
        <v>-5982.5250240000005</v>
      </c>
      <c r="S257" s="123" t="s">
        <v>229</v>
      </c>
      <c r="T257" s="118" t="s">
        <v>216</v>
      </c>
      <c r="U257" s="118" t="s">
        <v>217</v>
      </c>
      <c r="V257" s="118" t="s">
        <v>223</v>
      </c>
      <c r="W257" s="118" t="s">
        <v>219</v>
      </c>
    </row>
    <row r="258" spans="2:23" x14ac:dyDescent="0.3">
      <c r="B258" s="116" t="e" vm="16">
        <v>#VALUE!</v>
      </c>
      <c r="C258" s="117">
        <v>45796</v>
      </c>
      <c r="D258" s="116">
        <v>44</v>
      </c>
      <c r="E258" s="118">
        <v>136.08000000000001</v>
      </c>
      <c r="F258" s="118">
        <f>D258*E258*0.0022+3.5</f>
        <v>16.672544000000002</v>
      </c>
      <c r="G258" s="118">
        <f t="shared" si="34"/>
        <v>6004.1925440000005</v>
      </c>
      <c r="H258" s="119">
        <f t="shared" si="35"/>
        <v>2.7845491956603068E-3</v>
      </c>
      <c r="I258" s="120" cm="1">
        <f t="array" aca="1" ref="I258" ca="1">_FV(B258,"Price")</f>
        <v>197.77</v>
      </c>
      <c r="J258" s="118">
        <f t="shared" ca="1" si="36"/>
        <v>8677.6491870452683</v>
      </c>
      <c r="K258" s="118">
        <f t="shared" ca="1" si="37"/>
        <v>8701.880000000001</v>
      </c>
      <c r="L258" s="118">
        <f>0</f>
        <v>0</v>
      </c>
      <c r="M258" s="118">
        <f t="shared" ca="1" si="38"/>
        <v>2673.4566430452678</v>
      </c>
      <c r="N258" s="121">
        <f t="shared" ca="1" si="39"/>
        <v>0.44526497500764817</v>
      </c>
      <c r="O258" s="122">
        <f t="shared" ca="1" si="40"/>
        <v>14.133333333333333</v>
      </c>
      <c r="P258" s="121">
        <f t="shared" ca="1" si="41"/>
        <v>0.37805516745932394</v>
      </c>
      <c r="Q258" s="118">
        <f t="shared" ca="1" si="42"/>
        <v>6569.9209081457784</v>
      </c>
      <c r="R258" s="118">
        <f t="shared" si="43"/>
        <v>-6004.1925440000005</v>
      </c>
      <c r="S258" s="123" t="s">
        <v>229</v>
      </c>
      <c r="T258" s="118" t="s">
        <v>216</v>
      </c>
      <c r="U258" s="118" t="s">
        <v>217</v>
      </c>
      <c r="V258" s="118" t="s">
        <v>223</v>
      </c>
      <c r="W258" s="118" t="s">
        <v>219</v>
      </c>
    </row>
    <row r="259" spans="2:23" x14ac:dyDescent="0.3">
      <c r="B259" s="116" t="e" vm="16">
        <v>#VALUE!</v>
      </c>
      <c r="C259" s="117">
        <v>45811</v>
      </c>
      <c r="D259" s="116">
        <v>43</v>
      </c>
      <c r="E259" s="118">
        <v>137.09</v>
      </c>
      <c r="F259" s="118">
        <f>D259*E259*0.0022+3.44</f>
        <v>16.408714</v>
      </c>
      <c r="G259" s="118">
        <f t="shared" ref="G259:G322" si="47">(E259*D259)+F259</f>
        <v>5911.278714</v>
      </c>
      <c r="H259" s="119">
        <f t="shared" ref="H259:H270" si="48">F259/(D259*E259)</f>
        <v>2.7835582464074697E-3</v>
      </c>
      <c r="I259" s="120" cm="1">
        <f t="array" aca="1" ref="I259" ca="1">_FV(B259,"Price")</f>
        <v>197.77</v>
      </c>
      <c r="J259" s="118">
        <f t="shared" ref="J259:J271" ca="1" si="49">I259*D259*(1-H259)</f>
        <v>8480.4383144811436</v>
      </c>
      <c r="K259" s="118">
        <f t="shared" ref="K259:K271" ca="1" si="50">I259*D259</f>
        <v>8504.11</v>
      </c>
      <c r="L259" s="118">
        <f>0</f>
        <v>0</v>
      </c>
      <c r="M259" s="118">
        <f t="shared" ref="M259:M271" ca="1" si="51">J259-G259+L259</f>
        <v>2569.1596004811436</v>
      </c>
      <c r="N259" s="121">
        <f t="shared" ref="N259:N271" ca="1" si="52">M259/G259</f>
        <v>0.43461994008106308</v>
      </c>
      <c r="O259" s="122">
        <f t="shared" ref="O259:O271" ca="1" si="53">(DAYS360(C259,NOW(),TRUE))/30</f>
        <v>13.666666666666666</v>
      </c>
      <c r="P259" s="121">
        <f t="shared" ref="P259:P271" ca="1" si="54">(N259/O259)*12</f>
        <v>0.38161750836386032</v>
      </c>
      <c r="Q259" s="118">
        <f t="shared" ref="Q259:Q271" ca="1" si="55">G259+((G259*O259*8)/(100*12))</f>
        <v>6449.8618857199999</v>
      </c>
      <c r="R259" s="118">
        <f t="shared" ref="R259:R271" si="56">-G259</f>
        <v>-5911.278714</v>
      </c>
      <c r="S259" s="123" t="s">
        <v>229</v>
      </c>
      <c r="T259" s="118" t="s">
        <v>216</v>
      </c>
      <c r="U259" s="118" t="s">
        <v>217</v>
      </c>
      <c r="V259" s="118" t="s">
        <v>223</v>
      </c>
      <c r="W259" s="118" t="s">
        <v>219</v>
      </c>
    </row>
    <row r="260" spans="2:23" x14ac:dyDescent="0.3">
      <c r="B260" s="116" t="e" vm="16">
        <v>#VALUE!</v>
      </c>
      <c r="C260" s="117">
        <v>45826</v>
      </c>
      <c r="D260" s="116">
        <v>44</v>
      </c>
      <c r="E260" s="118">
        <v>134.94999999999999</v>
      </c>
      <c r="F260" s="118">
        <f>D260*E260*0.0022+3.47</f>
        <v>16.533159999999999</v>
      </c>
      <c r="G260" s="118">
        <f t="shared" si="47"/>
        <v>5954.3331599999992</v>
      </c>
      <c r="H260" s="119">
        <f t="shared" si="48"/>
        <v>2.7843915254808179E-3</v>
      </c>
      <c r="I260" s="120" cm="1">
        <f t="array" aca="1" ref="I260" ca="1">_FV(B260,"Price")</f>
        <v>197.77</v>
      </c>
      <c r="J260" s="118">
        <f t="shared" ca="1" si="49"/>
        <v>8677.65055907225</v>
      </c>
      <c r="K260" s="118">
        <f t="shared" ca="1" si="50"/>
        <v>8701.880000000001</v>
      </c>
      <c r="L260" s="118">
        <f>0</f>
        <v>0</v>
      </c>
      <c r="M260" s="118">
        <f t="shared" ca="1" si="51"/>
        <v>2723.3173990722507</v>
      </c>
      <c r="N260" s="121">
        <f t="shared" ca="1" si="52"/>
        <v>0.45736731988175333</v>
      </c>
      <c r="O260" s="122">
        <f t="shared" ca="1" si="53"/>
        <v>13.166666666666666</v>
      </c>
      <c r="P260" s="121">
        <f t="shared" ca="1" si="54"/>
        <v>0.41684110166438282</v>
      </c>
      <c r="Q260" s="118">
        <f t="shared" ca="1" si="55"/>
        <v>6476.9912929333323</v>
      </c>
      <c r="R260" s="118">
        <f t="shared" si="56"/>
        <v>-5954.3331599999992</v>
      </c>
      <c r="S260" s="123" t="s">
        <v>229</v>
      </c>
      <c r="T260" s="118" t="s">
        <v>216</v>
      </c>
      <c r="U260" s="118" t="s">
        <v>217</v>
      </c>
      <c r="V260" s="118" t="s">
        <v>223</v>
      </c>
      <c r="W260" s="118" t="s">
        <v>219</v>
      </c>
    </row>
    <row r="261" spans="2:23" x14ac:dyDescent="0.3">
      <c r="B261" s="116" t="e" vm="16">
        <v>#VALUE!</v>
      </c>
      <c r="C261" s="117">
        <v>45841</v>
      </c>
      <c r="D261" s="116">
        <v>40</v>
      </c>
      <c r="E261" s="118">
        <v>147.56</v>
      </c>
      <c r="F261" s="118">
        <f>D261*E261*0.0022+3.45</f>
        <v>16.435279999999999</v>
      </c>
      <c r="G261" s="118">
        <f t="shared" si="47"/>
        <v>5918.8352799999993</v>
      </c>
      <c r="H261" s="119">
        <f t="shared" si="48"/>
        <v>2.7845079967470858E-3</v>
      </c>
      <c r="I261" s="120" cm="1">
        <f t="array" aca="1" ref="I261" ca="1">_FV(B261,"Price")</f>
        <v>197.77</v>
      </c>
      <c r="J261" s="118">
        <f t="shared" ca="1" si="49"/>
        <v>7888.7723141393335</v>
      </c>
      <c r="K261" s="118">
        <f t="shared" ca="1" si="50"/>
        <v>7910.8</v>
      </c>
      <c r="L261" s="118">
        <f>0</f>
        <v>0</v>
      </c>
      <c r="M261" s="118">
        <f t="shared" ca="1" si="51"/>
        <v>1969.9370341393342</v>
      </c>
      <c r="N261" s="121">
        <f t="shared" ca="1" si="52"/>
        <v>0.33282511523776254</v>
      </c>
      <c r="O261" s="122">
        <f t="shared" ca="1" si="53"/>
        <v>12.666666666666666</v>
      </c>
      <c r="P261" s="121">
        <f t="shared" ca="1" si="54"/>
        <v>0.31530800390945923</v>
      </c>
      <c r="Q261" s="118">
        <f t="shared" ca="1" si="55"/>
        <v>6418.6480369777773</v>
      </c>
      <c r="R261" s="118">
        <f t="shared" si="56"/>
        <v>-5918.8352799999993</v>
      </c>
      <c r="S261" s="123" t="s">
        <v>229</v>
      </c>
      <c r="T261" s="118" t="s">
        <v>216</v>
      </c>
      <c r="U261" s="118" t="s">
        <v>217</v>
      </c>
      <c r="V261" s="118" t="s">
        <v>223</v>
      </c>
      <c r="W261" s="118" t="s">
        <v>219</v>
      </c>
    </row>
    <row r="262" spans="2:23" x14ac:dyDescent="0.3">
      <c r="B262" s="116" t="e" vm="16">
        <v>#VALUE!</v>
      </c>
      <c r="C262" s="117">
        <v>45873</v>
      </c>
      <c r="D262" s="116">
        <v>38</v>
      </c>
      <c r="E262" s="118">
        <v>157.44</v>
      </c>
      <c r="F262" s="118">
        <f>D262*E262*0.0022+3.49</f>
        <v>16.651984000000002</v>
      </c>
      <c r="G262" s="118">
        <f t="shared" si="47"/>
        <v>5999.3719840000003</v>
      </c>
      <c r="H262" s="119">
        <f t="shared" si="48"/>
        <v>2.7833467051775786E-3</v>
      </c>
      <c r="I262" s="120" cm="1">
        <f t="array" aca="1" ref="I262" ca="1">_FV(B262,"Price")</f>
        <v>197.77</v>
      </c>
      <c r="J262" s="118">
        <f t="shared" ca="1" si="49"/>
        <v>7494.3424258404475</v>
      </c>
      <c r="K262" s="118">
        <f t="shared" ca="1" si="50"/>
        <v>7515.26</v>
      </c>
      <c r="L262" s="118">
        <f>0</f>
        <v>0</v>
      </c>
      <c r="M262" s="118">
        <f t="shared" ca="1" si="51"/>
        <v>1494.9704418404472</v>
      </c>
      <c r="N262" s="121">
        <f t="shared" ca="1" si="52"/>
        <v>0.24918782263001066</v>
      </c>
      <c r="O262" s="122">
        <f t="shared" ca="1" si="53"/>
        <v>11.633333333333333</v>
      </c>
      <c r="P262" s="121">
        <f t="shared" ca="1" si="54"/>
        <v>0.25704188007680184</v>
      </c>
      <c r="Q262" s="118">
        <f t="shared" ca="1" si="55"/>
        <v>6464.6566112035562</v>
      </c>
      <c r="R262" s="118">
        <f t="shared" si="56"/>
        <v>-5999.3719840000003</v>
      </c>
      <c r="S262" s="123" t="s">
        <v>229</v>
      </c>
      <c r="T262" s="118" t="s">
        <v>216</v>
      </c>
      <c r="U262" s="118" t="s">
        <v>217</v>
      </c>
      <c r="V262" s="118" t="s">
        <v>223</v>
      </c>
      <c r="W262" s="118" t="s">
        <v>219</v>
      </c>
    </row>
    <row r="263" spans="2:23" x14ac:dyDescent="0.3">
      <c r="B263" s="116" t="e" vm="16">
        <v>#VALUE!</v>
      </c>
      <c r="C263" s="117">
        <v>45903</v>
      </c>
      <c r="D263" s="116">
        <v>36</v>
      </c>
      <c r="E263" s="118">
        <v>163.94</v>
      </c>
      <c r="F263" s="118">
        <f>D263*E263*0.0022+3.45</f>
        <v>16.434048000000001</v>
      </c>
      <c r="G263" s="118">
        <f t="shared" si="47"/>
        <v>5918.2740480000002</v>
      </c>
      <c r="H263" s="119">
        <f>F263/(D263*E263)</f>
        <v>2.7845634581757555E-3</v>
      </c>
      <c r="I263" s="120" cm="1">
        <f t="array" aca="1" ref="I263" ca="1">_FV(B263,"Price")</f>
        <v>197.77</v>
      </c>
      <c r="J263" s="118">
        <f t="shared" ca="1" si="49"/>
        <v>7099.8946878555571</v>
      </c>
      <c r="K263" s="118">
        <f t="shared" ca="1" si="50"/>
        <v>7119.72</v>
      </c>
      <c r="L263" s="118">
        <f>0</f>
        <v>0</v>
      </c>
      <c r="M263" s="118">
        <f t="shared" ca="1" si="51"/>
        <v>1181.6206398555569</v>
      </c>
      <c r="N263" s="121">
        <f t="shared" ca="1" si="52"/>
        <v>0.19965629003862526</v>
      </c>
      <c r="O263" s="122">
        <f t="shared" ca="1" si="53"/>
        <v>10.666666666666666</v>
      </c>
      <c r="P263" s="121">
        <f t="shared" ca="1" si="54"/>
        <v>0.22461332629345343</v>
      </c>
      <c r="Q263" s="118">
        <f t="shared" ca="1" si="55"/>
        <v>6339.1290914133333</v>
      </c>
      <c r="R263" s="118">
        <f t="shared" si="56"/>
        <v>-5918.2740480000002</v>
      </c>
      <c r="S263" s="123" t="s">
        <v>229</v>
      </c>
      <c r="T263" s="118" t="s">
        <v>216</v>
      </c>
      <c r="U263" s="118" t="s">
        <v>217</v>
      </c>
      <c r="V263" s="118" t="s">
        <v>223</v>
      </c>
      <c r="W263" s="118" t="s">
        <v>219</v>
      </c>
    </row>
    <row r="264" spans="2:23" x14ac:dyDescent="0.3">
      <c r="B264" s="116" t="e" vm="16">
        <v>#VALUE!</v>
      </c>
      <c r="C264" s="117">
        <v>46056</v>
      </c>
      <c r="D264" s="116">
        <v>36</v>
      </c>
      <c r="E264" s="118">
        <v>166.17</v>
      </c>
      <c r="F264" s="118">
        <f>D264*E264*0.0022+3.49</f>
        <v>16.650663999999999</v>
      </c>
      <c r="G264" s="118">
        <f t="shared" si="47"/>
        <v>5998.7706639999997</v>
      </c>
      <c r="H264" s="119">
        <f>F264/(D264*E264)</f>
        <v>2.7834052142049976E-3</v>
      </c>
      <c r="I264" s="120" cm="1">
        <f t="array" aca="1" ref="I264" ca="1">_FV(B264,"Price")</f>
        <v>197.77</v>
      </c>
      <c r="J264" s="118">
        <f t="shared" ca="1" si="49"/>
        <v>7099.9029342283211</v>
      </c>
      <c r="K264" s="118">
        <f t="shared" ca="1" si="50"/>
        <v>7119.72</v>
      </c>
      <c r="L264" s="118">
        <f>0</f>
        <v>0</v>
      </c>
      <c r="M264" s="118">
        <f t="shared" ca="1" si="51"/>
        <v>1101.1322702283214</v>
      </c>
      <c r="N264" s="121">
        <f t="shared" ca="1" si="52"/>
        <v>0.1835596544532814</v>
      </c>
      <c r="O264" s="122">
        <f t="shared" ca="1" si="53"/>
        <v>5.666666666666667</v>
      </c>
      <c r="P264" s="121">
        <f t="shared" ca="1" si="54"/>
        <v>0.38871456237165469</v>
      </c>
      <c r="Q264" s="118">
        <f t="shared" ca="1" si="55"/>
        <v>6225.3908890844441</v>
      </c>
      <c r="R264" s="118">
        <f t="shared" si="56"/>
        <v>-5998.7706639999997</v>
      </c>
      <c r="S264" s="123" t="s">
        <v>229</v>
      </c>
      <c r="T264" s="118" t="s">
        <v>216</v>
      </c>
      <c r="U264" s="118" t="s">
        <v>217</v>
      </c>
      <c r="V264" s="118" t="s">
        <v>223</v>
      </c>
      <c r="W264" s="118" t="s">
        <v>219</v>
      </c>
    </row>
    <row r="265" spans="2:23" x14ac:dyDescent="0.3">
      <c r="B265" s="116" t="e" vm="16">
        <v>#VALUE!</v>
      </c>
      <c r="C265" s="117">
        <v>46176</v>
      </c>
      <c r="D265" s="116">
        <v>28</v>
      </c>
      <c r="E265" s="118">
        <v>208.38</v>
      </c>
      <c r="F265" s="118">
        <f>D265*E265*0.0022+3.4</f>
        <v>16.236207999999998</v>
      </c>
      <c r="G265" s="118">
        <f t="shared" si="47"/>
        <v>5850.8762079999997</v>
      </c>
      <c r="H265" s="119">
        <f>F265/(D265*E265)</f>
        <v>2.7827266120960333E-3</v>
      </c>
      <c r="I265" s="120" cm="1">
        <f t="array" aca="1" ref="I265" ca="1">_FV(B265,"Price")</f>
        <v>197.77</v>
      </c>
      <c r="J265" s="118">
        <f t="shared" ca="1" si="49"/>
        <v>5522.1504844219216</v>
      </c>
      <c r="K265" s="118">
        <f t="shared" ca="1" si="50"/>
        <v>5537.56</v>
      </c>
      <c r="L265" s="118">
        <f>0</f>
        <v>0</v>
      </c>
      <c r="M265" s="118">
        <f t="shared" ca="1" si="51"/>
        <v>-328.72572357807803</v>
      </c>
      <c r="N265" s="121">
        <f t="shared" ca="1" si="52"/>
        <v>-5.6184016186944089E-2</v>
      </c>
      <c r="O265" s="122">
        <f t="shared" ca="1" si="53"/>
        <v>1.6666666666666667</v>
      </c>
      <c r="P265" s="121">
        <f t="shared" ca="1" si="54"/>
        <v>-0.40452491654599743</v>
      </c>
      <c r="Q265" s="118">
        <f t="shared" ca="1" si="55"/>
        <v>5915.8859436444445</v>
      </c>
      <c r="R265" s="118">
        <f t="shared" si="56"/>
        <v>-5850.8762079999997</v>
      </c>
      <c r="S265" s="123" t="s">
        <v>229</v>
      </c>
      <c r="T265" s="118" t="s">
        <v>216</v>
      </c>
      <c r="U265" s="118" t="s">
        <v>217</v>
      </c>
      <c r="V265" s="118" t="s">
        <v>223</v>
      </c>
      <c r="W265" s="118" t="s">
        <v>219</v>
      </c>
    </row>
    <row r="266" spans="2:23" x14ac:dyDescent="0.3">
      <c r="B266" s="116" t="e" vm="17">
        <v>#VALUE!</v>
      </c>
      <c r="C266" s="117">
        <v>45526</v>
      </c>
      <c r="D266" s="116">
        <v>7</v>
      </c>
      <c r="E266" s="118">
        <v>796.84</v>
      </c>
      <c r="F266" s="118">
        <f>D266*E266*0.0022+3.27</f>
        <v>15.541336000000001</v>
      </c>
      <c r="G266" s="118">
        <f t="shared" si="47"/>
        <v>5593.4213360000003</v>
      </c>
      <c r="H266" s="119">
        <f t="shared" ref="H266:H274" si="57">F266/(D266*E266)</f>
        <v>2.7862442361614092E-3</v>
      </c>
      <c r="I266" s="120" cm="1">
        <f t="array" aca="1" ref="I266" ca="1">_FV(B266,"Price")</f>
        <v>776.24</v>
      </c>
      <c r="J266" s="118">
        <f t="shared" ca="1" si="49"/>
        <v>5418.5404404188548</v>
      </c>
      <c r="K266" s="118">
        <f t="shared" ca="1" si="50"/>
        <v>5433.68</v>
      </c>
      <c r="L266" s="118">
        <v>0</v>
      </c>
      <c r="M266" s="118">
        <f t="shared" ca="1" si="51"/>
        <v>-174.88089558114552</v>
      </c>
      <c r="N266" s="121">
        <f t="shared" ca="1" si="52"/>
        <v>-3.1265460811183476E-2</v>
      </c>
      <c r="O266" s="122">
        <f t="shared" ca="1" si="53"/>
        <v>23.033333333333335</v>
      </c>
      <c r="P266" s="121">
        <f t="shared" ca="1" si="54"/>
        <v>-1.6288807369068091E-2</v>
      </c>
      <c r="Q266" s="118">
        <f t="shared" ca="1" si="55"/>
        <v>6452.3222567057783</v>
      </c>
      <c r="R266" s="118">
        <f t="shared" si="56"/>
        <v>-5593.4213360000003</v>
      </c>
      <c r="S266" s="123" t="s">
        <v>229</v>
      </c>
      <c r="T266" s="118" t="s">
        <v>216</v>
      </c>
      <c r="U266" s="118" t="s">
        <v>217</v>
      </c>
      <c r="V266" s="118" t="s">
        <v>223</v>
      </c>
      <c r="W266" s="118" t="s">
        <v>235</v>
      </c>
    </row>
    <row r="267" spans="2:23" x14ac:dyDescent="0.3">
      <c r="B267" s="116" t="e" vm="17">
        <v>#VALUE!</v>
      </c>
      <c r="C267" s="117">
        <v>45541</v>
      </c>
      <c r="D267" s="116">
        <v>7</v>
      </c>
      <c r="E267" s="118">
        <v>799.68</v>
      </c>
      <c r="F267" s="118">
        <f>D267*E267*0.0022+2.44</f>
        <v>14.755071999999998</v>
      </c>
      <c r="G267" s="118">
        <f t="shared" si="47"/>
        <v>5612.5150719999992</v>
      </c>
      <c r="H267" s="119">
        <f t="shared" si="57"/>
        <v>2.6358886411707539E-3</v>
      </c>
      <c r="I267" s="120" cm="1">
        <f t="array" aca="1" ref="I267" ca="1">_FV(B267,"Price")</f>
        <v>776.24</v>
      </c>
      <c r="J267" s="118">
        <f t="shared" ca="1" si="49"/>
        <v>5419.3574246082435</v>
      </c>
      <c r="K267" s="118">
        <f t="shared" ca="1" si="50"/>
        <v>5433.68</v>
      </c>
      <c r="L267" s="118">
        <v>0</v>
      </c>
      <c r="M267" s="118">
        <f t="shared" ca="1" si="51"/>
        <v>-193.15764739175575</v>
      </c>
      <c r="N267" s="121">
        <f t="shared" ca="1" si="52"/>
        <v>-3.4415524041154104E-2</v>
      </c>
      <c r="O267" s="122">
        <f t="shared" ca="1" si="53"/>
        <v>22.566666666666666</v>
      </c>
      <c r="P267" s="121">
        <f t="shared" ca="1" si="54"/>
        <v>-1.8300721794409863E-2</v>
      </c>
      <c r="Q267" s="118">
        <f t="shared" ca="1" si="55"/>
        <v>6456.8867839431105</v>
      </c>
      <c r="R267" s="118">
        <f t="shared" si="56"/>
        <v>-5612.5150719999992</v>
      </c>
      <c r="S267" s="123" t="s">
        <v>229</v>
      </c>
      <c r="T267" s="118" t="s">
        <v>216</v>
      </c>
      <c r="U267" s="118" t="s">
        <v>217</v>
      </c>
      <c r="V267" s="118" t="s">
        <v>223</v>
      </c>
      <c r="W267" s="118" t="s">
        <v>235</v>
      </c>
    </row>
    <row r="268" spans="2:23" x14ac:dyDescent="0.3">
      <c r="B268" s="116" t="e" vm="17">
        <v>#VALUE!</v>
      </c>
      <c r="C268" s="117">
        <v>45541</v>
      </c>
      <c r="D268" s="116">
        <v>65</v>
      </c>
      <c r="E268" s="118">
        <v>797.49</v>
      </c>
      <c r="F268" s="118">
        <f>D268*E268*0.0022+31.51</f>
        <v>145.55107000000001</v>
      </c>
      <c r="G268" s="118">
        <f t="shared" si="47"/>
        <v>51982.40107</v>
      </c>
      <c r="H268" s="119">
        <f t="shared" si="57"/>
        <v>2.8078687265912189E-3</v>
      </c>
      <c r="I268" s="120" cm="1">
        <f t="array" aca="1" ref="I268" ca="1">_FV(B268,"Price")</f>
        <v>776.24</v>
      </c>
      <c r="J268" s="118">
        <f t="shared" ca="1" si="49"/>
        <v>50313.927298678602</v>
      </c>
      <c r="K268" s="118">
        <f t="shared" ca="1" si="50"/>
        <v>50455.6</v>
      </c>
      <c r="L268" s="118">
        <v>0</v>
      </c>
      <c r="M268" s="118">
        <f t="shared" ca="1" si="51"/>
        <v>-1668.4737713213981</v>
      </c>
      <c r="N268" s="121">
        <f t="shared" ca="1" si="52"/>
        <v>-3.2096896968545473E-2</v>
      </c>
      <c r="O268" s="122">
        <f t="shared" ca="1" si="53"/>
        <v>22.566666666666666</v>
      </c>
      <c r="P268" s="121">
        <f t="shared" ca="1" si="54"/>
        <v>-1.7067773868059632E-2</v>
      </c>
      <c r="Q268" s="118">
        <f t="shared" ca="1" si="55"/>
        <v>59802.864519864444</v>
      </c>
      <c r="R268" s="118">
        <f t="shared" si="56"/>
        <v>-51982.40107</v>
      </c>
      <c r="S268" s="123" t="s">
        <v>229</v>
      </c>
      <c r="T268" s="118" t="s">
        <v>216</v>
      </c>
      <c r="U268" s="118" t="s">
        <v>217</v>
      </c>
      <c r="V268" s="118" t="s">
        <v>223</v>
      </c>
      <c r="W268" s="118" t="s">
        <v>235</v>
      </c>
    </row>
    <row r="269" spans="2:23" x14ac:dyDescent="0.3">
      <c r="B269" s="116" t="e" vm="17">
        <v>#VALUE!</v>
      </c>
      <c r="C269" s="117">
        <v>45558</v>
      </c>
      <c r="D269" s="116">
        <v>7</v>
      </c>
      <c r="E269" s="118">
        <v>813.4</v>
      </c>
      <c r="F269" s="118">
        <f>D269*E269*0.0022+3.33</f>
        <v>15.85636</v>
      </c>
      <c r="G269" s="118">
        <f t="shared" si="47"/>
        <v>5709.6563599999999</v>
      </c>
      <c r="H269" s="119">
        <f t="shared" si="57"/>
        <v>2.784846675331062E-3</v>
      </c>
      <c r="I269" s="120" cm="1">
        <f t="array" aca="1" ref="I269" ca="1">_FV(B269,"Price")</f>
        <v>776.24</v>
      </c>
      <c r="J269" s="118">
        <f t="shared" ca="1" si="49"/>
        <v>5418.5480343171876</v>
      </c>
      <c r="K269" s="118">
        <f t="shared" ca="1" si="50"/>
        <v>5433.68</v>
      </c>
      <c r="L269" s="118">
        <v>0</v>
      </c>
      <c r="M269" s="118">
        <f t="shared" ca="1" si="51"/>
        <v>-291.10832568281239</v>
      </c>
      <c r="N269" s="121">
        <f t="shared" ca="1" si="52"/>
        <v>-5.0985262041726868E-2</v>
      </c>
      <c r="O269" s="122">
        <f t="shared" ca="1" si="53"/>
        <v>22</v>
      </c>
      <c r="P269" s="121">
        <f t="shared" ca="1" si="54"/>
        <v>-2.7810142931851016E-2</v>
      </c>
      <c r="Q269" s="118">
        <f t="shared" ca="1" si="55"/>
        <v>6547.072626133333</v>
      </c>
      <c r="R269" s="118">
        <f t="shared" si="56"/>
        <v>-5709.6563599999999</v>
      </c>
      <c r="S269" s="123" t="s">
        <v>229</v>
      </c>
      <c r="T269" s="118" t="s">
        <v>216</v>
      </c>
      <c r="U269" s="118" t="s">
        <v>217</v>
      </c>
      <c r="V269" s="118" t="s">
        <v>223</v>
      </c>
      <c r="W269" s="118" t="s">
        <v>235</v>
      </c>
    </row>
    <row r="270" spans="2:23" x14ac:dyDescent="0.3">
      <c r="B270" s="116" t="e" vm="17">
        <v>#VALUE!</v>
      </c>
      <c r="C270" s="117">
        <v>45568</v>
      </c>
      <c r="D270" s="116">
        <v>62</v>
      </c>
      <c r="E270" s="118">
        <v>805.52</v>
      </c>
      <c r="F270" s="118">
        <f>D270*E270*0.0022+28.64</f>
        <v>138.51292799999999</v>
      </c>
      <c r="G270" s="118">
        <f t="shared" si="47"/>
        <v>50080.752927999994</v>
      </c>
      <c r="H270" s="119">
        <f t="shared" si="57"/>
        <v>2.7734624638382256E-3</v>
      </c>
      <c r="I270" s="120" cm="1">
        <f t="array" aca="1" ref="I270" ca="1">_FV(B270,"Price")</f>
        <v>776.24</v>
      </c>
      <c r="J270" s="118">
        <f ca="1">I270*D270*(1-H270)</f>
        <v>47993.401904818347</v>
      </c>
      <c r="K270" s="118">
        <f ca="1">I270*D270</f>
        <v>48126.879999999997</v>
      </c>
      <c r="L270" s="118">
        <v>0</v>
      </c>
      <c r="M270" s="118">
        <f ca="1">J270-G270+L270</f>
        <v>-2087.3510231816472</v>
      </c>
      <c r="N270" s="121">
        <f ca="1">M270/G270</f>
        <v>-4.1679705298811827E-2</v>
      </c>
      <c r="O270" s="122">
        <f ca="1">(DAYS360(C270,NOW(),TRUE))/30</f>
        <v>21.666666666666668</v>
      </c>
      <c r="P270" s="121">
        <f ca="1">(N270/O270)*12</f>
        <v>-2.3084144473188087E-2</v>
      </c>
      <c r="Q270" s="118">
        <f ca="1">G270+((G270*O270*8)/(100*12))</f>
        <v>57314.639462044441</v>
      </c>
      <c r="R270" s="118">
        <f>-G270</f>
        <v>-50080.752927999994</v>
      </c>
      <c r="S270" s="123" t="s">
        <v>229</v>
      </c>
      <c r="T270" s="118" t="s">
        <v>216</v>
      </c>
      <c r="U270" s="118" t="s">
        <v>217</v>
      </c>
      <c r="V270" s="118" t="s">
        <v>223</v>
      </c>
      <c r="W270" s="118" t="s">
        <v>235</v>
      </c>
    </row>
    <row r="271" spans="2:23" x14ac:dyDescent="0.3">
      <c r="B271" s="116" t="e" vm="17">
        <v>#VALUE!</v>
      </c>
      <c r="C271" s="117">
        <v>45572</v>
      </c>
      <c r="D271" s="116">
        <v>7</v>
      </c>
      <c r="E271" s="118">
        <v>782.88</v>
      </c>
      <c r="F271" s="118">
        <f>D271*E271*0.0022+3.19</f>
        <v>15.246352</v>
      </c>
      <c r="G271" s="118">
        <f t="shared" si="47"/>
        <v>5495.406352</v>
      </c>
      <c r="H271" s="119">
        <f>F271/(D271*E271)</f>
        <v>2.7820997927067823E-3</v>
      </c>
      <c r="I271" s="120" cm="1">
        <f t="array" aca="1" ref="I271" ca="1">_FV(B271,"Price")</f>
        <v>776.24</v>
      </c>
      <c r="J271" s="118">
        <f ca="1">I271*D271*(1-H271)</f>
        <v>5418.5629599983649</v>
      </c>
      <c r="K271" s="118">
        <f ca="1">I271*D271</f>
        <v>5433.68</v>
      </c>
      <c r="L271" s="118">
        <v>0</v>
      </c>
      <c r="M271" s="118">
        <f ca="1">J271-G271+L271</f>
        <v>-76.843392001635038</v>
      </c>
      <c r="N271" s="121">
        <f ca="1">M271/G271</f>
        <v>-1.3983204713090712E-2</v>
      </c>
      <c r="O271" s="122">
        <f ca="1">(DAYS360(C271,NOW(),TRUE))/30</f>
        <v>21.533333333333335</v>
      </c>
      <c r="P271" s="121">
        <f ca="1">(N271/O271)*12</f>
        <v>-7.7924979825273319E-3</v>
      </c>
      <c r="Q271" s="118">
        <f ca="1">G271+((G271*O271*8)/(100*12))</f>
        <v>6284.3024638648885</v>
      </c>
      <c r="R271" s="118">
        <f>-G271</f>
        <v>-5495.406352</v>
      </c>
      <c r="S271" s="123" t="s">
        <v>229</v>
      </c>
      <c r="T271" s="118" t="s">
        <v>216</v>
      </c>
      <c r="U271" s="118" t="s">
        <v>217</v>
      </c>
      <c r="V271" s="118" t="s">
        <v>223</v>
      </c>
      <c r="W271" s="118" t="s">
        <v>235</v>
      </c>
    </row>
    <row r="272" spans="2:23" x14ac:dyDescent="0.3">
      <c r="B272" s="116" t="e" vm="17">
        <v>#VALUE!</v>
      </c>
      <c r="C272" s="117">
        <v>45586</v>
      </c>
      <c r="D272" s="116">
        <v>7</v>
      </c>
      <c r="E272" s="118">
        <v>789</v>
      </c>
      <c r="F272" s="118">
        <f>D272*E272*0.0022+3.23</f>
        <v>15.380600000000001</v>
      </c>
      <c r="G272" s="118">
        <f t="shared" si="47"/>
        <v>5538.3806000000004</v>
      </c>
      <c r="H272" s="119">
        <f>F272/(D272*E272)</f>
        <v>2.7848270867282276E-3</v>
      </c>
      <c r="I272" s="120" cm="1">
        <f t="array" aca="1" ref="I272" ca="1">_FV(B272,"Price")</f>
        <v>776.24</v>
      </c>
      <c r="J272" s="118">
        <f ca="1">I272*D272*(1-H272)</f>
        <v>5418.5481407553871</v>
      </c>
      <c r="K272" s="118">
        <f ca="1">I272*D272</f>
        <v>5433.68</v>
      </c>
      <c r="L272" s="118">
        <v>0</v>
      </c>
      <c r="M272" s="118">
        <f ca="1">J272-G272+L272</f>
        <v>-119.83245924461335</v>
      </c>
      <c r="N272" s="121">
        <f ca="1">M272/G272</f>
        <v>-2.1636732449303562E-2</v>
      </c>
      <c r="O272" s="122">
        <f ca="1">(DAYS360(C272,NOW(),TRUE))/30</f>
        <v>21.066666666666666</v>
      </c>
      <c r="P272" s="121">
        <f ca="1">(N272/O272)*12</f>
        <v>-1.2324721015426079E-2</v>
      </c>
      <c r="Q272" s="118">
        <f ca="1">G272+((G272*O272*8)/(100*12))</f>
        <v>6316.2153864888896</v>
      </c>
      <c r="R272" s="118">
        <f>-G272</f>
        <v>-5538.3806000000004</v>
      </c>
      <c r="S272" s="123" t="s">
        <v>229</v>
      </c>
      <c r="T272" s="118" t="s">
        <v>216</v>
      </c>
      <c r="U272" s="118" t="s">
        <v>217</v>
      </c>
      <c r="V272" s="118" t="s">
        <v>223</v>
      </c>
      <c r="W272" s="118" t="s">
        <v>235</v>
      </c>
    </row>
    <row r="273" spans="2:23" x14ac:dyDescent="0.3">
      <c r="B273" s="116" t="e" vm="17">
        <v>#VALUE!</v>
      </c>
      <c r="C273" s="117">
        <v>45590</v>
      </c>
      <c r="D273" s="116">
        <v>70</v>
      </c>
      <c r="E273" s="118">
        <v>738.96</v>
      </c>
      <c r="F273" s="118">
        <f>D273*E273*0.0022+30.42</f>
        <v>144.21984000000003</v>
      </c>
      <c r="G273" s="118">
        <f t="shared" si="47"/>
        <v>51871.419840000002</v>
      </c>
      <c r="H273" s="119">
        <f>F273/(D273*E273)</f>
        <v>2.7880851853570271E-3</v>
      </c>
      <c r="I273" s="120" cm="1">
        <f t="array" aca="1" ref="I273" ca="1">_FV(B273,"Price")</f>
        <v>776.24</v>
      </c>
      <c r="J273" s="118">
        <f ca="1">I273*D273*(1-H273)</f>
        <v>54185.304372900297</v>
      </c>
      <c r="K273" s="118">
        <f ca="1">I273*D273</f>
        <v>54336.800000000003</v>
      </c>
      <c r="L273" s="118">
        <v>0</v>
      </c>
      <c r="M273" s="118">
        <f ca="1">J273-G273+L273</f>
        <v>2313.8845329002943</v>
      </c>
      <c r="N273" s="121">
        <f ca="1">M273/G273</f>
        <v>4.4608081676529916E-2</v>
      </c>
      <c r="O273" s="122">
        <f ca="1">(DAYS360(C273,NOW(),TRUE))/30</f>
        <v>20.933333333333334</v>
      </c>
      <c r="P273" s="121">
        <f ca="1">(N273/O273)*12</f>
        <v>2.557151178909358E-2</v>
      </c>
      <c r="Q273" s="118">
        <f ca="1">G273+((G273*O273*8)/(100*12))</f>
        <v>59110.364653226672</v>
      </c>
      <c r="R273" s="118">
        <f>-G273</f>
        <v>-51871.419840000002</v>
      </c>
      <c r="S273" s="123" t="s">
        <v>229</v>
      </c>
      <c r="T273" s="118" t="s">
        <v>216</v>
      </c>
      <c r="U273" s="118" t="s">
        <v>217</v>
      </c>
      <c r="V273" s="118" t="s">
        <v>223</v>
      </c>
      <c r="W273" s="118" t="s">
        <v>235</v>
      </c>
    </row>
    <row r="274" spans="2:23" x14ac:dyDescent="0.3">
      <c r="B274" s="116" t="e" vm="17">
        <v>#VALUE!</v>
      </c>
      <c r="C274" s="117">
        <v>45601</v>
      </c>
      <c r="D274" s="116">
        <v>8</v>
      </c>
      <c r="E274" s="118">
        <v>736.19</v>
      </c>
      <c r="F274" s="118">
        <f>D274*E274*0.0022+3.44</f>
        <v>16.396944000000001</v>
      </c>
      <c r="G274" s="118">
        <f t="shared" si="47"/>
        <v>5905.9169440000005</v>
      </c>
      <c r="H274" s="119">
        <f t="shared" ref="H274:H282" si="58">F274/(D274*E274)</f>
        <v>2.7840883467583097E-3</v>
      </c>
      <c r="I274" s="120" cm="1">
        <f t="array" aca="1" ref="I274" ca="1">_FV(B274,"Price")</f>
        <v>776.24</v>
      </c>
      <c r="J274" s="118">
        <f t="shared" ref="J274:J282" ca="1" si="59">I274*D274*(1-H274)</f>
        <v>6192.631034093698</v>
      </c>
      <c r="K274" s="118">
        <f t="shared" ref="K274:K282" ca="1" si="60">I274*D274</f>
        <v>6209.92</v>
      </c>
      <c r="L274" s="118">
        <v>0</v>
      </c>
      <c r="M274" s="118">
        <f t="shared" ref="M274:M282" ca="1" si="61">J274-G274+L274</f>
        <v>286.71409009369745</v>
      </c>
      <c r="N274" s="121">
        <f t="shared" ref="N274:N282" ca="1" si="62">M274/G274</f>
        <v>4.8546922148131284E-2</v>
      </c>
      <c r="O274" s="122">
        <f t="shared" ref="O274:O282" ca="1" si="63">(DAYS360(C274,NOW(),TRUE))/30</f>
        <v>20.6</v>
      </c>
      <c r="P274" s="121">
        <f t="shared" ref="P274:P282" ca="1" si="64">(N274/O274)*12</f>
        <v>2.8279760474639579E-2</v>
      </c>
      <c r="Q274" s="118">
        <f t="shared" ref="Q274:Q282" ca="1" si="65">G274+((G274*O274*8)/(100*12))</f>
        <v>6716.9962043093337</v>
      </c>
      <c r="R274" s="118">
        <f t="shared" ref="R274:R282" si="66">-G274</f>
        <v>-5905.9169440000005</v>
      </c>
      <c r="S274" s="123" t="s">
        <v>229</v>
      </c>
      <c r="T274" s="118" t="s">
        <v>216</v>
      </c>
      <c r="U274" s="118" t="s">
        <v>217</v>
      </c>
      <c r="V274" s="118" t="s">
        <v>223</v>
      </c>
      <c r="W274" s="118" t="s">
        <v>235</v>
      </c>
    </row>
    <row r="275" spans="2:23" x14ac:dyDescent="0.3">
      <c r="B275" s="116" t="e" vm="18">
        <v>#VALUE!</v>
      </c>
      <c r="C275" s="117">
        <v>45526</v>
      </c>
      <c r="D275" s="116">
        <v>134</v>
      </c>
      <c r="E275" s="118">
        <v>44.68</v>
      </c>
      <c r="F275" s="118">
        <f>D275*E275*0.0022+3.51</f>
        <v>16.681663999999998</v>
      </c>
      <c r="G275" s="118">
        <f t="shared" si="47"/>
        <v>6003.8016639999996</v>
      </c>
      <c r="H275" s="119">
        <f>F275/(D275*E275)</f>
        <v>2.7862585015833987E-3</v>
      </c>
      <c r="I275" s="120" cm="1">
        <f t="array" aca="1" ref="I275" ca="1">_FV(B275,"Price")</f>
        <v>31.74</v>
      </c>
      <c r="J275" s="118">
        <f ca="1">I275*D275*(1-H275)</f>
        <v>4241.3095967914051</v>
      </c>
      <c r="K275" s="118">
        <f ca="1">I275*D275</f>
        <v>4253.16</v>
      </c>
      <c r="L275" s="118">
        <v>0</v>
      </c>
      <c r="M275" s="118">
        <f ca="1">J275-G275+L275</f>
        <v>-1762.4920672085946</v>
      </c>
      <c r="N275" s="121">
        <f ca="1">M275/G275</f>
        <v>-0.29356267342688064</v>
      </c>
      <c r="O275" s="122">
        <f ca="1">(DAYS360(C275,NOW(),TRUE))/30</f>
        <v>23.033333333333335</v>
      </c>
      <c r="P275" s="121">
        <f ca="1">(N275/O275)*12</f>
        <v>-0.15294147964352681</v>
      </c>
      <c r="Q275" s="118">
        <f ca="1">G275+((G275*O275*8)/(100*12))</f>
        <v>6925.7187639608883</v>
      </c>
      <c r="R275" s="118">
        <f>-G275</f>
        <v>-6003.8016639999996</v>
      </c>
      <c r="S275" s="123" t="s">
        <v>229</v>
      </c>
      <c r="T275" s="118" t="s">
        <v>216</v>
      </c>
      <c r="U275" s="118" t="s">
        <v>243</v>
      </c>
      <c r="V275" s="118" t="s">
        <v>223</v>
      </c>
      <c r="W275" s="118" t="s">
        <v>219</v>
      </c>
    </row>
    <row r="276" spans="2:23" x14ac:dyDescent="0.3">
      <c r="B276" s="116" t="e" vm="18">
        <v>#VALUE!</v>
      </c>
      <c r="C276" s="117">
        <v>45532</v>
      </c>
      <c r="D276" s="116">
        <v>2500</v>
      </c>
      <c r="E276" s="118">
        <v>45.39</v>
      </c>
      <c r="F276" s="118">
        <f>D276*E276*0.0022+66.51</f>
        <v>316.15500000000003</v>
      </c>
      <c r="G276" s="118">
        <f t="shared" si="47"/>
        <v>113791.155</v>
      </c>
      <c r="H276" s="119">
        <f>F276/(D276*E276)</f>
        <v>2.7861202908129544E-3</v>
      </c>
      <c r="I276" s="120" cm="1">
        <f t="array" aca="1" ref="I276" ca="1">_FV(B276,"Price")</f>
        <v>31.74</v>
      </c>
      <c r="J276" s="118">
        <f ca="1">I276*D276*(1-H276)</f>
        <v>79128.921354923994</v>
      </c>
      <c r="K276" s="118">
        <f ca="1">I276*D276</f>
        <v>79350</v>
      </c>
      <c r="L276" s="118">
        <v>0</v>
      </c>
      <c r="M276" s="118">
        <f ca="1">J276-G276+L276</f>
        <v>-34662.233645076005</v>
      </c>
      <c r="N276" s="121">
        <f ca="1">M276/G276</f>
        <v>-0.30461272359065172</v>
      </c>
      <c r="O276" s="122">
        <f ca="1">(DAYS360(C276,NOW(),TRUE))/30</f>
        <v>22.833333333333332</v>
      </c>
      <c r="P276" s="121">
        <f ca="1">(N276/O276)*12</f>
        <v>-0.160088438675379</v>
      </c>
      <c r="Q276" s="118">
        <f ca="1">G276+((G276*O276*8)/(100*12))</f>
        <v>131112.69748333332</v>
      </c>
      <c r="R276" s="118">
        <f>-G276</f>
        <v>-113791.155</v>
      </c>
      <c r="S276" s="123" t="s">
        <v>229</v>
      </c>
      <c r="T276" s="118" t="s">
        <v>216</v>
      </c>
      <c r="U276" s="118" t="s">
        <v>243</v>
      </c>
      <c r="V276" s="118" t="s">
        <v>223</v>
      </c>
      <c r="W276" s="118" t="s">
        <v>219</v>
      </c>
    </row>
    <row r="277" spans="2:23" x14ac:dyDescent="0.3">
      <c r="B277" s="116" t="e" vm="18">
        <v>#VALUE!</v>
      </c>
      <c r="C277" s="117">
        <v>45541</v>
      </c>
      <c r="D277" s="116">
        <v>132</v>
      </c>
      <c r="E277" s="118">
        <v>45.22</v>
      </c>
      <c r="F277" s="118">
        <f>D277*E277*0.0022+2.6</f>
        <v>15.731888</v>
      </c>
      <c r="G277" s="118">
        <f t="shared" si="47"/>
        <v>5984.7718880000002</v>
      </c>
      <c r="H277" s="119">
        <f>F277/(D277*E277)</f>
        <v>2.6355809309369679E-3</v>
      </c>
      <c r="I277" s="120" cm="1">
        <f t="array" aca="1" ref="I277" ca="1">_FV(B277,"Price")</f>
        <v>31.74</v>
      </c>
      <c r="J277" s="118">
        <f ca="1">I277*D277*(1-H277)</f>
        <v>4178.6377592852714</v>
      </c>
      <c r="K277" s="118">
        <f ca="1">I277*D277</f>
        <v>4189.6799999999994</v>
      </c>
      <c r="L277" s="118">
        <v>0</v>
      </c>
      <c r="M277" s="118">
        <f ca="1">J277-G277+L277</f>
        <v>-1806.1341287147288</v>
      </c>
      <c r="N277" s="121">
        <f ca="1">M277/G277</f>
        <v>-0.30178829912234223</v>
      </c>
      <c r="O277" s="122">
        <f ca="1">(DAYS360(C277,NOW(),TRUE))/30</f>
        <v>22.566666666666666</v>
      </c>
      <c r="P277" s="121">
        <f ca="1">(N277/O277)*12</f>
        <v>-0.16047826836638582</v>
      </c>
      <c r="Q277" s="118">
        <f ca="1">G277+((G277*O277*8)/(100*12))</f>
        <v>6885.1475698168888</v>
      </c>
      <c r="R277" s="118">
        <f>-G277</f>
        <v>-5984.7718880000002</v>
      </c>
      <c r="S277" s="123" t="s">
        <v>229</v>
      </c>
      <c r="T277" s="118" t="s">
        <v>216</v>
      </c>
      <c r="U277" s="118" t="s">
        <v>243</v>
      </c>
      <c r="V277" s="118" t="s">
        <v>223</v>
      </c>
      <c r="W277" s="118" t="s">
        <v>219</v>
      </c>
    </row>
    <row r="278" spans="2:23" x14ac:dyDescent="0.3">
      <c r="B278" s="116" t="e" vm="18">
        <v>#VALUE!</v>
      </c>
      <c r="C278" s="117">
        <v>45541</v>
      </c>
      <c r="D278" s="116">
        <v>950</v>
      </c>
      <c r="E278" s="118">
        <v>45.17</v>
      </c>
      <c r="F278" s="118">
        <f>D278*E278*0.0022+26.06</f>
        <v>120.46530000000001</v>
      </c>
      <c r="G278" s="118">
        <f t="shared" si="47"/>
        <v>43031.965300000003</v>
      </c>
      <c r="H278" s="119">
        <f>F278/(D278*E278)</f>
        <v>2.8072964123836272E-3</v>
      </c>
      <c r="I278" s="120" cm="1">
        <f t="array" aca="1" ref="I278" ca="1">_FV(B278,"Price")</f>
        <v>31.74</v>
      </c>
      <c r="J278" s="118">
        <f ca="1">I278*D278*(1-H278)</f>
        <v>30068.351591277395</v>
      </c>
      <c r="K278" s="118">
        <f ca="1">I278*D278</f>
        <v>30153</v>
      </c>
      <c r="L278" s="118">
        <v>0</v>
      </c>
      <c r="M278" s="118">
        <f ca="1">J278-G278+L278</f>
        <v>-12963.613708722609</v>
      </c>
      <c r="N278" s="121">
        <f ca="1">M278/G278</f>
        <v>-0.30125544158501649</v>
      </c>
      <c r="O278" s="122">
        <f ca="1">(DAYS360(C278,NOW(),TRUE))/30</f>
        <v>22.566666666666666</v>
      </c>
      <c r="P278" s="121">
        <f ca="1">(N278/O278)*12</f>
        <v>-0.16019491723870893</v>
      </c>
      <c r="Q278" s="118">
        <f ca="1">G278+((G278*O278*8)/(100*12))</f>
        <v>49505.885412911113</v>
      </c>
      <c r="R278" s="118">
        <f>-G278</f>
        <v>-43031.965300000003</v>
      </c>
      <c r="S278" s="123" t="s">
        <v>229</v>
      </c>
      <c r="T278" s="118" t="s">
        <v>216</v>
      </c>
      <c r="U278" s="118" t="s">
        <v>243</v>
      </c>
      <c r="V278" s="118" t="s">
        <v>223</v>
      </c>
      <c r="W278" s="118" t="s">
        <v>219</v>
      </c>
    </row>
    <row r="279" spans="2:23" x14ac:dyDescent="0.3">
      <c r="B279" s="116" t="e" vm="18">
        <v>#VALUE!</v>
      </c>
      <c r="C279" s="117">
        <v>45553</v>
      </c>
      <c r="D279" s="116">
        <v>1110</v>
      </c>
      <c r="E279" s="118">
        <v>45.05</v>
      </c>
      <c r="F279" s="118">
        <f>D279*E279*0.0022+29.82</f>
        <v>139.8321</v>
      </c>
      <c r="G279" s="118">
        <f t="shared" si="47"/>
        <v>50145.3321</v>
      </c>
      <c r="H279" s="119">
        <f>F279/(D279*E279)</f>
        <v>2.7963344032156463E-3</v>
      </c>
      <c r="I279" s="120" cm="1">
        <f t="array" aca="1" ref="I279" ca="1">_FV(B279,"Price")</f>
        <v>31.74</v>
      </c>
      <c r="J279" s="118">
        <f ca="1">I279*D279*(1-H279)</f>
        <v>35132.881224106546</v>
      </c>
      <c r="K279" s="118">
        <f ca="1">I279*D279</f>
        <v>35231.4</v>
      </c>
      <c r="L279" s="118">
        <v>0</v>
      </c>
      <c r="M279" s="118">
        <f ca="1">J279-G279+L279</f>
        <v>-15012.450875893453</v>
      </c>
      <c r="N279" s="121">
        <f ca="1">M279/G279</f>
        <v>-0.29937883043541463</v>
      </c>
      <c r="O279" s="122">
        <f ca="1">(DAYS360(C279,NOW(),TRUE))/30</f>
        <v>22.166666666666668</v>
      </c>
      <c r="P279" s="121">
        <f ca="1">(N279/O279)*12</f>
        <v>-0.16206974279210418</v>
      </c>
      <c r="Q279" s="118">
        <f ca="1">G279+((G279*O279*8)/(100*12))</f>
        <v>57555.697843666669</v>
      </c>
      <c r="R279" s="118">
        <f>-G279</f>
        <v>-50145.3321</v>
      </c>
      <c r="S279" s="123" t="s">
        <v>229</v>
      </c>
      <c r="T279" s="118" t="s">
        <v>216</v>
      </c>
      <c r="U279" s="118" t="s">
        <v>243</v>
      </c>
      <c r="V279" s="118" t="s">
        <v>223</v>
      </c>
      <c r="W279" s="118" t="s">
        <v>219</v>
      </c>
    </row>
    <row r="280" spans="2:23" x14ac:dyDescent="0.3">
      <c r="B280" s="116" t="e" vm="18">
        <v>#VALUE!</v>
      </c>
      <c r="C280" s="117">
        <v>45558</v>
      </c>
      <c r="D280" s="116">
        <v>133</v>
      </c>
      <c r="E280" s="118">
        <v>44.88</v>
      </c>
      <c r="F280" s="118">
        <f>D280*E280*0.0022+3.5</f>
        <v>16.631888</v>
      </c>
      <c r="G280" s="118">
        <f t="shared" si="47"/>
        <v>5985.6718879999999</v>
      </c>
      <c r="H280" s="119">
        <f t="shared" ref="H280:H343" si="67">F280/(D280*E280)</f>
        <v>2.7863589454920723E-3</v>
      </c>
      <c r="I280" s="120" cm="1">
        <f t="array" aca="1" ref="I280" ca="1">_FV(B280,"Price")</f>
        <v>31.74</v>
      </c>
      <c r="J280" s="118">
        <f t="shared" ref="J280:J343" ca="1" si="68">I280*D280*(1-H280)</f>
        <v>4209.6576086203213</v>
      </c>
      <c r="K280" s="118">
        <f t="shared" ref="K280:K343" ca="1" si="69">I280*D280</f>
        <v>4221.42</v>
      </c>
      <c r="L280" s="118">
        <v>0</v>
      </c>
      <c r="M280" s="118">
        <f t="shared" ref="M280:M343" ca="1" si="70">J280-G280+L280</f>
        <v>-1776.0142793796786</v>
      </c>
      <c r="N280" s="121">
        <f t="shared" ref="N280:N343" ca="1" si="71">M280/G280</f>
        <v>-0.29671093113877656</v>
      </c>
      <c r="O280" s="122">
        <f t="shared" ref="O280:O343" ca="1" si="72">(DAYS360(C280,NOW(),TRUE))/30</f>
        <v>22</v>
      </c>
      <c r="P280" s="121">
        <f t="shared" ref="P280:P343" ca="1" si="73">(N280/O280)*12</f>
        <v>-0.16184232607569629</v>
      </c>
      <c r="Q280" s="118">
        <f t="shared" ref="Q280:Q343" ca="1" si="74">G280+((G280*O280*8)/(100*12))</f>
        <v>6863.5704315733328</v>
      </c>
      <c r="R280" s="118">
        <f t="shared" ref="R280:R343" si="75">-G280</f>
        <v>-5985.6718879999999</v>
      </c>
      <c r="S280" s="123" t="s">
        <v>229</v>
      </c>
      <c r="T280" s="118" t="s">
        <v>216</v>
      </c>
      <c r="U280" s="118" t="s">
        <v>243</v>
      </c>
      <c r="V280" s="118" t="s">
        <v>223</v>
      </c>
      <c r="W280" s="118" t="s">
        <v>219</v>
      </c>
    </row>
    <row r="281" spans="2:23" x14ac:dyDescent="0.3">
      <c r="B281" s="116" t="e" vm="18">
        <v>#VALUE!</v>
      </c>
      <c r="C281" s="117">
        <v>45572</v>
      </c>
      <c r="D281" s="116">
        <v>133</v>
      </c>
      <c r="E281" s="118">
        <v>44.84</v>
      </c>
      <c r="F281" s="118">
        <f>D281*E281*0.0022+3.48</f>
        <v>16.600184000000002</v>
      </c>
      <c r="G281" s="118">
        <f t="shared" si="47"/>
        <v>5980.3201840000002</v>
      </c>
      <c r="H281" s="119">
        <f t="shared" si="67"/>
        <v>2.7835284017358295E-3</v>
      </c>
      <c r="I281" s="120" cm="1">
        <f t="array" aca="1" ref="I281" ca="1">_FV(B281,"Price")</f>
        <v>31.74</v>
      </c>
      <c r="J281" s="118">
        <f t="shared" ca="1" si="68"/>
        <v>4209.6695575343447</v>
      </c>
      <c r="K281" s="118">
        <f t="shared" ca="1" si="69"/>
        <v>4221.42</v>
      </c>
      <c r="L281" s="118">
        <v>0</v>
      </c>
      <c r="M281" s="118">
        <f t="shared" ca="1" si="70"/>
        <v>-1770.6506264656555</v>
      </c>
      <c r="N281" s="121">
        <f t="shared" ca="1" si="71"/>
        <v>-0.29607956965296417</v>
      </c>
      <c r="O281" s="122">
        <f t="shared" ca="1" si="72"/>
        <v>21.533333333333335</v>
      </c>
      <c r="P281" s="121">
        <f t="shared" ca="1" si="73"/>
        <v>-0.16499790259298314</v>
      </c>
      <c r="Q281" s="118">
        <f t="shared" ca="1" si="74"/>
        <v>6838.8283704142223</v>
      </c>
      <c r="R281" s="118">
        <f t="shared" si="75"/>
        <v>-5980.3201840000002</v>
      </c>
      <c r="S281" s="123" t="s">
        <v>229</v>
      </c>
      <c r="T281" s="118" t="s">
        <v>216</v>
      </c>
      <c r="U281" s="118" t="s">
        <v>243</v>
      </c>
      <c r="V281" s="118" t="s">
        <v>223</v>
      </c>
      <c r="W281" s="118" t="s">
        <v>219</v>
      </c>
    </row>
    <row r="282" spans="2:23" x14ac:dyDescent="0.3">
      <c r="B282" s="116" t="e" vm="18">
        <v>#VALUE!</v>
      </c>
      <c r="C282" s="117">
        <v>45586</v>
      </c>
      <c r="D282" s="116">
        <v>133</v>
      </c>
      <c r="E282" s="118">
        <v>44.84</v>
      </c>
      <c r="F282" s="118">
        <f>D282*E282*0.0022+3.48</f>
        <v>16.600184000000002</v>
      </c>
      <c r="G282" s="118">
        <f t="shared" si="47"/>
        <v>5980.3201840000002</v>
      </c>
      <c r="H282" s="119">
        <f t="shared" si="67"/>
        <v>2.7835284017358295E-3</v>
      </c>
      <c r="I282" s="120" cm="1">
        <f t="array" aca="1" ref="I282" ca="1">_FV(B282,"Price")</f>
        <v>31.74</v>
      </c>
      <c r="J282" s="118">
        <f t="shared" ca="1" si="68"/>
        <v>4209.6695575343447</v>
      </c>
      <c r="K282" s="118">
        <f t="shared" ca="1" si="69"/>
        <v>4221.42</v>
      </c>
      <c r="L282" s="118">
        <v>0</v>
      </c>
      <c r="M282" s="118">
        <f t="shared" ca="1" si="70"/>
        <v>-1770.6506264656555</v>
      </c>
      <c r="N282" s="121">
        <f t="shared" ca="1" si="71"/>
        <v>-0.29607956965296417</v>
      </c>
      <c r="O282" s="122">
        <f t="shared" ca="1" si="72"/>
        <v>21.066666666666666</v>
      </c>
      <c r="P282" s="121">
        <f t="shared" ca="1" si="73"/>
        <v>-0.16865291942257454</v>
      </c>
      <c r="Q282" s="118">
        <f t="shared" ca="1" si="74"/>
        <v>6820.2229298417778</v>
      </c>
      <c r="R282" s="118">
        <f t="shared" si="75"/>
        <v>-5980.3201840000002</v>
      </c>
      <c r="S282" s="123" t="s">
        <v>229</v>
      </c>
      <c r="T282" s="118" t="s">
        <v>216</v>
      </c>
      <c r="U282" s="118" t="s">
        <v>243</v>
      </c>
      <c r="V282" s="118" t="s">
        <v>223</v>
      </c>
      <c r="W282" s="118" t="s">
        <v>219</v>
      </c>
    </row>
    <row r="283" spans="2:23" x14ac:dyDescent="0.3">
      <c r="B283" s="116" t="e" vm="18">
        <v>#VALUE!</v>
      </c>
      <c r="C283" s="117">
        <v>45597</v>
      </c>
      <c r="D283" s="116">
        <v>500</v>
      </c>
      <c r="E283" s="118">
        <v>43.84</v>
      </c>
      <c r="F283" s="118">
        <f>D283*E283*0.0022+12.71</f>
        <v>60.934000000000005</v>
      </c>
      <c r="G283" s="118">
        <f t="shared" si="47"/>
        <v>21980.934000000001</v>
      </c>
      <c r="H283" s="119">
        <f t="shared" si="67"/>
        <v>2.779835766423358E-3</v>
      </c>
      <c r="I283" s="120" cm="1">
        <f t="array" aca="1" ref="I283" ca="1">_FV(B283,"Price")</f>
        <v>31.74</v>
      </c>
      <c r="J283" s="118">
        <f t="shared" ca="1" si="68"/>
        <v>15825.884006386861</v>
      </c>
      <c r="K283" s="118">
        <f t="shared" ca="1" si="69"/>
        <v>15870</v>
      </c>
      <c r="L283" s="118">
        <v>0</v>
      </c>
      <c r="M283" s="118">
        <f t="shared" ca="1" si="70"/>
        <v>-6155.04999361314</v>
      </c>
      <c r="N283" s="121">
        <f t="shared" ca="1" si="71"/>
        <v>-0.28001767320775084</v>
      </c>
      <c r="O283" s="122">
        <f t="shared" ca="1" si="72"/>
        <v>20.733333333333334</v>
      </c>
      <c r="P283" s="121">
        <f t="shared" ca="1" si="73"/>
        <v>-0.16206810667972715</v>
      </c>
      <c r="Q283" s="118">
        <f t="shared" ca="1" si="74"/>
        <v>25019.187544</v>
      </c>
      <c r="R283" s="118">
        <f t="shared" si="75"/>
        <v>-21980.934000000001</v>
      </c>
      <c r="S283" s="123" t="s">
        <v>229</v>
      </c>
      <c r="T283" s="118" t="s">
        <v>216</v>
      </c>
      <c r="U283" s="118" t="s">
        <v>243</v>
      </c>
      <c r="V283" s="118" t="s">
        <v>223</v>
      </c>
      <c r="W283" s="118" t="s">
        <v>219</v>
      </c>
    </row>
    <row r="284" spans="2:23" x14ac:dyDescent="0.3">
      <c r="B284" s="116" t="e" vm="18">
        <v>#VALUE!</v>
      </c>
      <c r="C284" s="117">
        <v>45601</v>
      </c>
      <c r="D284" s="116">
        <v>138</v>
      </c>
      <c r="E284" s="118">
        <v>43.43</v>
      </c>
      <c r="F284" s="118">
        <f>D284*E284*0.0022+3.5</f>
        <v>16.685348000000001</v>
      </c>
      <c r="G284" s="118">
        <f t="shared" si="47"/>
        <v>6010.0253480000001</v>
      </c>
      <c r="H284" s="119">
        <f t="shared" si="67"/>
        <v>2.7839815528570046E-3</v>
      </c>
      <c r="I284" s="120" cm="1">
        <f t="array" aca="1" ref="I284" ca="1">_FV(B284,"Price")</f>
        <v>31.74</v>
      </c>
      <c r="J284" s="118">
        <f t="shared" ca="1" si="68"/>
        <v>4367.9258267206997</v>
      </c>
      <c r="K284" s="118">
        <f t="shared" ca="1" si="69"/>
        <v>4380.12</v>
      </c>
      <c r="L284" s="118">
        <v>0</v>
      </c>
      <c r="M284" s="118">
        <f t="shared" ca="1" si="70"/>
        <v>-1642.0995212793005</v>
      </c>
      <c r="N284" s="121">
        <f t="shared" ca="1" si="71"/>
        <v>-0.27322672138575155</v>
      </c>
      <c r="O284" s="122">
        <f t="shared" ca="1" si="72"/>
        <v>20.6</v>
      </c>
      <c r="P284" s="121">
        <f t="shared" ca="1" si="73"/>
        <v>-0.15916119692373876</v>
      </c>
      <c r="Q284" s="118">
        <f t="shared" ca="1" si="74"/>
        <v>6835.4021624586667</v>
      </c>
      <c r="R284" s="118">
        <f t="shared" si="75"/>
        <v>-6010.0253480000001</v>
      </c>
      <c r="S284" s="123" t="s">
        <v>229</v>
      </c>
      <c r="T284" s="118" t="s">
        <v>216</v>
      </c>
      <c r="U284" s="118" t="s">
        <v>243</v>
      </c>
      <c r="V284" s="118" t="s">
        <v>223</v>
      </c>
      <c r="W284" s="118" t="s">
        <v>219</v>
      </c>
    </row>
    <row r="285" spans="2:23" x14ac:dyDescent="0.3">
      <c r="B285" s="116" t="e" vm="18">
        <v>#VALUE!</v>
      </c>
      <c r="C285" s="117">
        <v>45617</v>
      </c>
      <c r="D285" s="116">
        <v>133</v>
      </c>
      <c r="E285" s="118">
        <v>44.97</v>
      </c>
      <c r="F285" s="118">
        <f>D285*E285*0.0022+3.49</f>
        <v>16.648222000000004</v>
      </c>
      <c r="G285" s="118">
        <f t="shared" si="47"/>
        <v>5997.658222</v>
      </c>
      <c r="H285" s="119">
        <f t="shared" si="67"/>
        <v>2.7835134868525557E-3</v>
      </c>
      <c r="I285" s="120" cm="1">
        <f t="array" aca="1" ref="I285" ca="1">_FV(B285,"Price")</f>
        <v>31.74</v>
      </c>
      <c r="J285" s="118">
        <f t="shared" ca="1" si="68"/>
        <v>4209.6696204963309</v>
      </c>
      <c r="K285" s="118">
        <f t="shared" ca="1" si="69"/>
        <v>4221.42</v>
      </c>
      <c r="L285" s="118">
        <v>0</v>
      </c>
      <c r="M285" s="118">
        <f t="shared" ca="1" si="70"/>
        <v>-1787.9886015036691</v>
      </c>
      <c r="N285" s="121">
        <f t="shared" ca="1" si="71"/>
        <v>-0.29811445322862029</v>
      </c>
      <c r="O285" s="122">
        <f t="shared" ca="1" si="72"/>
        <v>20.066666666666666</v>
      </c>
      <c r="P285" s="121">
        <f t="shared" ca="1" si="73"/>
        <v>-0.17827442385764669</v>
      </c>
      <c r="Q285" s="118">
        <f t="shared" ca="1" si="74"/>
        <v>6800.0116108097782</v>
      </c>
      <c r="R285" s="118">
        <f t="shared" si="75"/>
        <v>-5997.658222</v>
      </c>
      <c r="S285" s="123" t="s">
        <v>229</v>
      </c>
      <c r="T285" s="118" t="s">
        <v>216</v>
      </c>
      <c r="U285" s="118" t="s">
        <v>243</v>
      </c>
      <c r="V285" s="118" t="s">
        <v>223</v>
      </c>
      <c r="W285" s="118" t="s">
        <v>219</v>
      </c>
    </row>
    <row r="286" spans="2:23" x14ac:dyDescent="0.3">
      <c r="B286" s="116" t="e" vm="18">
        <v>#VALUE!</v>
      </c>
      <c r="C286" s="117">
        <v>45631</v>
      </c>
      <c r="D286" s="116">
        <v>126</v>
      </c>
      <c r="E286" s="118">
        <v>47.42</v>
      </c>
      <c r="F286" s="118">
        <f>D286*E286*0.0022+3.49</f>
        <v>16.634824000000002</v>
      </c>
      <c r="G286" s="118">
        <f t="shared" si="47"/>
        <v>5991.5548239999998</v>
      </c>
      <c r="H286" s="119">
        <f t="shared" si="67"/>
        <v>2.7841082391061307E-3</v>
      </c>
      <c r="I286" s="120" cm="1">
        <f t="array" aca="1" ref="I286" ca="1">_FV(B286,"Price")</f>
        <v>31.74</v>
      </c>
      <c r="J286" s="118">
        <f t="shared" ca="1" si="68"/>
        <v>3988.1056829658369</v>
      </c>
      <c r="K286" s="118">
        <f t="shared" ca="1" si="69"/>
        <v>3999.24</v>
      </c>
      <c r="L286" s="118">
        <v>0</v>
      </c>
      <c r="M286" s="118">
        <f t="shared" ca="1" si="70"/>
        <v>-2003.4491410341629</v>
      </c>
      <c r="N286" s="121">
        <f t="shared" ca="1" si="71"/>
        <v>-0.33437883819556669</v>
      </c>
      <c r="O286" s="122">
        <f t="shared" ca="1" si="72"/>
        <v>19.600000000000001</v>
      </c>
      <c r="P286" s="121">
        <f t="shared" ca="1" si="73"/>
        <v>-0.20472173767075511</v>
      </c>
      <c r="Q286" s="118">
        <f t="shared" ca="1" si="74"/>
        <v>6774.4513210026662</v>
      </c>
      <c r="R286" s="118">
        <f t="shared" si="75"/>
        <v>-5991.5548239999998</v>
      </c>
      <c r="S286" s="123" t="s">
        <v>229</v>
      </c>
      <c r="T286" s="118" t="s">
        <v>216</v>
      </c>
      <c r="U286" s="118" t="s">
        <v>243</v>
      </c>
      <c r="V286" s="118" t="s">
        <v>223</v>
      </c>
      <c r="W286" s="118" t="s">
        <v>219</v>
      </c>
    </row>
    <row r="287" spans="2:23" x14ac:dyDescent="0.3">
      <c r="B287" s="116" t="e" vm="18">
        <v>#VALUE!</v>
      </c>
      <c r="C287" s="117">
        <v>45646</v>
      </c>
      <c r="D287" s="116">
        <v>124</v>
      </c>
      <c r="E287" s="118">
        <v>48.1</v>
      </c>
      <c r="F287" s="118">
        <f>D287*E287*0.0022+3.48</f>
        <v>16.601680000000002</v>
      </c>
      <c r="G287" s="118">
        <f t="shared" si="47"/>
        <v>5981.0016800000003</v>
      </c>
      <c r="H287" s="119">
        <f t="shared" si="67"/>
        <v>2.7834618737844546E-3</v>
      </c>
      <c r="I287" s="120" cm="1">
        <f t="array" aca="1" ref="I287" ca="1">_FV(B287,"Price")</f>
        <v>31.74</v>
      </c>
      <c r="J287" s="118">
        <f t="shared" ca="1" si="68"/>
        <v>3924.804962095634</v>
      </c>
      <c r="K287" s="118">
        <f t="shared" ca="1" si="69"/>
        <v>3935.7599999999998</v>
      </c>
      <c r="L287" s="118">
        <v>0</v>
      </c>
      <c r="M287" s="118">
        <f t="shared" ca="1" si="70"/>
        <v>-2056.1967179043663</v>
      </c>
      <c r="N287" s="121">
        <f t="shared" ca="1" si="71"/>
        <v>-0.34378801878289494</v>
      </c>
      <c r="O287" s="122">
        <f t="shared" ca="1" si="72"/>
        <v>19.100000000000001</v>
      </c>
      <c r="P287" s="121">
        <f t="shared" ca="1" si="73"/>
        <v>-0.21599247253375597</v>
      </c>
      <c r="Q287" s="118">
        <f t="shared" ca="1" si="74"/>
        <v>6742.5825605866667</v>
      </c>
      <c r="R287" s="118">
        <f t="shared" si="75"/>
        <v>-5981.0016800000003</v>
      </c>
      <c r="S287" s="123" t="s">
        <v>229</v>
      </c>
      <c r="T287" s="118" t="s">
        <v>216</v>
      </c>
      <c r="U287" s="118" t="s">
        <v>243</v>
      </c>
      <c r="V287" s="118" t="s">
        <v>223</v>
      </c>
      <c r="W287" s="118" t="s">
        <v>219</v>
      </c>
    </row>
    <row r="288" spans="2:23" x14ac:dyDescent="0.3">
      <c r="B288" s="116" t="e" vm="18">
        <v>#VALUE!</v>
      </c>
      <c r="C288" s="117">
        <v>45663</v>
      </c>
      <c r="D288" s="116">
        <v>127</v>
      </c>
      <c r="E288" s="118">
        <v>47</v>
      </c>
      <c r="F288" s="118">
        <f>D288*E288*0.0022+3.49</f>
        <v>16.6218</v>
      </c>
      <c r="G288" s="118">
        <f t="shared" si="47"/>
        <v>5985.6217999999999</v>
      </c>
      <c r="H288" s="119">
        <f t="shared" si="67"/>
        <v>2.7846875523538281E-3</v>
      </c>
      <c r="I288" s="120" cm="1">
        <f t="array" aca="1" ref="I288" ca="1">_FV(B288,"Price")</f>
        <v>31.74</v>
      </c>
      <c r="J288" s="118">
        <f t="shared" ca="1" si="68"/>
        <v>4019.7549801702125</v>
      </c>
      <c r="K288" s="118">
        <f t="shared" ca="1" si="69"/>
        <v>4030.98</v>
      </c>
      <c r="L288" s="118">
        <v>0</v>
      </c>
      <c r="M288" s="118">
        <f t="shared" ca="1" si="70"/>
        <v>-1965.8668198297873</v>
      </c>
      <c r="N288" s="121">
        <f t="shared" ca="1" si="71"/>
        <v>-0.32843151229998985</v>
      </c>
      <c r="O288" s="122">
        <f t="shared" ca="1" si="72"/>
        <v>18.566666666666666</v>
      </c>
      <c r="P288" s="121">
        <f t="shared" ca="1" si="73"/>
        <v>-0.21227171351525376</v>
      </c>
      <c r="Q288" s="118">
        <f t="shared" ca="1" si="74"/>
        <v>6726.5087650222222</v>
      </c>
      <c r="R288" s="118">
        <f t="shared" si="75"/>
        <v>-5985.6217999999999</v>
      </c>
      <c r="S288" s="123" t="s">
        <v>229</v>
      </c>
      <c r="T288" s="118" t="s">
        <v>216</v>
      </c>
      <c r="U288" s="118" t="s">
        <v>243</v>
      </c>
      <c r="V288" s="118" t="s">
        <v>223</v>
      </c>
      <c r="W288" s="118" t="s">
        <v>219</v>
      </c>
    </row>
    <row r="289" spans="2:23" x14ac:dyDescent="0.3">
      <c r="B289" s="116" t="e" vm="18">
        <v>#VALUE!</v>
      </c>
      <c r="C289" s="117">
        <v>45677</v>
      </c>
      <c r="D289" s="116">
        <v>132</v>
      </c>
      <c r="E289" s="118">
        <v>45.45</v>
      </c>
      <c r="F289" s="118">
        <f>D289*E289*0.0022+3.5</f>
        <v>16.698680000000003</v>
      </c>
      <c r="G289" s="118">
        <f t="shared" si="47"/>
        <v>6016.098680000001</v>
      </c>
      <c r="H289" s="119">
        <f t="shared" si="67"/>
        <v>2.7833916725005835E-3</v>
      </c>
      <c r="I289" s="120" cm="1">
        <f t="array" aca="1" ref="I289" ca="1">_FV(B289,"Price")</f>
        <v>31.74</v>
      </c>
      <c r="J289" s="118">
        <f t="shared" ca="1" si="68"/>
        <v>4178.0184795775567</v>
      </c>
      <c r="K289" s="118">
        <f t="shared" ca="1" si="69"/>
        <v>4189.6799999999994</v>
      </c>
      <c r="L289" s="118">
        <v>0</v>
      </c>
      <c r="M289" s="118">
        <f t="shared" ca="1" si="70"/>
        <v>-1838.0802004224442</v>
      </c>
      <c r="N289" s="121">
        <f t="shared" ca="1" si="71"/>
        <v>-0.30552693667292768</v>
      </c>
      <c r="O289" s="122">
        <f t="shared" ca="1" si="72"/>
        <v>18.100000000000001</v>
      </c>
      <c r="P289" s="121">
        <f t="shared" ca="1" si="73"/>
        <v>-0.20255929503177522</v>
      </c>
      <c r="Q289" s="118">
        <f t="shared" ca="1" si="74"/>
        <v>6742.0412540533343</v>
      </c>
      <c r="R289" s="118">
        <f t="shared" si="75"/>
        <v>-6016.098680000001</v>
      </c>
      <c r="S289" s="123" t="s">
        <v>229</v>
      </c>
      <c r="T289" s="118" t="s">
        <v>216</v>
      </c>
      <c r="U289" s="118" t="s">
        <v>243</v>
      </c>
      <c r="V289" s="118" t="s">
        <v>223</v>
      </c>
      <c r="W289" s="118" t="s">
        <v>219</v>
      </c>
    </row>
    <row r="290" spans="2:23" x14ac:dyDescent="0.3">
      <c r="B290" s="116" t="e" vm="18">
        <v>#VALUE!</v>
      </c>
      <c r="C290" s="117">
        <v>45691</v>
      </c>
      <c r="D290" s="116">
        <v>132</v>
      </c>
      <c r="E290" s="118">
        <v>45.24</v>
      </c>
      <c r="F290" s="118">
        <f>D290*E290*0.0022+3.49</f>
        <v>16.627696</v>
      </c>
      <c r="G290" s="118">
        <f t="shared" si="47"/>
        <v>5988.3076959999999</v>
      </c>
      <c r="H290" s="119">
        <f t="shared" si="67"/>
        <v>2.7844251533906705E-3</v>
      </c>
      <c r="I290" s="120" cm="1">
        <f t="array" aca="1" ref="I290" ca="1">_FV(B290,"Price")</f>
        <v>31.74</v>
      </c>
      <c r="J290" s="118">
        <f t="shared" ca="1" si="68"/>
        <v>4178.0141496233409</v>
      </c>
      <c r="K290" s="118">
        <f t="shared" ca="1" si="69"/>
        <v>4189.6799999999994</v>
      </c>
      <c r="L290" s="118">
        <v>0</v>
      </c>
      <c r="M290" s="118">
        <f t="shared" ca="1" si="70"/>
        <v>-1810.2935463766589</v>
      </c>
      <c r="N290" s="121">
        <f t="shared" ca="1" si="71"/>
        <v>-0.30230469746667787</v>
      </c>
      <c r="O290" s="122">
        <f t="shared" ca="1" si="72"/>
        <v>17.666666666666668</v>
      </c>
      <c r="P290" s="121">
        <f t="shared" ca="1" si="73"/>
        <v>-0.20533903978868684</v>
      </c>
      <c r="Q290" s="118">
        <f t="shared" ca="1" si="74"/>
        <v>6693.5972690844446</v>
      </c>
      <c r="R290" s="118">
        <f t="shared" si="75"/>
        <v>-5988.3076959999999</v>
      </c>
      <c r="S290" s="123" t="s">
        <v>229</v>
      </c>
      <c r="T290" s="118" t="s">
        <v>216</v>
      </c>
      <c r="U290" s="118" t="s">
        <v>243</v>
      </c>
      <c r="V290" s="118" t="s">
        <v>223</v>
      </c>
      <c r="W290" s="118" t="s">
        <v>219</v>
      </c>
    </row>
    <row r="291" spans="2:23" x14ac:dyDescent="0.3">
      <c r="B291" s="116" t="e" vm="18">
        <v>#VALUE!</v>
      </c>
      <c r="C291" s="117">
        <v>45706</v>
      </c>
      <c r="D291" s="116">
        <v>134</v>
      </c>
      <c r="E291" s="118">
        <v>44.46</v>
      </c>
      <c r="F291" s="118">
        <f>D291*E291*0.0022+3.47</f>
        <v>16.576808</v>
      </c>
      <c r="G291" s="118">
        <f t="shared" si="47"/>
        <v>5974.2168080000001</v>
      </c>
      <c r="H291" s="119">
        <f t="shared" si="67"/>
        <v>2.7824453978420984E-3</v>
      </c>
      <c r="I291" s="120" cm="1">
        <f t="array" aca="1" ref="I291" ca="1">_FV(B291,"Price")</f>
        <v>31.74</v>
      </c>
      <c r="J291" s="118">
        <f t="shared" ca="1" si="68"/>
        <v>4241.3258145317141</v>
      </c>
      <c r="K291" s="118">
        <f t="shared" ca="1" si="69"/>
        <v>4253.16</v>
      </c>
      <c r="L291" s="118">
        <v>0</v>
      </c>
      <c r="M291" s="118">
        <f t="shared" ca="1" si="70"/>
        <v>-1732.8909934682861</v>
      </c>
      <c r="N291" s="121">
        <f t="shared" ca="1" si="71"/>
        <v>-0.29006161797606561</v>
      </c>
      <c r="O291" s="122">
        <f t="shared" ca="1" si="72"/>
        <v>17.166666666666668</v>
      </c>
      <c r="P291" s="121">
        <f t="shared" ca="1" si="73"/>
        <v>-0.20276151936190992</v>
      </c>
      <c r="Q291" s="118">
        <f t="shared" ca="1" si="74"/>
        <v>6657.9327315822229</v>
      </c>
      <c r="R291" s="118">
        <f t="shared" si="75"/>
        <v>-5974.2168080000001</v>
      </c>
      <c r="S291" s="123" t="s">
        <v>229</v>
      </c>
      <c r="T291" s="118" t="s">
        <v>216</v>
      </c>
      <c r="U291" s="118" t="s">
        <v>243</v>
      </c>
      <c r="V291" s="118" t="s">
        <v>223</v>
      </c>
      <c r="W291" s="118" t="s">
        <v>219</v>
      </c>
    </row>
    <row r="292" spans="2:23" x14ac:dyDescent="0.3">
      <c r="B292" s="116" t="e" vm="18">
        <v>#VALUE!</v>
      </c>
      <c r="C292" s="117">
        <v>45721</v>
      </c>
      <c r="D292" s="116">
        <v>145</v>
      </c>
      <c r="E292" s="118">
        <v>41.25</v>
      </c>
      <c r="F292" s="118">
        <f>D292*E292*0.0022+3.5</f>
        <v>16.658750000000001</v>
      </c>
      <c r="G292" s="118">
        <f t="shared" si="47"/>
        <v>5997.9087499999996</v>
      </c>
      <c r="H292" s="119">
        <f t="shared" si="67"/>
        <v>2.7851619644723097E-3</v>
      </c>
      <c r="I292" s="120" cm="1">
        <f t="array" aca="1" ref="I292" ca="1">_FV(B292,"Price")</f>
        <v>31.74</v>
      </c>
      <c r="J292" s="118">
        <f t="shared" ca="1" si="68"/>
        <v>4589.4818490909092</v>
      </c>
      <c r="K292" s="118">
        <f t="shared" ca="1" si="69"/>
        <v>4602.3</v>
      </c>
      <c r="L292" s="118">
        <v>0</v>
      </c>
      <c r="M292" s="118">
        <f t="shared" ca="1" si="70"/>
        <v>-1408.4269009090904</v>
      </c>
      <c r="N292" s="121">
        <f t="shared" ca="1" si="71"/>
        <v>-0.23481966125428141</v>
      </c>
      <c r="O292" s="122">
        <f t="shared" ca="1" si="72"/>
        <v>16.600000000000001</v>
      </c>
      <c r="P292" s="121">
        <f t="shared" ca="1" si="73"/>
        <v>-0.16974915271393837</v>
      </c>
      <c r="Q292" s="118">
        <f t="shared" ca="1" si="74"/>
        <v>6661.6773183333326</v>
      </c>
      <c r="R292" s="118">
        <f t="shared" si="75"/>
        <v>-5997.9087499999996</v>
      </c>
      <c r="S292" s="123" t="s">
        <v>229</v>
      </c>
      <c r="T292" s="118" t="s">
        <v>216</v>
      </c>
      <c r="U292" s="118" t="s">
        <v>243</v>
      </c>
      <c r="V292" s="118" t="s">
        <v>223</v>
      </c>
      <c r="W292" s="118" t="s">
        <v>219</v>
      </c>
    </row>
    <row r="293" spans="2:23" x14ac:dyDescent="0.3">
      <c r="B293" s="116" t="e" vm="18">
        <v>#VALUE!</v>
      </c>
      <c r="C293" s="117">
        <v>45736</v>
      </c>
      <c r="D293" s="116">
        <v>151</v>
      </c>
      <c r="E293" s="118">
        <v>39.65</v>
      </c>
      <c r="F293" s="118">
        <f>D293*E293*0.0022+3.5</f>
        <v>16.67173</v>
      </c>
      <c r="G293" s="118">
        <f t="shared" si="47"/>
        <v>6003.8217299999997</v>
      </c>
      <c r="H293" s="119">
        <f t="shared" si="67"/>
        <v>2.7845853202274873E-3</v>
      </c>
      <c r="I293" s="120" cm="1">
        <f t="array" aca="1" ref="I293" ca="1">_FV(B293,"Price")</f>
        <v>31.74</v>
      </c>
      <c r="J293" s="118">
        <f t="shared" ca="1" si="68"/>
        <v>4779.3942065523324</v>
      </c>
      <c r="K293" s="118">
        <f t="shared" ca="1" si="69"/>
        <v>4792.74</v>
      </c>
      <c r="L293" s="118">
        <v>0</v>
      </c>
      <c r="M293" s="118">
        <f t="shared" ca="1" si="70"/>
        <v>-1224.4275234476672</v>
      </c>
      <c r="N293" s="121">
        <f t="shared" ca="1" si="71"/>
        <v>-0.20394135244379871</v>
      </c>
      <c r="O293" s="122">
        <f t="shared" ca="1" si="72"/>
        <v>16.100000000000001</v>
      </c>
      <c r="P293" s="121">
        <f t="shared" ca="1" si="73"/>
        <v>-0.15200597697674437</v>
      </c>
      <c r="Q293" s="118">
        <f t="shared" ca="1" si="74"/>
        <v>6648.2319290199994</v>
      </c>
      <c r="R293" s="118">
        <f t="shared" si="75"/>
        <v>-6003.8217299999997</v>
      </c>
      <c r="S293" s="123" t="s">
        <v>229</v>
      </c>
      <c r="T293" s="118" t="s">
        <v>216</v>
      </c>
      <c r="U293" s="118" t="s">
        <v>243</v>
      </c>
      <c r="V293" s="118" t="s">
        <v>223</v>
      </c>
      <c r="W293" s="118" t="s">
        <v>219</v>
      </c>
    </row>
    <row r="294" spans="2:23" x14ac:dyDescent="0.3">
      <c r="B294" s="116" t="e" vm="18">
        <v>#VALUE!</v>
      </c>
      <c r="C294" s="117">
        <v>45751</v>
      </c>
      <c r="D294" s="116">
        <v>164</v>
      </c>
      <c r="E294" s="118">
        <v>36.549999999999997</v>
      </c>
      <c r="F294" s="118">
        <f>D294*E294*0.0022+3.5</f>
        <v>16.687240000000003</v>
      </c>
      <c r="G294" s="118">
        <f t="shared" si="47"/>
        <v>6010.88724</v>
      </c>
      <c r="H294" s="119">
        <f t="shared" si="67"/>
        <v>2.7838977678422481E-3</v>
      </c>
      <c r="I294" s="120" cm="1">
        <f t="array" aca="1" ref="I294" ca="1">_FV(B294,"Price")</f>
        <v>31.74</v>
      </c>
      <c r="J294" s="118">
        <f t="shared" ca="1" si="68"/>
        <v>5190.8688099151841</v>
      </c>
      <c r="K294" s="118">
        <f t="shared" ca="1" si="69"/>
        <v>5205.3599999999997</v>
      </c>
      <c r="L294" s="118">
        <v>0</v>
      </c>
      <c r="M294" s="118">
        <f t="shared" ca="1" si="70"/>
        <v>-820.01843008481592</v>
      </c>
      <c r="N294" s="121">
        <f t="shared" ca="1" si="71"/>
        <v>-0.13642219481808412</v>
      </c>
      <c r="O294" s="122">
        <f t="shared" ca="1" si="72"/>
        <v>15.633333333333333</v>
      </c>
      <c r="P294" s="121">
        <f t="shared" ca="1" si="73"/>
        <v>-0.10471639687528846</v>
      </c>
      <c r="Q294" s="118">
        <f t="shared" ca="1" si="74"/>
        <v>6637.3552656800002</v>
      </c>
      <c r="R294" s="118">
        <f t="shared" si="75"/>
        <v>-6010.88724</v>
      </c>
      <c r="S294" s="123" t="s">
        <v>229</v>
      </c>
      <c r="T294" s="118" t="s">
        <v>216</v>
      </c>
      <c r="U294" s="118" t="s">
        <v>243</v>
      </c>
      <c r="V294" s="118" t="s">
        <v>223</v>
      </c>
      <c r="W294" s="118" t="s">
        <v>219</v>
      </c>
    </row>
    <row r="295" spans="2:23" x14ac:dyDescent="0.3">
      <c r="B295" s="116" t="e" vm="18">
        <v>#VALUE!</v>
      </c>
      <c r="C295" s="117">
        <v>45768</v>
      </c>
      <c r="D295" s="116">
        <v>163</v>
      </c>
      <c r="E295" s="118">
        <v>36.72</v>
      </c>
      <c r="F295" s="118">
        <f>D295*E295*0.0022+3.49</f>
        <v>16.657792000000001</v>
      </c>
      <c r="G295" s="118">
        <f t="shared" si="47"/>
        <v>6002.0177919999996</v>
      </c>
      <c r="H295" s="119">
        <f t="shared" si="67"/>
        <v>2.7830894048144141E-3</v>
      </c>
      <c r="I295" s="120" cm="1">
        <f t="array" aca="1" ref="I295" ca="1">_FV(B295,"Price")</f>
        <v>31.74</v>
      </c>
      <c r="J295" s="118">
        <f t="shared" ca="1" si="68"/>
        <v>5159.2213529934643</v>
      </c>
      <c r="K295" s="118">
        <f t="shared" ca="1" si="69"/>
        <v>5173.62</v>
      </c>
      <c r="L295" s="118">
        <v>0</v>
      </c>
      <c r="M295" s="118">
        <f t="shared" ca="1" si="70"/>
        <v>-842.79643900653537</v>
      </c>
      <c r="N295" s="121">
        <f t="shared" ca="1" si="71"/>
        <v>-0.14041885049555938</v>
      </c>
      <c r="O295" s="122">
        <f t="shared" ca="1" si="72"/>
        <v>15.066666666666666</v>
      </c>
      <c r="P295" s="121">
        <f t="shared" ca="1" si="73"/>
        <v>-0.11183802251858711</v>
      </c>
      <c r="Q295" s="118">
        <f t="shared" ca="1" si="74"/>
        <v>6604.8871346631104</v>
      </c>
      <c r="R295" s="118">
        <f t="shared" si="75"/>
        <v>-6002.0177919999996</v>
      </c>
      <c r="S295" s="123" t="s">
        <v>229</v>
      </c>
      <c r="T295" s="118" t="s">
        <v>216</v>
      </c>
      <c r="U295" s="118" t="s">
        <v>243</v>
      </c>
      <c r="V295" s="118" t="s">
        <v>223</v>
      </c>
      <c r="W295" s="118" t="s">
        <v>219</v>
      </c>
    </row>
    <row r="296" spans="2:23" x14ac:dyDescent="0.3">
      <c r="B296" s="116" t="e" vm="18">
        <v>#VALUE!</v>
      </c>
      <c r="C296" s="117">
        <v>45782</v>
      </c>
      <c r="D296" s="116">
        <v>153</v>
      </c>
      <c r="E296" s="118">
        <v>39.08</v>
      </c>
      <c r="F296" s="118">
        <f>D296*E296*0.0022+3.49</f>
        <v>16.644328000000002</v>
      </c>
      <c r="G296" s="118">
        <f t="shared" si="47"/>
        <v>5995.8843280000001</v>
      </c>
      <c r="H296" s="119">
        <f t="shared" si="67"/>
        <v>2.7836862209912969E-3</v>
      </c>
      <c r="I296" s="120" cm="1">
        <f t="array" aca="1" ref="I296" ca="1">_FV(B296,"Price")</f>
        <v>31.74</v>
      </c>
      <c r="J296" s="118">
        <f t="shared" ca="1" si="68"/>
        <v>4842.7018072998972</v>
      </c>
      <c r="K296" s="118">
        <f t="shared" ca="1" si="69"/>
        <v>4856.2199999999993</v>
      </c>
      <c r="L296" s="118">
        <v>0</v>
      </c>
      <c r="M296" s="118">
        <f t="shared" ca="1" si="70"/>
        <v>-1153.1825207001029</v>
      </c>
      <c r="N296" s="121">
        <f t="shared" ca="1" si="71"/>
        <v>-0.19232901397294982</v>
      </c>
      <c r="O296" s="122">
        <f t="shared" ca="1" si="72"/>
        <v>14.6</v>
      </c>
      <c r="P296" s="121">
        <f t="shared" ca="1" si="73"/>
        <v>-0.15807864162160259</v>
      </c>
      <c r="Q296" s="118">
        <f t="shared" ca="1" si="74"/>
        <v>6579.4837359253333</v>
      </c>
      <c r="R296" s="118">
        <f t="shared" si="75"/>
        <v>-5995.8843280000001</v>
      </c>
      <c r="S296" s="123" t="s">
        <v>229</v>
      </c>
      <c r="T296" s="118" t="s">
        <v>216</v>
      </c>
      <c r="U296" s="118" t="s">
        <v>243</v>
      </c>
      <c r="V296" s="118" t="s">
        <v>223</v>
      </c>
      <c r="W296" s="118" t="s">
        <v>219</v>
      </c>
    </row>
    <row r="297" spans="2:23" x14ac:dyDescent="0.3">
      <c r="B297" s="116" t="e" vm="18">
        <v>#VALUE!</v>
      </c>
      <c r="C297" s="117">
        <v>45796</v>
      </c>
      <c r="D297" s="116">
        <v>147</v>
      </c>
      <c r="E297" s="118">
        <v>40.79</v>
      </c>
      <c r="F297" s="118">
        <f>D297*E297*0.0022+3.5</f>
        <v>16.691486000000001</v>
      </c>
      <c r="G297" s="118">
        <f t="shared" si="47"/>
        <v>6012.8214859999998</v>
      </c>
      <c r="H297" s="119">
        <f t="shared" si="67"/>
        <v>2.783709826171214E-3</v>
      </c>
      <c r="I297" s="120" cm="1">
        <f t="array" aca="1" ref="I297" ca="1">_FV(B297,"Price")</f>
        <v>31.74</v>
      </c>
      <c r="J297" s="118">
        <f t="shared" ca="1" si="68"/>
        <v>4652.7918223672468</v>
      </c>
      <c r="K297" s="118">
        <f t="shared" ca="1" si="69"/>
        <v>4665.78</v>
      </c>
      <c r="L297" s="118">
        <v>0</v>
      </c>
      <c r="M297" s="118">
        <f t="shared" ca="1" si="70"/>
        <v>-1360.029663632753</v>
      </c>
      <c r="N297" s="121">
        <f t="shared" ca="1" si="71"/>
        <v>-0.2261882656585413</v>
      </c>
      <c r="O297" s="122">
        <f t="shared" ca="1" si="72"/>
        <v>14.133333333333333</v>
      </c>
      <c r="P297" s="121">
        <f t="shared" ca="1" si="73"/>
        <v>-0.19204664065347846</v>
      </c>
      <c r="Q297" s="118">
        <f t="shared" ca="1" si="74"/>
        <v>6579.3628882364446</v>
      </c>
      <c r="R297" s="118">
        <f t="shared" si="75"/>
        <v>-6012.8214859999998</v>
      </c>
      <c r="S297" s="123" t="s">
        <v>229</v>
      </c>
      <c r="T297" s="118" t="s">
        <v>216</v>
      </c>
      <c r="U297" s="118" t="s">
        <v>243</v>
      </c>
      <c r="V297" s="118" t="s">
        <v>223</v>
      </c>
      <c r="W297" s="118" t="s">
        <v>219</v>
      </c>
    </row>
    <row r="298" spans="2:23" x14ac:dyDescent="0.3">
      <c r="B298" s="116" t="e" vm="18">
        <v>#VALUE!</v>
      </c>
      <c r="C298" s="117">
        <v>45811</v>
      </c>
      <c r="D298" s="116">
        <v>149</v>
      </c>
      <c r="E298" s="118">
        <v>40.22</v>
      </c>
      <c r="F298" s="118">
        <f>D298*E298*0.0022+3.5</f>
        <v>16.684116</v>
      </c>
      <c r="G298" s="118">
        <f t="shared" si="47"/>
        <v>6009.4641160000001</v>
      </c>
      <c r="H298" s="119">
        <f t="shared" si="67"/>
        <v>2.7840361234685741E-3</v>
      </c>
      <c r="I298" s="120" cm="1">
        <f t="array" aca="1" ref="I298" ca="1">_FV(B298,"Price")</f>
        <v>31.74</v>
      </c>
      <c r="J298" s="118">
        <f t="shared" ca="1" si="68"/>
        <v>4716.0935693227257</v>
      </c>
      <c r="K298" s="118">
        <f t="shared" ca="1" si="69"/>
        <v>4729.26</v>
      </c>
      <c r="L298" s="118">
        <v>0</v>
      </c>
      <c r="M298" s="118">
        <f t="shared" ca="1" si="70"/>
        <v>-1293.3705466772744</v>
      </c>
      <c r="N298" s="121">
        <f t="shared" ca="1" si="71"/>
        <v>-0.2152222763480221</v>
      </c>
      <c r="O298" s="122">
        <f t="shared" ca="1" si="72"/>
        <v>13.666666666666666</v>
      </c>
      <c r="P298" s="121">
        <f t="shared" ca="1" si="73"/>
        <v>-0.18897565728119015</v>
      </c>
      <c r="Q298" s="118">
        <f t="shared" ca="1" si="74"/>
        <v>6556.993068791111</v>
      </c>
      <c r="R298" s="118">
        <f t="shared" si="75"/>
        <v>-6009.4641160000001</v>
      </c>
      <c r="S298" s="123" t="s">
        <v>229</v>
      </c>
      <c r="T298" s="118" t="s">
        <v>216</v>
      </c>
      <c r="U298" s="118" t="s">
        <v>243</v>
      </c>
      <c r="V298" s="118" t="s">
        <v>223</v>
      </c>
      <c r="W298" s="118" t="s">
        <v>219</v>
      </c>
    </row>
    <row r="299" spans="2:23" x14ac:dyDescent="0.3">
      <c r="B299" s="116" t="e" vm="18">
        <v>#VALUE!</v>
      </c>
      <c r="C299" s="117">
        <v>45826</v>
      </c>
      <c r="D299" s="116">
        <v>140</v>
      </c>
      <c r="E299" s="118">
        <v>42.59</v>
      </c>
      <c r="F299" s="118">
        <f>D299*E299*0.0022+3.48</f>
        <v>16.597720000000002</v>
      </c>
      <c r="G299" s="118">
        <f t="shared" si="47"/>
        <v>5979.1977200000001</v>
      </c>
      <c r="H299" s="119">
        <f t="shared" si="67"/>
        <v>2.7836380102639791E-3</v>
      </c>
      <c r="I299" s="120" cm="1">
        <f t="array" aca="1" ref="I299" ca="1">_FV(B299,"Price")</f>
        <v>31.74</v>
      </c>
      <c r="J299" s="118">
        <f t="shared" ca="1" si="68"/>
        <v>4431.2306261375907</v>
      </c>
      <c r="K299" s="118">
        <f t="shared" ca="1" si="69"/>
        <v>4443.5999999999995</v>
      </c>
      <c r="L299" s="118">
        <v>0</v>
      </c>
      <c r="M299" s="118">
        <f t="shared" ca="1" si="70"/>
        <v>-1547.9670938624095</v>
      </c>
      <c r="N299" s="121">
        <f t="shared" ca="1" si="71"/>
        <v>-0.25889210665915385</v>
      </c>
      <c r="O299" s="122">
        <f t="shared" ca="1" si="72"/>
        <v>13.166666666666666</v>
      </c>
      <c r="P299" s="121">
        <f t="shared" ca="1" si="73"/>
        <v>-0.23595229973998835</v>
      </c>
      <c r="Q299" s="118">
        <f t="shared" ca="1" si="74"/>
        <v>6504.0384087555558</v>
      </c>
      <c r="R299" s="118">
        <f t="shared" si="75"/>
        <v>-5979.1977200000001</v>
      </c>
      <c r="S299" s="123" t="s">
        <v>229</v>
      </c>
      <c r="T299" s="118" t="s">
        <v>216</v>
      </c>
      <c r="U299" s="118" t="s">
        <v>243</v>
      </c>
      <c r="V299" s="118" t="s">
        <v>223</v>
      </c>
      <c r="W299" s="118" t="s">
        <v>219</v>
      </c>
    </row>
    <row r="300" spans="2:23" x14ac:dyDescent="0.3">
      <c r="B300" s="116" t="e" vm="19">
        <v>#VALUE!</v>
      </c>
      <c r="C300" s="117">
        <v>45526</v>
      </c>
      <c r="D300" s="116">
        <v>260</v>
      </c>
      <c r="E300" s="118">
        <v>23.03</v>
      </c>
      <c r="F300" s="118">
        <f>D300*E300*0.0022+3.08</f>
        <v>16.253160000000001</v>
      </c>
      <c r="G300" s="118">
        <f t="shared" si="47"/>
        <v>6004.0531600000004</v>
      </c>
      <c r="H300" s="119">
        <f t="shared" si="67"/>
        <v>2.7143792377834933E-3</v>
      </c>
      <c r="I300" s="120" cm="1">
        <f t="array" aca="1" ref="I300" ca="1">_FV(B300,"Price")</f>
        <v>26.32</v>
      </c>
      <c r="J300" s="118">
        <f t="shared" ca="1" si="68"/>
        <v>6824.6249600000001</v>
      </c>
      <c r="K300" s="118">
        <f t="shared" ca="1" si="69"/>
        <v>6843.2</v>
      </c>
      <c r="L300" s="118">
        <v>0</v>
      </c>
      <c r="M300" s="118">
        <f t="shared" ca="1" si="70"/>
        <v>820.57179999999971</v>
      </c>
      <c r="N300" s="121">
        <f t="shared" ca="1" si="71"/>
        <v>0.13666964267851348</v>
      </c>
      <c r="O300" s="122">
        <f t="shared" ca="1" si="72"/>
        <v>23.033333333333335</v>
      </c>
      <c r="P300" s="121">
        <f t="shared" ca="1" si="73"/>
        <v>7.1202708197199496E-2</v>
      </c>
      <c r="Q300" s="118">
        <f t="shared" ca="1" si="74"/>
        <v>6926.0088785688895</v>
      </c>
      <c r="R300" s="118">
        <f t="shared" si="75"/>
        <v>-6004.0531600000004</v>
      </c>
      <c r="S300" s="123" t="s">
        <v>229</v>
      </c>
      <c r="T300" s="118" t="s">
        <v>216</v>
      </c>
      <c r="U300" s="118" t="s">
        <v>243</v>
      </c>
      <c r="V300" s="118" t="s">
        <v>223</v>
      </c>
      <c r="W300" s="118" t="s">
        <v>219</v>
      </c>
    </row>
    <row r="301" spans="2:23" x14ac:dyDescent="0.3">
      <c r="B301" s="116" t="e" vm="19">
        <v>#VALUE!</v>
      </c>
      <c r="C301" s="117">
        <v>45541</v>
      </c>
      <c r="D301" s="116">
        <v>253</v>
      </c>
      <c r="E301" s="118">
        <v>23.65</v>
      </c>
      <c r="F301" s="118">
        <f>D301*E301*0.0022+2.61</f>
        <v>15.77359</v>
      </c>
      <c r="G301" s="118">
        <f t="shared" si="47"/>
        <v>5999.2235899999996</v>
      </c>
      <c r="H301" s="119">
        <f t="shared" si="67"/>
        <v>2.6362031938095918E-3</v>
      </c>
      <c r="I301" s="120" cm="1">
        <f t="array" aca="1" ref="I301" ca="1">_FV(B301,"Price")</f>
        <v>26.32</v>
      </c>
      <c r="J301" s="118">
        <f t="shared" ca="1" si="68"/>
        <v>6641.4056283805494</v>
      </c>
      <c r="K301" s="118">
        <f t="shared" ca="1" si="69"/>
        <v>6658.96</v>
      </c>
      <c r="L301" s="118">
        <v>0</v>
      </c>
      <c r="M301" s="118">
        <f t="shared" ca="1" si="70"/>
        <v>642.18203838054978</v>
      </c>
      <c r="N301" s="121">
        <f t="shared" ca="1" si="71"/>
        <v>0.10704419142686926</v>
      </c>
      <c r="O301" s="122">
        <f t="shared" ca="1" si="72"/>
        <v>22.566666666666666</v>
      </c>
      <c r="P301" s="121">
        <f t="shared" ca="1" si="73"/>
        <v>5.692157889759665E-2</v>
      </c>
      <c r="Q301" s="118">
        <f t="shared" ca="1" si="74"/>
        <v>6901.7734500955548</v>
      </c>
      <c r="R301" s="118">
        <f t="shared" si="75"/>
        <v>-5999.2235899999996</v>
      </c>
      <c r="S301" s="123" t="s">
        <v>229</v>
      </c>
      <c r="T301" s="118" t="s">
        <v>216</v>
      </c>
      <c r="U301" s="118" t="s">
        <v>243</v>
      </c>
      <c r="V301" s="118" t="s">
        <v>223</v>
      </c>
      <c r="W301" s="118" t="s">
        <v>219</v>
      </c>
    </row>
    <row r="302" spans="2:23" x14ac:dyDescent="0.3">
      <c r="B302" s="116" t="e" vm="19">
        <v>#VALUE!</v>
      </c>
      <c r="C302" s="117">
        <v>45541</v>
      </c>
      <c r="D302" s="116">
        <v>2100</v>
      </c>
      <c r="E302" s="118">
        <v>23.51</v>
      </c>
      <c r="F302" s="118">
        <f>D302*E302*0.0022+29.84</f>
        <v>138.4562</v>
      </c>
      <c r="G302" s="118">
        <f t="shared" si="47"/>
        <v>49509.456200000001</v>
      </c>
      <c r="H302" s="119">
        <f t="shared" si="67"/>
        <v>2.8044033947053938E-3</v>
      </c>
      <c r="I302" s="120" cm="1">
        <f t="array" aca="1" ref="I302" ca="1">_FV(B302,"Price")</f>
        <v>26.32</v>
      </c>
      <c r="J302" s="118">
        <f t="shared" ca="1" si="68"/>
        <v>55116.995015567838</v>
      </c>
      <c r="K302" s="118">
        <f t="shared" ca="1" si="69"/>
        <v>55272</v>
      </c>
      <c r="L302" s="118">
        <v>0</v>
      </c>
      <c r="M302" s="118">
        <f t="shared" ca="1" si="70"/>
        <v>5607.5388155678374</v>
      </c>
      <c r="N302" s="121">
        <f t="shared" ca="1" si="71"/>
        <v>0.11326197550858652</v>
      </c>
      <c r="O302" s="122">
        <f t="shared" ca="1" si="72"/>
        <v>22.566666666666666</v>
      </c>
      <c r="P302" s="121">
        <f t="shared" ca="1" si="73"/>
        <v>6.0227933800725483E-2</v>
      </c>
      <c r="Q302" s="118">
        <f t="shared" ca="1" si="74"/>
        <v>56957.878832755552</v>
      </c>
      <c r="R302" s="118">
        <f t="shared" si="75"/>
        <v>-49509.456200000001</v>
      </c>
      <c r="S302" s="123" t="s">
        <v>229</v>
      </c>
      <c r="T302" s="118" t="s">
        <v>216</v>
      </c>
      <c r="U302" s="118" t="s">
        <v>243</v>
      </c>
      <c r="V302" s="118" t="s">
        <v>223</v>
      </c>
      <c r="W302" s="118" t="s">
        <v>219</v>
      </c>
    </row>
    <row r="303" spans="2:23" x14ac:dyDescent="0.3">
      <c r="B303" s="116" t="e" vm="19">
        <v>#VALUE!</v>
      </c>
      <c r="C303" s="117">
        <v>45558</v>
      </c>
      <c r="D303" s="116">
        <v>254</v>
      </c>
      <c r="E303" s="118">
        <v>23.56</v>
      </c>
      <c r="F303" s="118">
        <f>D303*E303*0.0022+3.51</f>
        <v>16.675328</v>
      </c>
      <c r="G303" s="118">
        <f t="shared" si="47"/>
        <v>6000.915328</v>
      </c>
      <c r="H303" s="119">
        <f t="shared" si="67"/>
        <v>2.7865406467655041E-3</v>
      </c>
      <c r="I303" s="120" cm="1">
        <f t="array" aca="1" ref="I303" ca="1">_FV(B303,"Price")</f>
        <v>26.32</v>
      </c>
      <c r="J303" s="118">
        <f t="shared" ca="1" si="68"/>
        <v>6666.6511955449914</v>
      </c>
      <c r="K303" s="118">
        <f t="shared" ca="1" si="69"/>
        <v>6685.28</v>
      </c>
      <c r="L303" s="118">
        <v>0</v>
      </c>
      <c r="M303" s="118">
        <f t="shared" ca="1" si="70"/>
        <v>665.73586754499138</v>
      </c>
      <c r="N303" s="121">
        <f t="shared" ca="1" si="71"/>
        <v>0.11093905365381476</v>
      </c>
      <c r="O303" s="122">
        <f t="shared" ca="1" si="72"/>
        <v>22</v>
      </c>
      <c r="P303" s="121">
        <f t="shared" ca="1" si="73"/>
        <v>6.0512211083898967E-2</v>
      </c>
      <c r="Q303" s="118">
        <f t="shared" ca="1" si="74"/>
        <v>6881.0495761066668</v>
      </c>
      <c r="R303" s="118">
        <f t="shared" si="75"/>
        <v>-6000.915328</v>
      </c>
      <c r="S303" s="123" t="s">
        <v>229</v>
      </c>
      <c r="T303" s="118" t="s">
        <v>216</v>
      </c>
      <c r="U303" s="118" t="s">
        <v>243</v>
      </c>
      <c r="V303" s="118" t="s">
        <v>223</v>
      </c>
      <c r="W303" s="118" t="s">
        <v>219</v>
      </c>
    </row>
    <row r="304" spans="2:23" x14ac:dyDescent="0.3">
      <c r="B304" s="116" t="e" vm="19">
        <v>#VALUE!</v>
      </c>
      <c r="C304" s="117">
        <v>45572</v>
      </c>
      <c r="D304" s="116">
        <v>255</v>
      </c>
      <c r="E304" s="118">
        <v>23.45</v>
      </c>
      <c r="F304" s="118">
        <f>D304*E304*0.0022+3.49</f>
        <v>16.64545</v>
      </c>
      <c r="G304" s="118">
        <f t="shared" si="47"/>
        <v>5996.39545</v>
      </c>
      <c r="H304" s="119">
        <f t="shared" si="67"/>
        <v>2.7836364396504869E-3</v>
      </c>
      <c r="I304" s="120" cm="1">
        <f t="array" aca="1" ref="I304" ca="1">_FV(B304,"Price")</f>
        <v>26.32</v>
      </c>
      <c r="J304" s="118">
        <f t="shared" ca="1" si="68"/>
        <v>6692.9173456716417</v>
      </c>
      <c r="K304" s="118">
        <f t="shared" ca="1" si="69"/>
        <v>6711.6</v>
      </c>
      <c r="L304" s="118">
        <v>0</v>
      </c>
      <c r="M304" s="118">
        <f t="shared" ca="1" si="70"/>
        <v>696.52189567164169</v>
      </c>
      <c r="N304" s="121">
        <f t="shared" ca="1" si="71"/>
        <v>0.11615676475634069</v>
      </c>
      <c r="O304" s="122">
        <f t="shared" ca="1" si="72"/>
        <v>21.533333333333335</v>
      </c>
      <c r="P304" s="121">
        <f t="shared" ca="1" si="73"/>
        <v>6.4731324012821431E-2</v>
      </c>
      <c r="Q304" s="118">
        <f t="shared" ca="1" si="74"/>
        <v>6857.2113301555555</v>
      </c>
      <c r="R304" s="118">
        <f t="shared" si="75"/>
        <v>-5996.39545</v>
      </c>
      <c r="S304" s="123" t="s">
        <v>229</v>
      </c>
      <c r="T304" s="118" t="s">
        <v>216</v>
      </c>
      <c r="U304" s="118" t="s">
        <v>243</v>
      </c>
      <c r="V304" s="118" t="s">
        <v>223</v>
      </c>
      <c r="W304" s="118" t="s">
        <v>219</v>
      </c>
    </row>
    <row r="305" spans="2:23" x14ac:dyDescent="0.3">
      <c r="B305" s="116" t="e" vm="19">
        <v>#VALUE!</v>
      </c>
      <c r="C305" s="117">
        <v>45586</v>
      </c>
      <c r="D305" s="116">
        <v>253</v>
      </c>
      <c r="E305" s="118">
        <v>23.7</v>
      </c>
      <c r="F305" s="118">
        <f>D305*E305*0.0022+3.5</f>
        <v>16.691420000000001</v>
      </c>
      <c r="G305" s="118">
        <f t="shared" si="47"/>
        <v>6012.7914199999996</v>
      </c>
      <c r="H305" s="119">
        <f t="shared" si="67"/>
        <v>2.7837127466186357E-3</v>
      </c>
      <c r="I305" s="120" cm="1">
        <f t="array" aca="1" ref="I305" ca="1">_FV(B305,"Price")</f>
        <v>26.32</v>
      </c>
      <c r="J305" s="118">
        <f t="shared" ca="1" si="68"/>
        <v>6640.4233681687765</v>
      </c>
      <c r="K305" s="118">
        <f t="shared" ca="1" si="69"/>
        <v>6658.96</v>
      </c>
      <c r="L305" s="118">
        <v>0</v>
      </c>
      <c r="M305" s="118">
        <f t="shared" ca="1" si="70"/>
        <v>627.63194816877694</v>
      </c>
      <c r="N305" s="121">
        <f t="shared" ca="1" si="71"/>
        <v>0.10438279067541262</v>
      </c>
      <c r="O305" s="122">
        <f t="shared" ca="1" si="72"/>
        <v>21.066666666666666</v>
      </c>
      <c r="P305" s="121">
        <f t="shared" ca="1" si="73"/>
        <v>5.9458551650551493E-2</v>
      </c>
      <c r="Q305" s="118">
        <f t="shared" ca="1" si="74"/>
        <v>6857.2545705422217</v>
      </c>
      <c r="R305" s="118">
        <f t="shared" si="75"/>
        <v>-6012.7914199999996</v>
      </c>
      <c r="S305" s="123" t="s">
        <v>229</v>
      </c>
      <c r="T305" s="118" t="s">
        <v>216</v>
      </c>
      <c r="U305" s="118" t="s">
        <v>243</v>
      </c>
      <c r="V305" s="118" t="s">
        <v>223</v>
      </c>
      <c r="W305" s="118" t="s">
        <v>219</v>
      </c>
    </row>
    <row r="306" spans="2:23" x14ac:dyDescent="0.3">
      <c r="B306" s="116" t="e" vm="19">
        <v>#VALUE!</v>
      </c>
      <c r="C306" s="117">
        <v>45601</v>
      </c>
      <c r="D306" s="116">
        <v>260</v>
      </c>
      <c r="E306" s="118">
        <v>23.02</v>
      </c>
      <c r="F306" s="118">
        <f>D306*E306*0.0022+3.49</f>
        <v>16.657440000000001</v>
      </c>
      <c r="G306" s="118">
        <f t="shared" si="47"/>
        <v>6001.8574399999998</v>
      </c>
      <c r="H306" s="119">
        <f t="shared" si="67"/>
        <v>2.7831049923143759E-3</v>
      </c>
      <c r="I306" s="120" cm="1">
        <f t="array" aca="1" ref="I306" ca="1">_FV(B306,"Price")</f>
        <v>26.32</v>
      </c>
      <c r="J306" s="118">
        <f t="shared" ca="1" si="68"/>
        <v>6824.1546559165945</v>
      </c>
      <c r="K306" s="118">
        <f t="shared" ca="1" si="69"/>
        <v>6843.2</v>
      </c>
      <c r="L306" s="118">
        <v>0</v>
      </c>
      <c r="M306" s="118">
        <f t="shared" ca="1" si="70"/>
        <v>822.29721591659472</v>
      </c>
      <c r="N306" s="121">
        <f t="shared" ca="1" si="71"/>
        <v>0.13700712223457856</v>
      </c>
      <c r="O306" s="122">
        <f t="shared" ca="1" si="72"/>
        <v>20.6</v>
      </c>
      <c r="P306" s="121">
        <f t="shared" ca="1" si="73"/>
        <v>7.9809974117230231E-2</v>
      </c>
      <c r="Q306" s="118">
        <f t="shared" ca="1" si="74"/>
        <v>6826.1125284266664</v>
      </c>
      <c r="R306" s="118">
        <f t="shared" si="75"/>
        <v>-6001.8574399999998</v>
      </c>
      <c r="S306" s="123" t="s">
        <v>229</v>
      </c>
      <c r="T306" s="118" t="s">
        <v>216</v>
      </c>
      <c r="U306" s="118" t="s">
        <v>243</v>
      </c>
      <c r="V306" s="118" t="s">
        <v>223</v>
      </c>
      <c r="W306" s="118" t="s">
        <v>219</v>
      </c>
    </row>
    <row r="307" spans="2:23" x14ac:dyDescent="0.3">
      <c r="B307" s="116" t="e" vm="19">
        <v>#VALUE!</v>
      </c>
      <c r="C307" s="117">
        <v>45617</v>
      </c>
      <c r="D307" s="116">
        <v>269</v>
      </c>
      <c r="E307" s="118">
        <v>22.28</v>
      </c>
      <c r="F307" s="118">
        <f>D307*E307*0.0022+3.5</f>
        <v>16.685304000000002</v>
      </c>
      <c r="G307" s="118">
        <f t="shared" si="47"/>
        <v>6010.0053040000003</v>
      </c>
      <c r="H307" s="119">
        <f t="shared" si="67"/>
        <v>2.7839835016318167E-3</v>
      </c>
      <c r="I307" s="120" cm="1">
        <f t="array" aca="1" ref="I307" ca="1">_FV(B307,"Price")</f>
        <v>26.32</v>
      </c>
      <c r="J307" s="118">
        <f t="shared" ca="1" si="68"/>
        <v>7060.3691740897666</v>
      </c>
      <c r="K307" s="118">
        <f t="shared" ca="1" si="69"/>
        <v>7080.08</v>
      </c>
      <c r="L307" s="118">
        <v>0</v>
      </c>
      <c r="M307" s="118">
        <f t="shared" ca="1" si="70"/>
        <v>1050.3638700897664</v>
      </c>
      <c r="N307" s="121">
        <f t="shared" ca="1" si="71"/>
        <v>0.17476920850480607</v>
      </c>
      <c r="O307" s="122">
        <f t="shared" ca="1" si="72"/>
        <v>20.066666666666666</v>
      </c>
      <c r="P307" s="121">
        <f t="shared" ca="1" si="73"/>
        <v>0.1045131479430734</v>
      </c>
      <c r="Q307" s="118">
        <f t="shared" ca="1" si="74"/>
        <v>6814.0104580017778</v>
      </c>
      <c r="R307" s="118">
        <f t="shared" si="75"/>
        <v>-6010.0053040000003</v>
      </c>
      <c r="S307" s="123" t="s">
        <v>229</v>
      </c>
      <c r="T307" s="118" t="s">
        <v>216</v>
      </c>
      <c r="U307" s="118" t="s">
        <v>243</v>
      </c>
      <c r="V307" s="118" t="s">
        <v>223</v>
      </c>
      <c r="W307" s="118" t="s">
        <v>219</v>
      </c>
    </row>
    <row r="308" spans="2:23" x14ac:dyDescent="0.3">
      <c r="B308" s="116" t="e" vm="19">
        <v>#VALUE!</v>
      </c>
      <c r="C308" s="117">
        <v>45631</v>
      </c>
      <c r="D308" s="116">
        <v>264</v>
      </c>
      <c r="E308" s="118">
        <v>22.68</v>
      </c>
      <c r="F308" s="118">
        <f>D308*E308*0.0022+3.5</f>
        <v>16.672544000000002</v>
      </c>
      <c r="G308" s="118">
        <f t="shared" si="47"/>
        <v>6004.1925439999995</v>
      </c>
      <c r="H308" s="119">
        <f t="shared" si="67"/>
        <v>2.7845491956603073E-3</v>
      </c>
      <c r="I308" s="120" cm="1">
        <f t="array" aca="1" ref="I308" ca="1">_FV(B308,"Price")</f>
        <v>26.32</v>
      </c>
      <c r="J308" s="118">
        <f t="shared" ca="1" si="68"/>
        <v>6929.1316156049388</v>
      </c>
      <c r="K308" s="118">
        <f t="shared" ca="1" si="69"/>
        <v>6948.4800000000005</v>
      </c>
      <c r="L308" s="118">
        <v>0</v>
      </c>
      <c r="M308" s="118">
        <f t="shared" ca="1" si="70"/>
        <v>924.93907160493927</v>
      </c>
      <c r="N308" s="121">
        <f t="shared" ca="1" si="71"/>
        <v>0.1540488691571413</v>
      </c>
      <c r="O308" s="122">
        <f t="shared" ca="1" si="72"/>
        <v>19.600000000000001</v>
      </c>
      <c r="P308" s="121">
        <f t="shared" ca="1" si="73"/>
        <v>9.4315634177841612E-2</v>
      </c>
      <c r="Q308" s="118">
        <f t="shared" ca="1" si="74"/>
        <v>6788.7403697493328</v>
      </c>
      <c r="R308" s="118">
        <f t="shared" si="75"/>
        <v>-6004.1925439999995</v>
      </c>
      <c r="S308" s="123" t="s">
        <v>229</v>
      </c>
      <c r="T308" s="118" t="s">
        <v>216</v>
      </c>
      <c r="U308" s="118" t="s">
        <v>243</v>
      </c>
      <c r="V308" s="118" t="s">
        <v>223</v>
      </c>
      <c r="W308" s="118" t="s">
        <v>219</v>
      </c>
    </row>
    <row r="309" spans="2:23" x14ac:dyDescent="0.3">
      <c r="B309" s="116" t="e" vm="19">
        <v>#VALUE!</v>
      </c>
      <c r="C309" s="117">
        <v>45646</v>
      </c>
      <c r="D309" s="116">
        <v>258</v>
      </c>
      <c r="E309" s="118">
        <v>23.18</v>
      </c>
      <c r="F309" s="118">
        <f>D309*E309*0.0022+3.49</f>
        <v>16.646968000000001</v>
      </c>
      <c r="G309" s="118">
        <f t="shared" si="47"/>
        <v>5997.0869679999996</v>
      </c>
      <c r="H309" s="119">
        <f t="shared" si="67"/>
        <v>2.7835691019389881E-3</v>
      </c>
      <c r="I309" s="120" cm="1">
        <f t="array" aca="1" ref="I309" ca="1">_FV(B309,"Price")</f>
        <v>26.32</v>
      </c>
      <c r="J309" s="118">
        <f t="shared" ca="1" si="68"/>
        <v>6771.6580069991378</v>
      </c>
      <c r="K309" s="118">
        <f t="shared" ca="1" si="69"/>
        <v>6790.56</v>
      </c>
      <c r="L309" s="118">
        <v>0</v>
      </c>
      <c r="M309" s="118">
        <f t="shared" ca="1" si="70"/>
        <v>774.57103899913818</v>
      </c>
      <c r="N309" s="121">
        <f t="shared" ca="1" si="71"/>
        <v>0.12915788000610803</v>
      </c>
      <c r="O309" s="122">
        <f t="shared" ca="1" si="72"/>
        <v>19.100000000000001</v>
      </c>
      <c r="P309" s="121">
        <f t="shared" ca="1" si="73"/>
        <v>8.1146312045722313E-2</v>
      </c>
      <c r="Q309" s="118">
        <f t="shared" ca="1" si="74"/>
        <v>6760.7160419253332</v>
      </c>
      <c r="R309" s="118">
        <f t="shared" si="75"/>
        <v>-5997.0869679999996</v>
      </c>
      <c r="S309" s="123" t="s">
        <v>229</v>
      </c>
      <c r="T309" s="118" t="s">
        <v>216</v>
      </c>
      <c r="U309" s="118" t="s">
        <v>243</v>
      </c>
      <c r="V309" s="118" t="s">
        <v>223</v>
      </c>
      <c r="W309" s="118" t="s">
        <v>219</v>
      </c>
    </row>
    <row r="310" spans="2:23" x14ac:dyDescent="0.3">
      <c r="B310" s="116" t="e" vm="19">
        <v>#VALUE!</v>
      </c>
      <c r="C310" s="117">
        <v>45663</v>
      </c>
      <c r="D310" s="116">
        <v>255</v>
      </c>
      <c r="E310" s="118">
        <v>23.5</v>
      </c>
      <c r="F310" s="118">
        <f>D310*E310*0.0022+3.5</f>
        <v>16.683500000000002</v>
      </c>
      <c r="G310" s="118">
        <f t="shared" si="47"/>
        <v>6009.1835000000001</v>
      </c>
      <c r="H310" s="119">
        <f t="shared" si="67"/>
        <v>2.7840634125990828E-3</v>
      </c>
      <c r="I310" s="120" cm="1">
        <f t="array" aca="1" ref="I310" ca="1">_FV(B310,"Price")</f>
        <v>26.32</v>
      </c>
      <c r="J310" s="118">
        <f t="shared" ca="1" si="68"/>
        <v>6692.9144800000004</v>
      </c>
      <c r="K310" s="118">
        <f t="shared" ca="1" si="69"/>
        <v>6711.6</v>
      </c>
      <c r="L310" s="118">
        <v>0</v>
      </c>
      <c r="M310" s="118">
        <f t="shared" ca="1" si="70"/>
        <v>683.73098000000027</v>
      </c>
      <c r="N310" s="121">
        <f t="shared" ca="1" si="71"/>
        <v>0.11378101201269694</v>
      </c>
      <c r="O310" s="122">
        <f t="shared" ca="1" si="72"/>
        <v>18.566666666666666</v>
      </c>
      <c r="P310" s="121">
        <f t="shared" ca="1" si="73"/>
        <v>7.3538894658116513E-2</v>
      </c>
      <c r="Q310" s="118">
        <f t="shared" ca="1" si="74"/>
        <v>6752.9868798888892</v>
      </c>
      <c r="R310" s="118">
        <f t="shared" si="75"/>
        <v>-6009.1835000000001</v>
      </c>
      <c r="S310" s="123" t="s">
        <v>229</v>
      </c>
      <c r="T310" s="118" t="s">
        <v>216</v>
      </c>
      <c r="U310" s="118" t="s">
        <v>243</v>
      </c>
      <c r="V310" s="118" t="s">
        <v>223</v>
      </c>
      <c r="W310" s="118" t="s">
        <v>219</v>
      </c>
    </row>
    <row r="311" spans="2:23" x14ac:dyDescent="0.3">
      <c r="B311" s="116" t="e" vm="19">
        <v>#VALUE!</v>
      </c>
      <c r="C311" s="117">
        <v>45677</v>
      </c>
      <c r="D311" s="116">
        <v>266</v>
      </c>
      <c r="E311" s="118">
        <v>22.55</v>
      </c>
      <c r="F311" s="118">
        <f>D311*E311*0.0022+3.5</f>
        <v>16.696260000000002</v>
      </c>
      <c r="G311" s="118">
        <f t="shared" si="47"/>
        <v>6014.9962599999999</v>
      </c>
      <c r="H311" s="119">
        <f t="shared" si="67"/>
        <v>2.7834986579530871E-3</v>
      </c>
      <c r="I311" s="120" cm="1">
        <f t="array" aca="1" ref="I311" ca="1">_FV(B311,"Price")</f>
        <v>26.32</v>
      </c>
      <c r="J311" s="118">
        <f t="shared" ca="1" si="68"/>
        <v>6981.6323918758308</v>
      </c>
      <c r="K311" s="118">
        <f t="shared" ca="1" si="69"/>
        <v>7001.12</v>
      </c>
      <c r="L311" s="118">
        <v>0</v>
      </c>
      <c r="M311" s="118">
        <f t="shared" ca="1" si="70"/>
        <v>966.63613187583087</v>
      </c>
      <c r="N311" s="121">
        <f t="shared" ca="1" si="71"/>
        <v>0.16070436124856891</v>
      </c>
      <c r="O311" s="122">
        <f t="shared" ca="1" si="72"/>
        <v>18.100000000000001</v>
      </c>
      <c r="P311" s="121">
        <f t="shared" ca="1" si="73"/>
        <v>0.10654432789960368</v>
      </c>
      <c r="Q311" s="118">
        <f t="shared" ca="1" si="74"/>
        <v>6740.8058087066665</v>
      </c>
      <c r="R311" s="118">
        <f t="shared" si="75"/>
        <v>-6014.9962599999999</v>
      </c>
      <c r="S311" s="123" t="s">
        <v>229</v>
      </c>
      <c r="T311" s="118" t="s">
        <v>216</v>
      </c>
      <c r="U311" s="118" t="s">
        <v>243</v>
      </c>
      <c r="V311" s="118" t="s">
        <v>223</v>
      </c>
      <c r="W311" s="118" t="s">
        <v>219</v>
      </c>
    </row>
    <row r="312" spans="2:23" x14ac:dyDescent="0.3">
      <c r="B312" s="116" t="e" vm="19">
        <v>#VALUE!</v>
      </c>
      <c r="C312" s="117">
        <v>45691</v>
      </c>
      <c r="D312" s="116">
        <v>277</v>
      </c>
      <c r="E312" s="118">
        <v>21.63</v>
      </c>
      <c r="F312" s="118">
        <f>D312*E312*0.0022+3.5</f>
        <v>16.681322000000002</v>
      </c>
      <c r="G312" s="118">
        <f t="shared" si="47"/>
        <v>6008.1913219999997</v>
      </c>
      <c r="H312" s="119">
        <f t="shared" si="67"/>
        <v>2.7841599196195958E-3</v>
      </c>
      <c r="I312" s="120" cm="1">
        <f t="array" aca="1" ref="I312" ca="1">_FV(B312,"Price")</f>
        <v>26.32</v>
      </c>
      <c r="J312" s="118">
        <f t="shared" ca="1" si="68"/>
        <v>7270.3416923236255</v>
      </c>
      <c r="K312" s="118">
        <f t="shared" ca="1" si="69"/>
        <v>7290.64</v>
      </c>
      <c r="L312" s="118">
        <v>0</v>
      </c>
      <c r="M312" s="118">
        <f t="shared" ca="1" si="70"/>
        <v>1262.1503703236258</v>
      </c>
      <c r="N312" s="121">
        <f t="shared" ca="1" si="71"/>
        <v>0.21007160103275185</v>
      </c>
      <c r="O312" s="122">
        <f t="shared" ca="1" si="72"/>
        <v>17.666666666666668</v>
      </c>
      <c r="P312" s="121">
        <f t="shared" ca="1" si="73"/>
        <v>0.14269014409771824</v>
      </c>
      <c r="Q312" s="118">
        <f t="shared" ca="1" si="74"/>
        <v>6715.8227443688884</v>
      </c>
      <c r="R312" s="118">
        <f t="shared" si="75"/>
        <v>-6008.1913219999997</v>
      </c>
      <c r="S312" s="123" t="s">
        <v>229</v>
      </c>
      <c r="T312" s="118" t="s">
        <v>216</v>
      </c>
      <c r="U312" s="118" t="s">
        <v>243</v>
      </c>
      <c r="V312" s="118" t="s">
        <v>223</v>
      </c>
      <c r="W312" s="118" t="s">
        <v>219</v>
      </c>
    </row>
    <row r="313" spans="2:23" x14ac:dyDescent="0.3">
      <c r="B313" s="116" t="e" vm="19">
        <v>#VALUE!</v>
      </c>
      <c r="C313" s="117">
        <v>45706</v>
      </c>
      <c r="D313" s="116">
        <v>280</v>
      </c>
      <c r="E313" s="118">
        <v>21.36</v>
      </c>
      <c r="F313" s="118">
        <f>D313*E313*0.0022+3.49</f>
        <v>16.647760000000002</v>
      </c>
      <c r="G313" s="118">
        <f t="shared" si="47"/>
        <v>5997.44776</v>
      </c>
      <c r="H313" s="119">
        <f t="shared" si="67"/>
        <v>2.783533975387908E-3</v>
      </c>
      <c r="I313" s="120" cm="1">
        <f t="array" aca="1" ref="I313" ca="1">_FV(B313,"Price")</f>
        <v>26.32</v>
      </c>
      <c r="J313" s="118">
        <f t="shared" ca="1" si="68"/>
        <v>7349.0864680149816</v>
      </c>
      <c r="K313" s="118">
        <f t="shared" ca="1" si="69"/>
        <v>7369.6</v>
      </c>
      <c r="L313" s="118">
        <v>0</v>
      </c>
      <c r="M313" s="118">
        <f t="shared" ca="1" si="70"/>
        <v>1351.6387080149816</v>
      </c>
      <c r="N313" s="121">
        <f t="shared" ca="1" si="71"/>
        <v>0.22536898395843327</v>
      </c>
      <c r="O313" s="122">
        <f t="shared" ca="1" si="72"/>
        <v>17.166666666666668</v>
      </c>
      <c r="P313" s="121">
        <f t="shared" ca="1" si="73"/>
        <v>0.1575394839321087</v>
      </c>
      <c r="Q313" s="118">
        <f t="shared" ca="1" si="74"/>
        <v>6683.8223369777779</v>
      </c>
      <c r="R313" s="118">
        <f t="shared" si="75"/>
        <v>-5997.44776</v>
      </c>
      <c r="S313" s="123" t="s">
        <v>229</v>
      </c>
      <c r="T313" s="118" t="s">
        <v>216</v>
      </c>
      <c r="U313" s="118" t="s">
        <v>243</v>
      </c>
      <c r="V313" s="118" t="s">
        <v>223</v>
      </c>
      <c r="W313" s="118" t="s">
        <v>219</v>
      </c>
    </row>
    <row r="314" spans="2:23" x14ac:dyDescent="0.3">
      <c r="B314" s="116" t="e" vm="19">
        <v>#VALUE!</v>
      </c>
      <c r="C314" s="117">
        <v>45721</v>
      </c>
      <c r="D314" s="116">
        <v>292</v>
      </c>
      <c r="E314" s="118">
        <v>20.5</v>
      </c>
      <c r="F314" s="118">
        <f>D314*E314*0.0022+3.49</f>
        <v>16.659199999999998</v>
      </c>
      <c r="G314" s="118">
        <f t="shared" si="47"/>
        <v>6002.6592000000001</v>
      </c>
      <c r="H314" s="119">
        <f t="shared" si="67"/>
        <v>2.7830270631473437E-3</v>
      </c>
      <c r="I314" s="120" cm="1">
        <f t="array" aca="1" ref="I314" ca="1">_FV(B314,"Price")</f>
        <v>26.32</v>
      </c>
      <c r="J314" s="118">
        <f t="shared" ca="1" si="68"/>
        <v>7664.0512124878051</v>
      </c>
      <c r="K314" s="118">
        <f t="shared" ca="1" si="69"/>
        <v>7685.4400000000005</v>
      </c>
      <c r="L314" s="118">
        <v>0</v>
      </c>
      <c r="M314" s="118">
        <f t="shared" ca="1" si="70"/>
        <v>1661.392012487805</v>
      </c>
      <c r="N314" s="121">
        <f t="shared" ca="1" si="71"/>
        <v>0.2767760016240477</v>
      </c>
      <c r="O314" s="122">
        <f t="shared" ca="1" si="72"/>
        <v>16.600000000000001</v>
      </c>
      <c r="P314" s="121">
        <f t="shared" ca="1" si="73"/>
        <v>0.20007903731858867</v>
      </c>
      <c r="Q314" s="118">
        <f t="shared" ca="1" si="74"/>
        <v>6666.9534848000003</v>
      </c>
      <c r="R314" s="118">
        <f t="shared" si="75"/>
        <v>-6002.6592000000001</v>
      </c>
      <c r="S314" s="123" t="s">
        <v>229</v>
      </c>
      <c r="T314" s="118" t="s">
        <v>216</v>
      </c>
      <c r="U314" s="118" t="s">
        <v>243</v>
      </c>
      <c r="V314" s="118" t="s">
        <v>223</v>
      </c>
      <c r="W314" s="118" t="s">
        <v>219</v>
      </c>
    </row>
    <row r="315" spans="2:23" x14ac:dyDescent="0.3">
      <c r="B315" s="116" t="e" vm="19">
        <v>#VALUE!</v>
      </c>
      <c r="C315" s="117">
        <v>45736</v>
      </c>
      <c r="D315" s="116">
        <v>275</v>
      </c>
      <c r="E315" s="118">
        <v>21.74</v>
      </c>
      <c r="F315" s="118">
        <f>D315*E315*0.0022+3.49</f>
        <v>16.642700000000001</v>
      </c>
      <c r="G315" s="118">
        <f t="shared" si="47"/>
        <v>5995.1427000000003</v>
      </c>
      <c r="H315" s="119">
        <f t="shared" si="67"/>
        <v>2.7837584678431049E-3</v>
      </c>
      <c r="I315" s="120" cm="1">
        <f t="array" aca="1" ref="I315" ca="1">_FV(B315,"Price")</f>
        <v>26.32</v>
      </c>
      <c r="J315" s="118">
        <f t="shared" ca="1" si="68"/>
        <v>7217.8511562097519</v>
      </c>
      <c r="K315" s="118">
        <f t="shared" ca="1" si="69"/>
        <v>7238</v>
      </c>
      <c r="L315" s="118">
        <v>0</v>
      </c>
      <c r="M315" s="118">
        <f t="shared" ca="1" si="70"/>
        <v>1222.7084562097516</v>
      </c>
      <c r="N315" s="121">
        <f t="shared" ca="1" si="71"/>
        <v>0.203949850302938</v>
      </c>
      <c r="O315" s="122">
        <f t="shared" ca="1" si="72"/>
        <v>16.100000000000001</v>
      </c>
      <c r="P315" s="121">
        <f t="shared" ca="1" si="73"/>
        <v>0.15201231078479849</v>
      </c>
      <c r="Q315" s="118">
        <f t="shared" ca="1" si="74"/>
        <v>6638.6213498000006</v>
      </c>
      <c r="R315" s="118">
        <f t="shared" si="75"/>
        <v>-5995.1427000000003</v>
      </c>
      <c r="S315" s="123" t="s">
        <v>229</v>
      </c>
      <c r="T315" s="118" t="s">
        <v>216</v>
      </c>
      <c r="U315" s="118" t="s">
        <v>243</v>
      </c>
      <c r="V315" s="118" t="s">
        <v>223</v>
      </c>
      <c r="W315" s="118" t="s">
        <v>219</v>
      </c>
    </row>
    <row r="316" spans="2:23" x14ac:dyDescent="0.3">
      <c r="B316" s="116" t="e" vm="19">
        <v>#VALUE!</v>
      </c>
      <c r="C316" s="117">
        <v>45751</v>
      </c>
      <c r="D316" s="116">
        <v>285</v>
      </c>
      <c r="E316" s="118">
        <v>21</v>
      </c>
      <c r="F316" s="118">
        <f>D316*E316*0.0022+3.49</f>
        <v>16.657000000000004</v>
      </c>
      <c r="G316" s="118">
        <f t="shared" si="47"/>
        <v>6001.6570000000002</v>
      </c>
      <c r="H316" s="119">
        <f t="shared" si="67"/>
        <v>2.7831244778613205E-3</v>
      </c>
      <c r="I316" s="120" cm="1">
        <f t="array" aca="1" ref="I316" ca="1">_FV(B316,"Price")</f>
        <v>26.32</v>
      </c>
      <c r="J316" s="118">
        <f t="shared" ca="1" si="68"/>
        <v>7480.3232266666664</v>
      </c>
      <c r="K316" s="118">
        <f t="shared" ca="1" si="69"/>
        <v>7501.2</v>
      </c>
      <c r="L316" s="118">
        <v>0</v>
      </c>
      <c r="M316" s="118">
        <f t="shared" ca="1" si="70"/>
        <v>1478.6662266666663</v>
      </c>
      <c r="N316" s="121">
        <f t="shared" ca="1" si="71"/>
        <v>0.24637633018125932</v>
      </c>
      <c r="O316" s="122">
        <f t="shared" ca="1" si="72"/>
        <v>15.633333333333333</v>
      </c>
      <c r="P316" s="121">
        <f t="shared" ca="1" si="73"/>
        <v>0.18911615962740591</v>
      </c>
      <c r="Q316" s="118">
        <f t="shared" ca="1" si="74"/>
        <v>6627.163029555556</v>
      </c>
      <c r="R316" s="118">
        <f t="shared" si="75"/>
        <v>-6001.6570000000002</v>
      </c>
      <c r="S316" s="123" t="s">
        <v>229</v>
      </c>
      <c r="T316" s="118" t="s">
        <v>216</v>
      </c>
      <c r="U316" s="118" t="s">
        <v>243</v>
      </c>
      <c r="V316" s="118" t="s">
        <v>223</v>
      </c>
      <c r="W316" s="118" t="s">
        <v>219</v>
      </c>
    </row>
    <row r="317" spans="2:23" x14ac:dyDescent="0.3">
      <c r="B317" s="116" t="e" vm="19">
        <v>#VALUE!</v>
      </c>
      <c r="C317" s="117">
        <v>45768</v>
      </c>
      <c r="D317" s="116">
        <v>276</v>
      </c>
      <c r="E317" s="118">
        <v>21.7</v>
      </c>
      <c r="F317" s="118">
        <f>D317*E317*0.0022+3.5</f>
        <v>16.67624</v>
      </c>
      <c r="G317" s="118">
        <f t="shared" si="47"/>
        <v>6005.8762399999996</v>
      </c>
      <c r="H317" s="119">
        <f t="shared" si="67"/>
        <v>2.7843852267414679E-3</v>
      </c>
      <c r="I317" s="120" cm="1">
        <f t="array" aca="1" ref="I317" ca="1">_FV(B317,"Price")</f>
        <v>26.32</v>
      </c>
      <c r="J317" s="118">
        <f t="shared" ca="1" si="68"/>
        <v>7244.093334709677</v>
      </c>
      <c r="K317" s="118">
        <f t="shared" ca="1" si="69"/>
        <v>7264.32</v>
      </c>
      <c r="L317" s="118">
        <v>0</v>
      </c>
      <c r="M317" s="118">
        <f t="shared" ca="1" si="70"/>
        <v>1238.2170947096774</v>
      </c>
      <c r="N317" s="121">
        <f t="shared" ca="1" si="71"/>
        <v>0.20616760073458948</v>
      </c>
      <c r="O317" s="122">
        <f t="shared" ca="1" si="72"/>
        <v>15.066666666666666</v>
      </c>
      <c r="P317" s="121">
        <f t="shared" ca="1" si="73"/>
        <v>0.16420428377091198</v>
      </c>
      <c r="Q317" s="118">
        <f t="shared" ca="1" si="74"/>
        <v>6609.1331423288884</v>
      </c>
      <c r="R317" s="118">
        <f t="shared" si="75"/>
        <v>-6005.8762399999996</v>
      </c>
      <c r="S317" s="123" t="s">
        <v>229</v>
      </c>
      <c r="T317" s="118" t="s">
        <v>216</v>
      </c>
      <c r="U317" s="118" t="s">
        <v>243</v>
      </c>
      <c r="V317" s="118" t="s">
        <v>223</v>
      </c>
      <c r="W317" s="118" t="s">
        <v>219</v>
      </c>
    </row>
    <row r="318" spans="2:23" x14ac:dyDescent="0.3">
      <c r="B318" s="116" t="e" vm="19">
        <v>#VALUE!</v>
      </c>
      <c r="C318" s="117">
        <v>45782</v>
      </c>
      <c r="D318" s="116">
        <v>269</v>
      </c>
      <c r="E318" s="118">
        <v>22.24</v>
      </c>
      <c r="F318" s="118">
        <f>D318*E318*0.0022+3.49</f>
        <v>16.651631999999999</v>
      </c>
      <c r="G318" s="118">
        <f t="shared" si="47"/>
        <v>5999.2116319999996</v>
      </c>
      <c r="H318" s="119">
        <f t="shared" si="67"/>
        <v>2.7833623064373782E-3</v>
      </c>
      <c r="I318" s="120" cm="1">
        <f t="array" aca="1" ref="I318" ca="1">_FV(B318,"Price")</f>
        <v>26.32</v>
      </c>
      <c r="J318" s="118">
        <f t="shared" ca="1" si="68"/>
        <v>7060.3735722014389</v>
      </c>
      <c r="K318" s="118">
        <f t="shared" ca="1" si="69"/>
        <v>7080.08</v>
      </c>
      <c r="L318" s="118">
        <v>0</v>
      </c>
      <c r="M318" s="118">
        <f t="shared" ca="1" si="70"/>
        <v>1061.1619402014394</v>
      </c>
      <c r="N318" s="121">
        <f t="shared" ca="1" si="71"/>
        <v>0.17688356492395857</v>
      </c>
      <c r="O318" s="122">
        <f t="shared" ca="1" si="72"/>
        <v>14.6</v>
      </c>
      <c r="P318" s="121">
        <f t="shared" ca="1" si="73"/>
        <v>0.14538375199229472</v>
      </c>
      <c r="Q318" s="118">
        <f t="shared" ca="1" si="74"/>
        <v>6583.1348975146666</v>
      </c>
      <c r="R318" s="118">
        <f t="shared" si="75"/>
        <v>-5999.2116319999996</v>
      </c>
      <c r="S318" s="123" t="s">
        <v>229</v>
      </c>
      <c r="T318" s="118" t="s">
        <v>216</v>
      </c>
      <c r="U318" s="118" t="s">
        <v>243</v>
      </c>
      <c r="V318" s="118" t="s">
        <v>223</v>
      </c>
      <c r="W318" s="118" t="s">
        <v>219</v>
      </c>
    </row>
    <row r="319" spans="2:23" x14ac:dyDescent="0.3">
      <c r="B319" s="116" t="e" vm="19">
        <v>#VALUE!</v>
      </c>
      <c r="C319" s="117">
        <v>45796</v>
      </c>
      <c r="D319" s="116">
        <v>268</v>
      </c>
      <c r="E319" s="118">
        <v>22.35</v>
      </c>
      <c r="F319" s="118">
        <f>D319*E319*0.0022+3.5</f>
        <v>16.67756</v>
      </c>
      <c r="G319" s="118">
        <f t="shared" si="47"/>
        <v>6006.4775600000003</v>
      </c>
      <c r="H319" s="119">
        <f t="shared" si="67"/>
        <v>2.7843266887041303E-3</v>
      </c>
      <c r="I319" s="120" cm="1">
        <f t="array" aca="1" ref="I319" ca="1">_FV(B319,"Price")</f>
        <v>26.32</v>
      </c>
      <c r="J319" s="118">
        <f t="shared" ca="1" si="68"/>
        <v>7034.1200277762864</v>
      </c>
      <c r="K319" s="118">
        <f t="shared" ca="1" si="69"/>
        <v>7053.76</v>
      </c>
      <c r="L319" s="118">
        <v>0</v>
      </c>
      <c r="M319" s="118">
        <f t="shared" ca="1" si="70"/>
        <v>1027.6424677762861</v>
      </c>
      <c r="N319" s="121">
        <f t="shared" ca="1" si="71"/>
        <v>0.17108903804450176</v>
      </c>
      <c r="O319" s="122">
        <f t="shared" ca="1" si="72"/>
        <v>14.133333333333333</v>
      </c>
      <c r="P319" s="121">
        <f t="shared" ca="1" si="73"/>
        <v>0.14526427758495433</v>
      </c>
      <c r="Q319" s="118">
        <f t="shared" ca="1" si="74"/>
        <v>6572.4212234311117</v>
      </c>
      <c r="R319" s="118">
        <f t="shared" si="75"/>
        <v>-6006.4775600000003</v>
      </c>
      <c r="S319" s="123" t="s">
        <v>229</v>
      </c>
      <c r="T319" s="118" t="s">
        <v>216</v>
      </c>
      <c r="U319" s="118" t="s">
        <v>243</v>
      </c>
      <c r="V319" s="118" t="s">
        <v>223</v>
      </c>
      <c r="W319" s="118" t="s">
        <v>219</v>
      </c>
    </row>
    <row r="320" spans="2:23" x14ac:dyDescent="0.3">
      <c r="B320" s="116" t="e" vm="19">
        <v>#VALUE!</v>
      </c>
      <c r="C320" s="117">
        <v>45811</v>
      </c>
      <c r="D320" s="116">
        <v>274</v>
      </c>
      <c r="E320" s="118">
        <v>21.84</v>
      </c>
      <c r="F320" s="118">
        <f>D320*E320*0.0022+3.49</f>
        <v>16.655152000000001</v>
      </c>
      <c r="G320" s="118">
        <f t="shared" si="47"/>
        <v>6000.8151520000001</v>
      </c>
      <c r="H320" s="119">
        <f t="shared" si="67"/>
        <v>2.7832063313815141E-3</v>
      </c>
      <c r="I320" s="120" cm="1">
        <f t="array" aca="1" ref="I320" ca="1">_FV(B320,"Price")</f>
        <v>26.32</v>
      </c>
      <c r="J320" s="118">
        <f t="shared" ca="1" si="68"/>
        <v>7191.6084065641026</v>
      </c>
      <c r="K320" s="118">
        <f t="shared" ca="1" si="69"/>
        <v>7211.68</v>
      </c>
      <c r="L320" s="118">
        <v>0</v>
      </c>
      <c r="M320" s="118">
        <f t="shared" ca="1" si="70"/>
        <v>1190.7932545641024</v>
      </c>
      <c r="N320" s="121">
        <f t="shared" ca="1" si="71"/>
        <v>0.19843858282607243</v>
      </c>
      <c r="O320" s="122">
        <f t="shared" ca="1" si="72"/>
        <v>13.666666666666666</v>
      </c>
      <c r="P320" s="121">
        <f t="shared" ca="1" si="73"/>
        <v>0.17423875565216118</v>
      </c>
      <c r="Q320" s="118">
        <f t="shared" ca="1" si="74"/>
        <v>6547.5560880711109</v>
      </c>
      <c r="R320" s="118">
        <f t="shared" si="75"/>
        <v>-6000.8151520000001</v>
      </c>
      <c r="S320" s="123" t="s">
        <v>229</v>
      </c>
      <c r="T320" s="118" t="s">
        <v>216</v>
      </c>
      <c r="U320" s="118" t="s">
        <v>243</v>
      </c>
      <c r="V320" s="118" t="s">
        <v>223</v>
      </c>
      <c r="W320" s="118" t="s">
        <v>219</v>
      </c>
    </row>
    <row r="321" spans="2:23" x14ac:dyDescent="0.3">
      <c r="B321" s="116" t="e" vm="19">
        <v>#VALUE!</v>
      </c>
      <c r="C321" s="117">
        <v>45826</v>
      </c>
      <c r="D321" s="116">
        <v>271</v>
      </c>
      <c r="E321" s="118">
        <v>22.09</v>
      </c>
      <c r="F321" s="118">
        <f>D321*E321*0.0022+3.49</f>
        <v>16.660057999999999</v>
      </c>
      <c r="G321" s="118">
        <f t="shared" si="47"/>
        <v>6003.0500580000007</v>
      </c>
      <c r="H321" s="119">
        <f t="shared" si="67"/>
        <v>2.782989080230322E-3</v>
      </c>
      <c r="I321" s="120" cm="1">
        <f t="array" aca="1" ref="I321" ca="1">_FV(B321,"Price")</f>
        <v>26.32</v>
      </c>
      <c r="J321" s="118">
        <f t="shared" ca="1" si="68"/>
        <v>7112.8697181276593</v>
      </c>
      <c r="K321" s="118">
        <f t="shared" ca="1" si="69"/>
        <v>7132.72</v>
      </c>
      <c r="L321" s="118">
        <v>0</v>
      </c>
      <c r="M321" s="118">
        <f t="shared" ca="1" si="70"/>
        <v>1109.8196601276586</v>
      </c>
      <c r="N321" s="121">
        <f t="shared" ca="1" si="71"/>
        <v>0.18487596295297434</v>
      </c>
      <c r="O321" s="122">
        <f t="shared" ca="1" si="72"/>
        <v>13.166666666666666</v>
      </c>
      <c r="P321" s="121">
        <f t="shared" ca="1" si="73"/>
        <v>0.1684945485141032</v>
      </c>
      <c r="Q321" s="118">
        <f t="shared" ca="1" si="74"/>
        <v>6529.9844519800008</v>
      </c>
      <c r="R321" s="118">
        <f t="shared" si="75"/>
        <v>-6003.0500580000007</v>
      </c>
      <c r="S321" s="123" t="s">
        <v>229</v>
      </c>
      <c r="T321" s="118" t="s">
        <v>216</v>
      </c>
      <c r="U321" s="118" t="s">
        <v>243</v>
      </c>
      <c r="V321" s="118" t="s">
        <v>223</v>
      </c>
      <c r="W321" s="118" t="s">
        <v>219</v>
      </c>
    </row>
    <row r="322" spans="2:23" x14ac:dyDescent="0.3">
      <c r="B322" s="116" t="e" vm="19">
        <v>#VALUE!</v>
      </c>
      <c r="C322" s="117">
        <v>45841</v>
      </c>
      <c r="D322" s="116">
        <v>265</v>
      </c>
      <c r="E322" s="118">
        <v>22.6</v>
      </c>
      <c r="F322" s="118">
        <f>D322*E322*0.0022+3.5</f>
        <v>16.675800000000002</v>
      </c>
      <c r="G322" s="118">
        <f t="shared" si="47"/>
        <v>6005.6758</v>
      </c>
      <c r="H322" s="119">
        <f t="shared" si="67"/>
        <v>2.7844047420270499E-3</v>
      </c>
      <c r="I322" s="120" cm="1">
        <f t="array" aca="1" ref="I322" ca="1">_FV(B322,"Price")</f>
        <v>26.32</v>
      </c>
      <c r="J322" s="118">
        <f t="shared" ca="1" si="68"/>
        <v>6955.3793338053101</v>
      </c>
      <c r="K322" s="118">
        <f t="shared" ca="1" si="69"/>
        <v>6974.8</v>
      </c>
      <c r="L322" s="118">
        <v>0</v>
      </c>
      <c r="M322" s="118">
        <f t="shared" ca="1" si="70"/>
        <v>949.70353380531014</v>
      </c>
      <c r="N322" s="121">
        <f t="shared" ca="1" si="71"/>
        <v>0.1581343324934906</v>
      </c>
      <c r="O322" s="122">
        <f t="shared" ca="1" si="72"/>
        <v>12.666666666666666</v>
      </c>
      <c r="P322" s="121">
        <f t="shared" ca="1" si="73"/>
        <v>0.14981147288857005</v>
      </c>
      <c r="Q322" s="118">
        <f t="shared" ca="1" si="74"/>
        <v>6512.821756444444</v>
      </c>
      <c r="R322" s="118">
        <f t="shared" si="75"/>
        <v>-6005.6758</v>
      </c>
      <c r="S322" s="123" t="s">
        <v>229</v>
      </c>
      <c r="T322" s="118" t="s">
        <v>216</v>
      </c>
      <c r="U322" s="118" t="s">
        <v>243</v>
      </c>
      <c r="V322" s="118" t="s">
        <v>223</v>
      </c>
      <c r="W322" s="118" t="s">
        <v>219</v>
      </c>
    </row>
    <row r="323" spans="2:23" x14ac:dyDescent="0.3">
      <c r="B323" s="116" t="e" vm="19">
        <v>#VALUE!</v>
      </c>
      <c r="C323" s="117">
        <v>45873</v>
      </c>
      <c r="D323" s="116">
        <v>264</v>
      </c>
      <c r="E323" s="118">
        <v>22.73</v>
      </c>
      <c r="F323" s="118">
        <f>D323*E323*0.0022+3.5</f>
        <v>16.701584000000004</v>
      </c>
      <c r="G323" s="118">
        <f t="shared" ref="G323:G386" si="76">(E323*D323)+F323</f>
        <v>6017.4215840000006</v>
      </c>
      <c r="H323" s="119">
        <f t="shared" si="67"/>
        <v>2.7832633417323258E-3</v>
      </c>
      <c r="I323" s="120" cm="1">
        <f t="array" aca="1" ref="I323" ca="1">_FV(B323,"Price")</f>
        <v>26.32</v>
      </c>
      <c r="J323" s="118">
        <f t="shared" ca="1" si="68"/>
        <v>6929.1405503352407</v>
      </c>
      <c r="K323" s="118">
        <f t="shared" ca="1" si="69"/>
        <v>6948.4800000000005</v>
      </c>
      <c r="L323" s="118">
        <v>0</v>
      </c>
      <c r="M323" s="118">
        <f t="shared" ca="1" si="70"/>
        <v>911.71896633524011</v>
      </c>
      <c r="N323" s="121">
        <f t="shared" ca="1" si="71"/>
        <v>0.15151322765209799</v>
      </c>
      <c r="O323" s="122">
        <f t="shared" ca="1" si="72"/>
        <v>11.633333333333333</v>
      </c>
      <c r="P323" s="121">
        <f t="shared" ca="1" si="73"/>
        <v>0.15628871620273718</v>
      </c>
      <c r="Q323" s="118">
        <f t="shared" ca="1" si="74"/>
        <v>6484.1060579591121</v>
      </c>
      <c r="R323" s="118">
        <f t="shared" si="75"/>
        <v>-6017.4215840000006</v>
      </c>
      <c r="S323" s="123" t="s">
        <v>229</v>
      </c>
      <c r="T323" s="118" t="s">
        <v>216</v>
      </c>
      <c r="U323" s="118" t="s">
        <v>243</v>
      </c>
      <c r="V323" s="118" t="s">
        <v>223</v>
      </c>
      <c r="W323" s="118" t="s">
        <v>219</v>
      </c>
    </row>
    <row r="324" spans="2:23" x14ac:dyDescent="0.3">
      <c r="B324" s="116" t="e" vm="19">
        <v>#VALUE!</v>
      </c>
      <c r="C324" s="117">
        <v>45903</v>
      </c>
      <c r="D324" s="116">
        <v>266</v>
      </c>
      <c r="E324" s="118">
        <v>22.5</v>
      </c>
      <c r="F324" s="118">
        <f>D324*E324*0.0022+3.49</f>
        <v>16.657000000000004</v>
      </c>
      <c r="G324" s="118">
        <f t="shared" si="76"/>
        <v>6001.6570000000002</v>
      </c>
      <c r="H324" s="119">
        <f t="shared" si="67"/>
        <v>2.7831244778613205E-3</v>
      </c>
      <c r="I324" s="120" cm="1">
        <f t="array" aca="1" ref="I324" ca="1">_FV(B324,"Price")</f>
        <v>26.32</v>
      </c>
      <c r="J324" s="118">
        <f t="shared" ca="1" si="68"/>
        <v>6981.6350115555551</v>
      </c>
      <c r="K324" s="118">
        <f t="shared" ca="1" si="69"/>
        <v>7001.12</v>
      </c>
      <c r="L324" s="118">
        <v>0</v>
      </c>
      <c r="M324" s="118">
        <f t="shared" ca="1" si="70"/>
        <v>979.97801155555499</v>
      </c>
      <c r="N324" s="121">
        <f t="shared" ca="1" si="71"/>
        <v>0.16328457483584199</v>
      </c>
      <c r="O324" s="122">
        <f t="shared" ca="1" si="72"/>
        <v>10.666666666666666</v>
      </c>
      <c r="P324" s="121">
        <f t="shared" ca="1" si="73"/>
        <v>0.18369514669032225</v>
      </c>
      <c r="Q324" s="118">
        <f t="shared" ca="1" si="74"/>
        <v>6428.4414977777778</v>
      </c>
      <c r="R324" s="118">
        <f t="shared" si="75"/>
        <v>-6001.6570000000002</v>
      </c>
      <c r="S324" s="123" t="s">
        <v>229</v>
      </c>
      <c r="T324" s="118" t="s">
        <v>216</v>
      </c>
      <c r="U324" s="118" t="s">
        <v>243</v>
      </c>
      <c r="V324" s="118" t="s">
        <v>223</v>
      </c>
      <c r="W324" s="118" t="s">
        <v>219</v>
      </c>
    </row>
    <row r="325" spans="2:23" x14ac:dyDescent="0.3">
      <c r="B325" s="116" t="e" vm="19">
        <v>#VALUE!</v>
      </c>
      <c r="C325" s="117">
        <v>45933</v>
      </c>
      <c r="D325" s="116">
        <v>269</v>
      </c>
      <c r="E325" s="118">
        <v>22.27</v>
      </c>
      <c r="F325" s="118">
        <f>D325*E325*0.0022+3.5</f>
        <v>16.679386000000001</v>
      </c>
      <c r="G325" s="118">
        <f t="shared" si="76"/>
        <v>6007.3093859999999</v>
      </c>
      <c r="H325" s="119">
        <f t="shared" si="67"/>
        <v>2.7842457304156657E-3</v>
      </c>
      <c r="I325" s="120" cm="1">
        <f t="array" aca="1" ref="I325" ca="1">_FV(B325,"Price")</f>
        <v>26.32</v>
      </c>
      <c r="J325" s="118">
        <f t="shared" ca="1" si="68"/>
        <v>7060.3673174889982</v>
      </c>
      <c r="K325" s="118">
        <f t="shared" ca="1" si="69"/>
        <v>7080.08</v>
      </c>
      <c r="L325" s="118">
        <v>0</v>
      </c>
      <c r="M325" s="118">
        <f t="shared" ca="1" si="70"/>
        <v>1053.0579314889983</v>
      </c>
      <c r="N325" s="121">
        <f t="shared" ca="1" si="71"/>
        <v>0.17529610409997257</v>
      </c>
      <c r="O325" s="122">
        <f t="shared" ca="1" si="72"/>
        <v>9.6666666666666661</v>
      </c>
      <c r="P325" s="121">
        <f t="shared" ca="1" si="73"/>
        <v>0.21760895681375908</v>
      </c>
      <c r="Q325" s="118">
        <f t="shared" ca="1" si="74"/>
        <v>6394.4471019866669</v>
      </c>
      <c r="R325" s="118">
        <f t="shared" si="75"/>
        <v>-6007.3093859999999</v>
      </c>
      <c r="S325" s="123" t="s">
        <v>229</v>
      </c>
      <c r="T325" s="118" t="s">
        <v>216</v>
      </c>
      <c r="U325" s="118" t="s">
        <v>243</v>
      </c>
      <c r="V325" s="118" t="s">
        <v>223</v>
      </c>
      <c r="W325" s="118" t="s">
        <v>219</v>
      </c>
    </row>
    <row r="326" spans="2:23" x14ac:dyDescent="0.3">
      <c r="B326" s="116" t="e" vm="19">
        <v>#VALUE!</v>
      </c>
      <c r="C326" s="117">
        <v>45964</v>
      </c>
      <c r="D326" s="116">
        <v>262</v>
      </c>
      <c r="E326" s="118">
        <v>22.86</v>
      </c>
      <c r="F326" s="118">
        <f>D326*E326*0.0022+3.5</f>
        <v>16.676504000000001</v>
      </c>
      <c r="G326" s="118">
        <f t="shared" si="76"/>
        <v>6005.9965039999997</v>
      </c>
      <c r="H326" s="119">
        <f t="shared" si="67"/>
        <v>2.7843735181957222E-3</v>
      </c>
      <c r="I326" s="120" cm="1">
        <f t="array" aca="1" ref="I326" ca="1">_FV(B326,"Price")</f>
        <v>26.32</v>
      </c>
      <c r="J326" s="118">
        <f t="shared" ca="1" si="68"/>
        <v>6876.6394057182852</v>
      </c>
      <c r="K326" s="118">
        <f t="shared" ca="1" si="69"/>
        <v>6895.84</v>
      </c>
      <c r="L326" s="118">
        <v>0</v>
      </c>
      <c r="M326" s="118">
        <f t="shared" ca="1" si="70"/>
        <v>870.64290171828543</v>
      </c>
      <c r="N326" s="121">
        <f t="shared" ca="1" si="71"/>
        <v>0.14496227247858642</v>
      </c>
      <c r="O326" s="122">
        <f t="shared" ca="1" si="72"/>
        <v>8.6666666666666661</v>
      </c>
      <c r="P326" s="121">
        <f t="shared" ca="1" si="73"/>
        <v>0.20071699266265813</v>
      </c>
      <c r="Q326" s="118">
        <f t="shared" ca="1" si="74"/>
        <v>6353.0096353422223</v>
      </c>
      <c r="R326" s="118">
        <f t="shared" si="75"/>
        <v>-6005.9965039999997</v>
      </c>
      <c r="S326" s="123" t="s">
        <v>229</v>
      </c>
      <c r="T326" s="118" t="s">
        <v>216</v>
      </c>
      <c r="U326" s="118" t="s">
        <v>243</v>
      </c>
      <c r="V326" s="118" t="s">
        <v>223</v>
      </c>
      <c r="W326" s="118" t="s">
        <v>219</v>
      </c>
    </row>
    <row r="327" spans="2:23" x14ac:dyDescent="0.3">
      <c r="B327" s="116" t="e" vm="19">
        <v>#VALUE!</v>
      </c>
      <c r="C327" s="117">
        <v>45994</v>
      </c>
      <c r="D327" s="116">
        <v>256</v>
      </c>
      <c r="E327" s="118">
        <v>23.4</v>
      </c>
      <c r="F327" s="118">
        <f>D327*E327*0.0022+3.5</f>
        <v>16.678879999999999</v>
      </c>
      <c r="G327" s="118">
        <f t="shared" si="76"/>
        <v>6007.07888</v>
      </c>
      <c r="H327" s="119">
        <f t="shared" si="67"/>
        <v>2.7842681623931626E-3</v>
      </c>
      <c r="I327" s="120" cm="1">
        <f t="array" aca="1" ref="I327" ca="1">_FV(B327,"Price")</f>
        <v>26.32</v>
      </c>
      <c r="J327" s="118">
        <f t="shared" ca="1" si="68"/>
        <v>6719.1598238632478</v>
      </c>
      <c r="K327" s="118">
        <f t="shared" ca="1" si="69"/>
        <v>6737.92</v>
      </c>
      <c r="L327" s="118">
        <v>0</v>
      </c>
      <c r="M327" s="118">
        <f t="shared" ca="1" si="70"/>
        <v>712.08094386324774</v>
      </c>
      <c r="N327" s="121">
        <f t="shared" ca="1" si="71"/>
        <v>0.11854030188184374</v>
      </c>
      <c r="O327" s="122">
        <f t="shared" ca="1" si="72"/>
        <v>7.666666666666667</v>
      </c>
      <c r="P327" s="121">
        <f t="shared" ca="1" si="73"/>
        <v>0.18554134207592932</v>
      </c>
      <c r="Q327" s="118">
        <f t="shared" ca="1" si="74"/>
        <v>6314.107356088889</v>
      </c>
      <c r="R327" s="118">
        <f t="shared" si="75"/>
        <v>-6007.07888</v>
      </c>
      <c r="S327" s="123" t="s">
        <v>229</v>
      </c>
      <c r="T327" s="118" t="s">
        <v>216</v>
      </c>
      <c r="U327" s="118" t="s">
        <v>243</v>
      </c>
      <c r="V327" s="118" t="s">
        <v>223</v>
      </c>
      <c r="W327" s="118" t="s">
        <v>219</v>
      </c>
    </row>
    <row r="328" spans="2:23" x14ac:dyDescent="0.3">
      <c r="B328" s="116" t="e" vm="19">
        <v>#VALUE!</v>
      </c>
      <c r="C328" s="117">
        <v>46027</v>
      </c>
      <c r="D328" s="116">
        <v>255</v>
      </c>
      <c r="E328" s="118">
        <v>23.44</v>
      </c>
      <c r="F328" s="118">
        <f>D328*E328*0.0022+3.49</f>
        <v>16.639840000000003</v>
      </c>
      <c r="G328" s="118">
        <f t="shared" si="76"/>
        <v>5993.8398400000005</v>
      </c>
      <c r="H328" s="119">
        <f t="shared" si="67"/>
        <v>2.7838854313056282E-3</v>
      </c>
      <c r="I328" s="120" cm="1">
        <f t="array" aca="1" ref="I328" ca="1">_FV(B328,"Price")</f>
        <v>26.32</v>
      </c>
      <c r="J328" s="118">
        <f t="shared" ca="1" si="68"/>
        <v>6692.9156745392502</v>
      </c>
      <c r="K328" s="118">
        <f t="shared" ca="1" si="69"/>
        <v>6711.6</v>
      </c>
      <c r="L328" s="118">
        <v>0</v>
      </c>
      <c r="M328" s="118">
        <f t="shared" ca="1" si="70"/>
        <v>699.07583453924963</v>
      </c>
      <c r="N328" s="121">
        <f t="shared" ca="1" si="71"/>
        <v>0.11663238478178115</v>
      </c>
      <c r="O328" s="122">
        <f t="shared" ca="1" si="72"/>
        <v>6.6</v>
      </c>
      <c r="P328" s="121">
        <f t="shared" ca="1" si="73"/>
        <v>0.21205888142142026</v>
      </c>
      <c r="Q328" s="118">
        <f t="shared" ca="1" si="74"/>
        <v>6257.5687929600008</v>
      </c>
      <c r="R328" s="118">
        <f t="shared" si="75"/>
        <v>-5993.8398400000005</v>
      </c>
      <c r="S328" s="123" t="s">
        <v>229</v>
      </c>
      <c r="T328" s="118" t="s">
        <v>216</v>
      </c>
      <c r="U328" s="118" t="s">
        <v>243</v>
      </c>
      <c r="V328" s="118" t="s">
        <v>223</v>
      </c>
      <c r="W328" s="118" t="s">
        <v>219</v>
      </c>
    </row>
    <row r="329" spans="2:23" x14ac:dyDescent="0.3">
      <c r="B329" s="116" t="e" vm="20">
        <v>#VALUE!</v>
      </c>
      <c r="C329" s="117">
        <v>45594</v>
      </c>
      <c r="D329" s="116">
        <v>1101</v>
      </c>
      <c r="E329" s="118">
        <v>94.99</v>
      </c>
      <c r="F329" s="118">
        <f>D329*E329*0.0022+61.33</f>
        <v>291.41477800000001</v>
      </c>
      <c r="G329" s="118">
        <f t="shared" si="76"/>
        <v>104875.404778</v>
      </c>
      <c r="H329" s="119">
        <f t="shared" si="67"/>
        <v>2.7864186287021564E-3</v>
      </c>
      <c r="I329" s="120" cm="1">
        <f t="array" aca="1" ref="I329" ca="1">_FV(B329,"Price")</f>
        <v>211</v>
      </c>
      <c r="J329" s="118">
        <f t="shared" ca="1" si="68"/>
        <v>231663.68430194759</v>
      </c>
      <c r="K329" s="118">
        <f t="shared" ca="1" si="69"/>
        <v>232311</v>
      </c>
      <c r="L329" s="118">
        <v>0</v>
      </c>
      <c r="M329" s="118">
        <f t="shared" ca="1" si="70"/>
        <v>126788.2795239476</v>
      </c>
      <c r="N329" s="121">
        <f t="shared" ca="1" si="71"/>
        <v>1.2089419801747867</v>
      </c>
      <c r="O329" s="122">
        <f t="shared" ca="1" si="72"/>
        <v>20.8</v>
      </c>
      <c r="P329" s="121">
        <f t="shared" ca="1" si="73"/>
        <v>0.69746652702391532</v>
      </c>
      <c r="Q329" s="118">
        <f t="shared" ca="1" si="74"/>
        <v>119418.12757388267</v>
      </c>
      <c r="R329" s="118">
        <f t="shared" si="75"/>
        <v>-104875.404778</v>
      </c>
      <c r="S329" s="123" t="s">
        <v>229</v>
      </c>
      <c r="T329" s="118" t="s">
        <v>216</v>
      </c>
      <c r="U329" s="118" t="s">
        <v>217</v>
      </c>
      <c r="V329" s="118" t="s">
        <v>223</v>
      </c>
      <c r="W329" s="118" t="s">
        <v>219</v>
      </c>
    </row>
    <row r="330" spans="2:23" x14ac:dyDescent="0.3">
      <c r="B330" s="116" t="e" vm="20">
        <v>#VALUE!</v>
      </c>
      <c r="C330" s="117">
        <v>45597</v>
      </c>
      <c r="D330" s="116">
        <v>200</v>
      </c>
      <c r="E330" s="118">
        <v>92.98</v>
      </c>
      <c r="F330" s="118">
        <f>D330*E330*0.0022+10.85</f>
        <v>51.761200000000002</v>
      </c>
      <c r="G330" s="118">
        <f t="shared" si="76"/>
        <v>18647.761200000001</v>
      </c>
      <c r="H330" s="119">
        <f t="shared" si="67"/>
        <v>2.7834588083458811E-3</v>
      </c>
      <c r="I330" s="120" cm="1">
        <f t="array" aca="1" ref="I330" ca="1">_FV(B330,"Price")</f>
        <v>211</v>
      </c>
      <c r="J330" s="118">
        <f t="shared" ca="1" si="68"/>
        <v>42082.538038287807</v>
      </c>
      <c r="K330" s="118">
        <f t="shared" ca="1" si="69"/>
        <v>42200</v>
      </c>
      <c r="L330" s="118">
        <v>0</v>
      </c>
      <c r="M330" s="118">
        <f t="shared" ca="1" si="70"/>
        <v>23434.776838287806</v>
      </c>
      <c r="N330" s="121">
        <f t="shared" ca="1" si="71"/>
        <v>1.2567072576137346</v>
      </c>
      <c r="O330" s="122">
        <f t="shared" ca="1" si="72"/>
        <v>20.733333333333334</v>
      </c>
      <c r="P330" s="121">
        <f t="shared" ca="1" si="73"/>
        <v>0.72735468286325478</v>
      </c>
      <c r="Q330" s="118">
        <f t="shared" ca="1" si="74"/>
        <v>21225.296192533333</v>
      </c>
      <c r="R330" s="118">
        <f t="shared" si="75"/>
        <v>-18647.761200000001</v>
      </c>
      <c r="S330" s="123" t="s">
        <v>229</v>
      </c>
      <c r="T330" s="118" t="s">
        <v>216</v>
      </c>
      <c r="U330" s="118" t="s">
        <v>217</v>
      </c>
      <c r="V330" s="118" t="s">
        <v>223</v>
      </c>
      <c r="W330" s="118" t="s">
        <v>219</v>
      </c>
    </row>
    <row r="331" spans="2:23" x14ac:dyDescent="0.3">
      <c r="B331" s="116" t="e" vm="20">
        <v>#VALUE!</v>
      </c>
      <c r="C331" s="117">
        <v>45841</v>
      </c>
      <c r="D331" s="116">
        <v>57</v>
      </c>
      <c r="E331" s="118">
        <v>104.09</v>
      </c>
      <c r="F331" s="118">
        <f>D331*E331*0.0022+3.46</f>
        <v>16.512886000000002</v>
      </c>
      <c r="G331" s="118">
        <f t="shared" si="76"/>
        <v>5949.6428860000005</v>
      </c>
      <c r="H331" s="119">
        <f t="shared" si="67"/>
        <v>2.7831660523197706E-3</v>
      </c>
      <c r="I331" s="120" cm="1">
        <f t="array" aca="1" ref="I331" ca="1">_FV(B331,"Price")</f>
        <v>211</v>
      </c>
      <c r="J331" s="118">
        <f t="shared" ca="1" si="68"/>
        <v>11993.526861888749</v>
      </c>
      <c r="K331" s="118">
        <f t="shared" ca="1" si="69"/>
        <v>12027</v>
      </c>
      <c r="L331" s="118">
        <v>0</v>
      </c>
      <c r="M331" s="118">
        <f t="shared" ca="1" si="70"/>
        <v>6043.8839758887489</v>
      </c>
      <c r="N331" s="121">
        <f t="shared" ca="1" si="71"/>
        <v>1.0158397893276092</v>
      </c>
      <c r="O331" s="122">
        <f t="shared" ca="1" si="72"/>
        <v>12.666666666666666</v>
      </c>
      <c r="P331" s="121">
        <f t="shared" ca="1" si="73"/>
        <v>0.96237453725773503</v>
      </c>
      <c r="Q331" s="118">
        <f t="shared" ca="1" si="74"/>
        <v>6452.0571741511121</v>
      </c>
      <c r="R331" s="118">
        <f t="shared" si="75"/>
        <v>-5949.6428860000005</v>
      </c>
      <c r="S331" s="123" t="s">
        <v>229</v>
      </c>
      <c r="T331" s="118" t="s">
        <v>216</v>
      </c>
      <c r="U331" s="118" t="s">
        <v>217</v>
      </c>
      <c r="V331" s="118" t="s">
        <v>223</v>
      </c>
      <c r="W331" s="118" t="s">
        <v>219</v>
      </c>
    </row>
    <row r="332" spans="2:23" x14ac:dyDescent="0.3">
      <c r="B332" s="116" t="e" vm="20">
        <v>#VALUE!</v>
      </c>
      <c r="C332" s="117">
        <v>45873</v>
      </c>
      <c r="D332" s="116">
        <v>55</v>
      </c>
      <c r="E332" s="118">
        <v>107.93</v>
      </c>
      <c r="F332" s="118">
        <f>D332*E332*0.0022+3.46</f>
        <v>16.519530000000003</v>
      </c>
      <c r="G332" s="118">
        <f t="shared" si="76"/>
        <v>5952.6695300000001</v>
      </c>
      <c r="H332" s="119">
        <f t="shared" si="67"/>
        <v>2.7828693681931894E-3</v>
      </c>
      <c r="I332" s="120" cm="1">
        <f t="array" aca="1" ref="I332" ca="1">_FV(B332,"Price")</f>
        <v>211</v>
      </c>
      <c r="J332" s="118">
        <f t="shared" ca="1" si="68"/>
        <v>11572.704800982119</v>
      </c>
      <c r="K332" s="118">
        <f t="shared" ca="1" si="69"/>
        <v>11605</v>
      </c>
      <c r="L332" s="118">
        <v>0</v>
      </c>
      <c r="M332" s="118">
        <f t="shared" ca="1" si="70"/>
        <v>5620.0352709821191</v>
      </c>
      <c r="N332" s="121">
        <f t="shared" ca="1" si="71"/>
        <v>0.94412015359806456</v>
      </c>
      <c r="O332" s="122">
        <f t="shared" ca="1" si="72"/>
        <v>11.633333333333333</v>
      </c>
      <c r="P332" s="121">
        <f t="shared" ca="1" si="73"/>
        <v>0.97387752233611247</v>
      </c>
      <c r="Q332" s="118">
        <f t="shared" ca="1" si="74"/>
        <v>6414.3321224377778</v>
      </c>
      <c r="R332" s="118">
        <f t="shared" si="75"/>
        <v>-5952.6695300000001</v>
      </c>
      <c r="S332" s="123" t="s">
        <v>229</v>
      </c>
      <c r="T332" s="118" t="s">
        <v>216</v>
      </c>
      <c r="U332" s="118" t="s">
        <v>217</v>
      </c>
      <c r="V332" s="118" t="s">
        <v>223</v>
      </c>
      <c r="W332" s="118" t="s">
        <v>219</v>
      </c>
    </row>
    <row r="333" spans="2:23" x14ac:dyDescent="0.3">
      <c r="B333" s="116" t="e" vm="20">
        <v>#VALUE!</v>
      </c>
      <c r="C333" s="117">
        <v>45903</v>
      </c>
      <c r="D333" s="116">
        <v>50</v>
      </c>
      <c r="E333" s="118">
        <v>118.5</v>
      </c>
      <c r="F333" s="118">
        <f>D333*E333*0.0022+3.46</f>
        <v>16.495000000000001</v>
      </c>
      <c r="G333" s="118">
        <f t="shared" si="76"/>
        <v>5941.4949999999999</v>
      </c>
      <c r="H333" s="119">
        <f t="shared" si="67"/>
        <v>2.7839662447257385E-3</v>
      </c>
      <c r="I333" s="120" cm="1">
        <f t="array" aca="1" ref="I333" ca="1">_FV(B333,"Price")</f>
        <v>211</v>
      </c>
      <c r="J333" s="118">
        <f t="shared" ca="1" si="68"/>
        <v>10520.629156118142</v>
      </c>
      <c r="K333" s="118">
        <f t="shared" ca="1" si="69"/>
        <v>10550</v>
      </c>
      <c r="L333" s="118">
        <v>0</v>
      </c>
      <c r="M333" s="118">
        <f t="shared" ca="1" si="70"/>
        <v>4579.1341561181425</v>
      </c>
      <c r="N333" s="121">
        <f t="shared" ca="1" si="71"/>
        <v>0.77070403259081133</v>
      </c>
      <c r="O333" s="122">
        <f t="shared" ca="1" si="72"/>
        <v>10.666666666666666</v>
      </c>
      <c r="P333" s="121">
        <f t="shared" ca="1" si="73"/>
        <v>0.86704203666466273</v>
      </c>
      <c r="Q333" s="118">
        <f t="shared" ca="1" si="74"/>
        <v>6364.0013111111111</v>
      </c>
      <c r="R333" s="118">
        <f t="shared" si="75"/>
        <v>-5941.4949999999999</v>
      </c>
      <c r="S333" s="123" t="s">
        <v>229</v>
      </c>
      <c r="T333" s="118" t="s">
        <v>216</v>
      </c>
      <c r="U333" s="118" t="s">
        <v>217</v>
      </c>
      <c r="V333" s="118" t="s">
        <v>223</v>
      </c>
      <c r="W333" s="118" t="s">
        <v>219</v>
      </c>
    </row>
    <row r="334" spans="2:23" x14ac:dyDescent="0.3">
      <c r="B334" s="116" t="e" vm="20">
        <v>#VALUE!</v>
      </c>
      <c r="C334" s="117">
        <v>45933</v>
      </c>
      <c r="D334" s="116">
        <v>43</v>
      </c>
      <c r="E334" s="118">
        <v>139.38999999999999</v>
      </c>
      <c r="F334" s="118">
        <f>D334*E334*0.0022+3.5</f>
        <v>16.686294</v>
      </c>
      <c r="G334" s="118">
        <f t="shared" si="76"/>
        <v>6010.4562939999996</v>
      </c>
      <c r="H334" s="119">
        <f t="shared" si="67"/>
        <v>2.7839396573442095E-3</v>
      </c>
      <c r="I334" s="120" cm="1">
        <f t="array" aca="1" ref="I334" ca="1">_FV(B334,"Price")</f>
        <v>211</v>
      </c>
      <c r="J334" s="118">
        <f t="shared" ca="1" si="68"/>
        <v>9047.7413154889164</v>
      </c>
      <c r="K334" s="118">
        <f t="shared" ca="1" si="69"/>
        <v>9073</v>
      </c>
      <c r="L334" s="118">
        <v>0</v>
      </c>
      <c r="M334" s="118">
        <f t="shared" ca="1" si="70"/>
        <v>3037.2850214889168</v>
      </c>
      <c r="N334" s="121">
        <f t="shared" ca="1" si="71"/>
        <v>0.50533351761012191</v>
      </c>
      <c r="O334" s="122">
        <f t="shared" ca="1" si="72"/>
        <v>9.6666666666666661</v>
      </c>
      <c r="P334" s="121">
        <f t="shared" ca="1" si="73"/>
        <v>0.62731057358497888</v>
      </c>
      <c r="Q334" s="118">
        <f t="shared" ca="1" si="74"/>
        <v>6397.7968107244442</v>
      </c>
      <c r="R334" s="118">
        <f t="shared" si="75"/>
        <v>-6010.4562939999996</v>
      </c>
      <c r="S334" s="123" t="s">
        <v>229</v>
      </c>
      <c r="T334" s="118" t="s">
        <v>216</v>
      </c>
      <c r="U334" s="118" t="s">
        <v>217</v>
      </c>
      <c r="V334" s="118" t="s">
        <v>223</v>
      </c>
      <c r="W334" s="118" t="s">
        <v>219</v>
      </c>
    </row>
    <row r="335" spans="2:23" x14ac:dyDescent="0.3">
      <c r="B335" s="116" t="e" vm="20">
        <v>#VALUE!</v>
      </c>
      <c r="C335" s="117">
        <v>45964</v>
      </c>
      <c r="D335" s="116">
        <v>41</v>
      </c>
      <c r="E335" s="118">
        <v>142.88999999999999</v>
      </c>
      <c r="F335" s="118">
        <f>D335*E335*0.0022+3.41</f>
        <v>16.298678000000002</v>
      </c>
      <c r="G335" s="118">
        <f t="shared" si="76"/>
        <v>5874.7886779999999</v>
      </c>
      <c r="H335" s="119">
        <f t="shared" si="67"/>
        <v>2.7820612478642111E-3</v>
      </c>
      <c r="I335" s="120" cm="1">
        <f t="array" aca="1" ref="I335" ca="1">_FV(B335,"Price")</f>
        <v>211</v>
      </c>
      <c r="J335" s="118">
        <f t="shared" ca="1" si="68"/>
        <v>8626.9323881447272</v>
      </c>
      <c r="K335" s="118">
        <f t="shared" ca="1" si="69"/>
        <v>8651</v>
      </c>
      <c r="L335" s="118">
        <v>0</v>
      </c>
      <c r="M335" s="118">
        <f t="shared" ca="1" si="70"/>
        <v>2752.1437101447273</v>
      </c>
      <c r="N335" s="121">
        <f t="shared" ca="1" si="71"/>
        <v>0.46846684382895298</v>
      </c>
      <c r="O335" s="122">
        <f t="shared" ca="1" si="72"/>
        <v>8.6666666666666661</v>
      </c>
      <c r="P335" s="121">
        <f t="shared" ca="1" si="73"/>
        <v>0.64864639914778111</v>
      </c>
      <c r="Q335" s="118">
        <f t="shared" ca="1" si="74"/>
        <v>6214.2209127288888</v>
      </c>
      <c r="R335" s="118">
        <f t="shared" si="75"/>
        <v>-5874.7886779999999</v>
      </c>
      <c r="S335" s="123" t="s">
        <v>229</v>
      </c>
      <c r="T335" s="118" t="s">
        <v>216</v>
      </c>
      <c r="U335" s="118" t="s">
        <v>217</v>
      </c>
      <c r="V335" s="118" t="s">
        <v>223</v>
      </c>
      <c r="W335" s="118" t="s">
        <v>219</v>
      </c>
    </row>
    <row r="336" spans="2:23" x14ac:dyDescent="0.3">
      <c r="B336" s="116" t="e" vm="20">
        <v>#VALUE!</v>
      </c>
      <c r="C336" s="117">
        <v>45994</v>
      </c>
      <c r="D336" s="116">
        <v>35</v>
      </c>
      <c r="E336" s="118">
        <v>169.5</v>
      </c>
      <c r="F336" s="118">
        <f>D336*E336*0.0022+3.46</f>
        <v>16.511500000000002</v>
      </c>
      <c r="G336" s="118">
        <f t="shared" si="76"/>
        <v>5949.0114999999996</v>
      </c>
      <c r="H336" s="119">
        <f t="shared" si="67"/>
        <v>2.7832279814580703E-3</v>
      </c>
      <c r="I336" s="120" cm="1">
        <f t="array" aca="1" ref="I336" ca="1">_FV(B336,"Price")</f>
        <v>211</v>
      </c>
      <c r="J336" s="118">
        <f t="shared" ca="1" si="68"/>
        <v>7364.4458613569323</v>
      </c>
      <c r="K336" s="118">
        <f t="shared" ca="1" si="69"/>
        <v>7385</v>
      </c>
      <c r="L336" s="118">
        <v>0</v>
      </c>
      <c r="M336" s="118">
        <f t="shared" ca="1" si="70"/>
        <v>1415.4343613569326</v>
      </c>
      <c r="N336" s="121">
        <f t="shared" ca="1" si="71"/>
        <v>0.23792765594030751</v>
      </c>
      <c r="O336" s="122">
        <f t="shared" ca="1" si="72"/>
        <v>7.666666666666667</v>
      </c>
      <c r="P336" s="121">
        <f t="shared" ca="1" si="73"/>
        <v>0.37240850495004651</v>
      </c>
      <c r="Q336" s="118">
        <f t="shared" ca="1" si="74"/>
        <v>6253.0720877777776</v>
      </c>
      <c r="R336" s="118">
        <f t="shared" si="75"/>
        <v>-5949.0114999999996</v>
      </c>
      <c r="S336" s="123" t="s">
        <v>229</v>
      </c>
      <c r="T336" s="118" t="s">
        <v>216</v>
      </c>
      <c r="U336" s="118" t="s">
        <v>217</v>
      </c>
      <c r="V336" s="118" t="s">
        <v>223</v>
      </c>
      <c r="W336" s="118" t="s">
        <v>219</v>
      </c>
    </row>
    <row r="337" spans="2:23" x14ac:dyDescent="0.3">
      <c r="B337" s="116" t="e" vm="20">
        <v>#VALUE!</v>
      </c>
      <c r="C337" s="117">
        <v>46027</v>
      </c>
      <c r="D337" s="116">
        <v>26</v>
      </c>
      <c r="E337" s="118">
        <v>224.3</v>
      </c>
      <c r="F337" s="118">
        <f>D337*E337*0.0022+3.39</f>
        <v>16.21996</v>
      </c>
      <c r="G337" s="118">
        <f t="shared" si="76"/>
        <v>5848.0199600000005</v>
      </c>
      <c r="H337" s="119">
        <f t="shared" si="67"/>
        <v>2.7812956548578485E-3</v>
      </c>
      <c r="I337" s="120" cm="1">
        <f t="array" aca="1" ref="I337" ca="1">_FV(B337,"Price")</f>
        <v>211</v>
      </c>
      <c r="J337" s="118">
        <f t="shared" ca="1" si="68"/>
        <v>5470.7418120374496</v>
      </c>
      <c r="K337" s="118">
        <f t="shared" ca="1" si="69"/>
        <v>5486</v>
      </c>
      <c r="L337" s="118">
        <v>0</v>
      </c>
      <c r="M337" s="118">
        <f t="shared" ca="1" si="70"/>
        <v>-377.27814796255097</v>
      </c>
      <c r="N337" s="121">
        <f t="shared" ca="1" si="71"/>
        <v>-6.4513826994966508E-2</v>
      </c>
      <c r="O337" s="122">
        <f t="shared" ca="1" si="72"/>
        <v>6.6</v>
      </c>
      <c r="P337" s="121">
        <f t="shared" ca="1" si="73"/>
        <v>-0.11729786726357548</v>
      </c>
      <c r="Q337" s="118">
        <f t="shared" ca="1" si="74"/>
        <v>6105.3328382400005</v>
      </c>
      <c r="R337" s="118">
        <f t="shared" si="75"/>
        <v>-5848.0199600000005</v>
      </c>
      <c r="S337" s="123" t="s">
        <v>229</v>
      </c>
      <c r="T337" s="118" t="s">
        <v>216</v>
      </c>
      <c r="U337" s="118" t="s">
        <v>217</v>
      </c>
      <c r="V337" s="118" t="s">
        <v>223</v>
      </c>
      <c r="W337" s="118" t="s">
        <v>219</v>
      </c>
    </row>
    <row r="338" spans="2:23" x14ac:dyDescent="0.3">
      <c r="B338" s="116" t="e" vm="20">
        <v>#VALUE!</v>
      </c>
      <c r="C338" s="117">
        <v>46056</v>
      </c>
      <c r="D338" s="116">
        <v>24</v>
      </c>
      <c r="E338" s="118">
        <v>243.12</v>
      </c>
      <c r="F338" s="118">
        <f>D338*E338*0.0022+3.41</f>
        <v>16.246735999999999</v>
      </c>
      <c r="G338" s="118">
        <f t="shared" si="76"/>
        <v>5851.1267360000002</v>
      </c>
      <c r="H338" s="119">
        <f t="shared" si="67"/>
        <v>2.7844164747175605E-3</v>
      </c>
      <c r="I338" s="120" cm="1">
        <f t="array" aca="1" ref="I338" ca="1">_FV(B338,"Price")</f>
        <v>211</v>
      </c>
      <c r="J338" s="118">
        <f t="shared" ca="1" si="68"/>
        <v>5049.8997149720299</v>
      </c>
      <c r="K338" s="118">
        <f t="shared" ca="1" si="69"/>
        <v>5064</v>
      </c>
      <c r="L338" s="118">
        <v>0</v>
      </c>
      <c r="M338" s="118">
        <f t="shared" ca="1" si="70"/>
        <v>-801.2270210279703</v>
      </c>
      <c r="N338" s="121">
        <f t="shared" ca="1" si="71"/>
        <v>-0.13693550954866385</v>
      </c>
      <c r="O338" s="122">
        <f t="shared" ca="1" si="72"/>
        <v>5.666666666666667</v>
      </c>
      <c r="P338" s="121">
        <f t="shared" ca="1" si="73"/>
        <v>-0.28998107904422932</v>
      </c>
      <c r="Q338" s="118">
        <f t="shared" ca="1" si="74"/>
        <v>6072.169301582222</v>
      </c>
      <c r="R338" s="118">
        <f t="shared" si="75"/>
        <v>-5851.1267360000002</v>
      </c>
      <c r="S338" s="123" t="s">
        <v>229</v>
      </c>
      <c r="T338" s="118" t="s">
        <v>216</v>
      </c>
      <c r="U338" s="118" t="s">
        <v>217</v>
      </c>
      <c r="V338" s="118" t="s">
        <v>223</v>
      </c>
      <c r="W338" s="118" t="s">
        <v>219</v>
      </c>
    </row>
    <row r="339" spans="2:23" x14ac:dyDescent="0.3">
      <c r="B339" s="116" t="e" vm="20">
        <v>#VALUE!</v>
      </c>
      <c r="C339" s="117">
        <v>46085</v>
      </c>
      <c r="D339" s="116">
        <v>23</v>
      </c>
      <c r="E339" s="118">
        <v>255.05</v>
      </c>
      <c r="F339" s="118">
        <f>D339*E339*0.0022+3.41</f>
        <v>16.315530000000003</v>
      </c>
      <c r="G339" s="118">
        <f t="shared" si="76"/>
        <v>5882.4655300000004</v>
      </c>
      <c r="H339" s="119">
        <f t="shared" si="67"/>
        <v>2.7813011941392567E-3</v>
      </c>
      <c r="I339" s="120" cm="1">
        <f t="array" aca="1" ref="I339" ca="1">_FV(B339,"Price")</f>
        <v>211</v>
      </c>
      <c r="J339" s="118">
        <f t="shared" ca="1" si="68"/>
        <v>4839.5023453048425</v>
      </c>
      <c r="K339" s="118">
        <f t="shared" ca="1" si="69"/>
        <v>4853</v>
      </c>
      <c r="L339" s="118">
        <v>0</v>
      </c>
      <c r="M339" s="118">
        <f t="shared" ca="1" si="70"/>
        <v>-1042.9631846951579</v>
      </c>
      <c r="N339" s="121">
        <f t="shared" ca="1" si="71"/>
        <v>-0.17730034785178891</v>
      </c>
      <c r="O339" s="122">
        <f t="shared" ca="1" si="72"/>
        <v>4.6333333333333337</v>
      </c>
      <c r="P339" s="121">
        <f t="shared" ca="1" si="73"/>
        <v>-0.45919514551542451</v>
      </c>
      <c r="Q339" s="118">
        <f t="shared" ca="1" si="74"/>
        <v>6064.1683541488892</v>
      </c>
      <c r="R339" s="118">
        <f t="shared" si="75"/>
        <v>-5882.4655300000004</v>
      </c>
      <c r="S339" s="123" t="s">
        <v>229</v>
      </c>
      <c r="T339" s="118" t="s">
        <v>216</v>
      </c>
      <c r="U339" s="118" t="s">
        <v>217</v>
      </c>
      <c r="V339" s="118" t="s">
        <v>223</v>
      </c>
      <c r="W339" s="118" t="s">
        <v>219</v>
      </c>
    </row>
    <row r="340" spans="2:23" x14ac:dyDescent="0.3">
      <c r="B340" s="116" t="e" vm="20">
        <v>#VALUE!</v>
      </c>
      <c r="C340" s="117">
        <v>46118</v>
      </c>
      <c r="D340" s="116">
        <v>27</v>
      </c>
      <c r="E340" s="118">
        <v>219.57</v>
      </c>
      <c r="F340" s="118">
        <f>D340*E340*0.0022+3.46</f>
        <v>16.502458000000001</v>
      </c>
      <c r="G340" s="118">
        <f t="shared" si="76"/>
        <v>5944.8924579999994</v>
      </c>
      <c r="H340" s="119">
        <f t="shared" si="67"/>
        <v>2.7836323183866112E-3</v>
      </c>
      <c r="I340" s="120" cm="1">
        <f t="array" aca="1" ref="I340" ca="1">_FV(B340,"Price")</f>
        <v>211</v>
      </c>
      <c r="J340" s="118">
        <f t="shared" ca="1" si="68"/>
        <v>5681.1416466821511</v>
      </c>
      <c r="K340" s="118">
        <f t="shared" ca="1" si="69"/>
        <v>5697</v>
      </c>
      <c r="L340" s="118">
        <v>0</v>
      </c>
      <c r="M340" s="118">
        <f t="shared" ca="1" si="70"/>
        <v>-263.75081131784827</v>
      </c>
      <c r="N340" s="121">
        <f t="shared" ca="1" si="71"/>
        <v>-4.4365951643569379E-2</v>
      </c>
      <c r="O340" s="122">
        <f t="shared" ca="1" si="72"/>
        <v>3.5666666666666669</v>
      </c>
      <c r="P340" s="121">
        <f t="shared" ca="1" si="73"/>
        <v>-0.14926862235219604</v>
      </c>
      <c r="Q340" s="118">
        <f t="shared" ca="1" si="74"/>
        <v>6086.2487897791107</v>
      </c>
      <c r="R340" s="118">
        <f t="shared" si="75"/>
        <v>-5944.8924579999994</v>
      </c>
      <c r="S340" s="123" t="s">
        <v>229</v>
      </c>
      <c r="T340" s="118" t="s">
        <v>216</v>
      </c>
      <c r="U340" s="118" t="s">
        <v>217</v>
      </c>
      <c r="V340" s="118" t="s">
        <v>223</v>
      </c>
      <c r="W340" s="118" t="s">
        <v>219</v>
      </c>
    </row>
    <row r="341" spans="2:23" x14ac:dyDescent="0.3">
      <c r="B341" s="116" t="e" vm="20">
        <v>#VALUE!</v>
      </c>
      <c r="C341" s="117">
        <v>46146</v>
      </c>
      <c r="D341" s="116">
        <v>25</v>
      </c>
      <c r="E341" s="118">
        <v>232.18</v>
      </c>
      <c r="F341" s="118">
        <f>D341*E341*0.0022+3.38</f>
        <v>16.149900000000002</v>
      </c>
      <c r="G341" s="118">
        <f t="shared" si="76"/>
        <v>5820.6499000000003</v>
      </c>
      <c r="H341" s="119">
        <f t="shared" si="67"/>
        <v>2.7823068309070554E-3</v>
      </c>
      <c r="I341" s="120" cm="1">
        <f t="array" aca="1" ref="I341" ca="1">_FV(B341,"Price")</f>
        <v>211</v>
      </c>
      <c r="J341" s="118">
        <f t="shared" ca="1" si="68"/>
        <v>5260.3233314669651</v>
      </c>
      <c r="K341" s="118">
        <f t="shared" ca="1" si="69"/>
        <v>5275</v>
      </c>
      <c r="L341" s="118">
        <v>0</v>
      </c>
      <c r="M341" s="118">
        <f t="shared" ca="1" si="70"/>
        <v>-560.32656853303524</v>
      </c>
      <c r="N341" s="121">
        <f t="shared" ca="1" si="71"/>
        <v>-9.6265293078876851E-2</v>
      </c>
      <c r="O341" s="122">
        <f t="shared" ca="1" si="72"/>
        <v>2.6333333333333333</v>
      </c>
      <c r="P341" s="121">
        <f t="shared" ca="1" si="73"/>
        <v>-0.43867728491640079</v>
      </c>
      <c r="Q341" s="118">
        <f t="shared" ca="1" si="74"/>
        <v>5922.8346426888893</v>
      </c>
      <c r="R341" s="118">
        <f t="shared" si="75"/>
        <v>-5820.6499000000003</v>
      </c>
      <c r="S341" s="123" t="s">
        <v>229</v>
      </c>
      <c r="T341" s="118" t="s">
        <v>216</v>
      </c>
      <c r="U341" s="118" t="s">
        <v>217</v>
      </c>
      <c r="V341" s="118" t="s">
        <v>223</v>
      </c>
      <c r="W341" s="118" t="s">
        <v>219</v>
      </c>
    </row>
    <row r="342" spans="2:23" x14ac:dyDescent="0.3">
      <c r="B342" s="116" t="e" vm="20">
        <v>#VALUE!</v>
      </c>
      <c r="C342" s="117">
        <v>46176</v>
      </c>
      <c r="D342" s="116">
        <v>24</v>
      </c>
      <c r="E342" s="118">
        <v>248.59</v>
      </c>
      <c r="F342" s="118">
        <f>D342*E342*0.0022+3.48</f>
        <v>16.605551999999999</v>
      </c>
      <c r="G342" s="118">
        <f t="shared" si="76"/>
        <v>5982.7655519999998</v>
      </c>
      <c r="H342" s="119">
        <f t="shared" si="67"/>
        <v>2.7832897542137656E-3</v>
      </c>
      <c r="I342" s="120" cm="1">
        <f t="array" aca="1" ref="I342" ca="1">_FV(B342,"Price")</f>
        <v>211</v>
      </c>
      <c r="J342" s="118">
        <f t="shared" ca="1" si="68"/>
        <v>5049.9054206846622</v>
      </c>
      <c r="K342" s="118">
        <f t="shared" ca="1" si="69"/>
        <v>5064</v>
      </c>
      <c r="L342" s="118">
        <v>0</v>
      </c>
      <c r="M342" s="118">
        <f t="shared" ca="1" si="70"/>
        <v>-932.86013131533764</v>
      </c>
      <c r="N342" s="121">
        <f t="shared" ca="1" si="71"/>
        <v>-0.15592456752771944</v>
      </c>
      <c r="O342" s="122">
        <f t="shared" ca="1" si="72"/>
        <v>1.6666666666666667</v>
      </c>
      <c r="P342" s="121">
        <f t="shared" ca="1" si="73"/>
        <v>-1.12265688619958</v>
      </c>
      <c r="Q342" s="118">
        <f t="shared" ca="1" si="74"/>
        <v>6049.2407248</v>
      </c>
      <c r="R342" s="118">
        <f t="shared" si="75"/>
        <v>-5982.7655519999998</v>
      </c>
      <c r="S342" s="123" t="s">
        <v>229</v>
      </c>
      <c r="T342" s="118" t="s">
        <v>216</v>
      </c>
      <c r="U342" s="118" t="s">
        <v>217</v>
      </c>
      <c r="V342" s="118" t="s">
        <v>223</v>
      </c>
      <c r="W342" s="118" t="s">
        <v>219</v>
      </c>
    </row>
    <row r="343" spans="2:23" x14ac:dyDescent="0.3">
      <c r="B343" s="116" t="e" vm="20">
        <v>#VALUE!</v>
      </c>
      <c r="C343" s="117">
        <v>46206</v>
      </c>
      <c r="D343" s="116">
        <v>27</v>
      </c>
      <c r="E343" s="118">
        <v>220.79</v>
      </c>
      <c r="F343" s="118">
        <f>D343*E343*0.0022+3.47</f>
        <v>16.584925999999999</v>
      </c>
      <c r="G343" s="118">
        <f t="shared" si="76"/>
        <v>5977.9149260000004</v>
      </c>
      <c r="H343" s="119">
        <f t="shared" si="67"/>
        <v>2.7820848703225621E-3</v>
      </c>
      <c r="I343" s="120" cm="1">
        <f t="array" aca="1" ref="I343" ca="1">_FV(B343,"Price")</f>
        <v>211</v>
      </c>
      <c r="J343" s="118">
        <f t="shared" ca="1" si="68"/>
        <v>5681.1504624937725</v>
      </c>
      <c r="K343" s="118">
        <f t="shared" ca="1" si="69"/>
        <v>5697</v>
      </c>
      <c r="L343" s="118">
        <v>0</v>
      </c>
      <c r="M343" s="118">
        <f t="shared" ca="1" si="70"/>
        <v>-296.76446350622791</v>
      </c>
      <c r="N343" s="121">
        <f t="shared" ca="1" si="71"/>
        <v>-4.9643473883426742E-2</v>
      </c>
      <c r="O343" s="122">
        <f t="shared" ca="1" si="72"/>
        <v>0.66666666666666663</v>
      </c>
      <c r="P343" s="121">
        <f t="shared" ca="1" si="73"/>
        <v>-0.8935825299016813</v>
      </c>
      <c r="Q343" s="118">
        <f t="shared" ca="1" si="74"/>
        <v>6004.4834367822223</v>
      </c>
      <c r="R343" s="118">
        <f t="shared" si="75"/>
        <v>-5977.9149260000004</v>
      </c>
      <c r="S343" s="123" t="s">
        <v>229</v>
      </c>
      <c r="T343" s="118" t="s">
        <v>216</v>
      </c>
      <c r="U343" s="118" t="s">
        <v>217</v>
      </c>
      <c r="V343" s="118" t="s">
        <v>223</v>
      </c>
      <c r="W343" s="118" t="s">
        <v>219</v>
      </c>
    </row>
    <row r="344" spans="2:23" x14ac:dyDescent="0.3">
      <c r="B344" s="116" t="e" vm="21">
        <v>#VALUE!</v>
      </c>
      <c r="C344" s="117">
        <v>45554</v>
      </c>
      <c r="D344" s="116">
        <v>50</v>
      </c>
      <c r="E344" s="118">
        <v>425</v>
      </c>
      <c r="F344" s="118">
        <f>D344*E344*0.0022+33.28</f>
        <v>80.03</v>
      </c>
      <c r="G344" s="118">
        <f t="shared" si="76"/>
        <v>21330.03</v>
      </c>
      <c r="H344" s="119">
        <f t="shared" ref="H344:H391" si="77">F344/(D344*E344)</f>
        <v>3.7661176470588234E-3</v>
      </c>
      <c r="I344" s="120" cm="1">
        <f t="array" aca="1" ref="I344" ca="1">_FV(B344,"Price")</f>
        <v>348.6</v>
      </c>
      <c r="J344" s="118">
        <f t="shared" ref="J344:J390" ca="1" si="78">I344*D344*(1-H344)</f>
        <v>17364.356569411764</v>
      </c>
      <c r="K344" s="118">
        <f t="shared" ref="K344:K407" ca="1" si="79">I344*D344</f>
        <v>17430</v>
      </c>
      <c r="L344" s="118">
        <f>125+125+167.5+137.5+137.5</f>
        <v>692.5</v>
      </c>
      <c r="M344" s="118">
        <f t="shared" ref="M344:M390" ca="1" si="80">J344-G344+L344</f>
        <v>-3273.1734305882346</v>
      </c>
      <c r="N344" s="121">
        <f t="shared" ref="N344:N390" ca="1" si="81">M344/G344</f>
        <v>-0.15345376591538948</v>
      </c>
      <c r="O344" s="122">
        <f t="shared" ref="O344:O390" ca="1" si="82">(DAYS360(C344,NOW(),TRUE))/30</f>
        <v>22.133333333333333</v>
      </c>
      <c r="P344" s="121">
        <f t="shared" ref="P344:P390" ca="1" si="83">(N344/O344)*12</f>
        <v>-8.3197824893885872E-2</v>
      </c>
      <c r="Q344" s="118">
        <f t="shared" ref="Q344:Q390" ca="1" si="84">G344+((G344*O344*8)/(100*12))</f>
        <v>24477.394426666666</v>
      </c>
      <c r="R344" s="118">
        <f t="shared" ref="R344:R390" si="85">-G344</f>
        <v>-21330.03</v>
      </c>
      <c r="S344" s="123" t="s">
        <v>244</v>
      </c>
      <c r="T344" s="118" t="s">
        <v>227</v>
      </c>
      <c r="U344" s="118" t="s">
        <v>217</v>
      </c>
      <c r="V344" s="118" t="s">
        <v>245</v>
      </c>
      <c r="W344" s="118" t="s">
        <v>246</v>
      </c>
    </row>
    <row r="345" spans="2:23" x14ac:dyDescent="0.3">
      <c r="B345" s="116" t="e" vm="22">
        <v>#VALUE!</v>
      </c>
      <c r="C345" s="117">
        <v>45560</v>
      </c>
      <c r="D345" s="116">
        <v>70</v>
      </c>
      <c r="E345" s="118">
        <v>297.14999999999998</v>
      </c>
      <c r="F345" s="118">
        <f>D345*E345*0.0022+33.08</f>
        <v>78.841100000000012</v>
      </c>
      <c r="G345" s="118">
        <f t="shared" si="76"/>
        <v>20879.341100000001</v>
      </c>
      <c r="H345" s="119">
        <f t="shared" si="77"/>
        <v>3.7903463859041853E-3</v>
      </c>
      <c r="I345" s="120" cm="1">
        <f t="array" aca="1" ref="I345" ca="1">_FV(B345,"Price")</f>
        <v>252.37</v>
      </c>
      <c r="J345" s="118">
        <f t="shared" ca="1" si="78"/>
        <v>17598.940119781259</v>
      </c>
      <c r="K345" s="118">
        <f t="shared" ca="1" si="79"/>
        <v>17665.900000000001</v>
      </c>
      <c r="L345" s="118">
        <f>420+350+87.5+420+437.5</f>
        <v>1715</v>
      </c>
      <c r="M345" s="118">
        <f t="shared" ca="1" si="80"/>
        <v>-1565.4009802187429</v>
      </c>
      <c r="N345" s="121">
        <f t="shared" ca="1" si="81"/>
        <v>-7.4973677221008797E-2</v>
      </c>
      <c r="O345" s="122">
        <f t="shared" ca="1" si="82"/>
        <v>21.933333333333334</v>
      </c>
      <c r="P345" s="121">
        <f t="shared" ca="1" si="83"/>
        <v>-4.1019033130035208E-2</v>
      </c>
      <c r="Q345" s="118">
        <f t="shared" ca="1" si="84"/>
        <v>23932.364754177779</v>
      </c>
      <c r="R345" s="118">
        <f t="shared" si="85"/>
        <v>-20879.341100000001</v>
      </c>
      <c r="S345" s="123" t="s">
        <v>247</v>
      </c>
      <c r="T345" s="118" t="s">
        <v>227</v>
      </c>
      <c r="U345" s="118" t="s">
        <v>217</v>
      </c>
      <c r="V345" s="118" t="s">
        <v>248</v>
      </c>
      <c r="W345" s="118" t="s">
        <v>246</v>
      </c>
    </row>
    <row r="346" spans="2:23" x14ac:dyDescent="0.3">
      <c r="B346" s="116" t="e" vm="23">
        <v>#VALUE!</v>
      </c>
      <c r="C346" s="117">
        <v>46056</v>
      </c>
      <c r="D346" s="116">
        <v>1</v>
      </c>
      <c r="E346" s="118">
        <v>7469</v>
      </c>
      <c r="F346" s="118">
        <f>D346*E346*0.0022+11.83</f>
        <v>28.261800000000001</v>
      </c>
      <c r="G346" s="118">
        <f t="shared" si="76"/>
        <v>7497.2618000000002</v>
      </c>
      <c r="H346" s="119">
        <f t="shared" si="77"/>
        <v>3.7838800374882849E-3</v>
      </c>
      <c r="I346" s="120" cm="1">
        <f t="array" aca="1" ref="I346" ca="1">_FV(B346,"Price")</f>
        <v>8935</v>
      </c>
      <c r="J346" s="118">
        <f t="shared" ca="1" si="78"/>
        <v>8901.1910318650425</v>
      </c>
      <c r="K346" s="118">
        <f t="shared" ca="1" si="79"/>
        <v>8935</v>
      </c>
      <c r="L346" s="118">
        <f>47</f>
        <v>47</v>
      </c>
      <c r="M346" s="118">
        <f t="shared" ca="1" si="80"/>
        <v>1450.9292318650423</v>
      </c>
      <c r="N346" s="121">
        <f t="shared" ca="1" si="81"/>
        <v>0.19352788665657136</v>
      </c>
      <c r="O346" s="122">
        <f t="shared" ca="1" si="82"/>
        <v>5.666666666666667</v>
      </c>
      <c r="P346" s="121">
        <f t="shared" ca="1" si="83"/>
        <v>0.40982375997862164</v>
      </c>
      <c r="Q346" s="118">
        <f t="shared" ca="1" si="84"/>
        <v>7780.4916902222221</v>
      </c>
      <c r="R346" s="118">
        <f t="shared" si="85"/>
        <v>-7497.2618000000002</v>
      </c>
      <c r="S346" s="123" t="s">
        <v>249</v>
      </c>
      <c r="T346" s="118" t="s">
        <v>216</v>
      </c>
      <c r="U346" s="118" t="s">
        <v>217</v>
      </c>
      <c r="V346" s="118" t="s">
        <v>250</v>
      </c>
      <c r="W346" s="118" t="s">
        <v>219</v>
      </c>
    </row>
    <row r="347" spans="2:23" x14ac:dyDescent="0.3">
      <c r="B347" s="116" t="e" vm="23">
        <v>#VALUE!</v>
      </c>
      <c r="C347" s="117">
        <v>46085</v>
      </c>
      <c r="D347" s="116">
        <v>1</v>
      </c>
      <c r="E347" s="118">
        <v>8342</v>
      </c>
      <c r="F347" s="118">
        <f>D347*E347*0.0022+13.19</f>
        <v>31.542400000000001</v>
      </c>
      <c r="G347" s="118">
        <f t="shared" si="76"/>
        <v>8373.5424000000003</v>
      </c>
      <c r="H347" s="119">
        <f t="shared" si="77"/>
        <v>3.7811555981778953E-3</v>
      </c>
      <c r="I347" s="120" cm="1">
        <f t="array" aca="1" ref="I347" ca="1">_FV(B347,"Price")</f>
        <v>8935</v>
      </c>
      <c r="J347" s="118">
        <f t="shared" ca="1" si="78"/>
        <v>8901.21537473028</v>
      </c>
      <c r="K347" s="118">
        <f t="shared" ca="1" si="79"/>
        <v>8935</v>
      </c>
      <c r="L347" s="118">
        <f>47</f>
        <v>47</v>
      </c>
      <c r="M347" s="118">
        <f t="shared" ca="1" si="80"/>
        <v>574.67297473027975</v>
      </c>
      <c r="N347" s="121">
        <f t="shared" ca="1" si="81"/>
        <v>6.862961304528413E-2</v>
      </c>
      <c r="O347" s="122">
        <f t="shared" ca="1" si="82"/>
        <v>4.6333333333333337</v>
      </c>
      <c r="P347" s="121">
        <f t="shared" ca="1" si="83"/>
        <v>0.17774576040505241</v>
      </c>
      <c r="Q347" s="118">
        <f t="shared" ca="1" si="84"/>
        <v>8632.1918208000006</v>
      </c>
      <c r="R347" s="118">
        <f t="shared" si="85"/>
        <v>-8373.5424000000003</v>
      </c>
      <c r="S347" s="123" t="s">
        <v>249</v>
      </c>
      <c r="T347" s="118" t="s">
        <v>216</v>
      </c>
      <c r="U347" s="118" t="s">
        <v>217</v>
      </c>
      <c r="V347" s="118" t="s">
        <v>250</v>
      </c>
      <c r="W347" s="118" t="s">
        <v>219</v>
      </c>
    </row>
    <row r="348" spans="2:23" x14ac:dyDescent="0.3">
      <c r="B348" s="116" t="e" vm="23">
        <v>#VALUE!</v>
      </c>
      <c r="C348" s="117">
        <v>46118</v>
      </c>
      <c r="D348" s="116">
        <v>1</v>
      </c>
      <c r="E348" s="118">
        <v>6934.5</v>
      </c>
      <c r="F348" s="118">
        <f>D348*E348*0.0022+10.98</f>
        <v>26.235900000000001</v>
      </c>
      <c r="G348" s="118">
        <f t="shared" si="76"/>
        <v>6960.7358999999997</v>
      </c>
      <c r="H348" s="119">
        <f t="shared" si="77"/>
        <v>3.7833874107722262E-3</v>
      </c>
      <c r="I348" s="120" cm="1">
        <f t="array" aca="1" ref="I348" ca="1">_FV(B348,"Price")</f>
        <v>8935</v>
      </c>
      <c r="J348" s="118">
        <f t="shared" ca="1" si="78"/>
        <v>8901.1954334847505</v>
      </c>
      <c r="K348" s="118">
        <f t="shared" ca="1" si="79"/>
        <v>8935</v>
      </c>
      <c r="L348" s="118">
        <f>47</f>
        <v>47</v>
      </c>
      <c r="M348" s="118">
        <f t="shared" ca="1" si="80"/>
        <v>1987.4595334847509</v>
      </c>
      <c r="N348" s="121">
        <f t="shared" ca="1" si="81"/>
        <v>0.28552434139682714</v>
      </c>
      <c r="O348" s="122">
        <f t="shared" ca="1" si="82"/>
        <v>3.5666666666666669</v>
      </c>
      <c r="P348" s="121">
        <f t="shared" ca="1" si="83"/>
        <v>0.96064264395194177</v>
      </c>
      <c r="Q348" s="118">
        <f t="shared" ca="1" si="84"/>
        <v>7126.2467313999996</v>
      </c>
      <c r="R348" s="118">
        <f t="shared" si="85"/>
        <v>-6960.7358999999997</v>
      </c>
      <c r="S348" s="123" t="s">
        <v>249</v>
      </c>
      <c r="T348" s="118" t="s">
        <v>216</v>
      </c>
      <c r="U348" s="118" t="s">
        <v>217</v>
      </c>
      <c r="V348" s="118" t="s">
        <v>250</v>
      </c>
      <c r="W348" s="118" t="s">
        <v>219</v>
      </c>
    </row>
    <row r="349" spans="2:23" x14ac:dyDescent="0.3">
      <c r="B349" s="116" t="e" vm="23">
        <v>#VALUE!</v>
      </c>
      <c r="C349" s="117">
        <v>46146</v>
      </c>
      <c r="D349" s="116">
        <v>1</v>
      </c>
      <c r="E349" s="118">
        <v>8150</v>
      </c>
      <c r="F349" s="118">
        <f>D349*E349*0.0022+12.9</f>
        <v>30.83</v>
      </c>
      <c r="G349" s="118">
        <f t="shared" si="76"/>
        <v>8180.83</v>
      </c>
      <c r="H349" s="119">
        <f t="shared" si="77"/>
        <v>3.7828220858895706E-3</v>
      </c>
      <c r="I349" s="120" cm="1">
        <f t="array" aca="1" ref="I349" ca="1">_FV(B349,"Price")</f>
        <v>8935</v>
      </c>
      <c r="J349" s="118">
        <f t="shared" ca="1" si="78"/>
        <v>8901.2004846625769</v>
      </c>
      <c r="K349" s="118">
        <f t="shared" ca="1" si="79"/>
        <v>8935</v>
      </c>
      <c r="L349" s="118">
        <f>47</f>
        <v>47</v>
      </c>
      <c r="M349" s="118">
        <f t="shared" ca="1" si="80"/>
        <v>767.37048466257693</v>
      </c>
      <c r="N349" s="121">
        <f t="shared" ca="1" si="81"/>
        <v>9.3801054986178287E-2</v>
      </c>
      <c r="O349" s="122">
        <f t="shared" ca="1" si="82"/>
        <v>2.6333333333333333</v>
      </c>
      <c r="P349" s="121">
        <f t="shared" ca="1" si="83"/>
        <v>0.42744784550663528</v>
      </c>
      <c r="Q349" s="118">
        <f t="shared" ca="1" si="84"/>
        <v>8324.4490155555559</v>
      </c>
      <c r="R349" s="118">
        <f t="shared" si="85"/>
        <v>-8180.83</v>
      </c>
      <c r="S349" s="123" t="s">
        <v>249</v>
      </c>
      <c r="T349" s="118" t="s">
        <v>216</v>
      </c>
      <c r="U349" s="118" t="s">
        <v>217</v>
      </c>
      <c r="V349" s="118" t="s">
        <v>250</v>
      </c>
      <c r="W349" s="118" t="s">
        <v>219</v>
      </c>
    </row>
    <row r="350" spans="2:23" x14ac:dyDescent="0.3">
      <c r="B350" s="116" t="e" vm="23">
        <v>#VALUE!</v>
      </c>
      <c r="C350" s="117">
        <v>46176</v>
      </c>
      <c r="D350" s="116">
        <v>1</v>
      </c>
      <c r="E350" s="118">
        <v>9525</v>
      </c>
      <c r="F350" s="118">
        <f>D350*E350*0.0022+14.99</f>
        <v>35.945</v>
      </c>
      <c r="G350" s="118">
        <f t="shared" si="76"/>
        <v>9560.9449999999997</v>
      </c>
      <c r="H350" s="119">
        <f t="shared" si="77"/>
        <v>3.7737532808398951E-3</v>
      </c>
      <c r="I350" s="120" cm="1">
        <f t="array" aca="1" ref="I350" ca="1">_FV(B350,"Price")</f>
        <v>8935</v>
      </c>
      <c r="J350" s="118">
        <f t="shared" ca="1" si="78"/>
        <v>8901.2815144356955</v>
      </c>
      <c r="K350" s="118">
        <f t="shared" ca="1" si="79"/>
        <v>8935</v>
      </c>
      <c r="L350" s="118">
        <f>47</f>
        <v>47</v>
      </c>
      <c r="M350" s="118">
        <f t="shared" ca="1" si="80"/>
        <v>-612.66348556430421</v>
      </c>
      <c r="N350" s="121">
        <f t="shared" ca="1" si="81"/>
        <v>-6.4079804408905636E-2</v>
      </c>
      <c r="O350" s="122">
        <f t="shared" ca="1" si="82"/>
        <v>1.6666666666666667</v>
      </c>
      <c r="P350" s="121">
        <f t="shared" ca="1" si="83"/>
        <v>-0.46137459174412054</v>
      </c>
      <c r="Q350" s="118">
        <f t="shared" ca="1" si="84"/>
        <v>9667.1777222222227</v>
      </c>
      <c r="R350" s="118">
        <f t="shared" si="85"/>
        <v>-9560.9449999999997</v>
      </c>
      <c r="S350" s="123" t="s">
        <v>249</v>
      </c>
      <c r="T350" s="118" t="s">
        <v>216</v>
      </c>
      <c r="U350" s="118" t="s">
        <v>217</v>
      </c>
      <c r="V350" s="118" t="s">
        <v>250</v>
      </c>
      <c r="W350" s="118" t="s">
        <v>219</v>
      </c>
    </row>
    <row r="351" spans="2:23" x14ac:dyDescent="0.3">
      <c r="B351" s="116" t="e" vm="23">
        <v>#VALUE!</v>
      </c>
      <c r="C351" s="117">
        <v>46206</v>
      </c>
      <c r="D351" s="116">
        <v>1</v>
      </c>
      <c r="E351" s="118">
        <v>9612</v>
      </c>
      <c r="F351" s="118">
        <f>D351*E351*0.0022+15.65</f>
        <v>36.796399999999998</v>
      </c>
      <c r="G351" s="118">
        <f t="shared" si="76"/>
        <v>9648.7963999999993</v>
      </c>
      <c r="H351" s="119">
        <f t="shared" si="77"/>
        <v>3.8281731169371616E-3</v>
      </c>
      <c r="I351" s="120" cm="1">
        <f t="array" aca="1" ref="I351" ca="1">_FV(B351,"Price")</f>
        <v>8935</v>
      </c>
      <c r="J351" s="118">
        <f t="shared" ca="1" si="78"/>
        <v>8900.7952732001668</v>
      </c>
      <c r="K351" s="118">
        <f t="shared" ca="1" si="79"/>
        <v>8935</v>
      </c>
      <c r="L351" s="118">
        <f>47</f>
        <v>47</v>
      </c>
      <c r="M351" s="118">
        <f t="shared" ca="1" si="80"/>
        <v>-701.00112679983249</v>
      </c>
      <c r="N351" s="121">
        <f t="shared" ca="1" si="81"/>
        <v>-7.265166532064378E-2</v>
      </c>
      <c r="O351" s="122">
        <f t="shared" ca="1" si="82"/>
        <v>0.66666666666666663</v>
      </c>
      <c r="P351" s="121">
        <f t="shared" ca="1" si="83"/>
        <v>-1.3077299757715881</v>
      </c>
      <c r="Q351" s="118">
        <f t="shared" ca="1" si="84"/>
        <v>9691.6799395555554</v>
      </c>
      <c r="R351" s="118">
        <f t="shared" si="85"/>
        <v>-9648.7963999999993</v>
      </c>
      <c r="S351" s="123" t="s">
        <v>249</v>
      </c>
      <c r="T351" s="118" t="s">
        <v>216</v>
      </c>
      <c r="U351" s="118" t="s">
        <v>217</v>
      </c>
      <c r="V351" s="118" t="s">
        <v>250</v>
      </c>
      <c r="W351" s="118" t="s">
        <v>219</v>
      </c>
    </row>
    <row r="352" spans="2:23" x14ac:dyDescent="0.3">
      <c r="B352" s="116" t="e" vm="24">
        <v>#VALUE!</v>
      </c>
      <c r="C352" s="117">
        <v>45370</v>
      </c>
      <c r="D352" s="116">
        <v>50</v>
      </c>
      <c r="E352" s="118">
        <v>295</v>
      </c>
      <c r="F352" s="118">
        <v>0</v>
      </c>
      <c r="G352" s="118">
        <f t="shared" si="76"/>
        <v>14750</v>
      </c>
      <c r="H352" s="119">
        <f t="shared" si="77"/>
        <v>0</v>
      </c>
      <c r="I352" s="120" cm="1">
        <f t="array" aca="1" ref="I352" ca="1">_FV(B352,"Price")</f>
        <v>105.33</v>
      </c>
      <c r="J352" s="118">
        <f t="shared" ca="1" si="78"/>
        <v>5266.5</v>
      </c>
      <c r="K352" s="118">
        <f t="shared" ca="1" si="79"/>
        <v>5266.5</v>
      </c>
      <c r="L352" s="118">
        <f>25</f>
        <v>25</v>
      </c>
      <c r="M352" s="118">
        <f t="shared" ca="1" si="80"/>
        <v>-9458.5</v>
      </c>
      <c r="N352" s="121">
        <f t="shared" ca="1" si="81"/>
        <v>-0.64125423728813558</v>
      </c>
      <c r="O352" s="122">
        <f t="shared" ca="1" si="82"/>
        <v>28.133333333333333</v>
      </c>
      <c r="P352" s="121">
        <f t="shared" ca="1" si="83"/>
        <v>-0.27352076472005782</v>
      </c>
      <c r="Q352" s="118">
        <f t="shared" ca="1" si="84"/>
        <v>17516.444444444445</v>
      </c>
      <c r="R352" s="118">
        <f t="shared" si="85"/>
        <v>-14750</v>
      </c>
      <c r="S352" s="117" t="s">
        <v>220</v>
      </c>
      <c r="T352" s="118" t="s">
        <v>216</v>
      </c>
      <c r="U352" s="118" t="s">
        <v>251</v>
      </c>
      <c r="V352" s="118" t="s">
        <v>252</v>
      </c>
      <c r="W352" s="118" t="s">
        <v>253</v>
      </c>
    </row>
    <row r="353" spans="2:23" x14ac:dyDescent="0.3">
      <c r="B353" s="116" t="e" vm="25">
        <v>#VALUE!</v>
      </c>
      <c r="C353" s="117">
        <v>45621</v>
      </c>
      <c r="D353" s="116">
        <v>30</v>
      </c>
      <c r="E353" s="118">
        <v>1710.3</v>
      </c>
      <c r="F353" s="118">
        <f>D353*E353*0.0022+73.04</f>
        <v>185.91980000000001</v>
      </c>
      <c r="G353" s="118">
        <f t="shared" si="76"/>
        <v>51494.919800000003</v>
      </c>
      <c r="H353" s="119">
        <f t="shared" si="77"/>
        <v>3.6235319339686998E-3</v>
      </c>
      <c r="I353" s="120" cm="1">
        <f t="array" aca="1" ref="I353" ca="1">_FV(B353,"Price")</f>
        <v>570.5</v>
      </c>
      <c r="J353" s="118">
        <f t="shared" ca="1" si="78"/>
        <v>17052.983250950125</v>
      </c>
      <c r="K353" s="118">
        <f t="shared" ca="1" si="79"/>
        <v>17115</v>
      </c>
      <c r="L353" s="118">
        <f>300</f>
        <v>300</v>
      </c>
      <c r="M353" s="118">
        <f t="shared" ca="1" si="80"/>
        <v>-34141.936549049875</v>
      </c>
      <c r="N353" s="121">
        <f t="shared" ca="1" si="81"/>
        <v>-0.66301562720464458</v>
      </c>
      <c r="O353" s="122">
        <f t="shared" ca="1" si="82"/>
        <v>19.933333333333334</v>
      </c>
      <c r="P353" s="121">
        <f t="shared" ca="1" si="83"/>
        <v>-0.39913984246433454</v>
      </c>
      <c r="Q353" s="118">
        <f t="shared" ca="1" si="84"/>
        <v>58338.022475644451</v>
      </c>
      <c r="R353" s="118">
        <f t="shared" si="85"/>
        <v>-51494.919800000003</v>
      </c>
      <c r="S353" s="117" t="s">
        <v>230</v>
      </c>
      <c r="T353" s="118" t="s">
        <v>216</v>
      </c>
      <c r="U353" s="118" t="s">
        <v>251</v>
      </c>
      <c r="V353" s="118" t="s">
        <v>254</v>
      </c>
      <c r="W353" s="118" t="s">
        <v>219</v>
      </c>
    </row>
    <row r="354" spans="2:23" x14ac:dyDescent="0.3">
      <c r="B354" s="116" t="e" vm="26">
        <v>#VALUE!</v>
      </c>
      <c r="C354" s="117">
        <v>45526</v>
      </c>
      <c r="D354" s="116">
        <v>4</v>
      </c>
      <c r="E354" s="118">
        <f>2993/2</f>
        <v>1496.5</v>
      </c>
      <c r="F354" s="118">
        <f>D354*E354*0.0022+9.1</f>
        <v>22.269199999999998</v>
      </c>
      <c r="G354" s="118">
        <f t="shared" si="76"/>
        <v>6008.2691999999997</v>
      </c>
      <c r="H354" s="119">
        <f t="shared" si="77"/>
        <v>3.7202138322753086E-3</v>
      </c>
      <c r="I354" s="120" cm="1">
        <f t="array" aca="1" ref="I354" ca="1">_FV(B354,"Price")</f>
        <v>1272.2</v>
      </c>
      <c r="J354" s="118">
        <f t="shared" ca="1" si="78"/>
        <v>5069.8685758503179</v>
      </c>
      <c r="K354" s="118">
        <f t="shared" ca="1" si="79"/>
        <v>5088.8</v>
      </c>
      <c r="L354" s="118">
        <f>4*5.5+4*6</f>
        <v>46</v>
      </c>
      <c r="M354" s="118">
        <f t="shared" ca="1" si="80"/>
        <v>-892.40062414968179</v>
      </c>
      <c r="N354" s="121">
        <f t="shared" ca="1" si="81"/>
        <v>-0.14852873505562664</v>
      </c>
      <c r="O354" s="122">
        <f t="shared" ca="1" si="82"/>
        <v>23.033333333333335</v>
      </c>
      <c r="P354" s="121">
        <f t="shared" ca="1" si="83"/>
        <v>-7.7381106541281594E-2</v>
      </c>
      <c r="Q354" s="118">
        <f t="shared" ca="1" si="84"/>
        <v>6930.8723149333327</v>
      </c>
      <c r="R354" s="118">
        <f t="shared" si="85"/>
        <v>-6008.2691999999997</v>
      </c>
      <c r="S354" s="123" t="s">
        <v>255</v>
      </c>
      <c r="T354" s="118" t="s">
        <v>216</v>
      </c>
      <c r="U354" s="118" t="s">
        <v>217</v>
      </c>
      <c r="V354" s="118" t="s">
        <v>256</v>
      </c>
      <c r="W354" s="118" t="s">
        <v>257</v>
      </c>
    </row>
    <row r="355" spans="2:23" x14ac:dyDescent="0.3">
      <c r="B355" s="116" t="e" vm="26">
        <v>#VALUE!</v>
      </c>
      <c r="C355" s="117">
        <v>45541</v>
      </c>
      <c r="D355" s="116">
        <v>4</v>
      </c>
      <c r="E355" s="118">
        <f>2943/2</f>
        <v>1471.5</v>
      </c>
      <c r="F355" s="118">
        <f>D355*E355*0.0022+9.34</f>
        <v>22.289200000000001</v>
      </c>
      <c r="G355" s="118">
        <f t="shared" si="76"/>
        <v>5908.2892000000002</v>
      </c>
      <c r="H355" s="119">
        <f t="shared" si="77"/>
        <v>3.7868161739721376E-3</v>
      </c>
      <c r="I355" s="120" cm="1">
        <f t="array" aca="1" ref="I355" ca="1">_FV(B355,"Price")</f>
        <v>1272.2</v>
      </c>
      <c r="J355" s="118">
        <f t="shared" ca="1" si="78"/>
        <v>5069.529649853891</v>
      </c>
      <c r="K355" s="118">
        <f t="shared" ca="1" si="79"/>
        <v>5088.8</v>
      </c>
      <c r="L355" s="118">
        <f>4*5.5+4*6</f>
        <v>46</v>
      </c>
      <c r="M355" s="118">
        <f t="shared" ca="1" si="80"/>
        <v>-792.75955014610918</v>
      </c>
      <c r="N355" s="121">
        <f t="shared" ca="1" si="81"/>
        <v>-0.13417751286550245</v>
      </c>
      <c r="O355" s="122">
        <f t="shared" ca="1" si="82"/>
        <v>22.566666666666666</v>
      </c>
      <c r="P355" s="121">
        <f t="shared" ca="1" si="83"/>
        <v>-7.1349932986086981E-2</v>
      </c>
      <c r="Q355" s="118">
        <f t="shared" ca="1" si="84"/>
        <v>6797.1584863111111</v>
      </c>
      <c r="R355" s="118">
        <f t="shared" si="85"/>
        <v>-5908.2892000000002</v>
      </c>
      <c r="S355" s="123" t="s">
        <v>255</v>
      </c>
      <c r="T355" s="118" t="s">
        <v>216</v>
      </c>
      <c r="U355" s="118" t="s">
        <v>217</v>
      </c>
      <c r="V355" s="118" t="s">
        <v>256</v>
      </c>
      <c r="W355" s="118" t="s">
        <v>257</v>
      </c>
    </row>
    <row r="356" spans="2:23" x14ac:dyDescent="0.3">
      <c r="B356" s="116" t="e" vm="26">
        <v>#VALUE!</v>
      </c>
      <c r="C356" s="117">
        <v>45558</v>
      </c>
      <c r="D356" s="116">
        <v>4</v>
      </c>
      <c r="E356" s="118">
        <f>2998.95/2</f>
        <v>1499.4749999999999</v>
      </c>
      <c r="F356" s="118">
        <f>D356*E356*0.0022+9.52</f>
        <v>22.71538</v>
      </c>
      <c r="G356" s="118">
        <f t="shared" si="76"/>
        <v>6020.6153799999993</v>
      </c>
      <c r="H356" s="119">
        <f t="shared" si="77"/>
        <v>3.787222194434719E-3</v>
      </c>
      <c r="I356" s="120" cm="1">
        <f t="array" aca="1" ref="I356" ca="1">_FV(B356,"Price")</f>
        <v>1272.2</v>
      </c>
      <c r="J356" s="118">
        <f t="shared" ca="1" si="78"/>
        <v>5069.5275836969604</v>
      </c>
      <c r="K356" s="118">
        <f t="shared" ca="1" si="79"/>
        <v>5088.8</v>
      </c>
      <c r="L356" s="118">
        <f>4*5.5+4*6</f>
        <v>46</v>
      </c>
      <c r="M356" s="118">
        <f t="shared" ca="1" si="80"/>
        <v>-905.08779630303889</v>
      </c>
      <c r="N356" s="121">
        <f t="shared" ca="1" si="81"/>
        <v>-0.15033144274747526</v>
      </c>
      <c r="O356" s="122">
        <f t="shared" ca="1" si="82"/>
        <v>22</v>
      </c>
      <c r="P356" s="121">
        <f t="shared" ca="1" si="83"/>
        <v>-8.1998968771350142E-2</v>
      </c>
      <c r="Q356" s="118">
        <f t="shared" ca="1" si="84"/>
        <v>6903.6389690666656</v>
      </c>
      <c r="R356" s="118">
        <f t="shared" si="85"/>
        <v>-6020.6153799999993</v>
      </c>
      <c r="S356" s="123" t="s">
        <v>255</v>
      </c>
      <c r="T356" s="118" t="s">
        <v>216</v>
      </c>
      <c r="U356" s="118" t="s">
        <v>217</v>
      </c>
      <c r="V356" s="118" t="s">
        <v>256</v>
      </c>
      <c r="W356" s="118" t="s">
        <v>257</v>
      </c>
    </row>
    <row r="357" spans="2:23" x14ac:dyDescent="0.3">
      <c r="B357" s="116" t="e" vm="26">
        <v>#VALUE!</v>
      </c>
      <c r="C357" s="117">
        <v>45572</v>
      </c>
      <c r="D357" s="116">
        <v>4</v>
      </c>
      <c r="E357" s="118">
        <f>2752.8/2</f>
        <v>1376.4</v>
      </c>
      <c r="F357" s="118">
        <f>D357*E357*0.0022+8.34</f>
        <v>20.45232</v>
      </c>
      <c r="G357" s="118">
        <f t="shared" si="76"/>
        <v>5526.0523200000007</v>
      </c>
      <c r="H357" s="119">
        <f t="shared" si="77"/>
        <v>3.7148212728857887E-3</v>
      </c>
      <c r="I357" s="120" cm="1">
        <f t="array" aca="1" ref="I357" ca="1">_FV(B357,"Price")</f>
        <v>1272.2</v>
      </c>
      <c r="J357" s="118">
        <f t="shared" ca="1" si="78"/>
        <v>5069.8960175065386</v>
      </c>
      <c r="K357" s="118">
        <f t="shared" ca="1" si="79"/>
        <v>5088.8</v>
      </c>
      <c r="L357" s="118">
        <f>4*5.5+4*6</f>
        <v>46</v>
      </c>
      <c r="M357" s="118">
        <f t="shared" ca="1" si="80"/>
        <v>-410.15630249346214</v>
      </c>
      <c r="N357" s="121">
        <f t="shared" ca="1" si="81"/>
        <v>-7.422229807868741E-2</v>
      </c>
      <c r="O357" s="122">
        <f t="shared" ca="1" si="82"/>
        <v>21.533333333333335</v>
      </c>
      <c r="P357" s="121">
        <f t="shared" ca="1" si="83"/>
        <v>-4.1362271375119913E-2</v>
      </c>
      <c r="Q357" s="118">
        <f t="shared" ca="1" si="84"/>
        <v>6319.3478308266676</v>
      </c>
      <c r="R357" s="118">
        <f t="shared" si="85"/>
        <v>-5526.0523200000007</v>
      </c>
      <c r="S357" s="123" t="s">
        <v>255</v>
      </c>
      <c r="T357" s="118" t="s">
        <v>216</v>
      </c>
      <c r="U357" s="118" t="s">
        <v>217</v>
      </c>
      <c r="V357" s="118" t="s">
        <v>256</v>
      </c>
      <c r="W357" s="118" t="s">
        <v>257</v>
      </c>
    </row>
    <row r="358" spans="2:23" x14ac:dyDescent="0.3">
      <c r="B358" s="116" t="e" vm="26">
        <v>#VALUE!</v>
      </c>
      <c r="C358" s="117">
        <v>45583</v>
      </c>
      <c r="D358" s="116">
        <v>40</v>
      </c>
      <c r="E358" s="118">
        <f>2715.05/2</f>
        <v>1357.5250000000001</v>
      </c>
      <c r="F358" s="118">
        <f>D358*E358*0.0022+85.53</f>
        <v>204.99220000000003</v>
      </c>
      <c r="G358" s="118">
        <f t="shared" si="76"/>
        <v>54505.992200000001</v>
      </c>
      <c r="H358" s="119">
        <f t="shared" si="77"/>
        <v>3.7751091140126336E-3</v>
      </c>
      <c r="I358" s="120" cm="1">
        <f t="array" aca="1" ref="I358" ca="1">_FV(B358,"Price")</f>
        <v>1272.2</v>
      </c>
      <c r="J358" s="118">
        <f t="shared" ca="1" si="78"/>
        <v>50695.892247406126</v>
      </c>
      <c r="K358" s="118">
        <f t="shared" ca="1" si="79"/>
        <v>50888</v>
      </c>
      <c r="L358" s="118">
        <f>40*5.5+40*6</f>
        <v>460</v>
      </c>
      <c r="M358" s="118">
        <f t="shared" ca="1" si="80"/>
        <v>-3350.0999525938751</v>
      </c>
      <c r="N358" s="121">
        <f t="shared" ca="1" si="81"/>
        <v>-6.146296613226087E-2</v>
      </c>
      <c r="O358" s="122">
        <f t="shared" ca="1" si="82"/>
        <v>21.166666666666668</v>
      </c>
      <c r="P358" s="121">
        <f t="shared" ca="1" si="83"/>
        <v>-3.4845146153722695E-2</v>
      </c>
      <c r="Q358" s="118">
        <f t="shared" ca="1" si="84"/>
        <v>62197.393321555559</v>
      </c>
      <c r="R358" s="118">
        <f t="shared" si="85"/>
        <v>-54505.992200000001</v>
      </c>
      <c r="S358" s="123" t="s">
        <v>255</v>
      </c>
      <c r="T358" s="118" t="s">
        <v>216</v>
      </c>
      <c r="U358" s="118" t="s">
        <v>217</v>
      </c>
      <c r="V358" s="118" t="s">
        <v>256</v>
      </c>
      <c r="W358" s="118" t="s">
        <v>257</v>
      </c>
    </row>
    <row r="359" spans="2:23" x14ac:dyDescent="0.3">
      <c r="B359" s="116" t="e" vm="26">
        <v>#VALUE!</v>
      </c>
      <c r="C359" s="117">
        <v>45586</v>
      </c>
      <c r="D359" s="116">
        <v>4</v>
      </c>
      <c r="E359" s="118">
        <f>2731.95/2</f>
        <v>1365.9749999999999</v>
      </c>
      <c r="F359" s="118">
        <f>D359*E359*0.0022+8.64</f>
        <v>20.660580000000003</v>
      </c>
      <c r="G359" s="118">
        <f t="shared" si="76"/>
        <v>5484.5605799999994</v>
      </c>
      <c r="H359" s="119">
        <f t="shared" si="77"/>
        <v>3.7812880909240659E-3</v>
      </c>
      <c r="I359" s="120" cm="1">
        <f t="array" aca="1" ref="I359" ca="1">_FV(B359,"Price")</f>
        <v>1272.2</v>
      </c>
      <c r="J359" s="118">
        <f t="shared" ca="1" si="78"/>
        <v>5069.5577811629055</v>
      </c>
      <c r="K359" s="118">
        <f t="shared" ca="1" si="79"/>
        <v>5088.8</v>
      </c>
      <c r="L359" s="118">
        <f t="shared" ref="L359:L377" si="86">4*5.5+4*6</f>
        <v>46</v>
      </c>
      <c r="M359" s="118">
        <f t="shared" ca="1" si="80"/>
        <v>-369.00279883709391</v>
      </c>
      <c r="N359" s="121">
        <f t="shared" ca="1" si="81"/>
        <v>-6.7280284984488944E-2</v>
      </c>
      <c r="O359" s="122">
        <f t="shared" ca="1" si="82"/>
        <v>21.066666666666666</v>
      </c>
      <c r="P359" s="121">
        <f t="shared" ca="1" si="83"/>
        <v>-3.8324212965848134E-2</v>
      </c>
      <c r="Q359" s="118">
        <f t="shared" ca="1" si="84"/>
        <v>6254.8366436799988</v>
      </c>
      <c r="R359" s="118">
        <f t="shared" si="85"/>
        <v>-5484.5605799999994</v>
      </c>
      <c r="S359" s="123" t="s">
        <v>255</v>
      </c>
      <c r="T359" s="118" t="s">
        <v>216</v>
      </c>
      <c r="U359" s="118" t="s">
        <v>217</v>
      </c>
      <c r="V359" s="118" t="s">
        <v>256</v>
      </c>
      <c r="W359" s="118" t="s">
        <v>257</v>
      </c>
    </row>
    <row r="360" spans="2:23" x14ac:dyDescent="0.3">
      <c r="B360" s="116" t="e" vm="26">
        <v>#VALUE!</v>
      </c>
      <c r="C360" s="117">
        <v>45601</v>
      </c>
      <c r="D360" s="116">
        <v>4</v>
      </c>
      <c r="E360" s="118">
        <v>1298.2</v>
      </c>
      <c r="F360" s="118">
        <f>D360*E360*0.0022+8.21</f>
        <v>19.634160000000001</v>
      </c>
      <c r="G360" s="118">
        <f t="shared" si="76"/>
        <v>5212.4341599999998</v>
      </c>
      <c r="H360" s="119">
        <f t="shared" si="77"/>
        <v>3.7810352796179328E-3</v>
      </c>
      <c r="I360" s="120" cm="1">
        <f t="array" aca="1" ref="I360" ca="1">_FV(B360,"Price")</f>
        <v>1272.2</v>
      </c>
      <c r="J360" s="118">
        <f t="shared" ca="1" si="78"/>
        <v>5069.5590676690808</v>
      </c>
      <c r="K360" s="118">
        <f t="shared" ca="1" si="79"/>
        <v>5088.8</v>
      </c>
      <c r="L360" s="118">
        <f t="shared" si="86"/>
        <v>46</v>
      </c>
      <c r="M360" s="118">
        <f t="shared" ca="1" si="80"/>
        <v>-96.87509233091896</v>
      </c>
      <c r="N360" s="121">
        <f t="shared" ca="1" si="81"/>
        <v>-1.8585384363093607E-2</v>
      </c>
      <c r="O360" s="122">
        <f t="shared" ca="1" si="82"/>
        <v>20.6</v>
      </c>
      <c r="P360" s="121">
        <f t="shared" ca="1" si="83"/>
        <v>-1.0826437493064237E-2</v>
      </c>
      <c r="Q360" s="118">
        <f t="shared" ca="1" si="84"/>
        <v>5928.2751179733332</v>
      </c>
      <c r="R360" s="118">
        <f t="shared" si="85"/>
        <v>-5212.4341599999998</v>
      </c>
      <c r="S360" s="123" t="s">
        <v>255</v>
      </c>
      <c r="T360" s="118" t="s">
        <v>216</v>
      </c>
      <c r="U360" s="118" t="s">
        <v>217</v>
      </c>
      <c r="V360" s="118" t="s">
        <v>256</v>
      </c>
      <c r="W360" s="118" t="s">
        <v>257</v>
      </c>
    </row>
    <row r="361" spans="2:23" x14ac:dyDescent="0.3">
      <c r="B361" s="116" t="e" vm="26">
        <v>#VALUE!</v>
      </c>
      <c r="C361" s="117">
        <v>45617</v>
      </c>
      <c r="D361" s="116">
        <v>4</v>
      </c>
      <c r="E361" s="118">
        <v>1225.0999999999999</v>
      </c>
      <c r="F361" s="118">
        <f>D361*E361*0.0022+7.77</f>
        <v>18.550879999999999</v>
      </c>
      <c r="G361" s="118">
        <f t="shared" si="76"/>
        <v>4918.9508799999994</v>
      </c>
      <c r="H361" s="119">
        <f t="shared" si="77"/>
        <v>3.7855848502163091E-3</v>
      </c>
      <c r="I361" s="120" cm="1">
        <f t="array" aca="1" ref="I361" ca="1">_FV(B361,"Price")</f>
        <v>1272.2</v>
      </c>
      <c r="J361" s="118">
        <f t="shared" ca="1" si="78"/>
        <v>5069.5359158142192</v>
      </c>
      <c r="K361" s="118">
        <f t="shared" ca="1" si="79"/>
        <v>5088.8</v>
      </c>
      <c r="L361" s="118">
        <f t="shared" si="86"/>
        <v>46</v>
      </c>
      <c r="M361" s="118">
        <f t="shared" ca="1" si="80"/>
        <v>196.58503581421974</v>
      </c>
      <c r="N361" s="121">
        <f t="shared" ca="1" si="81"/>
        <v>3.996483002371834E-2</v>
      </c>
      <c r="O361" s="122">
        <f t="shared" ca="1" si="82"/>
        <v>20.066666666666666</v>
      </c>
      <c r="P361" s="121">
        <f t="shared" ca="1" si="83"/>
        <v>2.3899233901226915E-2</v>
      </c>
      <c r="Q361" s="118">
        <f t="shared" ca="1" si="84"/>
        <v>5576.997197724444</v>
      </c>
      <c r="R361" s="118">
        <f t="shared" si="85"/>
        <v>-4918.9508799999994</v>
      </c>
      <c r="S361" s="123" t="s">
        <v>255</v>
      </c>
      <c r="T361" s="118" t="s">
        <v>216</v>
      </c>
      <c r="U361" s="118" t="s">
        <v>217</v>
      </c>
      <c r="V361" s="118" t="s">
        <v>256</v>
      </c>
      <c r="W361" s="118" t="s">
        <v>257</v>
      </c>
    </row>
    <row r="362" spans="2:23" x14ac:dyDescent="0.3">
      <c r="B362" s="116" t="e" vm="26">
        <v>#VALUE!</v>
      </c>
      <c r="C362" s="117">
        <v>45631</v>
      </c>
      <c r="D362" s="116">
        <v>4</v>
      </c>
      <c r="E362" s="118">
        <v>1310.3499999999999</v>
      </c>
      <c r="F362" s="118">
        <f>D362*E362*0.0022+8.31</f>
        <v>19.841079999999998</v>
      </c>
      <c r="G362" s="118">
        <f t="shared" si="76"/>
        <v>5261.2410799999998</v>
      </c>
      <c r="H362" s="119">
        <f t="shared" si="77"/>
        <v>3.7854542679436791E-3</v>
      </c>
      <c r="I362" s="120" cm="1">
        <f t="array" aca="1" ref="I362" ca="1">_FV(B362,"Price")</f>
        <v>1272.2</v>
      </c>
      <c r="J362" s="118">
        <f t="shared" ca="1" si="78"/>
        <v>5069.536580321289</v>
      </c>
      <c r="K362" s="118">
        <f t="shared" ca="1" si="79"/>
        <v>5088.8</v>
      </c>
      <c r="L362" s="118">
        <f t="shared" si="86"/>
        <v>46</v>
      </c>
      <c r="M362" s="118">
        <f t="shared" ca="1" si="80"/>
        <v>-145.70449967871082</v>
      </c>
      <c r="N362" s="121">
        <f t="shared" ca="1" si="81"/>
        <v>-2.7693940928232626E-2</v>
      </c>
      <c r="O362" s="122">
        <f t="shared" ca="1" si="82"/>
        <v>19.600000000000001</v>
      </c>
      <c r="P362" s="121">
        <f t="shared" ca="1" si="83"/>
        <v>-1.6955474037693444E-2</v>
      </c>
      <c r="Q362" s="118">
        <f t="shared" ca="1" si="84"/>
        <v>5948.7099144533331</v>
      </c>
      <c r="R362" s="118">
        <f t="shared" si="85"/>
        <v>-5261.2410799999998</v>
      </c>
      <c r="S362" s="123" t="s">
        <v>255</v>
      </c>
      <c r="T362" s="118" t="s">
        <v>216</v>
      </c>
      <c r="U362" s="118" t="s">
        <v>217</v>
      </c>
      <c r="V362" s="118" t="s">
        <v>256</v>
      </c>
      <c r="W362" s="118" t="s">
        <v>257</v>
      </c>
    </row>
    <row r="363" spans="2:23" x14ac:dyDescent="0.3">
      <c r="B363" s="116" t="e" vm="26">
        <v>#VALUE!</v>
      </c>
      <c r="C363" s="117">
        <v>45646</v>
      </c>
      <c r="D363" s="116">
        <v>4</v>
      </c>
      <c r="E363" s="118">
        <v>1234.45</v>
      </c>
      <c r="F363" s="118">
        <f>D363*E363*0.0022+7.95</f>
        <v>18.81316</v>
      </c>
      <c r="G363" s="118">
        <f t="shared" si="76"/>
        <v>4956.6131599999999</v>
      </c>
      <c r="H363" s="119">
        <f t="shared" si="77"/>
        <v>3.8100287577463648E-3</v>
      </c>
      <c r="I363" s="120" cm="1">
        <f t="array" aca="1" ref="I363" ca="1">_FV(B363,"Price")</f>
        <v>1272.2</v>
      </c>
      <c r="J363" s="118">
        <f t="shared" ca="1" si="78"/>
        <v>5069.4115256575806</v>
      </c>
      <c r="K363" s="118">
        <f t="shared" ca="1" si="79"/>
        <v>5088.8</v>
      </c>
      <c r="L363" s="118">
        <f t="shared" si="86"/>
        <v>46</v>
      </c>
      <c r="M363" s="118">
        <f t="shared" ca="1" si="80"/>
        <v>158.79836565758069</v>
      </c>
      <c r="N363" s="121">
        <f t="shared" ca="1" si="81"/>
        <v>3.203767583459765E-2</v>
      </c>
      <c r="O363" s="122">
        <f t="shared" ca="1" si="82"/>
        <v>19.100000000000001</v>
      </c>
      <c r="P363" s="121">
        <f t="shared" ca="1" si="83"/>
        <v>2.0128382723307421E-2</v>
      </c>
      <c r="Q363" s="118">
        <f t="shared" ca="1" si="84"/>
        <v>5587.755235706667</v>
      </c>
      <c r="R363" s="118">
        <f t="shared" si="85"/>
        <v>-4956.6131599999999</v>
      </c>
      <c r="S363" s="123" t="s">
        <v>255</v>
      </c>
      <c r="T363" s="118" t="s">
        <v>216</v>
      </c>
      <c r="U363" s="118" t="s">
        <v>217</v>
      </c>
      <c r="V363" s="118" t="s">
        <v>256</v>
      </c>
      <c r="W363" s="118" t="s">
        <v>257</v>
      </c>
    </row>
    <row r="364" spans="2:23" x14ac:dyDescent="0.3">
      <c r="B364" s="116" t="e" vm="26">
        <v>#VALUE!</v>
      </c>
      <c r="C364" s="117">
        <v>45663</v>
      </c>
      <c r="D364" s="116">
        <v>4</v>
      </c>
      <c r="E364" s="118">
        <v>1232.25</v>
      </c>
      <c r="F364" s="118">
        <f>D364*E364*0.0022+7.81</f>
        <v>18.6538</v>
      </c>
      <c r="G364" s="118">
        <f t="shared" si="76"/>
        <v>4947.6538</v>
      </c>
      <c r="H364" s="119">
        <f t="shared" si="77"/>
        <v>3.7844998985595455E-3</v>
      </c>
      <c r="I364" s="120" cm="1">
        <f t="array" aca="1" ref="I364" ca="1">_FV(B364,"Price")</f>
        <v>1272.2</v>
      </c>
      <c r="J364" s="118">
        <f t="shared" ca="1" si="78"/>
        <v>5069.5414369162099</v>
      </c>
      <c r="K364" s="118">
        <f t="shared" ca="1" si="79"/>
        <v>5088.8</v>
      </c>
      <c r="L364" s="118">
        <f t="shared" si="86"/>
        <v>46</v>
      </c>
      <c r="M364" s="118">
        <f t="shared" ca="1" si="80"/>
        <v>167.88763691620989</v>
      </c>
      <c r="N364" s="121">
        <f t="shared" ca="1" si="81"/>
        <v>3.3932777777663001E-2</v>
      </c>
      <c r="O364" s="122">
        <f t="shared" ca="1" si="82"/>
        <v>18.566666666666666</v>
      </c>
      <c r="P364" s="121">
        <f t="shared" ca="1" si="83"/>
        <v>2.193141831231361E-2</v>
      </c>
      <c r="Q364" s="118">
        <f t="shared" ca="1" si="84"/>
        <v>5560.0633925777784</v>
      </c>
      <c r="R364" s="118">
        <f t="shared" si="85"/>
        <v>-4947.6538</v>
      </c>
      <c r="S364" s="123" t="s">
        <v>255</v>
      </c>
      <c r="T364" s="118" t="s">
        <v>216</v>
      </c>
      <c r="U364" s="118" t="s">
        <v>217</v>
      </c>
      <c r="V364" s="118" t="s">
        <v>256</v>
      </c>
      <c r="W364" s="118" t="s">
        <v>257</v>
      </c>
    </row>
    <row r="365" spans="2:23" x14ac:dyDescent="0.3">
      <c r="B365" s="116" t="e" vm="26">
        <v>#VALUE!</v>
      </c>
      <c r="C365" s="117">
        <v>45677</v>
      </c>
      <c r="D365" s="116">
        <v>4</v>
      </c>
      <c r="E365" s="118">
        <v>1304.75</v>
      </c>
      <c r="F365" s="118">
        <f>D365*E365*0.0022+8.27</f>
        <v>19.751800000000003</v>
      </c>
      <c r="G365" s="118">
        <f t="shared" si="76"/>
        <v>5238.7518</v>
      </c>
      <c r="H365" s="119">
        <f t="shared" si="77"/>
        <v>3.7845947499520988E-3</v>
      </c>
      <c r="I365" s="120" cm="1">
        <f t="array" aca="1" ref="I365" ca="1">_FV(B365,"Price")</f>
        <v>1272.2</v>
      </c>
      <c r="J365" s="118">
        <f t="shared" ca="1" si="78"/>
        <v>5069.5409542364441</v>
      </c>
      <c r="K365" s="118">
        <f t="shared" ca="1" si="79"/>
        <v>5088.8</v>
      </c>
      <c r="L365" s="118">
        <f t="shared" si="86"/>
        <v>46</v>
      </c>
      <c r="M365" s="118">
        <f t="shared" ca="1" si="80"/>
        <v>-123.21084576355588</v>
      </c>
      <c r="N365" s="121">
        <f t="shared" ca="1" si="81"/>
        <v>-2.3519122582512094E-2</v>
      </c>
      <c r="O365" s="122">
        <f t="shared" ca="1" si="82"/>
        <v>18.100000000000001</v>
      </c>
      <c r="P365" s="121">
        <f t="shared" ca="1" si="83"/>
        <v>-1.5592788452494205E-2</v>
      </c>
      <c r="Q365" s="118">
        <f t="shared" ca="1" si="84"/>
        <v>5870.8945172000003</v>
      </c>
      <c r="R365" s="118">
        <f t="shared" si="85"/>
        <v>-5238.7518</v>
      </c>
      <c r="S365" s="123" t="s">
        <v>255</v>
      </c>
      <c r="T365" s="118" t="s">
        <v>216</v>
      </c>
      <c r="U365" s="118" t="s">
        <v>217</v>
      </c>
      <c r="V365" s="118" t="s">
        <v>256</v>
      </c>
      <c r="W365" s="118" t="s">
        <v>257</v>
      </c>
    </row>
    <row r="366" spans="2:23" x14ac:dyDescent="0.3">
      <c r="B366" s="116" t="e" vm="26">
        <v>#VALUE!</v>
      </c>
      <c r="C366" s="117">
        <v>45691</v>
      </c>
      <c r="D366" s="116">
        <v>4</v>
      </c>
      <c r="E366" s="118">
        <v>1251.1500000000001</v>
      </c>
      <c r="F366" s="118">
        <f>D366*E366*0.0022+7.92</f>
        <v>18.930120000000002</v>
      </c>
      <c r="G366" s="118">
        <f t="shared" si="76"/>
        <v>5023.5301200000004</v>
      </c>
      <c r="H366" s="119">
        <f t="shared" si="77"/>
        <v>3.7825440594652922E-3</v>
      </c>
      <c r="I366" s="120" cm="1">
        <f t="array" aca="1" ref="I366" ca="1">_FV(B366,"Price")</f>
        <v>1272.2</v>
      </c>
      <c r="J366" s="118">
        <f t="shared" ca="1" si="78"/>
        <v>5069.5513897901928</v>
      </c>
      <c r="K366" s="118">
        <f t="shared" ca="1" si="79"/>
        <v>5088.8</v>
      </c>
      <c r="L366" s="118">
        <f t="shared" si="86"/>
        <v>46</v>
      </c>
      <c r="M366" s="118">
        <f t="shared" ca="1" si="80"/>
        <v>92.021269790192491</v>
      </c>
      <c r="N366" s="121">
        <f t="shared" ca="1" si="81"/>
        <v>1.8318048780842682E-2</v>
      </c>
      <c r="O366" s="122">
        <f t="shared" ca="1" si="82"/>
        <v>17.666666666666668</v>
      </c>
      <c r="P366" s="121">
        <f t="shared" ca="1" si="83"/>
        <v>1.2442448228496916E-2</v>
      </c>
      <c r="Q366" s="118">
        <f t="shared" ca="1" si="84"/>
        <v>5615.1903341333336</v>
      </c>
      <c r="R366" s="118">
        <f t="shared" si="85"/>
        <v>-5023.5301200000004</v>
      </c>
      <c r="S366" s="123" t="s">
        <v>255</v>
      </c>
      <c r="T366" s="118" t="s">
        <v>216</v>
      </c>
      <c r="U366" s="118" t="s">
        <v>217</v>
      </c>
      <c r="V366" s="118" t="s">
        <v>256</v>
      </c>
      <c r="W366" s="118" t="s">
        <v>257</v>
      </c>
    </row>
    <row r="367" spans="2:23" x14ac:dyDescent="0.3">
      <c r="B367" s="116" t="e" vm="26">
        <v>#VALUE!</v>
      </c>
      <c r="C367" s="117">
        <v>45706</v>
      </c>
      <c r="D367" s="116">
        <v>4</v>
      </c>
      <c r="E367" s="118">
        <v>1220.5999999999999</v>
      </c>
      <c r="F367" s="118">
        <f>D367*E367*0.0022+7.72</f>
        <v>18.461279999999999</v>
      </c>
      <c r="G367" s="118">
        <f t="shared" si="76"/>
        <v>4900.8612800000001</v>
      </c>
      <c r="H367" s="119">
        <f t="shared" si="77"/>
        <v>3.7811895788956249E-3</v>
      </c>
      <c r="I367" s="120" cm="1">
        <f t="array" aca="1" ref="I367" ca="1">_FV(B367,"Price")</f>
        <v>1272.2</v>
      </c>
      <c r="J367" s="118">
        <f t="shared" ca="1" si="78"/>
        <v>5069.5582824709163</v>
      </c>
      <c r="K367" s="118">
        <f t="shared" ca="1" si="79"/>
        <v>5088.8</v>
      </c>
      <c r="L367" s="118">
        <f t="shared" si="86"/>
        <v>46</v>
      </c>
      <c r="M367" s="118">
        <f t="shared" ca="1" si="80"/>
        <v>214.69700247091623</v>
      </c>
      <c r="N367" s="121">
        <f t="shared" ca="1" si="81"/>
        <v>4.3808014592675068E-2</v>
      </c>
      <c r="O367" s="122">
        <f t="shared" ca="1" si="82"/>
        <v>17.166666666666668</v>
      </c>
      <c r="P367" s="121">
        <f t="shared" ca="1" si="83"/>
        <v>3.0623078161869946E-2</v>
      </c>
      <c r="Q367" s="118">
        <f t="shared" ca="1" si="84"/>
        <v>5461.737626488889</v>
      </c>
      <c r="R367" s="118">
        <f t="shared" si="85"/>
        <v>-4900.8612800000001</v>
      </c>
      <c r="S367" s="123" t="s">
        <v>255</v>
      </c>
      <c r="T367" s="118" t="s">
        <v>216</v>
      </c>
      <c r="U367" s="118" t="s">
        <v>217</v>
      </c>
      <c r="V367" s="118" t="s">
        <v>256</v>
      </c>
      <c r="W367" s="118" t="s">
        <v>257</v>
      </c>
    </row>
    <row r="368" spans="2:23" x14ac:dyDescent="0.3">
      <c r="B368" s="116" t="e" vm="26">
        <v>#VALUE!</v>
      </c>
      <c r="C368" s="117">
        <v>45721</v>
      </c>
      <c r="D368" s="116">
        <v>4</v>
      </c>
      <c r="E368" s="118">
        <v>1172.95</v>
      </c>
      <c r="F368" s="118">
        <f>D368*E368*0.0022+7.42</f>
        <v>17.741959999999999</v>
      </c>
      <c r="G368" s="118">
        <f t="shared" si="76"/>
        <v>4709.5419600000005</v>
      </c>
      <c r="H368" s="119">
        <f t="shared" si="77"/>
        <v>3.7814825866405214E-3</v>
      </c>
      <c r="I368" s="120" cm="1">
        <f t="array" aca="1" ref="I368" ca="1">_FV(B368,"Price")</f>
        <v>1272.2</v>
      </c>
      <c r="J368" s="118">
        <f t="shared" ca="1" si="78"/>
        <v>5069.5567914131034</v>
      </c>
      <c r="K368" s="118">
        <f t="shared" ca="1" si="79"/>
        <v>5088.8</v>
      </c>
      <c r="L368" s="118">
        <f t="shared" si="86"/>
        <v>46</v>
      </c>
      <c r="M368" s="118">
        <f t="shared" ca="1" si="80"/>
        <v>406.01483141310291</v>
      </c>
      <c r="N368" s="121">
        <f t="shared" ca="1" si="81"/>
        <v>8.6211108184521379E-2</v>
      </c>
      <c r="O368" s="122">
        <f t="shared" ca="1" si="82"/>
        <v>16.600000000000001</v>
      </c>
      <c r="P368" s="121">
        <f t="shared" ca="1" si="83"/>
        <v>6.232128302495521E-2</v>
      </c>
      <c r="Q368" s="118">
        <f t="shared" ca="1" si="84"/>
        <v>5230.7312702400004</v>
      </c>
      <c r="R368" s="118">
        <f t="shared" si="85"/>
        <v>-4709.5419600000005</v>
      </c>
      <c r="S368" s="123" t="s">
        <v>255</v>
      </c>
      <c r="T368" s="118" t="s">
        <v>216</v>
      </c>
      <c r="U368" s="118" t="s">
        <v>217</v>
      </c>
      <c r="V368" s="118" t="s">
        <v>256</v>
      </c>
      <c r="W368" s="118" t="s">
        <v>257</v>
      </c>
    </row>
    <row r="369" spans="2:23" x14ac:dyDescent="0.3">
      <c r="B369" s="116" t="e" vm="26">
        <v>#VALUE!</v>
      </c>
      <c r="C369" s="117">
        <v>45736</v>
      </c>
      <c r="D369" s="116">
        <v>4</v>
      </c>
      <c r="E369" s="118">
        <v>1254.25</v>
      </c>
      <c r="F369" s="118">
        <f>D369*E369*0.0022+7.95</f>
        <v>18.987400000000001</v>
      </c>
      <c r="G369" s="118">
        <f t="shared" si="76"/>
        <v>5035.9874</v>
      </c>
      <c r="H369" s="119">
        <f t="shared" si="77"/>
        <v>3.7846123181183976E-3</v>
      </c>
      <c r="I369" s="120" cm="1">
        <f t="array" aca="1" ref="I369" ca="1">_FV(B369,"Price")</f>
        <v>1272.2</v>
      </c>
      <c r="J369" s="118">
        <f t="shared" ca="1" si="78"/>
        <v>5069.5408648355588</v>
      </c>
      <c r="K369" s="118">
        <f t="shared" ca="1" si="79"/>
        <v>5088.8</v>
      </c>
      <c r="L369" s="118">
        <f t="shared" si="86"/>
        <v>46</v>
      </c>
      <c r="M369" s="118">
        <f t="shared" ca="1" si="80"/>
        <v>79.553464835558771</v>
      </c>
      <c r="N369" s="121">
        <f t="shared" ca="1" si="81"/>
        <v>1.5796994415744323E-2</v>
      </c>
      <c r="O369" s="122">
        <f t="shared" ca="1" si="82"/>
        <v>16.100000000000001</v>
      </c>
      <c r="P369" s="121">
        <f t="shared" ca="1" si="83"/>
        <v>1.1774157328505083E-2</v>
      </c>
      <c r="Q369" s="118">
        <f t="shared" ca="1" si="84"/>
        <v>5576.5167142666669</v>
      </c>
      <c r="R369" s="118">
        <f t="shared" si="85"/>
        <v>-5035.9874</v>
      </c>
      <c r="S369" s="123" t="s">
        <v>255</v>
      </c>
      <c r="T369" s="118" t="s">
        <v>216</v>
      </c>
      <c r="U369" s="118" t="s">
        <v>217</v>
      </c>
      <c r="V369" s="118" t="s">
        <v>256</v>
      </c>
      <c r="W369" s="118" t="s">
        <v>257</v>
      </c>
    </row>
    <row r="370" spans="2:23" x14ac:dyDescent="0.3">
      <c r="B370" s="116" t="e" vm="26">
        <v>#VALUE!</v>
      </c>
      <c r="C370" s="117">
        <v>45751</v>
      </c>
      <c r="D370" s="116">
        <v>4</v>
      </c>
      <c r="E370" s="118">
        <v>1200</v>
      </c>
      <c r="F370" s="118">
        <f>D370*E370*0.0022+7.43</f>
        <v>17.990000000000002</v>
      </c>
      <c r="G370" s="118">
        <f t="shared" si="76"/>
        <v>4817.99</v>
      </c>
      <c r="H370" s="119">
        <f t="shared" si="77"/>
        <v>3.7479166666666672E-3</v>
      </c>
      <c r="I370" s="120" cm="1">
        <f t="array" aca="1" ref="I370" ca="1">_FV(B370,"Price")</f>
        <v>1272.2</v>
      </c>
      <c r="J370" s="118">
        <f t="shared" ca="1" si="78"/>
        <v>5069.7276016666674</v>
      </c>
      <c r="K370" s="118">
        <f t="shared" ca="1" si="79"/>
        <v>5088.8</v>
      </c>
      <c r="L370" s="118">
        <f t="shared" si="86"/>
        <v>46</v>
      </c>
      <c r="M370" s="118">
        <f t="shared" ca="1" si="80"/>
        <v>297.73760166666762</v>
      </c>
      <c r="N370" s="121">
        <f t="shared" ca="1" si="81"/>
        <v>6.1797056794776997E-2</v>
      </c>
      <c r="O370" s="122">
        <f t="shared" ca="1" si="82"/>
        <v>15.633333333333333</v>
      </c>
      <c r="P370" s="121">
        <f t="shared" ca="1" si="83"/>
        <v>4.7434841036502598E-2</v>
      </c>
      <c r="Q370" s="118">
        <f t="shared" ca="1" si="84"/>
        <v>5320.1316244444442</v>
      </c>
      <c r="R370" s="118">
        <f t="shared" si="85"/>
        <v>-4817.99</v>
      </c>
      <c r="S370" s="123" t="s">
        <v>255</v>
      </c>
      <c r="T370" s="118" t="s">
        <v>216</v>
      </c>
      <c r="U370" s="118" t="s">
        <v>217</v>
      </c>
      <c r="V370" s="118" t="s">
        <v>256</v>
      </c>
      <c r="W370" s="118" t="s">
        <v>257</v>
      </c>
    </row>
    <row r="371" spans="2:23" x14ac:dyDescent="0.3">
      <c r="B371" s="116" t="e" vm="26">
        <v>#VALUE!</v>
      </c>
      <c r="C371" s="117">
        <v>45768</v>
      </c>
      <c r="D371" s="116">
        <v>4</v>
      </c>
      <c r="E371" s="118">
        <v>1294</v>
      </c>
      <c r="F371" s="118">
        <f>D371*E371*0.0022+8.2</f>
        <v>19.587199999999999</v>
      </c>
      <c r="G371" s="118">
        <f t="shared" si="76"/>
        <v>5195.5871999999999</v>
      </c>
      <c r="H371" s="119">
        <f t="shared" si="77"/>
        <v>3.7842349304482224E-3</v>
      </c>
      <c r="I371" s="120" cm="1">
        <f t="array" aca="1" ref="I371" ca="1">_FV(B371,"Price")</f>
        <v>1272.2</v>
      </c>
      <c r="J371" s="118">
        <f t="shared" ca="1" si="78"/>
        <v>5069.5427852859357</v>
      </c>
      <c r="K371" s="118">
        <f t="shared" ca="1" si="79"/>
        <v>5088.8</v>
      </c>
      <c r="L371" s="118">
        <f t="shared" si="86"/>
        <v>46</v>
      </c>
      <c r="M371" s="118">
        <f t="shared" ca="1" si="80"/>
        <v>-80.04441471406426</v>
      </c>
      <c r="N371" s="121">
        <f t="shared" ca="1" si="81"/>
        <v>-1.5406230640121728E-2</v>
      </c>
      <c r="O371" s="122">
        <f t="shared" ca="1" si="82"/>
        <v>15.066666666666666</v>
      </c>
      <c r="P371" s="121">
        <f t="shared" ca="1" si="83"/>
        <v>-1.2270449182397836E-2</v>
      </c>
      <c r="Q371" s="118">
        <f t="shared" ca="1" si="84"/>
        <v>5717.4550698666662</v>
      </c>
      <c r="R371" s="118">
        <f t="shared" si="85"/>
        <v>-5195.5871999999999</v>
      </c>
      <c r="S371" s="123" t="s">
        <v>255</v>
      </c>
      <c r="T371" s="118" t="s">
        <v>216</v>
      </c>
      <c r="U371" s="118" t="s">
        <v>217</v>
      </c>
      <c r="V371" s="118" t="s">
        <v>256</v>
      </c>
      <c r="W371" s="118" t="s">
        <v>257</v>
      </c>
    </row>
    <row r="372" spans="2:23" x14ac:dyDescent="0.3">
      <c r="B372" s="116" t="e" vm="26">
        <v>#VALUE!</v>
      </c>
      <c r="C372" s="117">
        <v>45782</v>
      </c>
      <c r="D372" s="116">
        <v>4</v>
      </c>
      <c r="E372" s="118">
        <v>1428.9</v>
      </c>
      <c r="F372" s="118">
        <f>D372*E372*0.0022+9.06</f>
        <v>21.634320000000002</v>
      </c>
      <c r="G372" s="118">
        <f t="shared" si="76"/>
        <v>5737.2343200000005</v>
      </c>
      <c r="H372" s="119">
        <f t="shared" si="77"/>
        <v>3.7851354188536638E-3</v>
      </c>
      <c r="I372" s="120" cm="1">
        <f t="array" aca="1" ref="I372" ca="1">_FV(B372,"Price")</f>
        <v>1272.2</v>
      </c>
      <c r="J372" s="118">
        <f t="shared" ca="1" si="78"/>
        <v>5069.5382028805379</v>
      </c>
      <c r="K372" s="118">
        <f t="shared" ca="1" si="79"/>
        <v>5088.8</v>
      </c>
      <c r="L372" s="118">
        <f t="shared" si="86"/>
        <v>46</v>
      </c>
      <c r="M372" s="118">
        <f t="shared" ca="1" si="80"/>
        <v>-621.69611711946254</v>
      </c>
      <c r="N372" s="121">
        <f t="shared" ca="1" si="81"/>
        <v>-0.10836163950149809</v>
      </c>
      <c r="O372" s="122">
        <f t="shared" ca="1" si="82"/>
        <v>14.6</v>
      </c>
      <c r="P372" s="121">
        <f t="shared" ca="1" si="83"/>
        <v>-8.9064361234108019E-2</v>
      </c>
      <c r="Q372" s="118">
        <f t="shared" ca="1" si="84"/>
        <v>6295.6584604800009</v>
      </c>
      <c r="R372" s="118">
        <f t="shared" si="85"/>
        <v>-5737.2343200000005</v>
      </c>
      <c r="S372" s="123" t="s">
        <v>255</v>
      </c>
      <c r="T372" s="118" t="s">
        <v>216</v>
      </c>
      <c r="U372" s="118" t="s">
        <v>217</v>
      </c>
      <c r="V372" s="118" t="s">
        <v>256</v>
      </c>
      <c r="W372" s="118" t="s">
        <v>257</v>
      </c>
    </row>
    <row r="373" spans="2:23" x14ac:dyDescent="0.3">
      <c r="B373" s="116" t="e" vm="26">
        <v>#VALUE!</v>
      </c>
      <c r="C373" s="117">
        <v>45796</v>
      </c>
      <c r="D373" s="116">
        <v>4</v>
      </c>
      <c r="E373" s="118">
        <v>1443.7</v>
      </c>
      <c r="F373" s="118">
        <f>D373*E373*0.0022+9.14</f>
        <v>21.844560000000001</v>
      </c>
      <c r="G373" s="118">
        <f t="shared" si="76"/>
        <v>5796.6445600000006</v>
      </c>
      <c r="H373" s="119">
        <f t="shared" si="77"/>
        <v>3.7827387961487844E-3</v>
      </c>
      <c r="I373" s="120" cm="1">
        <f t="array" aca="1" ref="I373" ca="1">_FV(B373,"Price")</f>
        <v>1272.2</v>
      </c>
      <c r="J373" s="118">
        <f t="shared" ca="1" si="78"/>
        <v>5069.5503988141581</v>
      </c>
      <c r="K373" s="118">
        <f t="shared" ca="1" si="79"/>
        <v>5088.8</v>
      </c>
      <c r="L373" s="118">
        <f t="shared" si="86"/>
        <v>46</v>
      </c>
      <c r="M373" s="118">
        <f t="shared" ca="1" si="80"/>
        <v>-681.09416118584249</v>
      </c>
      <c r="N373" s="121">
        <f t="shared" ca="1" si="81"/>
        <v>-0.11749800322168492</v>
      </c>
      <c r="O373" s="122">
        <f t="shared" ca="1" si="82"/>
        <v>14.133333333333333</v>
      </c>
      <c r="P373" s="121">
        <f t="shared" ca="1" si="83"/>
        <v>-9.9762455565581554E-2</v>
      </c>
      <c r="Q373" s="118">
        <f t="shared" ca="1" si="84"/>
        <v>6342.8172918755563</v>
      </c>
      <c r="R373" s="118">
        <f t="shared" si="85"/>
        <v>-5796.6445600000006</v>
      </c>
      <c r="S373" s="123" t="s">
        <v>255</v>
      </c>
      <c r="T373" s="118" t="s">
        <v>216</v>
      </c>
      <c r="U373" s="118" t="s">
        <v>217</v>
      </c>
      <c r="V373" s="118" t="s">
        <v>256</v>
      </c>
      <c r="W373" s="118" t="s">
        <v>257</v>
      </c>
    </row>
    <row r="374" spans="2:23" x14ac:dyDescent="0.3">
      <c r="B374" s="116" t="e" vm="26">
        <v>#VALUE!</v>
      </c>
      <c r="C374" s="117">
        <v>45811</v>
      </c>
      <c r="D374" s="116">
        <v>4</v>
      </c>
      <c r="E374" s="118">
        <v>1414.7</v>
      </c>
      <c r="F374" s="118">
        <f>D374*E374*0.0022+8.96</f>
        <v>21.40936</v>
      </c>
      <c r="G374" s="118">
        <f t="shared" si="76"/>
        <v>5680.2093599999998</v>
      </c>
      <c r="H374" s="119">
        <f t="shared" si="77"/>
        <v>3.7833745670460164E-3</v>
      </c>
      <c r="I374" s="120" cm="1">
        <f t="array" aca="1" ref="I374" ca="1">_FV(B374,"Price")</f>
        <v>1272.2</v>
      </c>
      <c r="J374" s="118">
        <f t="shared" ca="1" si="78"/>
        <v>5069.5471635032163</v>
      </c>
      <c r="K374" s="118">
        <f t="shared" ca="1" si="79"/>
        <v>5088.8</v>
      </c>
      <c r="L374" s="118">
        <f t="shared" si="86"/>
        <v>46</v>
      </c>
      <c r="M374" s="118">
        <f t="shared" ca="1" si="80"/>
        <v>-564.66219649678351</v>
      </c>
      <c r="N374" s="121">
        <f t="shared" ca="1" si="81"/>
        <v>-9.940869441769723E-2</v>
      </c>
      <c r="O374" s="122">
        <f t="shared" ca="1" si="82"/>
        <v>13.666666666666666</v>
      </c>
      <c r="P374" s="121">
        <f t="shared" ca="1" si="83"/>
        <v>-8.7285682903343917E-2</v>
      </c>
      <c r="Q374" s="118">
        <f t="shared" ca="1" si="84"/>
        <v>6197.7395461333326</v>
      </c>
      <c r="R374" s="118">
        <f t="shared" si="85"/>
        <v>-5680.2093599999998</v>
      </c>
      <c r="S374" s="123" t="s">
        <v>255</v>
      </c>
      <c r="T374" s="118" t="s">
        <v>216</v>
      </c>
      <c r="U374" s="118" t="s">
        <v>217</v>
      </c>
      <c r="V374" s="118" t="s">
        <v>256</v>
      </c>
      <c r="W374" s="118" t="s">
        <v>257</v>
      </c>
    </row>
    <row r="375" spans="2:23" x14ac:dyDescent="0.3">
      <c r="B375" s="116" t="e" vm="26">
        <v>#VALUE!</v>
      </c>
      <c r="C375" s="117">
        <v>45826</v>
      </c>
      <c r="D375" s="116">
        <v>4</v>
      </c>
      <c r="E375" s="118">
        <v>1430.8</v>
      </c>
      <c r="F375" s="118">
        <f>D375*E375*0.0022+9.06</f>
        <v>21.651040000000002</v>
      </c>
      <c r="G375" s="118">
        <f t="shared" si="76"/>
        <v>5744.8510399999996</v>
      </c>
      <c r="H375" s="119">
        <f t="shared" si="77"/>
        <v>3.7830304724629582E-3</v>
      </c>
      <c r="I375" s="120" cm="1">
        <f t="array" aca="1" ref="I375" ca="1">_FV(B375,"Price")</f>
        <v>1272.2</v>
      </c>
      <c r="J375" s="118">
        <f t="shared" ca="1" si="78"/>
        <v>5069.5489145317306</v>
      </c>
      <c r="K375" s="118">
        <f t="shared" ca="1" si="79"/>
        <v>5088.8</v>
      </c>
      <c r="L375" s="118">
        <f t="shared" si="86"/>
        <v>46</v>
      </c>
      <c r="M375" s="118">
        <f t="shared" ca="1" si="80"/>
        <v>-629.30212546826897</v>
      </c>
      <c r="N375" s="121">
        <f t="shared" ca="1" si="81"/>
        <v>-0.10954193957103352</v>
      </c>
      <c r="O375" s="122">
        <f t="shared" ca="1" si="82"/>
        <v>13.166666666666666</v>
      </c>
      <c r="P375" s="121">
        <f t="shared" ca="1" si="83"/>
        <v>-9.9835691760941953E-2</v>
      </c>
      <c r="Q375" s="118">
        <f t="shared" ca="1" si="84"/>
        <v>6249.1212979555548</v>
      </c>
      <c r="R375" s="118">
        <f t="shared" si="85"/>
        <v>-5744.8510399999996</v>
      </c>
      <c r="S375" s="123" t="s">
        <v>255</v>
      </c>
      <c r="T375" s="118" t="s">
        <v>216</v>
      </c>
      <c r="U375" s="118" t="s">
        <v>217</v>
      </c>
      <c r="V375" s="118" t="s">
        <v>256</v>
      </c>
      <c r="W375" s="118" t="s">
        <v>257</v>
      </c>
    </row>
    <row r="376" spans="2:23" x14ac:dyDescent="0.3">
      <c r="B376" s="116" t="e" vm="26">
        <v>#VALUE!</v>
      </c>
      <c r="C376" s="117">
        <v>45841</v>
      </c>
      <c r="D376" s="116">
        <v>4</v>
      </c>
      <c r="E376" s="118">
        <v>1529.9</v>
      </c>
      <c r="F376" s="118">
        <f>D376*E376*0.0022+9.69</f>
        <v>23.153120000000001</v>
      </c>
      <c r="G376" s="118">
        <f t="shared" si="76"/>
        <v>6142.7531200000003</v>
      </c>
      <c r="H376" s="119">
        <f t="shared" si="77"/>
        <v>3.7834368259363356E-3</v>
      </c>
      <c r="I376" s="120" cm="1">
        <f t="array" aca="1" ref="I376" ca="1">_FV(B376,"Price")</f>
        <v>1272.2</v>
      </c>
      <c r="J376" s="118">
        <f t="shared" ca="1" si="78"/>
        <v>5069.5468466801758</v>
      </c>
      <c r="K376" s="118">
        <f t="shared" ca="1" si="79"/>
        <v>5088.8</v>
      </c>
      <c r="L376" s="118">
        <f t="shared" si="86"/>
        <v>46</v>
      </c>
      <c r="M376" s="118">
        <f t="shared" ca="1" si="80"/>
        <v>-1027.2062733198245</v>
      </c>
      <c r="N376" s="121">
        <f t="shared" ca="1" si="81"/>
        <v>-0.16722245762659341</v>
      </c>
      <c r="O376" s="122">
        <f t="shared" ca="1" si="82"/>
        <v>12.666666666666666</v>
      </c>
      <c r="P376" s="121">
        <f t="shared" ca="1" si="83"/>
        <v>-0.15842127564624639</v>
      </c>
      <c r="Q376" s="118">
        <f t="shared" ca="1" si="84"/>
        <v>6661.4744945777784</v>
      </c>
      <c r="R376" s="118">
        <f t="shared" si="85"/>
        <v>-6142.7531200000003</v>
      </c>
      <c r="S376" s="123" t="s">
        <v>255</v>
      </c>
      <c r="T376" s="118" t="s">
        <v>216</v>
      </c>
      <c r="U376" s="118" t="s">
        <v>217</v>
      </c>
      <c r="V376" s="118" t="s">
        <v>256</v>
      </c>
      <c r="W376" s="118" t="s">
        <v>257</v>
      </c>
    </row>
    <row r="377" spans="2:23" x14ac:dyDescent="0.3">
      <c r="B377" s="116" t="e" vm="26">
        <v>#VALUE!</v>
      </c>
      <c r="C377" s="117">
        <v>45873</v>
      </c>
      <c r="D377" s="116">
        <v>4</v>
      </c>
      <c r="E377" s="118">
        <v>1412.9</v>
      </c>
      <c r="F377" s="118">
        <f>D377*E377*0.0022+8.95</f>
        <v>21.383520000000001</v>
      </c>
      <c r="G377" s="118">
        <f t="shared" si="76"/>
        <v>5672.9835200000007</v>
      </c>
      <c r="H377" s="119">
        <f t="shared" si="77"/>
        <v>3.7836223370372991E-3</v>
      </c>
      <c r="I377" s="120" cm="1">
        <f t="array" aca="1" ref="I377" ca="1">_FV(B377,"Price")</f>
        <v>1272.2</v>
      </c>
      <c r="J377" s="118">
        <f t="shared" ca="1" si="78"/>
        <v>5069.5459026512845</v>
      </c>
      <c r="K377" s="118">
        <f t="shared" ca="1" si="79"/>
        <v>5088.8</v>
      </c>
      <c r="L377" s="118">
        <f t="shared" si="86"/>
        <v>46</v>
      </c>
      <c r="M377" s="118">
        <f t="shared" ca="1" si="80"/>
        <v>-557.43761734871623</v>
      </c>
      <c r="N377" s="121">
        <f t="shared" ca="1" si="81"/>
        <v>-9.82618079857768E-2</v>
      </c>
      <c r="O377" s="122">
        <f t="shared" ca="1" si="82"/>
        <v>11.633333333333333</v>
      </c>
      <c r="P377" s="121">
        <f t="shared" ca="1" si="83"/>
        <v>-0.10135888502830845</v>
      </c>
      <c r="Q377" s="118">
        <f t="shared" ca="1" si="84"/>
        <v>6112.9549085511117</v>
      </c>
      <c r="R377" s="118">
        <f t="shared" si="85"/>
        <v>-5672.9835200000007</v>
      </c>
      <c r="S377" s="123" t="s">
        <v>255</v>
      </c>
      <c r="T377" s="118" t="s">
        <v>216</v>
      </c>
      <c r="U377" s="118" t="s">
        <v>217</v>
      </c>
      <c r="V377" s="118" t="s">
        <v>256</v>
      </c>
      <c r="W377" s="118" t="s">
        <v>257</v>
      </c>
    </row>
    <row r="378" spans="2:23" x14ac:dyDescent="0.3">
      <c r="B378" s="116" t="e" vm="26">
        <v>#VALUE!</v>
      </c>
      <c r="C378" s="117">
        <v>45903</v>
      </c>
      <c r="D378" s="116">
        <v>4</v>
      </c>
      <c r="E378" s="118">
        <v>1372.1</v>
      </c>
      <c r="F378" s="118">
        <f>D378*E378*0.0022+8.68</f>
        <v>20.754480000000001</v>
      </c>
      <c r="G378" s="118">
        <f t="shared" si="76"/>
        <v>5509.1544799999992</v>
      </c>
      <c r="H378" s="119">
        <f t="shared" si="77"/>
        <v>3.7815173821150066E-3</v>
      </c>
      <c r="I378" s="120" cm="1">
        <f t="array" aca="1" ref="I378" ca="1">_FV(B378,"Price")</f>
        <v>1272.2</v>
      </c>
      <c r="J378" s="118">
        <f t="shared" ca="1" si="78"/>
        <v>5069.5566143458936</v>
      </c>
      <c r="K378" s="118">
        <f t="shared" ca="1" si="79"/>
        <v>5088.8</v>
      </c>
      <c r="L378" s="118">
        <f>4*6</f>
        <v>24</v>
      </c>
      <c r="M378" s="118">
        <f t="shared" ca="1" si="80"/>
        <v>-415.59786565410559</v>
      </c>
      <c r="N378" s="121">
        <f t="shared" ca="1" si="81"/>
        <v>-7.5437685975744434E-2</v>
      </c>
      <c r="O378" s="122">
        <f t="shared" ca="1" si="82"/>
        <v>10.666666666666666</v>
      </c>
      <c r="P378" s="121">
        <f t="shared" ca="1" si="83"/>
        <v>-8.4867396722712485E-2</v>
      </c>
      <c r="Q378" s="118">
        <f t="shared" ca="1" si="84"/>
        <v>5900.9165763555548</v>
      </c>
      <c r="R378" s="118">
        <f t="shared" si="85"/>
        <v>-5509.1544799999992</v>
      </c>
      <c r="S378" s="123" t="s">
        <v>255</v>
      </c>
      <c r="T378" s="118" t="s">
        <v>216</v>
      </c>
      <c r="U378" s="118" t="s">
        <v>217</v>
      </c>
      <c r="V378" s="118" t="s">
        <v>256</v>
      </c>
      <c r="W378" s="118" t="s">
        <v>257</v>
      </c>
    </row>
    <row r="379" spans="2:23" x14ac:dyDescent="0.3">
      <c r="B379" s="116" t="e" vm="26">
        <v>#VALUE!</v>
      </c>
      <c r="C379" s="117">
        <v>45933</v>
      </c>
      <c r="D379" s="116">
        <v>4</v>
      </c>
      <c r="E379" s="118">
        <v>1360.4</v>
      </c>
      <c r="F379" s="118">
        <f>D379*E379*0.0022+8.62</f>
        <v>20.591520000000003</v>
      </c>
      <c r="G379" s="118">
        <f t="shared" si="76"/>
        <v>5462.1915200000003</v>
      </c>
      <c r="H379" s="119">
        <f t="shared" si="77"/>
        <v>3.7840929138488683E-3</v>
      </c>
      <c r="I379" s="120" cm="1">
        <f t="array" aca="1" ref="I379" ca="1">_FV(B379,"Price")</f>
        <v>1272.2</v>
      </c>
      <c r="J379" s="118">
        <f t="shared" ca="1" si="78"/>
        <v>5069.5435079800063</v>
      </c>
      <c r="K379" s="118">
        <f t="shared" ca="1" si="79"/>
        <v>5088.8</v>
      </c>
      <c r="L379" s="118">
        <f>4*6</f>
        <v>24</v>
      </c>
      <c r="M379" s="118">
        <f t="shared" ca="1" si="80"/>
        <v>-368.64801201999398</v>
      </c>
      <c r="N379" s="121">
        <f t="shared" ca="1" si="81"/>
        <v>-6.7490861620317907E-2</v>
      </c>
      <c r="O379" s="122">
        <f t="shared" ca="1" si="82"/>
        <v>9.6666666666666661</v>
      </c>
      <c r="P379" s="121">
        <f t="shared" ca="1" si="83"/>
        <v>-8.3781759252808438E-2</v>
      </c>
      <c r="Q379" s="118">
        <f t="shared" ca="1" si="84"/>
        <v>5814.1994179555559</v>
      </c>
      <c r="R379" s="118">
        <f t="shared" si="85"/>
        <v>-5462.1915200000003</v>
      </c>
      <c r="S379" s="123" t="s">
        <v>255</v>
      </c>
      <c r="T379" s="118" t="s">
        <v>216</v>
      </c>
      <c r="U379" s="118" t="s">
        <v>217</v>
      </c>
      <c r="V379" s="118" t="s">
        <v>256</v>
      </c>
      <c r="W379" s="118" t="s">
        <v>257</v>
      </c>
    </row>
    <row r="380" spans="2:23" x14ac:dyDescent="0.3">
      <c r="B380" s="116" t="e" vm="26">
        <v>#VALUE!</v>
      </c>
      <c r="C380" s="117">
        <v>45964</v>
      </c>
      <c r="D380" s="116">
        <v>4</v>
      </c>
      <c r="E380" s="118">
        <v>1493.3</v>
      </c>
      <c r="F380" s="118">
        <f>D380*E380*0.0022+9.46</f>
        <v>22.601040000000001</v>
      </c>
      <c r="G380" s="118">
        <f t="shared" si="76"/>
        <v>5995.8010399999994</v>
      </c>
      <c r="H380" s="119">
        <f t="shared" si="77"/>
        <v>3.7837407084979576E-3</v>
      </c>
      <c r="I380" s="120" cm="1">
        <f t="array" aca="1" ref="I380" ca="1">_FV(B380,"Price")</f>
        <v>1272.2</v>
      </c>
      <c r="J380" s="118">
        <f t="shared" ca="1" si="78"/>
        <v>5069.5453002825961</v>
      </c>
      <c r="K380" s="118">
        <f t="shared" ca="1" si="79"/>
        <v>5088.8</v>
      </c>
      <c r="L380" s="118">
        <f>4*6</f>
        <v>24</v>
      </c>
      <c r="M380" s="118">
        <f t="shared" ca="1" si="80"/>
        <v>-902.25573971740323</v>
      </c>
      <c r="N380" s="121">
        <f t="shared" ca="1" si="81"/>
        <v>-0.15048126742334386</v>
      </c>
      <c r="O380" s="122">
        <f t="shared" ca="1" si="82"/>
        <v>8.6666666666666661</v>
      </c>
      <c r="P380" s="121">
        <f t="shared" ca="1" si="83"/>
        <v>-0.20835867797078383</v>
      </c>
      <c r="Q380" s="118">
        <f t="shared" ca="1" si="84"/>
        <v>6342.2251000888882</v>
      </c>
      <c r="R380" s="118">
        <f t="shared" si="85"/>
        <v>-5995.8010399999994</v>
      </c>
      <c r="S380" s="123" t="s">
        <v>255</v>
      </c>
      <c r="T380" s="118" t="s">
        <v>216</v>
      </c>
      <c r="U380" s="118" t="s">
        <v>217</v>
      </c>
      <c r="V380" s="118" t="s">
        <v>256</v>
      </c>
      <c r="W380" s="118" t="s">
        <v>257</v>
      </c>
    </row>
    <row r="381" spans="2:23" x14ac:dyDescent="0.3">
      <c r="B381" s="116" t="e" vm="26">
        <v>#VALUE!</v>
      </c>
      <c r="C381" s="117">
        <v>45994</v>
      </c>
      <c r="D381" s="116">
        <v>4</v>
      </c>
      <c r="E381" s="118">
        <v>1540.1</v>
      </c>
      <c r="F381" s="118">
        <f>D381*E381*0.0022+9.75</f>
        <v>23.302880000000002</v>
      </c>
      <c r="G381" s="118">
        <f t="shared" si="76"/>
        <v>6183.7028799999998</v>
      </c>
      <c r="H381" s="119">
        <f t="shared" si="77"/>
        <v>3.7826894357509259E-3</v>
      </c>
      <c r="I381" s="120" cm="1">
        <f t="array" aca="1" ref="I381" ca="1">_FV(B381,"Price")</f>
        <v>1272.2</v>
      </c>
      <c r="J381" s="118">
        <f t="shared" ca="1" si="78"/>
        <v>5069.5506499993508</v>
      </c>
      <c r="K381" s="118">
        <f t="shared" ca="1" si="79"/>
        <v>5088.8</v>
      </c>
      <c r="L381" s="118">
        <f>4*6</f>
        <v>24</v>
      </c>
      <c r="M381" s="118">
        <f t="shared" ca="1" si="80"/>
        <v>-1090.1522300006491</v>
      </c>
      <c r="N381" s="121">
        <f t="shared" ca="1" si="81"/>
        <v>-0.17629440662916346</v>
      </c>
      <c r="O381" s="122">
        <f t="shared" ca="1" si="82"/>
        <v>7.666666666666667</v>
      </c>
      <c r="P381" s="121">
        <f t="shared" ca="1" si="83"/>
        <v>-0.27593907124564715</v>
      </c>
      <c r="Q381" s="118">
        <f t="shared" ca="1" si="84"/>
        <v>6499.7588049777778</v>
      </c>
      <c r="R381" s="118">
        <f t="shared" si="85"/>
        <v>-6183.7028799999998</v>
      </c>
      <c r="S381" s="123" t="s">
        <v>255</v>
      </c>
      <c r="T381" s="118" t="s">
        <v>216</v>
      </c>
      <c r="U381" s="118" t="s">
        <v>217</v>
      </c>
      <c r="V381" s="118" t="s">
        <v>256</v>
      </c>
      <c r="W381" s="118" t="s">
        <v>257</v>
      </c>
    </row>
    <row r="382" spans="2:23" x14ac:dyDescent="0.3">
      <c r="B382" s="116" t="e" vm="26">
        <v>#VALUE!</v>
      </c>
      <c r="C382" s="117">
        <v>46027</v>
      </c>
      <c r="D382" s="116">
        <v>4</v>
      </c>
      <c r="E382" s="118">
        <v>1580.2</v>
      </c>
      <c r="F382" s="118">
        <f>D382*E382*0.0022+10.09</f>
        <v>23.995760000000001</v>
      </c>
      <c r="G382" s="118">
        <f t="shared" si="76"/>
        <v>6344.79576</v>
      </c>
      <c r="H382" s="119">
        <f t="shared" si="77"/>
        <v>3.796316921908619E-3</v>
      </c>
      <c r="I382" s="120" cm="1">
        <f t="array" aca="1" ref="I382" ca="1">_FV(B382,"Price")</f>
        <v>1272.2</v>
      </c>
      <c r="J382" s="118">
        <f t="shared" ca="1" si="78"/>
        <v>5069.4813024477917</v>
      </c>
      <c r="K382" s="118">
        <f t="shared" ca="1" si="79"/>
        <v>5088.8</v>
      </c>
      <c r="L382" s="118">
        <f t="shared" ref="L382:L388" si="87">4*6</f>
        <v>24</v>
      </c>
      <c r="M382" s="118">
        <f t="shared" ca="1" si="80"/>
        <v>-1251.3144575522083</v>
      </c>
      <c r="N382" s="121">
        <f t="shared" ca="1" si="81"/>
        <v>-0.19721902877330891</v>
      </c>
      <c r="O382" s="122">
        <f t="shared" ca="1" si="82"/>
        <v>6.6</v>
      </c>
      <c r="P382" s="121">
        <f t="shared" ca="1" si="83"/>
        <v>-0.35858005231510715</v>
      </c>
      <c r="Q382" s="118">
        <f t="shared" ca="1" si="84"/>
        <v>6623.96677344</v>
      </c>
      <c r="R382" s="118">
        <f t="shared" si="85"/>
        <v>-6344.79576</v>
      </c>
      <c r="S382" s="123" t="s">
        <v>255</v>
      </c>
      <c r="T382" s="118" t="s">
        <v>216</v>
      </c>
      <c r="U382" s="118" t="s">
        <v>217</v>
      </c>
      <c r="V382" s="118" t="s">
        <v>256</v>
      </c>
      <c r="W382" s="118" t="s">
        <v>257</v>
      </c>
    </row>
    <row r="383" spans="2:23" x14ac:dyDescent="0.3">
      <c r="B383" s="116" t="e" vm="26">
        <v>#VALUE!</v>
      </c>
      <c r="C383" s="117">
        <v>46056</v>
      </c>
      <c r="D383" s="116">
        <v>4</v>
      </c>
      <c r="E383" s="118">
        <v>1452.2</v>
      </c>
      <c r="F383" s="118">
        <f>D383*E383*0.0022+9.19</f>
        <v>21.969360000000002</v>
      </c>
      <c r="G383" s="118">
        <f t="shared" si="76"/>
        <v>5830.7693600000002</v>
      </c>
      <c r="H383" s="119">
        <f t="shared" si="77"/>
        <v>3.782082357801956E-3</v>
      </c>
      <c r="I383" s="120" cm="1">
        <f t="array" aca="1" ref="I383" ca="1">_FV(B383,"Price")</f>
        <v>1272.2</v>
      </c>
      <c r="J383" s="118">
        <f t="shared" ca="1" si="78"/>
        <v>5069.5537392976175</v>
      </c>
      <c r="K383" s="118">
        <f t="shared" ca="1" si="79"/>
        <v>5088.8</v>
      </c>
      <c r="L383" s="118">
        <f t="shared" si="87"/>
        <v>24</v>
      </c>
      <c r="M383" s="118">
        <f t="shared" ca="1" si="80"/>
        <v>-737.21562070238269</v>
      </c>
      <c r="N383" s="121">
        <f t="shared" ca="1" si="81"/>
        <v>-0.12643539388812022</v>
      </c>
      <c r="O383" s="122">
        <f t="shared" ca="1" si="82"/>
        <v>5.666666666666667</v>
      </c>
      <c r="P383" s="121">
        <f t="shared" ca="1" si="83"/>
        <v>-0.26774553999837225</v>
      </c>
      <c r="Q383" s="118">
        <f t="shared" ca="1" si="84"/>
        <v>6051.0428691555562</v>
      </c>
      <c r="R383" s="118">
        <f t="shared" si="85"/>
        <v>-5830.7693600000002</v>
      </c>
      <c r="S383" s="123" t="s">
        <v>255</v>
      </c>
      <c r="T383" s="118" t="s">
        <v>216</v>
      </c>
      <c r="U383" s="118" t="s">
        <v>217</v>
      </c>
      <c r="V383" s="118" t="s">
        <v>256</v>
      </c>
      <c r="W383" s="118" t="s">
        <v>257</v>
      </c>
    </row>
    <row r="384" spans="2:23" x14ac:dyDescent="0.3">
      <c r="B384" s="116" t="e" vm="26">
        <v>#VALUE!</v>
      </c>
      <c r="C384" s="117">
        <v>46085</v>
      </c>
      <c r="D384" s="116">
        <v>4</v>
      </c>
      <c r="E384" s="118">
        <v>1334.7</v>
      </c>
      <c r="F384" s="118">
        <f>D384*E384*0.0022+8.44</f>
        <v>20.185360000000003</v>
      </c>
      <c r="G384" s="118">
        <f t="shared" si="76"/>
        <v>5358.9853600000006</v>
      </c>
      <c r="H384" s="119">
        <f t="shared" si="77"/>
        <v>3.7808795984116284E-3</v>
      </c>
      <c r="I384" s="120" cm="1">
        <f t="array" aca="1" ref="I384" ca="1">_FV(B384,"Price")</f>
        <v>1272.2</v>
      </c>
      <c r="J384" s="118">
        <f t="shared" ca="1" si="78"/>
        <v>5069.559859899603</v>
      </c>
      <c r="K384" s="118">
        <f t="shared" ca="1" si="79"/>
        <v>5088.8</v>
      </c>
      <c r="L384" s="118">
        <f t="shared" si="87"/>
        <v>24</v>
      </c>
      <c r="M384" s="118">
        <f t="shared" ca="1" si="80"/>
        <v>-265.42550010039758</v>
      </c>
      <c r="N384" s="121">
        <f t="shared" ca="1" si="81"/>
        <v>-4.9529058631426745E-2</v>
      </c>
      <c r="O384" s="122">
        <f t="shared" ca="1" si="82"/>
        <v>4.6333333333333337</v>
      </c>
      <c r="P384" s="121">
        <f t="shared" ca="1" si="83"/>
        <v>-0.12827669861376712</v>
      </c>
      <c r="Q384" s="118">
        <f t="shared" ca="1" si="84"/>
        <v>5524.5184633422232</v>
      </c>
      <c r="R384" s="118">
        <f t="shared" si="85"/>
        <v>-5358.9853600000006</v>
      </c>
      <c r="S384" s="123" t="s">
        <v>255</v>
      </c>
      <c r="T384" s="118" t="s">
        <v>216</v>
      </c>
      <c r="U384" s="118" t="s">
        <v>217</v>
      </c>
      <c r="V384" s="118" t="s">
        <v>256</v>
      </c>
      <c r="W384" s="118" t="s">
        <v>257</v>
      </c>
    </row>
    <row r="385" spans="1:23" x14ac:dyDescent="0.3">
      <c r="B385" s="116" t="e" vm="26">
        <v>#VALUE!</v>
      </c>
      <c r="C385" s="117">
        <v>46118</v>
      </c>
      <c r="D385" s="116">
        <v>4</v>
      </c>
      <c r="E385" s="118">
        <v>1296.9000000000001</v>
      </c>
      <c r="F385" s="118">
        <f>D385*E385*0.0022+8.21</f>
        <v>19.622720000000001</v>
      </c>
      <c r="G385" s="118">
        <f t="shared" si="76"/>
        <v>5207.2227200000007</v>
      </c>
      <c r="H385" s="119">
        <f t="shared" si="77"/>
        <v>3.7826200940704758E-3</v>
      </c>
      <c r="I385" s="120" cm="1">
        <f t="array" aca="1" ref="I385" ca="1">_FV(B385,"Price")</f>
        <v>1272.2</v>
      </c>
      <c r="J385" s="118">
        <f t="shared" ca="1" si="78"/>
        <v>5069.5510028652943</v>
      </c>
      <c r="K385" s="118">
        <f t="shared" ca="1" si="79"/>
        <v>5088.8</v>
      </c>
      <c r="L385" s="118">
        <f t="shared" si="87"/>
        <v>24</v>
      </c>
      <c r="M385" s="118">
        <f t="shared" ca="1" si="80"/>
        <v>-113.67171713470634</v>
      </c>
      <c r="N385" s="121">
        <f t="shared" ca="1" si="81"/>
        <v>-2.182962459011285E-2</v>
      </c>
      <c r="O385" s="122">
        <f t="shared" ca="1" si="82"/>
        <v>3.5666666666666669</v>
      </c>
      <c r="P385" s="121">
        <f t="shared" ca="1" si="83"/>
        <v>-7.3445465910660049E-2</v>
      </c>
      <c r="Q385" s="118">
        <f t="shared" ca="1" si="84"/>
        <v>5331.0389046755563</v>
      </c>
      <c r="R385" s="118">
        <f t="shared" si="85"/>
        <v>-5207.2227200000007</v>
      </c>
      <c r="S385" s="123" t="s">
        <v>255</v>
      </c>
      <c r="T385" s="118" t="s">
        <v>216</v>
      </c>
      <c r="U385" s="118" t="s">
        <v>217</v>
      </c>
      <c r="V385" s="118" t="s">
        <v>256</v>
      </c>
      <c r="W385" s="118" t="s">
        <v>257</v>
      </c>
    </row>
    <row r="386" spans="1:23" x14ac:dyDescent="0.3">
      <c r="B386" s="116" t="e" vm="26">
        <v>#VALUE!</v>
      </c>
      <c r="C386" s="117">
        <v>46146</v>
      </c>
      <c r="D386" s="116">
        <v>4</v>
      </c>
      <c r="E386" s="118">
        <v>1445.8</v>
      </c>
      <c r="F386" s="118">
        <f>D386*E386*0.0022+9.15</f>
        <v>21.873040000000003</v>
      </c>
      <c r="G386" s="118">
        <f t="shared" si="76"/>
        <v>5805.0730400000002</v>
      </c>
      <c r="H386" s="119">
        <f t="shared" si="77"/>
        <v>3.7821690413611846E-3</v>
      </c>
      <c r="I386" s="120" cm="1">
        <f t="array" aca="1" ref="I386" ca="1">_FV(B386,"Price")</f>
        <v>1272.2</v>
      </c>
      <c r="J386" s="118">
        <f t="shared" ca="1" si="78"/>
        <v>5069.5532981823217</v>
      </c>
      <c r="K386" s="118">
        <f t="shared" ca="1" si="79"/>
        <v>5088.8</v>
      </c>
      <c r="L386" s="118">
        <f t="shared" si="87"/>
        <v>24</v>
      </c>
      <c r="M386" s="118">
        <f t="shared" ca="1" si="80"/>
        <v>-711.51974181767855</v>
      </c>
      <c r="N386" s="121">
        <f t="shared" ca="1" si="81"/>
        <v>-0.12256861143950025</v>
      </c>
      <c r="O386" s="122">
        <f t="shared" ca="1" si="82"/>
        <v>2.6333333333333333</v>
      </c>
      <c r="P386" s="121">
        <f t="shared" ca="1" si="83"/>
        <v>-0.55854050782557074</v>
      </c>
      <c r="Q386" s="118">
        <f t="shared" ca="1" si="84"/>
        <v>5906.9843222577783</v>
      </c>
      <c r="R386" s="118">
        <f t="shared" si="85"/>
        <v>-5805.0730400000002</v>
      </c>
      <c r="S386" s="123" t="s">
        <v>255</v>
      </c>
      <c r="T386" s="118" t="s">
        <v>216</v>
      </c>
      <c r="U386" s="118" t="s">
        <v>217</v>
      </c>
      <c r="V386" s="118" t="s">
        <v>256</v>
      </c>
      <c r="W386" s="118" t="s">
        <v>257</v>
      </c>
    </row>
    <row r="387" spans="1:23" x14ac:dyDescent="0.3">
      <c r="B387" s="116" t="e" vm="26">
        <v>#VALUE!</v>
      </c>
      <c r="C387" s="117">
        <v>46176</v>
      </c>
      <c r="D387" s="116">
        <v>4</v>
      </c>
      <c r="E387" s="118">
        <v>1304.3</v>
      </c>
      <c r="F387" s="118">
        <f>D387*E387*0.0022+8.27</f>
        <v>19.74784</v>
      </c>
      <c r="G387" s="118">
        <f t="shared" ref="G387:G420" si="88">(E387*D387)+F387</f>
        <v>5236.9478399999998</v>
      </c>
      <c r="H387" s="119">
        <f t="shared" si="77"/>
        <v>3.7851414551866905E-3</v>
      </c>
      <c r="I387" s="120" cm="1">
        <f t="array" aca="1" ref="I387" ca="1">_FV(B387,"Price")</f>
        <v>1272.2</v>
      </c>
      <c r="J387" s="118">
        <f t="shared" ca="1" si="78"/>
        <v>5069.5381721628464</v>
      </c>
      <c r="K387" s="118">
        <f t="shared" ca="1" si="79"/>
        <v>5088.8</v>
      </c>
      <c r="L387" s="118">
        <f t="shared" si="87"/>
        <v>24</v>
      </c>
      <c r="M387" s="118">
        <f t="shared" ca="1" si="80"/>
        <v>-143.40966783715339</v>
      </c>
      <c r="N387" s="121">
        <f t="shared" ca="1" si="81"/>
        <v>-2.7384207790229469E-2</v>
      </c>
      <c r="O387" s="122">
        <f t="shared" ca="1" si="82"/>
        <v>1.6666666666666667</v>
      </c>
      <c r="P387" s="121">
        <f t="shared" ca="1" si="83"/>
        <v>-0.19716629608965219</v>
      </c>
      <c r="Q387" s="118">
        <f t="shared" ca="1" si="84"/>
        <v>5295.1361493333334</v>
      </c>
      <c r="R387" s="118">
        <f t="shared" si="85"/>
        <v>-5236.9478399999998</v>
      </c>
      <c r="S387" s="123" t="s">
        <v>255</v>
      </c>
      <c r="T387" s="118" t="s">
        <v>216</v>
      </c>
      <c r="U387" s="118" t="s">
        <v>217</v>
      </c>
      <c r="V387" s="118" t="s">
        <v>256</v>
      </c>
      <c r="W387" s="118" t="s">
        <v>257</v>
      </c>
    </row>
    <row r="388" spans="1:23" x14ac:dyDescent="0.3">
      <c r="B388" s="116" t="e" vm="26">
        <v>#VALUE!</v>
      </c>
      <c r="C388" s="117">
        <v>46206</v>
      </c>
      <c r="D388" s="116">
        <v>4</v>
      </c>
      <c r="E388" s="118">
        <v>1305</v>
      </c>
      <c r="F388" s="118">
        <f>D388*E388*0.0022+8.27</f>
        <v>19.753999999999998</v>
      </c>
      <c r="G388" s="118">
        <f t="shared" si="88"/>
        <v>5239.7539999999999</v>
      </c>
      <c r="H388" s="119">
        <f t="shared" si="77"/>
        <v>3.7842911877394633E-3</v>
      </c>
      <c r="I388" s="120" cm="1">
        <f t="array" aca="1" ref="I388" ca="1">_FV(B388,"Price")</f>
        <v>1272.2</v>
      </c>
      <c r="J388" s="118">
        <f t="shared" ca="1" si="78"/>
        <v>5069.5424990038318</v>
      </c>
      <c r="K388" s="118">
        <f t="shared" ca="1" si="79"/>
        <v>5088.8</v>
      </c>
      <c r="L388" s="118">
        <f t="shared" si="87"/>
        <v>24</v>
      </c>
      <c r="M388" s="118">
        <f t="shared" ca="1" si="80"/>
        <v>-146.21150099616807</v>
      </c>
      <c r="N388" s="121">
        <f t="shared" ca="1" si="81"/>
        <v>-2.7904268214913919E-2</v>
      </c>
      <c r="O388" s="122">
        <f t="shared" ca="1" si="82"/>
        <v>0.66666666666666663</v>
      </c>
      <c r="P388" s="121">
        <f t="shared" ca="1" si="83"/>
        <v>-0.50227682786845063</v>
      </c>
      <c r="Q388" s="118">
        <f t="shared" ca="1" si="84"/>
        <v>5263.0417955555558</v>
      </c>
      <c r="R388" s="118">
        <f t="shared" si="85"/>
        <v>-5239.7539999999999</v>
      </c>
      <c r="S388" s="123" t="s">
        <v>255</v>
      </c>
      <c r="T388" s="118" t="s">
        <v>216</v>
      </c>
      <c r="U388" s="118" t="s">
        <v>217</v>
      </c>
      <c r="V388" s="118" t="s">
        <v>256</v>
      </c>
      <c r="W388" s="118" t="s">
        <v>257</v>
      </c>
    </row>
    <row r="389" spans="1:23" x14ac:dyDescent="0.3">
      <c r="A389" s="124" t="s">
        <v>258</v>
      </c>
      <c r="B389" s="125" t="s">
        <v>259</v>
      </c>
      <c r="C389" s="117">
        <v>45189</v>
      </c>
      <c r="D389" s="116">
        <v>20</v>
      </c>
      <c r="E389" s="118">
        <v>5873</v>
      </c>
      <c r="F389" s="118">
        <v>0</v>
      </c>
      <c r="G389" s="118">
        <f t="shared" si="88"/>
        <v>117460</v>
      </c>
      <c r="H389" s="119">
        <f t="shared" si="77"/>
        <v>0</v>
      </c>
      <c r="I389" s="120">
        <v>14901</v>
      </c>
      <c r="J389" s="118">
        <f t="shared" si="78"/>
        <v>298020</v>
      </c>
      <c r="K389" s="118">
        <f t="shared" si="79"/>
        <v>298020</v>
      </c>
      <c r="L389" s="118">
        <f>7395.66+851.94</f>
        <v>8247.6</v>
      </c>
      <c r="M389" s="118">
        <f t="shared" si="80"/>
        <v>188807.6</v>
      </c>
      <c r="N389" s="121">
        <f t="shared" si="81"/>
        <v>1.6074203984335094</v>
      </c>
      <c r="O389" s="122">
        <f t="shared" ca="1" si="82"/>
        <v>34.1</v>
      </c>
      <c r="P389" s="121">
        <f t="shared" ca="1" si="83"/>
        <v>0.5656611372786543</v>
      </c>
      <c r="Q389" s="118">
        <f t="shared" ca="1" si="84"/>
        <v>144162.57333333333</v>
      </c>
      <c r="R389" s="118">
        <f t="shared" si="85"/>
        <v>-117460</v>
      </c>
      <c r="S389" s="123" t="s">
        <v>260</v>
      </c>
      <c r="T389" s="118" t="s">
        <v>227</v>
      </c>
      <c r="U389" s="118" t="s">
        <v>217</v>
      </c>
      <c r="V389" s="118" t="s">
        <v>223</v>
      </c>
      <c r="W389" s="118" t="s">
        <v>219</v>
      </c>
    </row>
    <row r="390" spans="1:23" x14ac:dyDescent="0.3">
      <c r="A390" s="124" t="s">
        <v>258</v>
      </c>
      <c r="B390" s="125" t="s">
        <v>261</v>
      </c>
      <c r="C390" s="117">
        <v>45288</v>
      </c>
      <c r="D390" s="116">
        <v>20</v>
      </c>
      <c r="E390" s="118">
        <v>6149</v>
      </c>
      <c r="F390" s="118">
        <v>0</v>
      </c>
      <c r="G390" s="118">
        <f t="shared" si="88"/>
        <v>122980</v>
      </c>
      <c r="H390" s="119">
        <f t="shared" si="77"/>
        <v>0</v>
      </c>
      <c r="I390" s="120">
        <v>14965</v>
      </c>
      <c r="J390" s="118">
        <f t="shared" si="78"/>
        <v>299300</v>
      </c>
      <c r="K390" s="118">
        <f t="shared" si="79"/>
        <v>299300</v>
      </c>
      <c r="L390" s="118">
        <f>7748.75+42.46</f>
        <v>7791.21</v>
      </c>
      <c r="M390" s="118">
        <f t="shared" si="80"/>
        <v>184111.21</v>
      </c>
      <c r="N390" s="121">
        <f t="shared" si="81"/>
        <v>1.4970825337453244</v>
      </c>
      <c r="O390" s="122">
        <f t="shared" ca="1" si="82"/>
        <v>30.833333333333332</v>
      </c>
      <c r="P390" s="121">
        <f t="shared" ca="1" si="83"/>
        <v>0.58264833745763989</v>
      </c>
      <c r="Q390" s="118">
        <f t="shared" ca="1" si="84"/>
        <v>148259.22222222222</v>
      </c>
      <c r="R390" s="118">
        <f t="shared" si="85"/>
        <v>-122980</v>
      </c>
      <c r="S390" s="123" t="s">
        <v>260</v>
      </c>
      <c r="T390" s="118" t="s">
        <v>227</v>
      </c>
      <c r="U390" s="118" t="s">
        <v>217</v>
      </c>
      <c r="V390" s="118" t="s">
        <v>223</v>
      </c>
      <c r="W390" s="118" t="s">
        <v>219</v>
      </c>
    </row>
    <row r="391" spans="1:23" x14ac:dyDescent="0.3">
      <c r="A391" s="124" t="s">
        <v>258</v>
      </c>
      <c r="B391" s="125" t="s">
        <v>262</v>
      </c>
      <c r="C391" s="117">
        <v>45343</v>
      </c>
      <c r="D391" s="116">
        <v>20</v>
      </c>
      <c r="E391" s="118">
        <v>6213</v>
      </c>
      <c r="F391" s="118">
        <v>0</v>
      </c>
      <c r="G391" s="118">
        <f t="shared" si="88"/>
        <v>124260</v>
      </c>
      <c r="H391" s="119">
        <f t="shared" si="77"/>
        <v>0</v>
      </c>
      <c r="I391" s="120">
        <v>15148.98</v>
      </c>
      <c r="J391" s="118">
        <f>I391*D391*(1-H391)</f>
        <v>302979.59999999998</v>
      </c>
      <c r="K391" s="118">
        <f t="shared" si="79"/>
        <v>302979.59999999998</v>
      </c>
      <c r="L391" s="118">
        <f>6254.44+1132.49</f>
        <v>7386.9299999999994</v>
      </c>
      <c r="M391" s="118">
        <f>J391-G391+L391</f>
        <v>186106.52999999997</v>
      </c>
      <c r="N391" s="121">
        <f>M391/G391</f>
        <v>1.4977187349106709</v>
      </c>
      <c r="O391" s="122">
        <f ca="1">(DAYS360(C391,NOW(),TRUE))/30</f>
        <v>29.066666666666666</v>
      </c>
      <c r="P391" s="121">
        <f ca="1">(N391/O391)*12</f>
        <v>0.61832424835761646</v>
      </c>
      <c r="Q391" s="118">
        <f ca="1">G391+((G391*O391*8)/(100*12))</f>
        <v>148338.82666666666</v>
      </c>
      <c r="R391" s="118">
        <f>-G391</f>
        <v>-124260</v>
      </c>
      <c r="S391" s="123" t="s">
        <v>260</v>
      </c>
      <c r="T391" s="118" t="s">
        <v>227</v>
      </c>
      <c r="U391" s="118" t="s">
        <v>217</v>
      </c>
      <c r="V391" s="118" t="s">
        <v>223</v>
      </c>
      <c r="W391" s="118" t="s">
        <v>219</v>
      </c>
    </row>
    <row r="392" spans="1:23" x14ac:dyDescent="0.3">
      <c r="B392" s="116" t="e" vm="27">
        <v>#VALUE!</v>
      </c>
      <c r="C392" s="117">
        <v>45560</v>
      </c>
      <c r="D392" s="116">
        <v>10</v>
      </c>
      <c r="E392" s="118">
        <v>1939</v>
      </c>
      <c r="F392" s="118">
        <f>D392*E392*0.0022+30.32</f>
        <v>72.978000000000009</v>
      </c>
      <c r="G392" s="118">
        <f>(E392*D392)+F392</f>
        <v>19462.977999999999</v>
      </c>
      <c r="H392" s="119">
        <f>F392/(D392*E392)</f>
        <v>3.7636926250644667E-3</v>
      </c>
      <c r="I392" s="120" cm="1">
        <f t="array" aca="1" ref="I392" ca="1">_FV(B392,"Price")</f>
        <v>944.9</v>
      </c>
      <c r="J392" s="118">
        <f ca="1">I392*D392*(1-H392)</f>
        <v>9413.4368683857665</v>
      </c>
      <c r="K392" s="118">
        <f t="shared" ca="1" si="79"/>
        <v>9449</v>
      </c>
      <c r="L392" s="118">
        <f>10</f>
        <v>10</v>
      </c>
      <c r="M392" s="118">
        <f ca="1">J392-G392+L392</f>
        <v>-10039.541131614233</v>
      </c>
      <c r="N392" s="121">
        <f ca="1">M392/G392</f>
        <v>-0.5158275949145209</v>
      </c>
      <c r="O392" s="122">
        <f ca="1">(DAYS360(C392,NOW(),TRUE))/30</f>
        <v>21.933333333333334</v>
      </c>
      <c r="P392" s="121">
        <f ca="1">(N392/O392)*12</f>
        <v>-0.28221570542435792</v>
      </c>
      <c r="Q392" s="118">
        <f ca="1">G392+((G392*O392*8)/(100*12))</f>
        <v>22308.89789422222</v>
      </c>
      <c r="R392" s="118">
        <f>-G392</f>
        <v>-19462.977999999999</v>
      </c>
      <c r="S392" s="123" t="s">
        <v>244</v>
      </c>
      <c r="T392" s="118" t="s">
        <v>216</v>
      </c>
      <c r="U392" s="118" t="s">
        <v>263</v>
      </c>
      <c r="V392" s="118" t="s">
        <v>264</v>
      </c>
      <c r="W392" s="118" t="s">
        <v>235</v>
      </c>
    </row>
    <row r="393" spans="1:23" x14ac:dyDescent="0.3">
      <c r="B393" s="116" t="e" vm="28">
        <v>#VALUE!</v>
      </c>
      <c r="C393" s="117">
        <v>45562</v>
      </c>
      <c r="D393" s="116">
        <v>155</v>
      </c>
      <c r="E393" s="118">
        <v>128.80000000000001</v>
      </c>
      <c r="F393" s="118">
        <f>D393*E393*0.0022+31.71</f>
        <v>75.630799999999994</v>
      </c>
      <c r="G393" s="118">
        <f>(E393*D393)+F393</f>
        <v>20039.630799999999</v>
      </c>
      <c r="H393" s="119">
        <f>F393/(D393*E393)</f>
        <v>3.7883590462833095E-3</v>
      </c>
      <c r="I393" s="120" cm="1">
        <f t="array" aca="1" ref="I393" ca="1">_FV(B393,"Price")</f>
        <v>67.680000000000007</v>
      </c>
      <c r="J393" s="118">
        <f ca="1">I393*D393*(1-H393)</f>
        <v>10450.658598260872</v>
      </c>
      <c r="K393" s="118">
        <f t="shared" ca="1" si="79"/>
        <v>10490.400000000001</v>
      </c>
      <c r="L393" s="118">
        <f>178.25+48.05+178.25</f>
        <v>404.55</v>
      </c>
      <c r="M393" s="118">
        <f ca="1">J393-G393+L393</f>
        <v>-9184.4222017391276</v>
      </c>
      <c r="N393" s="121">
        <f ca="1">M393/G393</f>
        <v>-0.45831294465460554</v>
      </c>
      <c r="O393" s="122">
        <f ca="1">(DAYS360(C393,NOW(),TRUE))/30</f>
        <v>21.866666666666667</v>
      </c>
      <c r="P393" s="121">
        <f ca="1">(N393/O393)*12</f>
        <v>-0.25151320133484445</v>
      </c>
      <c r="Q393" s="118">
        <f ca="1">G393+((G393*O393*8)/(100*12))</f>
        <v>22960.96364551111</v>
      </c>
      <c r="R393" s="118">
        <f>-G393</f>
        <v>-20039.630799999999</v>
      </c>
      <c r="S393" s="123" t="s">
        <v>244</v>
      </c>
      <c r="T393" s="118" t="s">
        <v>227</v>
      </c>
      <c r="U393" s="118" t="s">
        <v>263</v>
      </c>
      <c r="V393" s="118" t="s">
        <v>265</v>
      </c>
      <c r="W393" s="118" t="s">
        <v>246</v>
      </c>
    </row>
    <row r="394" spans="1:23" x14ac:dyDescent="0.3">
      <c r="B394" s="116" t="e" vm="29">
        <v>#VALUE!</v>
      </c>
      <c r="C394" s="117">
        <v>45526</v>
      </c>
      <c r="D394" s="116">
        <v>3</v>
      </c>
      <c r="E394" s="118">
        <v>1760.8</v>
      </c>
      <c r="F394" s="118">
        <f>D394*E394*0.0022+8.37</f>
        <v>19.99128</v>
      </c>
      <c r="G394" s="118">
        <f t="shared" ref="G394:G457" si="89">(E394*D394)+F394</f>
        <v>5302.3912799999998</v>
      </c>
      <c r="H394" s="119">
        <f t="shared" ref="H394:H457" si="90">F394/(D394*E394)</f>
        <v>3.7845070422535213E-3</v>
      </c>
      <c r="I394" s="120" cm="1">
        <f t="array" aca="1" ref="I394" ca="1">_FV(B394,"Price")</f>
        <v>1954</v>
      </c>
      <c r="J394" s="118">
        <f t="shared" ref="J394:J457" ca="1" si="91">I394*D394*(1-H394)</f>
        <v>5839.8152197183099</v>
      </c>
      <c r="K394" s="118">
        <f t="shared" ca="1" si="79"/>
        <v>5862</v>
      </c>
      <c r="L394" s="118">
        <f>3*5.5+3*11</f>
        <v>49.5</v>
      </c>
      <c r="M394" s="118">
        <f t="shared" ref="M394:M457" ca="1" si="92">J394-G394+L394</f>
        <v>586.92393971831007</v>
      </c>
      <c r="N394" s="121">
        <f t="shared" ref="N394:N457" ca="1" si="93">M394/G394</f>
        <v>0.1106904241360155</v>
      </c>
      <c r="O394" s="122">
        <f t="shared" ref="O394:O457" ca="1" si="94">(DAYS360(C394,NOW(),TRUE))/30</f>
        <v>23.033333333333335</v>
      </c>
      <c r="P394" s="121">
        <f t="shared" ref="P394:P457" ca="1" si="95">(N394/O394)*12</f>
        <v>5.7667948898647722E-2</v>
      </c>
      <c r="Q394" s="118">
        <f t="shared" ref="Q394:Q457" ca="1" si="96">G394+((G394*O394*8)/(100*12))</f>
        <v>6116.6029187733329</v>
      </c>
      <c r="R394" s="118">
        <f t="shared" ref="R394:R457" si="97">-G394</f>
        <v>-5302.3912799999998</v>
      </c>
      <c r="S394" s="123" t="s">
        <v>266</v>
      </c>
      <c r="T394" s="118" t="s">
        <v>216</v>
      </c>
      <c r="U394" s="118" t="s">
        <v>217</v>
      </c>
      <c r="V394" s="118" t="s">
        <v>267</v>
      </c>
      <c r="W394" s="118" t="s">
        <v>219</v>
      </c>
    </row>
    <row r="395" spans="1:23" x14ac:dyDescent="0.3">
      <c r="B395" s="116" t="e" vm="29">
        <v>#VALUE!</v>
      </c>
      <c r="C395" s="117">
        <v>45541</v>
      </c>
      <c r="D395" s="116">
        <v>3</v>
      </c>
      <c r="E395" s="118">
        <v>1820</v>
      </c>
      <c r="F395" s="118">
        <f>D395*E395*0.0022+8.67</f>
        <v>20.682000000000002</v>
      </c>
      <c r="G395" s="118">
        <f t="shared" si="89"/>
        <v>5480.6819999999998</v>
      </c>
      <c r="H395" s="119">
        <f t="shared" si="90"/>
        <v>3.7879120879120882E-3</v>
      </c>
      <c r="I395" s="120" cm="1">
        <f t="array" aca="1" ref="I395" ca="1">_FV(B395,"Price")</f>
        <v>1954</v>
      </c>
      <c r="J395" s="118">
        <f t="shared" ca="1" si="91"/>
        <v>5839.7952593406599</v>
      </c>
      <c r="K395" s="118">
        <f t="shared" ca="1" si="79"/>
        <v>5862</v>
      </c>
      <c r="L395" s="118">
        <f t="shared" ref="L395:L415" si="98">3*5.5+3*11</f>
        <v>49.5</v>
      </c>
      <c r="M395" s="118">
        <f t="shared" ca="1" si="92"/>
        <v>408.61325934066008</v>
      </c>
      <c r="N395" s="121">
        <f t="shared" ca="1" si="93"/>
        <v>7.4555184800114305E-2</v>
      </c>
      <c r="O395" s="122">
        <f t="shared" ca="1" si="94"/>
        <v>22.566666666666666</v>
      </c>
      <c r="P395" s="121">
        <f t="shared" ca="1" si="95"/>
        <v>3.9645297678051916E-2</v>
      </c>
      <c r="Q395" s="118">
        <f t="shared" ca="1" si="96"/>
        <v>6305.2201586666661</v>
      </c>
      <c r="R395" s="118">
        <f t="shared" si="97"/>
        <v>-5480.6819999999998</v>
      </c>
      <c r="S395" s="123" t="s">
        <v>266</v>
      </c>
      <c r="T395" s="118" t="s">
        <v>216</v>
      </c>
      <c r="U395" s="118" t="s">
        <v>217</v>
      </c>
      <c r="V395" s="118" t="s">
        <v>267</v>
      </c>
      <c r="W395" s="118" t="s">
        <v>219</v>
      </c>
    </row>
    <row r="396" spans="1:23" x14ac:dyDescent="0.3">
      <c r="B396" s="116" t="e" vm="29">
        <v>#VALUE!</v>
      </c>
      <c r="C396" s="117">
        <v>45558</v>
      </c>
      <c r="D396" s="116">
        <v>3</v>
      </c>
      <c r="E396" s="118">
        <v>1864.25</v>
      </c>
      <c r="F396" s="118">
        <f>D396*E396*0.0022+8.87</f>
        <v>21.174050000000001</v>
      </c>
      <c r="G396" s="118">
        <f t="shared" si="89"/>
        <v>5613.9240499999996</v>
      </c>
      <c r="H396" s="119">
        <f t="shared" si="90"/>
        <v>3.7859818515041796E-3</v>
      </c>
      <c r="I396" s="120" cm="1">
        <f t="array" aca="1" ref="I396" ca="1">_FV(B396,"Price")</f>
        <v>1954</v>
      </c>
      <c r="J396" s="118">
        <f t="shared" ca="1" si="91"/>
        <v>5839.8065743864827</v>
      </c>
      <c r="K396" s="118">
        <f t="shared" ca="1" si="79"/>
        <v>5862</v>
      </c>
      <c r="L396" s="118">
        <f t="shared" si="98"/>
        <v>49.5</v>
      </c>
      <c r="M396" s="118">
        <f t="shared" ca="1" si="92"/>
        <v>275.38252438648306</v>
      </c>
      <c r="N396" s="121">
        <f t="shared" ca="1" si="93"/>
        <v>4.905348236524202E-2</v>
      </c>
      <c r="O396" s="122">
        <f t="shared" ca="1" si="94"/>
        <v>22</v>
      </c>
      <c r="P396" s="121">
        <f t="shared" ca="1" si="95"/>
        <v>2.6756444926495648E-2</v>
      </c>
      <c r="Q396" s="118">
        <f t="shared" ca="1" si="96"/>
        <v>6437.2995773333332</v>
      </c>
      <c r="R396" s="118">
        <f t="shared" si="97"/>
        <v>-5613.9240499999996</v>
      </c>
      <c r="S396" s="123" t="s">
        <v>266</v>
      </c>
      <c r="T396" s="118" t="s">
        <v>216</v>
      </c>
      <c r="U396" s="118" t="s">
        <v>217</v>
      </c>
      <c r="V396" s="118" t="s">
        <v>267</v>
      </c>
      <c r="W396" s="118" t="s">
        <v>219</v>
      </c>
    </row>
    <row r="397" spans="1:23" x14ac:dyDescent="0.3">
      <c r="B397" s="116" t="e" vm="29">
        <v>#VALUE!</v>
      </c>
      <c r="C397" s="117">
        <v>45572</v>
      </c>
      <c r="D397" s="116">
        <v>3</v>
      </c>
      <c r="E397" s="118">
        <v>1894.85</v>
      </c>
      <c r="F397" s="118">
        <f>D397*E397*0.0022+8.99</f>
        <v>21.496009999999998</v>
      </c>
      <c r="G397" s="118">
        <f t="shared" si="89"/>
        <v>5706.0460099999991</v>
      </c>
      <c r="H397" s="119">
        <f t="shared" si="90"/>
        <v>3.7814796245964942E-3</v>
      </c>
      <c r="I397" s="120" cm="1">
        <f t="array" aca="1" ref="I397" ca="1">_FV(B397,"Price")</f>
        <v>1954</v>
      </c>
      <c r="J397" s="118">
        <f t="shared" ca="1" si="91"/>
        <v>5839.8329664406156</v>
      </c>
      <c r="K397" s="118">
        <f t="shared" ca="1" si="79"/>
        <v>5862</v>
      </c>
      <c r="L397" s="118">
        <f t="shared" si="98"/>
        <v>49.5</v>
      </c>
      <c r="M397" s="118">
        <f t="shared" ca="1" si="92"/>
        <v>183.28695644061645</v>
      </c>
      <c r="N397" s="121">
        <f t="shared" ca="1" si="93"/>
        <v>3.2121534968242653E-2</v>
      </c>
      <c r="O397" s="122">
        <f t="shared" ca="1" si="94"/>
        <v>21.533333333333335</v>
      </c>
      <c r="P397" s="121">
        <f t="shared" ca="1" si="95"/>
        <v>1.790054580273584E-2</v>
      </c>
      <c r="Q397" s="118">
        <f t="shared" ca="1" si="96"/>
        <v>6525.1806149911099</v>
      </c>
      <c r="R397" s="118">
        <f t="shared" si="97"/>
        <v>-5706.0460099999991</v>
      </c>
      <c r="S397" s="123" t="s">
        <v>266</v>
      </c>
      <c r="T397" s="118" t="s">
        <v>216</v>
      </c>
      <c r="U397" s="118" t="s">
        <v>217</v>
      </c>
      <c r="V397" s="118" t="s">
        <v>267</v>
      </c>
      <c r="W397" s="118" t="s">
        <v>219</v>
      </c>
    </row>
    <row r="398" spans="1:23" x14ac:dyDescent="0.3">
      <c r="B398" s="116" t="e" vm="29">
        <v>#VALUE!</v>
      </c>
      <c r="C398" s="117">
        <v>45586</v>
      </c>
      <c r="D398" s="116">
        <v>3</v>
      </c>
      <c r="E398" s="118">
        <v>1894.65</v>
      </c>
      <c r="F398" s="118">
        <f>D398*E398*0.0022+8.99</f>
        <v>21.494690000000002</v>
      </c>
      <c r="G398" s="118">
        <f t="shared" si="89"/>
        <v>5705.4446900000012</v>
      </c>
      <c r="H398" s="119">
        <f t="shared" si="90"/>
        <v>3.7816465662083585E-3</v>
      </c>
      <c r="I398" s="120" cm="1">
        <f t="array" aca="1" ref="I398" ca="1">_FV(B398,"Price")</f>
        <v>1954</v>
      </c>
      <c r="J398" s="118">
        <f t="shared" ca="1" si="91"/>
        <v>5839.8319878288867</v>
      </c>
      <c r="K398" s="118">
        <f t="shared" ca="1" si="79"/>
        <v>5862</v>
      </c>
      <c r="L398" s="118">
        <f t="shared" si="98"/>
        <v>49.5</v>
      </c>
      <c r="M398" s="118">
        <f t="shared" ca="1" si="92"/>
        <v>183.88729782888549</v>
      </c>
      <c r="N398" s="121">
        <f t="shared" ca="1" si="93"/>
        <v>3.2230142928418339E-2</v>
      </c>
      <c r="O398" s="122">
        <f t="shared" ca="1" si="94"/>
        <v>21.066666666666666</v>
      </c>
      <c r="P398" s="121">
        <f t="shared" ca="1" si="95"/>
        <v>1.8358942174415509E-2</v>
      </c>
      <c r="Q398" s="118">
        <f t="shared" ca="1" si="96"/>
        <v>6506.7426997955572</v>
      </c>
      <c r="R398" s="118">
        <f t="shared" si="97"/>
        <v>-5705.4446900000012</v>
      </c>
      <c r="S398" s="123" t="s">
        <v>266</v>
      </c>
      <c r="T398" s="118" t="s">
        <v>216</v>
      </c>
      <c r="U398" s="118" t="s">
        <v>217</v>
      </c>
      <c r="V398" s="118" t="s">
        <v>267</v>
      </c>
      <c r="W398" s="118" t="s">
        <v>219</v>
      </c>
    </row>
    <row r="399" spans="1:23" x14ac:dyDescent="0.3">
      <c r="B399" s="116" t="e" vm="29">
        <v>#VALUE!</v>
      </c>
      <c r="C399" s="117">
        <v>45601</v>
      </c>
      <c r="D399" s="116">
        <v>3</v>
      </c>
      <c r="E399" s="118">
        <v>1819.55</v>
      </c>
      <c r="F399" s="118">
        <f>D399*E399*0.0022+8.64</f>
        <v>20.64903</v>
      </c>
      <c r="G399" s="118">
        <f t="shared" si="89"/>
        <v>5479.2990299999992</v>
      </c>
      <c r="H399" s="119">
        <f t="shared" si="90"/>
        <v>3.7828089362754529E-3</v>
      </c>
      <c r="I399" s="120" cm="1">
        <f t="array" aca="1" ref="I399" ca="1">_FV(B399,"Price")</f>
        <v>1954</v>
      </c>
      <c r="J399" s="118">
        <f t="shared" ca="1" si="91"/>
        <v>5839.8251740155529</v>
      </c>
      <c r="K399" s="118">
        <f t="shared" ca="1" si="79"/>
        <v>5862</v>
      </c>
      <c r="L399" s="118">
        <f t="shared" si="98"/>
        <v>49.5</v>
      </c>
      <c r="M399" s="118">
        <f t="shared" ca="1" si="92"/>
        <v>410.02614401555365</v>
      </c>
      <c r="N399" s="121">
        <f t="shared" ca="1" si="93"/>
        <v>7.4831861114094678E-2</v>
      </c>
      <c r="O399" s="122">
        <f t="shared" ca="1" si="94"/>
        <v>20.6</v>
      </c>
      <c r="P399" s="121">
        <f t="shared" ca="1" si="95"/>
        <v>4.3591375406268743E-2</v>
      </c>
      <c r="Q399" s="118">
        <f t="shared" ca="1" si="96"/>
        <v>6231.7894301199995</v>
      </c>
      <c r="R399" s="118">
        <f t="shared" si="97"/>
        <v>-5479.2990299999992</v>
      </c>
      <c r="S399" s="123" t="s">
        <v>266</v>
      </c>
      <c r="T399" s="118" t="s">
        <v>216</v>
      </c>
      <c r="U399" s="118" t="s">
        <v>217</v>
      </c>
      <c r="V399" s="118" t="s">
        <v>267</v>
      </c>
      <c r="W399" s="118" t="s">
        <v>219</v>
      </c>
    </row>
    <row r="400" spans="1:23" x14ac:dyDescent="0.3">
      <c r="B400" s="116" t="e" vm="29">
        <v>#VALUE!</v>
      </c>
      <c r="C400" s="117">
        <v>45617</v>
      </c>
      <c r="D400" s="116">
        <v>3</v>
      </c>
      <c r="E400" s="118">
        <v>1788.75</v>
      </c>
      <c r="F400" s="118">
        <f>D400*E400*0.0022+8.5</f>
        <v>20.305750000000003</v>
      </c>
      <c r="G400" s="118">
        <f t="shared" si="89"/>
        <v>5386.5557500000004</v>
      </c>
      <c r="H400" s="119">
        <f t="shared" si="90"/>
        <v>3.7839739110179368E-3</v>
      </c>
      <c r="I400" s="120" cm="1">
        <f t="array" aca="1" ref="I400" ca="1">_FV(B400,"Price")</f>
        <v>1954</v>
      </c>
      <c r="J400" s="118">
        <f t="shared" ca="1" si="91"/>
        <v>5839.8183449336129</v>
      </c>
      <c r="K400" s="118">
        <f t="shared" ca="1" si="79"/>
        <v>5862</v>
      </c>
      <c r="L400" s="118">
        <f t="shared" si="98"/>
        <v>49.5</v>
      </c>
      <c r="M400" s="118">
        <f t="shared" ca="1" si="92"/>
        <v>502.76259493361249</v>
      </c>
      <c r="N400" s="121">
        <f t="shared" ca="1" si="93"/>
        <v>9.3336562038481161E-2</v>
      </c>
      <c r="O400" s="122">
        <f t="shared" ca="1" si="94"/>
        <v>20.066666666666666</v>
      </c>
      <c r="P400" s="121">
        <f t="shared" ca="1" si="95"/>
        <v>5.5815884275503685E-2</v>
      </c>
      <c r="Q400" s="118">
        <f t="shared" ca="1" si="96"/>
        <v>6107.1572081111117</v>
      </c>
      <c r="R400" s="118">
        <f t="shared" si="97"/>
        <v>-5386.5557500000004</v>
      </c>
      <c r="S400" s="123" t="s">
        <v>266</v>
      </c>
      <c r="T400" s="118" t="s">
        <v>216</v>
      </c>
      <c r="U400" s="118" t="s">
        <v>217</v>
      </c>
      <c r="V400" s="118" t="s">
        <v>267</v>
      </c>
      <c r="W400" s="118" t="s">
        <v>219</v>
      </c>
    </row>
    <row r="401" spans="2:23" x14ac:dyDescent="0.3">
      <c r="B401" s="116" t="e" vm="29">
        <v>#VALUE!</v>
      </c>
      <c r="C401" s="117">
        <v>45631</v>
      </c>
      <c r="D401" s="116">
        <v>3</v>
      </c>
      <c r="E401" s="118">
        <v>1782.85</v>
      </c>
      <c r="F401" s="118">
        <f>D401*E401*0.0022+8.47</f>
        <v>20.236809999999998</v>
      </c>
      <c r="G401" s="118">
        <f t="shared" si="89"/>
        <v>5368.7868099999996</v>
      </c>
      <c r="H401" s="119">
        <f t="shared" si="90"/>
        <v>3.7836067719288408E-3</v>
      </c>
      <c r="I401" s="120" cm="1">
        <f t="array" aca="1" ref="I401" ca="1">_FV(B401,"Price")</f>
        <v>1954</v>
      </c>
      <c r="J401" s="118">
        <f t="shared" ca="1" si="91"/>
        <v>5839.8204971029536</v>
      </c>
      <c r="K401" s="118">
        <f t="shared" ca="1" si="79"/>
        <v>5862</v>
      </c>
      <c r="L401" s="118">
        <f t="shared" si="98"/>
        <v>49.5</v>
      </c>
      <c r="M401" s="118">
        <f t="shared" ca="1" si="92"/>
        <v>520.53368710295399</v>
      </c>
      <c r="N401" s="121">
        <f t="shared" ca="1" si="93"/>
        <v>9.6955551696222789E-2</v>
      </c>
      <c r="O401" s="122">
        <f t="shared" ca="1" si="94"/>
        <v>19.600000000000001</v>
      </c>
      <c r="P401" s="121">
        <f t="shared" ca="1" si="95"/>
        <v>5.9360541854830279E-2</v>
      </c>
      <c r="Q401" s="118">
        <f t="shared" ca="1" si="96"/>
        <v>6070.3082865066663</v>
      </c>
      <c r="R401" s="118">
        <f t="shared" si="97"/>
        <v>-5368.7868099999996</v>
      </c>
      <c r="S401" s="123" t="s">
        <v>266</v>
      </c>
      <c r="T401" s="118" t="s">
        <v>216</v>
      </c>
      <c r="U401" s="118" t="s">
        <v>217</v>
      </c>
      <c r="V401" s="118" t="s">
        <v>267</v>
      </c>
      <c r="W401" s="118" t="s">
        <v>219</v>
      </c>
    </row>
    <row r="402" spans="2:23" x14ac:dyDescent="0.3">
      <c r="B402" s="116" t="e" vm="29">
        <v>#VALUE!</v>
      </c>
      <c r="C402" s="117">
        <v>45646</v>
      </c>
      <c r="D402" s="116">
        <v>3</v>
      </c>
      <c r="E402" s="118">
        <v>1816.5</v>
      </c>
      <c r="F402" s="118">
        <f>D402*E402*0.0022+8.63</f>
        <v>20.618900000000004</v>
      </c>
      <c r="G402" s="118">
        <f t="shared" si="89"/>
        <v>5470.1189000000004</v>
      </c>
      <c r="H402" s="119">
        <f t="shared" si="90"/>
        <v>3.7836315258280582E-3</v>
      </c>
      <c r="I402" s="120" cm="1">
        <f t="array" aca="1" ref="I402" ca="1">_FV(B402,"Price")</f>
        <v>1954</v>
      </c>
      <c r="J402" s="118">
        <f t="shared" ca="1" si="91"/>
        <v>5839.820351995596</v>
      </c>
      <c r="K402" s="118">
        <f t="shared" ca="1" si="79"/>
        <v>5862</v>
      </c>
      <c r="L402" s="118">
        <f t="shared" si="98"/>
        <v>49.5</v>
      </c>
      <c r="M402" s="118">
        <f t="shared" ca="1" si="92"/>
        <v>419.20145199559556</v>
      </c>
      <c r="N402" s="121">
        <f t="shared" ca="1" si="93"/>
        <v>7.663479709656687E-2</v>
      </c>
      <c r="O402" s="122">
        <f t="shared" ca="1" si="94"/>
        <v>19.100000000000001</v>
      </c>
      <c r="P402" s="121">
        <f t="shared" ca="1" si="95"/>
        <v>4.8147516500460862E-2</v>
      </c>
      <c r="Q402" s="118">
        <f t="shared" ca="1" si="96"/>
        <v>6166.6473732666673</v>
      </c>
      <c r="R402" s="118">
        <f t="shared" si="97"/>
        <v>-5470.1189000000004</v>
      </c>
      <c r="S402" s="123" t="s">
        <v>266</v>
      </c>
      <c r="T402" s="118" t="s">
        <v>216</v>
      </c>
      <c r="U402" s="118" t="s">
        <v>217</v>
      </c>
      <c r="V402" s="118" t="s">
        <v>267</v>
      </c>
      <c r="W402" s="118" t="s">
        <v>219</v>
      </c>
    </row>
    <row r="403" spans="2:23" x14ac:dyDescent="0.3">
      <c r="B403" s="116" t="e" vm="29">
        <v>#VALUE!</v>
      </c>
      <c r="C403" s="117">
        <v>45663</v>
      </c>
      <c r="D403" s="116">
        <v>3</v>
      </c>
      <c r="E403" s="118">
        <v>1837.45</v>
      </c>
      <c r="F403" s="118">
        <f>D403*E403*0.0022+8.72</f>
        <v>20.847170000000002</v>
      </c>
      <c r="G403" s="118">
        <f t="shared" si="89"/>
        <v>5533.1971700000004</v>
      </c>
      <c r="H403" s="119">
        <f t="shared" si="90"/>
        <v>3.7819024553956116E-3</v>
      </c>
      <c r="I403" s="120" cm="1">
        <f t="array" aca="1" ref="I403" ca="1">_FV(B403,"Price")</f>
        <v>1954</v>
      </c>
      <c r="J403" s="118">
        <f t="shared" ca="1" si="91"/>
        <v>5839.830487806471</v>
      </c>
      <c r="K403" s="118">
        <f t="shared" ca="1" si="79"/>
        <v>5862</v>
      </c>
      <c r="L403" s="118">
        <f t="shared" si="98"/>
        <v>49.5</v>
      </c>
      <c r="M403" s="118">
        <f t="shared" ca="1" si="92"/>
        <v>356.13331780647059</v>
      </c>
      <c r="N403" s="121">
        <f t="shared" ca="1" si="93"/>
        <v>6.4363026811580362E-2</v>
      </c>
      <c r="O403" s="122">
        <f t="shared" ca="1" si="94"/>
        <v>18.566666666666666</v>
      </c>
      <c r="P403" s="121">
        <f t="shared" ca="1" si="95"/>
        <v>4.1599083756138119E-2</v>
      </c>
      <c r="Q403" s="118">
        <f t="shared" ca="1" si="96"/>
        <v>6218.0840197088892</v>
      </c>
      <c r="R403" s="118">
        <f t="shared" si="97"/>
        <v>-5533.1971700000004</v>
      </c>
      <c r="S403" s="123" t="s">
        <v>266</v>
      </c>
      <c r="T403" s="118" t="s">
        <v>216</v>
      </c>
      <c r="U403" s="118" t="s">
        <v>217</v>
      </c>
      <c r="V403" s="118" t="s">
        <v>267</v>
      </c>
      <c r="W403" s="118" t="s">
        <v>219</v>
      </c>
    </row>
    <row r="404" spans="2:23" x14ac:dyDescent="0.3">
      <c r="B404" s="116" t="e" vm="29">
        <v>#VALUE!</v>
      </c>
      <c r="C404" s="117">
        <v>45677</v>
      </c>
      <c r="D404" s="116">
        <v>3</v>
      </c>
      <c r="E404" s="118">
        <v>1783.05</v>
      </c>
      <c r="F404" s="118">
        <f>D404*E404*0.0022+8.47</f>
        <v>20.238129999999998</v>
      </c>
      <c r="G404" s="118">
        <f t="shared" si="89"/>
        <v>5369.3881299999994</v>
      </c>
      <c r="H404" s="119">
        <f t="shared" si="90"/>
        <v>3.7834291429479448E-3</v>
      </c>
      <c r="I404" s="120" cm="1">
        <f t="array" aca="1" ref="I404" ca="1">_FV(B404,"Price")</f>
        <v>1954</v>
      </c>
      <c r="J404" s="118">
        <f t="shared" ca="1" si="91"/>
        <v>5839.821538364039</v>
      </c>
      <c r="K404" s="118">
        <f t="shared" ca="1" si="79"/>
        <v>5862</v>
      </c>
      <c r="L404" s="118">
        <f t="shared" si="98"/>
        <v>49.5</v>
      </c>
      <c r="M404" s="118">
        <f t="shared" ca="1" si="92"/>
        <v>519.93340836403968</v>
      </c>
      <c r="N404" s="121">
        <f t="shared" ca="1" si="93"/>
        <v>9.6832897115232339E-2</v>
      </c>
      <c r="O404" s="122">
        <f t="shared" ca="1" si="94"/>
        <v>18.100000000000001</v>
      </c>
      <c r="P404" s="121">
        <f t="shared" ca="1" si="95"/>
        <v>6.4198605822253479E-2</v>
      </c>
      <c r="Q404" s="118">
        <f t="shared" ca="1" si="96"/>
        <v>6017.2942976866661</v>
      </c>
      <c r="R404" s="118">
        <f t="shared" si="97"/>
        <v>-5369.3881299999994</v>
      </c>
      <c r="S404" s="123" t="s">
        <v>266</v>
      </c>
      <c r="T404" s="118" t="s">
        <v>216</v>
      </c>
      <c r="U404" s="118" t="s">
        <v>217</v>
      </c>
      <c r="V404" s="118" t="s">
        <v>267</v>
      </c>
      <c r="W404" s="118" t="s">
        <v>219</v>
      </c>
    </row>
    <row r="405" spans="2:23" x14ac:dyDescent="0.3">
      <c r="B405" s="116" t="e" vm="29">
        <v>#VALUE!</v>
      </c>
      <c r="C405" s="117">
        <v>45691</v>
      </c>
      <c r="D405" s="116">
        <v>3</v>
      </c>
      <c r="E405" s="118">
        <v>1727.75</v>
      </c>
      <c r="F405" s="118">
        <f>D405*E405*0.0022+8.2</f>
        <v>19.603149999999999</v>
      </c>
      <c r="G405" s="118">
        <f t="shared" si="89"/>
        <v>5202.8531499999999</v>
      </c>
      <c r="H405" s="119">
        <f t="shared" si="90"/>
        <v>3.7820190035209567E-3</v>
      </c>
      <c r="I405" s="120" cm="1">
        <f t="array" aca="1" ref="I405" ca="1">_FV(B405,"Price")</f>
        <v>1954</v>
      </c>
      <c r="J405" s="118">
        <f t="shared" ca="1" si="91"/>
        <v>5839.8298046013606</v>
      </c>
      <c r="K405" s="118">
        <f t="shared" ca="1" si="79"/>
        <v>5862</v>
      </c>
      <c r="L405" s="118">
        <f t="shared" si="98"/>
        <v>49.5</v>
      </c>
      <c r="M405" s="118">
        <f t="shared" ca="1" si="92"/>
        <v>686.47665460136068</v>
      </c>
      <c r="N405" s="121">
        <f t="shared" ca="1" si="93"/>
        <v>0.13194234678742772</v>
      </c>
      <c r="O405" s="122">
        <f t="shared" ca="1" si="94"/>
        <v>17.666666666666668</v>
      </c>
      <c r="P405" s="121">
        <f t="shared" ca="1" si="95"/>
        <v>8.9621216685799962E-2</v>
      </c>
      <c r="Q405" s="118">
        <f t="shared" ca="1" si="96"/>
        <v>5815.6336321111112</v>
      </c>
      <c r="R405" s="118">
        <f t="shared" si="97"/>
        <v>-5202.8531499999999</v>
      </c>
      <c r="S405" s="123" t="s">
        <v>266</v>
      </c>
      <c r="T405" s="118" t="s">
        <v>216</v>
      </c>
      <c r="U405" s="118" t="s">
        <v>217</v>
      </c>
      <c r="V405" s="118" t="s">
        <v>267</v>
      </c>
      <c r="W405" s="118" t="s">
        <v>219</v>
      </c>
    </row>
    <row r="406" spans="2:23" x14ac:dyDescent="0.3">
      <c r="B406" s="116" t="e" vm="29">
        <v>#VALUE!</v>
      </c>
      <c r="C406" s="117">
        <v>45706</v>
      </c>
      <c r="D406" s="116">
        <v>3</v>
      </c>
      <c r="E406" s="118">
        <v>1706.55</v>
      </c>
      <c r="F406" s="118">
        <f>D406*E406*0.0022+8.11</f>
        <v>19.37323</v>
      </c>
      <c r="G406" s="118">
        <f t="shared" si="89"/>
        <v>5139.0232299999998</v>
      </c>
      <c r="H406" s="119">
        <f t="shared" si="90"/>
        <v>3.7840926625843565E-3</v>
      </c>
      <c r="I406" s="120" cm="1">
        <f t="array" aca="1" ref="I406" ca="1">_FV(B406,"Price")</f>
        <v>1954</v>
      </c>
      <c r="J406" s="118">
        <f t="shared" ca="1" si="91"/>
        <v>5839.8176488119307</v>
      </c>
      <c r="K406" s="118">
        <f t="shared" ca="1" si="79"/>
        <v>5862</v>
      </c>
      <c r="L406" s="118">
        <f t="shared" si="98"/>
        <v>49.5</v>
      </c>
      <c r="M406" s="118">
        <f t="shared" ca="1" si="92"/>
        <v>750.29441881193088</v>
      </c>
      <c r="N406" s="121">
        <f t="shared" ca="1" si="93"/>
        <v>0.14599942153052514</v>
      </c>
      <c r="O406" s="122">
        <f t="shared" ca="1" si="94"/>
        <v>17.166666666666668</v>
      </c>
      <c r="P406" s="121">
        <f t="shared" ca="1" si="95"/>
        <v>0.1020578480601729</v>
      </c>
      <c r="Q406" s="118">
        <f t="shared" ca="1" si="96"/>
        <v>5727.1558885444447</v>
      </c>
      <c r="R406" s="118">
        <f t="shared" si="97"/>
        <v>-5139.0232299999998</v>
      </c>
      <c r="S406" s="123" t="s">
        <v>266</v>
      </c>
      <c r="T406" s="118" t="s">
        <v>216</v>
      </c>
      <c r="U406" s="118" t="s">
        <v>217</v>
      </c>
      <c r="V406" s="118" t="s">
        <v>267</v>
      </c>
      <c r="W406" s="118" t="s">
        <v>219</v>
      </c>
    </row>
    <row r="407" spans="2:23" x14ac:dyDescent="0.3">
      <c r="B407" s="116" t="e" vm="29">
        <v>#VALUE!</v>
      </c>
      <c r="C407" s="117">
        <v>45721</v>
      </c>
      <c r="D407" s="116">
        <v>3</v>
      </c>
      <c r="E407" s="118">
        <v>1573.2</v>
      </c>
      <c r="F407" s="118">
        <f>D407*E407*0.0022+7.47</f>
        <v>17.853120000000001</v>
      </c>
      <c r="G407" s="118">
        <f t="shared" si="89"/>
        <v>4737.4531200000001</v>
      </c>
      <c r="H407" s="119">
        <f t="shared" si="90"/>
        <v>3.7827612509534706E-3</v>
      </c>
      <c r="I407" s="120" cm="1">
        <f t="array" aca="1" ref="I407" ca="1">_FV(B407,"Price")</f>
        <v>1954</v>
      </c>
      <c r="J407" s="118">
        <f t="shared" ca="1" si="91"/>
        <v>5839.8254535469105</v>
      </c>
      <c r="K407" s="118">
        <f t="shared" ca="1" si="79"/>
        <v>5862</v>
      </c>
      <c r="L407" s="118">
        <f t="shared" si="98"/>
        <v>49.5</v>
      </c>
      <c r="M407" s="118">
        <f t="shared" ca="1" si="92"/>
        <v>1151.8723335469103</v>
      </c>
      <c r="N407" s="121">
        <f t="shared" ca="1" si="93"/>
        <v>0.24314168486102303</v>
      </c>
      <c r="O407" s="122">
        <f t="shared" ca="1" si="94"/>
        <v>16.600000000000001</v>
      </c>
      <c r="P407" s="121">
        <f t="shared" ca="1" si="95"/>
        <v>0.17576507339351061</v>
      </c>
      <c r="Q407" s="118">
        <f t="shared" ca="1" si="96"/>
        <v>5261.7312652800001</v>
      </c>
      <c r="R407" s="118">
        <f t="shared" si="97"/>
        <v>-4737.4531200000001</v>
      </c>
      <c r="S407" s="123" t="s">
        <v>266</v>
      </c>
      <c r="T407" s="118" t="s">
        <v>216</v>
      </c>
      <c r="U407" s="118" t="s">
        <v>217</v>
      </c>
      <c r="V407" s="118" t="s">
        <v>267</v>
      </c>
      <c r="W407" s="118" t="s">
        <v>219</v>
      </c>
    </row>
    <row r="408" spans="2:23" x14ac:dyDescent="0.3">
      <c r="B408" s="116" t="e" vm="29">
        <v>#VALUE!</v>
      </c>
      <c r="C408" s="117">
        <v>45736</v>
      </c>
      <c r="D408" s="116">
        <v>3</v>
      </c>
      <c r="E408" s="118">
        <v>1739.35</v>
      </c>
      <c r="F408" s="118">
        <f>D408*E408*0.0022+8.27</f>
        <v>19.74971</v>
      </c>
      <c r="G408" s="118">
        <f t="shared" si="89"/>
        <v>5237.7997099999993</v>
      </c>
      <c r="H408" s="119">
        <f t="shared" si="90"/>
        <v>3.7848832418240536E-3</v>
      </c>
      <c r="I408" s="120" cm="1">
        <f t="array" aca="1" ref="I408" ca="1">_FV(B408,"Price")</f>
        <v>1954</v>
      </c>
      <c r="J408" s="118">
        <f t="shared" ca="1" si="91"/>
        <v>5839.8130144364277</v>
      </c>
      <c r="K408" s="118">
        <f t="shared" ref="K408:K471" ca="1" si="99">I408*D408</f>
        <v>5862</v>
      </c>
      <c r="L408" s="118">
        <f t="shared" si="98"/>
        <v>49.5</v>
      </c>
      <c r="M408" s="118">
        <f t="shared" ca="1" si="92"/>
        <v>651.51330443642837</v>
      </c>
      <c r="N408" s="121">
        <f t="shared" ca="1" si="93"/>
        <v>0.12438683044572325</v>
      </c>
      <c r="O408" s="122">
        <f t="shared" ca="1" si="94"/>
        <v>16.100000000000001</v>
      </c>
      <c r="P408" s="121">
        <f t="shared" ca="1" si="95"/>
        <v>9.2710681077557699E-2</v>
      </c>
      <c r="Q408" s="118">
        <f t="shared" ca="1" si="96"/>
        <v>5799.990212206666</v>
      </c>
      <c r="R408" s="118">
        <f t="shared" si="97"/>
        <v>-5237.7997099999993</v>
      </c>
      <c r="S408" s="123" t="s">
        <v>266</v>
      </c>
      <c r="T408" s="118" t="s">
        <v>216</v>
      </c>
      <c r="U408" s="118" t="s">
        <v>217</v>
      </c>
      <c r="V408" s="118" t="s">
        <v>267</v>
      </c>
      <c r="W408" s="118" t="s">
        <v>219</v>
      </c>
    </row>
    <row r="409" spans="2:23" x14ac:dyDescent="0.3">
      <c r="B409" s="116" t="e" vm="29">
        <v>#VALUE!</v>
      </c>
      <c r="C409" s="117">
        <v>45751</v>
      </c>
      <c r="D409" s="116">
        <v>3</v>
      </c>
      <c r="E409" s="118">
        <v>1699.45</v>
      </c>
      <c r="F409" s="118">
        <f>D409*E409*0.0022+8.07</f>
        <v>19.286370000000002</v>
      </c>
      <c r="G409" s="118">
        <f t="shared" si="89"/>
        <v>5117.6363700000002</v>
      </c>
      <c r="H409" s="119">
        <f t="shared" si="90"/>
        <v>3.7828650445732442E-3</v>
      </c>
      <c r="I409" s="120" cm="1">
        <f t="array" aca="1" ref="I409" ca="1">_FV(B409,"Price")</f>
        <v>1954</v>
      </c>
      <c r="J409" s="118">
        <f t="shared" ca="1" si="91"/>
        <v>5839.824845108712</v>
      </c>
      <c r="K409" s="118">
        <f t="shared" ca="1" si="99"/>
        <v>5862</v>
      </c>
      <c r="L409" s="118">
        <f t="shared" si="98"/>
        <v>49.5</v>
      </c>
      <c r="M409" s="118">
        <f t="shared" ca="1" si="92"/>
        <v>771.68847510871183</v>
      </c>
      <c r="N409" s="121">
        <f t="shared" ca="1" si="93"/>
        <v>0.15079001697588604</v>
      </c>
      <c r="O409" s="122">
        <f t="shared" ca="1" si="94"/>
        <v>15.633333333333333</v>
      </c>
      <c r="P409" s="121">
        <f t="shared" ca="1" si="95"/>
        <v>0.11574500236955006</v>
      </c>
      <c r="Q409" s="118">
        <f t="shared" ca="1" si="96"/>
        <v>5651.0078050066668</v>
      </c>
      <c r="R409" s="118">
        <f t="shared" si="97"/>
        <v>-5117.6363700000002</v>
      </c>
      <c r="S409" s="123" t="s">
        <v>266</v>
      </c>
      <c r="T409" s="118" t="s">
        <v>216</v>
      </c>
      <c r="U409" s="118" t="s">
        <v>217</v>
      </c>
      <c r="V409" s="118" t="s">
        <v>267</v>
      </c>
      <c r="W409" s="118" t="s">
        <v>219</v>
      </c>
    </row>
    <row r="410" spans="2:23" x14ac:dyDescent="0.3">
      <c r="B410" s="116" t="e" vm="29">
        <v>#VALUE!</v>
      </c>
      <c r="C410" s="117">
        <v>45768</v>
      </c>
      <c r="D410" s="116">
        <v>3</v>
      </c>
      <c r="E410" s="118">
        <v>1741.8</v>
      </c>
      <c r="F410" s="118">
        <f>D410*E410*0.0022+8.28</f>
        <v>19.775880000000001</v>
      </c>
      <c r="G410" s="118">
        <f t="shared" si="89"/>
        <v>5245.1758799999998</v>
      </c>
      <c r="H410" s="119">
        <f t="shared" si="90"/>
        <v>3.7845676885980024E-3</v>
      </c>
      <c r="I410" s="120" cm="1">
        <f t="array" aca="1" ref="I410" ca="1">_FV(B410,"Price")</f>
        <v>1954</v>
      </c>
      <c r="J410" s="118">
        <f t="shared" ca="1" si="91"/>
        <v>5839.8148642094384</v>
      </c>
      <c r="K410" s="118">
        <f t="shared" ca="1" si="99"/>
        <v>5862</v>
      </c>
      <c r="L410" s="118">
        <f t="shared" si="98"/>
        <v>49.5</v>
      </c>
      <c r="M410" s="118">
        <f t="shared" ca="1" si="92"/>
        <v>644.1389842094386</v>
      </c>
      <c r="N410" s="121">
        <f t="shared" ca="1" si="93"/>
        <v>0.12280598381182189</v>
      </c>
      <c r="O410" s="122">
        <f t="shared" ca="1" si="94"/>
        <v>15.066666666666666</v>
      </c>
      <c r="P410" s="121">
        <f t="shared" ca="1" si="95"/>
        <v>9.7810075602336038E-2</v>
      </c>
      <c r="Q410" s="118">
        <f t="shared" ca="1" si="96"/>
        <v>5772.0246572799997</v>
      </c>
      <c r="R410" s="118">
        <f t="shared" si="97"/>
        <v>-5245.1758799999998</v>
      </c>
      <c r="S410" s="123" t="s">
        <v>266</v>
      </c>
      <c r="T410" s="118" t="s">
        <v>216</v>
      </c>
      <c r="U410" s="118" t="s">
        <v>217</v>
      </c>
      <c r="V410" s="118" t="s">
        <v>267</v>
      </c>
      <c r="W410" s="118" t="s">
        <v>219</v>
      </c>
    </row>
    <row r="411" spans="2:23" x14ac:dyDescent="0.3">
      <c r="B411" s="116" t="e" vm="29">
        <v>#VALUE!</v>
      </c>
      <c r="C411" s="117">
        <v>45782</v>
      </c>
      <c r="D411" s="116">
        <v>3</v>
      </c>
      <c r="E411" s="118">
        <v>1842.3</v>
      </c>
      <c r="F411" s="118">
        <f>D411*E411*0.0022+8.76</f>
        <v>20.919179999999997</v>
      </c>
      <c r="G411" s="118">
        <f t="shared" si="89"/>
        <v>5547.8191799999995</v>
      </c>
      <c r="H411" s="119">
        <f t="shared" si="90"/>
        <v>3.7849753026108668E-3</v>
      </c>
      <c r="I411" s="120" cm="1">
        <f t="array" aca="1" ref="I411" ca="1">_FV(B411,"Price")</f>
        <v>1954</v>
      </c>
      <c r="J411" s="118">
        <f t="shared" ca="1" si="91"/>
        <v>5839.8124747760949</v>
      </c>
      <c r="K411" s="118">
        <f t="shared" ca="1" si="99"/>
        <v>5862</v>
      </c>
      <c r="L411" s="118">
        <f t="shared" si="98"/>
        <v>49.5</v>
      </c>
      <c r="M411" s="118">
        <f t="shared" ca="1" si="92"/>
        <v>341.49329477609535</v>
      </c>
      <c r="N411" s="121">
        <f t="shared" ca="1" si="93"/>
        <v>6.1554510645766107E-2</v>
      </c>
      <c r="O411" s="122">
        <f t="shared" ca="1" si="94"/>
        <v>14.6</v>
      </c>
      <c r="P411" s="121">
        <f t="shared" ca="1" si="95"/>
        <v>5.0592748475972144E-2</v>
      </c>
      <c r="Q411" s="118">
        <f t="shared" ca="1" si="96"/>
        <v>6087.8069135199994</v>
      </c>
      <c r="R411" s="118">
        <f t="shared" si="97"/>
        <v>-5547.8191799999995</v>
      </c>
      <c r="S411" s="123" t="s">
        <v>266</v>
      </c>
      <c r="T411" s="118" t="s">
        <v>216</v>
      </c>
      <c r="U411" s="118" t="s">
        <v>217</v>
      </c>
      <c r="V411" s="118" t="s">
        <v>267</v>
      </c>
      <c r="W411" s="118" t="s">
        <v>219</v>
      </c>
    </row>
    <row r="412" spans="2:23" x14ac:dyDescent="0.3">
      <c r="B412" s="116" t="e" vm="29">
        <v>#VALUE!</v>
      </c>
      <c r="C412" s="117">
        <v>45796</v>
      </c>
      <c r="D412" s="116">
        <v>3</v>
      </c>
      <c r="E412" s="118">
        <v>1747</v>
      </c>
      <c r="F412" s="118">
        <f>D412*E412*0.0022+8.31</f>
        <v>19.840200000000003</v>
      </c>
      <c r="G412" s="118">
        <f t="shared" si="89"/>
        <v>5260.8401999999996</v>
      </c>
      <c r="H412" s="119">
        <f t="shared" si="90"/>
        <v>3.7855752718946771E-3</v>
      </c>
      <c r="I412" s="120" cm="1">
        <f t="array" aca="1" ref="I412" ca="1">_FV(B412,"Price")</f>
        <v>1954</v>
      </c>
      <c r="J412" s="118">
        <f t="shared" ca="1" si="91"/>
        <v>5839.8089577561532</v>
      </c>
      <c r="K412" s="118">
        <f t="shared" ca="1" si="99"/>
        <v>5862</v>
      </c>
      <c r="L412" s="118">
        <f t="shared" si="98"/>
        <v>49.5</v>
      </c>
      <c r="M412" s="118">
        <f t="shared" ca="1" si="92"/>
        <v>628.46875775615354</v>
      </c>
      <c r="N412" s="121">
        <f t="shared" ca="1" si="93"/>
        <v>0.11946167035374949</v>
      </c>
      <c r="O412" s="122">
        <f t="shared" ca="1" si="94"/>
        <v>14.133333333333333</v>
      </c>
      <c r="P412" s="121">
        <f t="shared" ca="1" si="95"/>
        <v>0.10142972011167412</v>
      </c>
      <c r="Q412" s="118">
        <f t="shared" ca="1" si="96"/>
        <v>5756.5282543999992</v>
      </c>
      <c r="R412" s="118">
        <f t="shared" si="97"/>
        <v>-5260.8401999999996</v>
      </c>
      <c r="S412" s="123" t="s">
        <v>266</v>
      </c>
      <c r="T412" s="118" t="s">
        <v>216</v>
      </c>
      <c r="U412" s="118" t="s">
        <v>217</v>
      </c>
      <c r="V412" s="118" t="s">
        <v>267</v>
      </c>
      <c r="W412" s="118" t="s">
        <v>219</v>
      </c>
    </row>
    <row r="413" spans="2:23" x14ac:dyDescent="0.3">
      <c r="B413" s="116" t="e" vm="29">
        <v>#VALUE!</v>
      </c>
      <c r="C413" s="117">
        <v>45811</v>
      </c>
      <c r="D413" s="116">
        <v>3</v>
      </c>
      <c r="E413" s="118">
        <v>1665.5</v>
      </c>
      <c r="F413" s="118">
        <f>D413*E413*0.0022+7.92</f>
        <v>18.912300000000002</v>
      </c>
      <c r="G413" s="118">
        <f t="shared" si="89"/>
        <v>5015.4123</v>
      </c>
      <c r="H413" s="119">
        <f t="shared" si="90"/>
        <v>3.7851095767036931E-3</v>
      </c>
      <c r="I413" s="120" cm="1">
        <f t="array" aca="1" ref="I413" ca="1">_FV(B413,"Price")</f>
        <v>1954</v>
      </c>
      <c r="J413" s="118">
        <f t="shared" ca="1" si="91"/>
        <v>5839.8116876613631</v>
      </c>
      <c r="K413" s="118">
        <f t="shared" ca="1" si="99"/>
        <v>5862</v>
      </c>
      <c r="L413" s="118">
        <f t="shared" si="98"/>
        <v>49.5</v>
      </c>
      <c r="M413" s="118">
        <f t="shared" ca="1" si="92"/>
        <v>873.89938766136311</v>
      </c>
      <c r="N413" s="121">
        <f t="shared" ca="1" si="93"/>
        <v>0.17424278112915326</v>
      </c>
      <c r="O413" s="122">
        <f t="shared" ca="1" si="94"/>
        <v>13.666666666666666</v>
      </c>
      <c r="P413" s="121">
        <f t="shared" ca="1" si="95"/>
        <v>0.15299366147925653</v>
      </c>
      <c r="Q413" s="118">
        <f t="shared" ca="1" si="96"/>
        <v>5472.3720873333332</v>
      </c>
      <c r="R413" s="118">
        <f t="shared" si="97"/>
        <v>-5015.4123</v>
      </c>
      <c r="S413" s="123" t="s">
        <v>266</v>
      </c>
      <c r="T413" s="118" t="s">
        <v>216</v>
      </c>
      <c r="U413" s="118" t="s">
        <v>217</v>
      </c>
      <c r="V413" s="118" t="s">
        <v>267</v>
      </c>
      <c r="W413" s="118" t="s">
        <v>219</v>
      </c>
    </row>
    <row r="414" spans="2:23" x14ac:dyDescent="0.3">
      <c r="B414" s="116" t="e" vm="29">
        <v>#VALUE!</v>
      </c>
      <c r="C414" s="117">
        <v>45826</v>
      </c>
      <c r="D414" s="116">
        <v>3</v>
      </c>
      <c r="E414" s="118">
        <v>1643.9</v>
      </c>
      <c r="F414" s="118">
        <f>D414*E414*0.0022+7.81</f>
        <v>18.659740000000003</v>
      </c>
      <c r="G414" s="118">
        <f t="shared" si="89"/>
        <v>4950.3597400000008</v>
      </c>
      <c r="H414" s="119">
        <f t="shared" si="90"/>
        <v>3.7836324188413734E-3</v>
      </c>
      <c r="I414" s="120" cm="1">
        <f t="array" aca="1" ref="I414" ca="1">_FV(B414,"Price")</f>
        <v>1954</v>
      </c>
      <c r="J414" s="118">
        <f t="shared" ca="1" si="91"/>
        <v>5839.8203467607518</v>
      </c>
      <c r="K414" s="118">
        <f t="shared" ca="1" si="99"/>
        <v>5862</v>
      </c>
      <c r="L414" s="118">
        <f t="shared" si="98"/>
        <v>49.5</v>
      </c>
      <c r="M414" s="118">
        <f t="shared" ca="1" si="92"/>
        <v>938.96060676075103</v>
      </c>
      <c r="N414" s="121">
        <f t="shared" ca="1" si="93"/>
        <v>0.18967522686760355</v>
      </c>
      <c r="O414" s="122">
        <f t="shared" ca="1" si="94"/>
        <v>13.166666666666666</v>
      </c>
      <c r="P414" s="121">
        <f t="shared" ca="1" si="95"/>
        <v>0.17286856119579058</v>
      </c>
      <c r="Q414" s="118">
        <f t="shared" ca="1" si="96"/>
        <v>5384.8913171777785</v>
      </c>
      <c r="R414" s="118">
        <f t="shared" si="97"/>
        <v>-4950.3597400000008</v>
      </c>
      <c r="S414" s="123" t="s">
        <v>266</v>
      </c>
      <c r="T414" s="118" t="s">
        <v>216</v>
      </c>
      <c r="U414" s="118" t="s">
        <v>217</v>
      </c>
      <c r="V414" s="118" t="s">
        <v>267</v>
      </c>
      <c r="W414" s="118" t="s">
        <v>219</v>
      </c>
    </row>
    <row r="415" spans="2:23" x14ac:dyDescent="0.3">
      <c r="B415" s="116" t="e" vm="29">
        <v>#VALUE!</v>
      </c>
      <c r="C415" s="117">
        <v>45841</v>
      </c>
      <c r="D415" s="116">
        <v>3</v>
      </c>
      <c r="E415" s="118">
        <v>1685.3</v>
      </c>
      <c r="F415" s="118">
        <f>D415*E415*0.0022+8.01</f>
        <v>19.13298</v>
      </c>
      <c r="G415" s="118">
        <f t="shared" si="89"/>
        <v>5075.03298</v>
      </c>
      <c r="H415" s="119">
        <f t="shared" si="90"/>
        <v>3.7842876639174036E-3</v>
      </c>
      <c r="I415" s="120" cm="1">
        <f t="array" aca="1" ref="I415" ca="1">_FV(B415,"Price")</f>
        <v>1954</v>
      </c>
      <c r="J415" s="118">
        <f t="shared" ca="1" si="91"/>
        <v>5839.8165057141168</v>
      </c>
      <c r="K415" s="118">
        <f t="shared" ca="1" si="99"/>
        <v>5862</v>
      </c>
      <c r="L415" s="118">
        <f t="shared" si="98"/>
        <v>49.5</v>
      </c>
      <c r="M415" s="118">
        <f t="shared" ca="1" si="92"/>
        <v>814.28352571411688</v>
      </c>
      <c r="N415" s="121">
        <f t="shared" ca="1" si="93"/>
        <v>0.16044891312491863</v>
      </c>
      <c r="O415" s="122">
        <f t="shared" ca="1" si="94"/>
        <v>12.666666666666666</v>
      </c>
      <c r="P415" s="121">
        <f t="shared" ca="1" si="95"/>
        <v>0.15200423348676501</v>
      </c>
      <c r="Q415" s="118">
        <f t="shared" ca="1" si="96"/>
        <v>5503.5913205333336</v>
      </c>
      <c r="R415" s="118">
        <f t="shared" si="97"/>
        <v>-5075.03298</v>
      </c>
      <c r="S415" s="123" t="s">
        <v>266</v>
      </c>
      <c r="T415" s="118" t="s">
        <v>216</v>
      </c>
      <c r="U415" s="118" t="s">
        <v>217</v>
      </c>
      <c r="V415" s="118" t="s">
        <v>267</v>
      </c>
      <c r="W415" s="118" t="s">
        <v>219</v>
      </c>
    </row>
    <row r="416" spans="2:23" x14ac:dyDescent="0.3">
      <c r="B416" s="116" t="e" vm="29">
        <v>#VALUE!</v>
      </c>
      <c r="C416" s="117">
        <v>45873</v>
      </c>
      <c r="D416" s="116">
        <v>3</v>
      </c>
      <c r="E416" s="118">
        <v>1639.2</v>
      </c>
      <c r="F416" s="118">
        <f>D416*E416*0.0022+7.8</f>
        <v>18.61872</v>
      </c>
      <c r="G416" s="118">
        <f t="shared" si="89"/>
        <v>4936.2187200000008</v>
      </c>
      <c r="H416" s="119">
        <f t="shared" si="90"/>
        <v>3.7861395802830647E-3</v>
      </c>
      <c r="I416" s="120" cm="1">
        <f t="array" aca="1" ref="I416" ca="1">_FV(B416,"Price")</f>
        <v>1954</v>
      </c>
      <c r="J416" s="118">
        <f t="shared" ca="1" si="91"/>
        <v>5839.8056497803809</v>
      </c>
      <c r="K416" s="118">
        <f t="shared" ca="1" si="99"/>
        <v>5862</v>
      </c>
      <c r="L416" s="118">
        <f>3*11</f>
        <v>33</v>
      </c>
      <c r="M416" s="118">
        <f t="shared" ca="1" si="92"/>
        <v>936.58692978038016</v>
      </c>
      <c r="N416" s="121">
        <f t="shared" ca="1" si="93"/>
        <v>0.18973772900005939</v>
      </c>
      <c r="O416" s="122">
        <f t="shared" ca="1" si="94"/>
        <v>11.633333333333333</v>
      </c>
      <c r="P416" s="121">
        <f t="shared" ca="1" si="95"/>
        <v>0.19571800126080624</v>
      </c>
      <c r="Q416" s="118">
        <f t="shared" ca="1" si="96"/>
        <v>5319.0499051733341</v>
      </c>
      <c r="R416" s="118">
        <f t="shared" si="97"/>
        <v>-4936.2187200000008</v>
      </c>
      <c r="S416" s="123" t="s">
        <v>266</v>
      </c>
      <c r="T416" s="118" t="s">
        <v>216</v>
      </c>
      <c r="U416" s="118" t="s">
        <v>217</v>
      </c>
      <c r="V416" s="118" t="s">
        <v>267</v>
      </c>
      <c r="W416" s="118" t="s">
        <v>219</v>
      </c>
    </row>
    <row r="417" spans="2:23" x14ac:dyDescent="0.3">
      <c r="B417" s="116" t="e" vm="29">
        <v>#VALUE!</v>
      </c>
      <c r="C417" s="117">
        <v>45903</v>
      </c>
      <c r="D417" s="116">
        <v>3</v>
      </c>
      <c r="E417" s="118">
        <v>1576.8</v>
      </c>
      <c r="F417" s="118">
        <f>D417*E417*0.0022+7.49</f>
        <v>17.896879999999999</v>
      </c>
      <c r="G417" s="118">
        <f t="shared" si="89"/>
        <v>4748.2968799999999</v>
      </c>
      <c r="H417" s="119">
        <f t="shared" si="90"/>
        <v>3.7833756130559787E-3</v>
      </c>
      <c r="I417" s="120" cm="1">
        <f t="array" aca="1" ref="I417" ca="1">_FV(B417,"Price")</f>
        <v>1954</v>
      </c>
      <c r="J417" s="118">
        <f t="shared" ca="1" si="91"/>
        <v>5839.8218521562658</v>
      </c>
      <c r="K417" s="118">
        <f t="shared" ca="1" si="99"/>
        <v>5862</v>
      </c>
      <c r="L417" s="118">
        <f t="shared" ref="L417:L422" si="100">3*11</f>
        <v>33</v>
      </c>
      <c r="M417" s="118">
        <f t="shared" ca="1" si="92"/>
        <v>1124.5249721562659</v>
      </c>
      <c r="N417" s="121">
        <f t="shared" ca="1" si="93"/>
        <v>0.2368270141011625</v>
      </c>
      <c r="O417" s="122">
        <f t="shared" ca="1" si="94"/>
        <v>10.666666666666666</v>
      </c>
      <c r="P417" s="121">
        <f t="shared" ca="1" si="95"/>
        <v>0.26643039086380782</v>
      </c>
      <c r="Q417" s="118">
        <f t="shared" ca="1" si="96"/>
        <v>5085.9535470222218</v>
      </c>
      <c r="R417" s="118">
        <f t="shared" si="97"/>
        <v>-4748.2968799999999</v>
      </c>
      <c r="S417" s="123" t="s">
        <v>266</v>
      </c>
      <c r="T417" s="118" t="s">
        <v>216</v>
      </c>
      <c r="U417" s="118" t="s">
        <v>217</v>
      </c>
      <c r="V417" s="118" t="s">
        <v>267</v>
      </c>
      <c r="W417" s="118" t="s">
        <v>219</v>
      </c>
    </row>
    <row r="418" spans="2:23" x14ac:dyDescent="0.3">
      <c r="B418" s="116" t="e" vm="29">
        <v>#VALUE!</v>
      </c>
      <c r="C418" s="117">
        <v>45933</v>
      </c>
      <c r="D418" s="116">
        <v>3</v>
      </c>
      <c r="E418" s="118">
        <v>1613.8</v>
      </c>
      <c r="F418" s="118">
        <f>D418*E418*0.0022+7.66</f>
        <v>18.31108</v>
      </c>
      <c r="G418" s="118">
        <f t="shared" si="89"/>
        <v>4859.71108</v>
      </c>
      <c r="H418" s="119">
        <f t="shared" si="90"/>
        <v>3.7821869707109516E-3</v>
      </c>
      <c r="I418" s="120" cm="1">
        <f t="array" aca="1" ref="I418" ca="1">_FV(B418,"Price")</f>
        <v>1954</v>
      </c>
      <c r="J418" s="118">
        <f t="shared" ca="1" si="91"/>
        <v>5839.8288199776925</v>
      </c>
      <c r="K418" s="118">
        <f t="shared" ca="1" si="99"/>
        <v>5862</v>
      </c>
      <c r="L418" s="118">
        <f t="shared" si="100"/>
        <v>33</v>
      </c>
      <c r="M418" s="118">
        <f t="shared" ca="1" si="92"/>
        <v>1013.1177399776925</v>
      </c>
      <c r="N418" s="121">
        <f t="shared" ca="1" si="93"/>
        <v>0.20847283373432407</v>
      </c>
      <c r="O418" s="122">
        <f t="shared" ca="1" si="94"/>
        <v>9.6666666666666661</v>
      </c>
      <c r="P418" s="121">
        <f t="shared" ca="1" si="95"/>
        <v>0.25879386256674713</v>
      </c>
      <c r="Q418" s="118">
        <f t="shared" ca="1" si="96"/>
        <v>5172.8924607111112</v>
      </c>
      <c r="R418" s="118">
        <f t="shared" si="97"/>
        <v>-4859.71108</v>
      </c>
      <c r="S418" s="123" t="s">
        <v>266</v>
      </c>
      <c r="T418" s="118" t="s">
        <v>216</v>
      </c>
      <c r="U418" s="118" t="s">
        <v>217</v>
      </c>
      <c r="V418" s="118" t="s">
        <v>267</v>
      </c>
      <c r="W418" s="118" t="s">
        <v>219</v>
      </c>
    </row>
    <row r="419" spans="2:23" x14ac:dyDescent="0.3">
      <c r="B419" s="116" t="e" vm="29">
        <v>#VALUE!</v>
      </c>
      <c r="C419" s="117">
        <v>45964</v>
      </c>
      <c r="D419" s="116">
        <v>3</v>
      </c>
      <c r="E419" s="118">
        <v>1697</v>
      </c>
      <c r="F419" s="118">
        <f>D419*E419*0.0022+7.7</f>
        <v>18.900200000000002</v>
      </c>
      <c r="G419" s="118">
        <f t="shared" si="89"/>
        <v>5109.9002</v>
      </c>
      <c r="H419" s="119">
        <f t="shared" si="90"/>
        <v>3.7124729915537225E-3</v>
      </c>
      <c r="I419" s="120" cm="1">
        <f t="array" aca="1" ref="I419" ca="1">_FV(B419,"Price")</f>
        <v>1954</v>
      </c>
      <c r="J419" s="118">
        <f t="shared" ca="1" si="91"/>
        <v>5840.2374833235117</v>
      </c>
      <c r="K419" s="118">
        <f t="shared" ca="1" si="99"/>
        <v>5862</v>
      </c>
      <c r="L419" s="118">
        <f t="shared" si="100"/>
        <v>33</v>
      </c>
      <c r="M419" s="118">
        <f t="shared" ca="1" si="92"/>
        <v>763.33728332351166</v>
      </c>
      <c r="N419" s="121">
        <f t="shared" ca="1" si="93"/>
        <v>0.14938399057647186</v>
      </c>
      <c r="O419" s="122">
        <f t="shared" ca="1" si="94"/>
        <v>8.6666666666666661</v>
      </c>
      <c r="P419" s="121">
        <f t="shared" ca="1" si="95"/>
        <v>0.20683937156742258</v>
      </c>
      <c r="Q419" s="118">
        <f t="shared" ca="1" si="96"/>
        <v>5405.138878222222</v>
      </c>
      <c r="R419" s="118">
        <f t="shared" si="97"/>
        <v>-5109.9002</v>
      </c>
      <c r="S419" s="123" t="s">
        <v>266</v>
      </c>
      <c r="T419" s="118" t="s">
        <v>216</v>
      </c>
      <c r="U419" s="118" t="s">
        <v>217</v>
      </c>
      <c r="V419" s="118" t="s">
        <v>267</v>
      </c>
      <c r="W419" s="118" t="s">
        <v>219</v>
      </c>
    </row>
    <row r="420" spans="2:23" x14ac:dyDescent="0.3">
      <c r="B420" s="116" t="e" vm="29">
        <v>#VALUE!</v>
      </c>
      <c r="C420" s="117">
        <v>45994</v>
      </c>
      <c r="D420" s="116">
        <v>3</v>
      </c>
      <c r="E420" s="118">
        <v>1788.9</v>
      </c>
      <c r="F420" s="118">
        <f>D420*E420*0.0022+8.33</f>
        <v>20.136740000000003</v>
      </c>
      <c r="G420" s="118">
        <f t="shared" si="89"/>
        <v>5386.8367400000006</v>
      </c>
      <c r="H420" s="119">
        <f t="shared" si="90"/>
        <v>3.7521642722716008E-3</v>
      </c>
      <c r="I420" s="120" cm="1">
        <f t="array" aca="1" ref="I420" ca="1">_FV(B420,"Price")</f>
        <v>1954</v>
      </c>
      <c r="J420" s="118">
        <f t="shared" ca="1" si="91"/>
        <v>5840.0048130359437</v>
      </c>
      <c r="K420" s="118">
        <f t="shared" ca="1" si="99"/>
        <v>5862</v>
      </c>
      <c r="L420" s="118">
        <f t="shared" si="100"/>
        <v>33</v>
      </c>
      <c r="M420" s="118">
        <f t="shared" ca="1" si="92"/>
        <v>486.16807303594305</v>
      </c>
      <c r="N420" s="121">
        <f t="shared" ca="1" si="93"/>
        <v>9.0251124454152842E-2</v>
      </c>
      <c r="O420" s="122">
        <f t="shared" ca="1" si="94"/>
        <v>7.666666666666667</v>
      </c>
      <c r="P420" s="121">
        <f t="shared" ca="1" si="95"/>
        <v>0.14126262958041313</v>
      </c>
      <c r="Q420" s="118">
        <f t="shared" ca="1" si="96"/>
        <v>5662.1639511555559</v>
      </c>
      <c r="R420" s="118">
        <f t="shared" si="97"/>
        <v>-5386.8367400000006</v>
      </c>
      <c r="S420" s="123" t="s">
        <v>266</v>
      </c>
      <c r="T420" s="118" t="s">
        <v>216</v>
      </c>
      <c r="U420" s="118" t="s">
        <v>217</v>
      </c>
      <c r="V420" s="118" t="s">
        <v>267</v>
      </c>
      <c r="W420" s="118" t="s">
        <v>219</v>
      </c>
    </row>
    <row r="421" spans="2:23" x14ac:dyDescent="0.3">
      <c r="B421" s="116" t="e" vm="29">
        <v>#VALUE!</v>
      </c>
      <c r="C421" s="117">
        <v>46027</v>
      </c>
      <c r="D421" s="116">
        <v>3</v>
      </c>
      <c r="E421" s="118">
        <v>1744</v>
      </c>
      <c r="F421" s="118">
        <f>D421*E421*0.0022+8.28</f>
        <v>19.790399999999998</v>
      </c>
      <c r="G421" s="118">
        <f t="shared" si="89"/>
        <v>5251.7903999999999</v>
      </c>
      <c r="H421" s="119">
        <f t="shared" si="90"/>
        <v>3.7825688073394492E-3</v>
      </c>
      <c r="I421" s="120" cm="1">
        <f t="array" aca="1" ref="I421" ca="1">_FV(B421,"Price")</f>
        <v>1954</v>
      </c>
      <c r="J421" s="118">
        <f t="shared" ca="1" si="91"/>
        <v>5839.8265816513767</v>
      </c>
      <c r="K421" s="118">
        <f t="shared" ca="1" si="99"/>
        <v>5862</v>
      </c>
      <c r="L421" s="118">
        <f t="shared" si="100"/>
        <v>33</v>
      </c>
      <c r="M421" s="118">
        <f t="shared" ca="1" si="92"/>
        <v>621.03618165137686</v>
      </c>
      <c r="N421" s="121">
        <f t="shared" ca="1" si="93"/>
        <v>0.11825227862318666</v>
      </c>
      <c r="O421" s="122">
        <f t="shared" ca="1" si="94"/>
        <v>6.6</v>
      </c>
      <c r="P421" s="121">
        <f t="shared" ca="1" si="95"/>
        <v>0.21500414295124848</v>
      </c>
      <c r="Q421" s="118">
        <f t="shared" ca="1" si="96"/>
        <v>5482.8691775999996</v>
      </c>
      <c r="R421" s="118">
        <f t="shared" si="97"/>
        <v>-5251.7903999999999</v>
      </c>
      <c r="S421" s="123" t="s">
        <v>266</v>
      </c>
      <c r="T421" s="118" t="s">
        <v>216</v>
      </c>
      <c r="U421" s="118" t="s">
        <v>217</v>
      </c>
      <c r="V421" s="118" t="s">
        <v>267</v>
      </c>
      <c r="W421" s="118" t="s">
        <v>219</v>
      </c>
    </row>
    <row r="422" spans="2:23" x14ac:dyDescent="0.3">
      <c r="B422" s="116" t="e" vm="29">
        <v>#VALUE!</v>
      </c>
      <c r="C422" s="117">
        <v>46056</v>
      </c>
      <c r="D422" s="116">
        <v>3</v>
      </c>
      <c r="E422" s="118">
        <v>1696.4</v>
      </c>
      <c r="F422" s="118">
        <f>D422*E422*0.0022+8.05</f>
        <v>19.246240000000004</v>
      </c>
      <c r="G422" s="118">
        <f t="shared" si="89"/>
        <v>5108.4462400000011</v>
      </c>
      <c r="H422" s="119">
        <f t="shared" si="90"/>
        <v>3.7817810264874638E-3</v>
      </c>
      <c r="I422" s="120" cm="1">
        <f t="array" aca="1" ref="I422" ca="1">_FV(B422,"Price")</f>
        <v>1954</v>
      </c>
      <c r="J422" s="118">
        <f t="shared" ca="1" si="91"/>
        <v>5839.8311996227303</v>
      </c>
      <c r="K422" s="118">
        <f t="shared" ca="1" si="99"/>
        <v>5862</v>
      </c>
      <c r="L422" s="118">
        <f t="shared" si="100"/>
        <v>33</v>
      </c>
      <c r="M422" s="118">
        <f t="shared" ca="1" si="92"/>
        <v>764.38495962272918</v>
      </c>
      <c r="N422" s="121">
        <f t="shared" ca="1" si="93"/>
        <v>0.14963159514872942</v>
      </c>
      <c r="O422" s="122">
        <f t="shared" ca="1" si="94"/>
        <v>5.666666666666667</v>
      </c>
      <c r="P422" s="121">
        <f t="shared" ca="1" si="95"/>
        <v>0.31686690737377993</v>
      </c>
      <c r="Q422" s="118">
        <f t="shared" ca="1" si="96"/>
        <v>5301.4319868444454</v>
      </c>
      <c r="R422" s="118">
        <f t="shared" si="97"/>
        <v>-5108.4462400000011</v>
      </c>
      <c r="S422" s="123" t="s">
        <v>266</v>
      </c>
      <c r="T422" s="118" t="s">
        <v>216</v>
      </c>
      <c r="U422" s="118" t="s">
        <v>217</v>
      </c>
      <c r="V422" s="118" t="s">
        <v>267</v>
      </c>
      <c r="W422" s="118" t="s">
        <v>219</v>
      </c>
    </row>
    <row r="423" spans="2:23" x14ac:dyDescent="0.3">
      <c r="B423" s="116" t="e" vm="29">
        <v>#VALUE!</v>
      </c>
      <c r="C423" s="117">
        <v>46085</v>
      </c>
      <c r="D423" s="116">
        <v>3</v>
      </c>
      <c r="E423" s="118">
        <v>1741.8</v>
      </c>
      <c r="F423" s="118">
        <f>D423*E423*0.0022+8.26</f>
        <v>19.755879999999998</v>
      </c>
      <c r="G423" s="118">
        <f t="shared" si="89"/>
        <v>5245.1558799999993</v>
      </c>
      <c r="H423" s="119">
        <f t="shared" si="90"/>
        <v>3.7807402304129824E-3</v>
      </c>
      <c r="I423" s="120" cm="1">
        <f t="array" aca="1" ref="I423" ca="1">_FV(B423,"Price")</f>
        <v>1954</v>
      </c>
      <c r="J423" s="118">
        <f t="shared" ca="1" si="91"/>
        <v>5839.837300769319</v>
      </c>
      <c r="K423" s="118">
        <f t="shared" ca="1" si="99"/>
        <v>5862</v>
      </c>
      <c r="L423" s="118">
        <v>0</v>
      </c>
      <c r="M423" s="118">
        <f t="shared" ca="1" si="92"/>
        <v>594.68142076931963</v>
      </c>
      <c r="N423" s="121">
        <f t="shared" ca="1" si="93"/>
        <v>0.11337726358845977</v>
      </c>
      <c r="O423" s="122">
        <f t="shared" ca="1" si="94"/>
        <v>4.6333333333333337</v>
      </c>
      <c r="P423" s="121">
        <f t="shared" ca="1" si="95"/>
        <v>0.29363895605644252</v>
      </c>
      <c r="Q423" s="118">
        <f t="shared" ca="1" si="96"/>
        <v>5407.1729171822217</v>
      </c>
      <c r="R423" s="118">
        <f t="shared" si="97"/>
        <v>-5245.1558799999993</v>
      </c>
      <c r="S423" s="123" t="s">
        <v>266</v>
      </c>
      <c r="T423" s="118" t="s">
        <v>216</v>
      </c>
      <c r="U423" s="118" t="s">
        <v>217</v>
      </c>
      <c r="V423" s="118" t="s">
        <v>267</v>
      </c>
      <c r="W423" s="118" t="s">
        <v>219</v>
      </c>
    </row>
    <row r="424" spans="2:23" x14ac:dyDescent="0.3">
      <c r="B424" s="116" t="e" vm="29">
        <v>#VALUE!</v>
      </c>
      <c r="C424" s="117">
        <v>46118</v>
      </c>
      <c r="D424" s="116">
        <v>3</v>
      </c>
      <c r="E424" s="118">
        <v>1683.5</v>
      </c>
      <c r="F424" s="118">
        <f>D424*E424*0.0022+8</f>
        <v>19.1111</v>
      </c>
      <c r="G424" s="118">
        <f t="shared" si="89"/>
        <v>5069.6111000000001</v>
      </c>
      <c r="H424" s="119">
        <f t="shared" si="90"/>
        <v>3.784001584001584E-3</v>
      </c>
      <c r="I424" s="120" cm="1">
        <f t="array" aca="1" ref="I424" ca="1">_FV(B424,"Price")</f>
        <v>1954</v>
      </c>
      <c r="J424" s="118">
        <f t="shared" ca="1" si="91"/>
        <v>5839.8181827145827</v>
      </c>
      <c r="K424" s="118">
        <f t="shared" ca="1" si="99"/>
        <v>5862</v>
      </c>
      <c r="L424" s="118">
        <v>0</v>
      </c>
      <c r="M424" s="118">
        <f t="shared" ca="1" si="92"/>
        <v>770.20708271458261</v>
      </c>
      <c r="N424" s="121">
        <f t="shared" ca="1" si="93"/>
        <v>0.15192626564877582</v>
      </c>
      <c r="O424" s="122">
        <f t="shared" ca="1" si="94"/>
        <v>3.5666666666666669</v>
      </c>
      <c r="P424" s="121">
        <f t="shared" ca="1" si="95"/>
        <v>0.51115379096784386</v>
      </c>
      <c r="Q424" s="118">
        <f t="shared" ca="1" si="96"/>
        <v>5190.1551861555554</v>
      </c>
      <c r="R424" s="118">
        <f t="shared" si="97"/>
        <v>-5069.6111000000001</v>
      </c>
      <c r="S424" s="123" t="s">
        <v>266</v>
      </c>
      <c r="T424" s="118" t="s">
        <v>216</v>
      </c>
      <c r="U424" s="118" t="s">
        <v>217</v>
      </c>
      <c r="V424" s="118" t="s">
        <v>267</v>
      </c>
      <c r="W424" s="118" t="s">
        <v>219</v>
      </c>
    </row>
    <row r="425" spans="2:23" x14ac:dyDescent="0.3">
      <c r="B425" s="116" t="e" vm="29">
        <v>#VALUE!</v>
      </c>
      <c r="C425" s="117">
        <v>46146</v>
      </c>
      <c r="D425" s="116">
        <v>3</v>
      </c>
      <c r="E425" s="118">
        <v>1827.1</v>
      </c>
      <c r="F425" s="118">
        <f>D425*E425*0.0022+8.67</f>
        <v>20.728859999999997</v>
      </c>
      <c r="G425" s="118">
        <f t="shared" si="89"/>
        <v>5502.0288599999994</v>
      </c>
      <c r="H425" s="119">
        <f t="shared" si="90"/>
        <v>3.7817415576596792E-3</v>
      </c>
      <c r="I425" s="120" cm="1">
        <f t="array" aca="1" ref="I425" ca="1">_FV(B425,"Price")</f>
        <v>1954</v>
      </c>
      <c r="J425" s="118">
        <f t="shared" ca="1" si="91"/>
        <v>5839.8314309889993</v>
      </c>
      <c r="K425" s="118">
        <f t="shared" ca="1" si="99"/>
        <v>5862</v>
      </c>
      <c r="L425" s="118">
        <v>0</v>
      </c>
      <c r="M425" s="118">
        <f t="shared" ca="1" si="92"/>
        <v>337.80257098899983</v>
      </c>
      <c r="N425" s="121">
        <f t="shared" ca="1" si="93"/>
        <v>6.1396001290513015E-2</v>
      </c>
      <c r="O425" s="122">
        <f t="shared" ca="1" si="94"/>
        <v>2.6333333333333333</v>
      </c>
      <c r="P425" s="121">
        <f t="shared" ca="1" si="95"/>
        <v>0.27977924638714791</v>
      </c>
      <c r="Q425" s="118">
        <f t="shared" ca="1" si="96"/>
        <v>5598.6200333199995</v>
      </c>
      <c r="R425" s="118">
        <f t="shared" si="97"/>
        <v>-5502.0288599999994</v>
      </c>
      <c r="S425" s="123" t="s">
        <v>266</v>
      </c>
      <c r="T425" s="118" t="s">
        <v>216</v>
      </c>
      <c r="U425" s="118" t="s">
        <v>217</v>
      </c>
      <c r="V425" s="118" t="s">
        <v>267</v>
      </c>
      <c r="W425" s="118" t="s">
        <v>219</v>
      </c>
    </row>
    <row r="426" spans="2:23" x14ac:dyDescent="0.3">
      <c r="B426" s="116" t="e" vm="29">
        <v>#VALUE!</v>
      </c>
      <c r="C426" s="117">
        <v>46176</v>
      </c>
      <c r="D426" s="116">
        <v>3</v>
      </c>
      <c r="E426" s="118">
        <v>1783</v>
      </c>
      <c r="F426" s="118">
        <f>D426*E426*0.0022+8.47</f>
        <v>20.2378</v>
      </c>
      <c r="G426" s="118">
        <f t="shared" si="89"/>
        <v>5369.2377999999999</v>
      </c>
      <c r="H426" s="119">
        <f t="shared" si="90"/>
        <v>3.7834735464572816E-3</v>
      </c>
      <c r="I426" s="120" cm="1">
        <f t="array" aca="1" ref="I426" ca="1">_FV(B426,"Price")</f>
        <v>1954</v>
      </c>
      <c r="J426" s="118">
        <f t="shared" ca="1" si="91"/>
        <v>5839.8212780706672</v>
      </c>
      <c r="K426" s="118">
        <f t="shared" ca="1" si="99"/>
        <v>5862</v>
      </c>
      <c r="L426" s="118">
        <v>0</v>
      </c>
      <c r="M426" s="118">
        <f t="shared" ca="1" si="92"/>
        <v>470.5834780706673</v>
      </c>
      <c r="N426" s="121">
        <f t="shared" ca="1" si="93"/>
        <v>8.7644372553338443E-2</v>
      </c>
      <c r="O426" s="122">
        <f t="shared" ca="1" si="94"/>
        <v>1.6666666666666667</v>
      </c>
      <c r="P426" s="121">
        <f t="shared" ca="1" si="95"/>
        <v>0.63103948238403684</v>
      </c>
      <c r="Q426" s="118">
        <f t="shared" ca="1" si="96"/>
        <v>5428.8959977777777</v>
      </c>
      <c r="R426" s="118">
        <f t="shared" si="97"/>
        <v>-5369.2377999999999</v>
      </c>
      <c r="S426" s="123" t="s">
        <v>266</v>
      </c>
      <c r="T426" s="118" t="s">
        <v>216</v>
      </c>
      <c r="U426" s="118" t="s">
        <v>217</v>
      </c>
      <c r="V426" s="118" t="s">
        <v>267</v>
      </c>
      <c r="W426" s="118" t="s">
        <v>219</v>
      </c>
    </row>
    <row r="427" spans="2:23" x14ac:dyDescent="0.3">
      <c r="B427" s="116" t="e" vm="29">
        <v>#VALUE!</v>
      </c>
      <c r="C427" s="117">
        <v>46206</v>
      </c>
      <c r="D427" s="116">
        <v>3</v>
      </c>
      <c r="E427" s="118">
        <v>1910.7</v>
      </c>
      <c r="F427" s="118">
        <f>D427*E427*0.0022+9.07</f>
        <v>21.680620000000001</v>
      </c>
      <c r="G427" s="118">
        <f t="shared" si="89"/>
        <v>5753.7806200000005</v>
      </c>
      <c r="H427" s="119">
        <f t="shared" si="90"/>
        <v>3.7823171263585771E-3</v>
      </c>
      <c r="I427" s="120" cm="1">
        <f t="array" aca="1" ref="I427" ca="1">_FV(B427,"Price")</f>
        <v>1954</v>
      </c>
      <c r="J427" s="118">
        <f t="shared" ca="1" si="91"/>
        <v>5839.8280570052857</v>
      </c>
      <c r="K427" s="118">
        <f t="shared" ca="1" si="99"/>
        <v>5862</v>
      </c>
      <c r="L427" s="118">
        <v>0</v>
      </c>
      <c r="M427" s="118">
        <f t="shared" ca="1" si="92"/>
        <v>86.047437005285246</v>
      </c>
      <c r="N427" s="121">
        <f t="shared" ca="1" si="93"/>
        <v>1.495493879384043E-2</v>
      </c>
      <c r="O427" s="122">
        <f t="shared" ca="1" si="94"/>
        <v>0.66666666666666663</v>
      </c>
      <c r="P427" s="121">
        <f t="shared" ca="1" si="95"/>
        <v>0.26918889828912779</v>
      </c>
      <c r="Q427" s="118">
        <f t="shared" ca="1" si="96"/>
        <v>5779.3529783111117</v>
      </c>
      <c r="R427" s="118">
        <f t="shared" si="97"/>
        <v>-5753.7806200000005</v>
      </c>
      <c r="S427" s="123" t="s">
        <v>266</v>
      </c>
      <c r="T427" s="118" t="s">
        <v>216</v>
      </c>
      <c r="U427" s="118" t="s">
        <v>217</v>
      </c>
      <c r="V427" s="118" t="s">
        <v>267</v>
      </c>
      <c r="W427" s="118" t="s">
        <v>219</v>
      </c>
    </row>
    <row r="428" spans="2:23" x14ac:dyDescent="0.3">
      <c r="B428" s="116" t="e" vm="30">
        <v>#VALUE!</v>
      </c>
      <c r="C428" s="117">
        <v>45526</v>
      </c>
      <c r="D428" s="116">
        <v>5</v>
      </c>
      <c r="E428" s="118">
        <v>334.90922499999999</v>
      </c>
      <c r="F428" s="118">
        <v>6.3410964750000005</v>
      </c>
      <c r="G428" s="118">
        <f t="shared" si="89"/>
        <v>1680.8872214749999</v>
      </c>
      <c r="H428" s="119">
        <f t="shared" si="90"/>
        <v>3.7867553364646801E-3</v>
      </c>
      <c r="I428" s="120" cm="1">
        <f t="array" aca="1" ref="I428" ca="1">_FV(B428,"Price")</f>
        <v>407.9</v>
      </c>
      <c r="J428" s="118">
        <f t="shared" ca="1" si="91"/>
        <v>2031.7769124912804</v>
      </c>
      <c r="K428" s="118">
        <f t="shared" ca="1" si="99"/>
        <v>2039.5</v>
      </c>
      <c r="L428" s="118">
        <f>9.345+5*4</f>
        <v>29.344999999999999</v>
      </c>
      <c r="M428" s="118">
        <f t="shared" ca="1" si="92"/>
        <v>380.23469101628052</v>
      </c>
      <c r="N428" s="121">
        <f t="shared" ca="1" si="93"/>
        <v>0.22621070953387326</v>
      </c>
      <c r="O428" s="122">
        <f t="shared" ca="1" si="94"/>
        <v>23.033333333333335</v>
      </c>
      <c r="P428" s="121">
        <f t="shared" ca="1" si="95"/>
        <v>0.11785217862835654</v>
      </c>
      <c r="Q428" s="118">
        <f t="shared" ca="1" si="96"/>
        <v>1938.9967925948276</v>
      </c>
      <c r="R428" s="118">
        <f t="shared" si="97"/>
        <v>-1680.8872214749999</v>
      </c>
      <c r="S428" s="123" t="s">
        <v>220</v>
      </c>
      <c r="T428" s="118" t="s">
        <v>216</v>
      </c>
      <c r="U428" s="118" t="s">
        <v>217</v>
      </c>
      <c r="V428" s="118" t="s">
        <v>268</v>
      </c>
      <c r="W428" s="118" t="s">
        <v>219</v>
      </c>
    </row>
    <row r="429" spans="2:23" x14ac:dyDescent="0.3">
      <c r="B429" s="116" t="e" vm="30">
        <v>#VALUE!</v>
      </c>
      <c r="C429" s="117">
        <v>45541</v>
      </c>
      <c r="D429" s="116">
        <v>5</v>
      </c>
      <c r="E429" s="118">
        <v>327.10614999999996</v>
      </c>
      <c r="F429" s="118">
        <v>6.1929626499999992</v>
      </c>
      <c r="G429" s="118">
        <f t="shared" si="89"/>
        <v>1641.7237126499999</v>
      </c>
      <c r="H429" s="119">
        <f t="shared" si="90"/>
        <v>3.7865155699457194E-3</v>
      </c>
      <c r="I429" s="120" cm="1">
        <f t="array" aca="1" ref="I429" ca="1">_FV(B429,"Price")</f>
        <v>407.9</v>
      </c>
      <c r="J429" s="118">
        <f t="shared" ca="1" si="91"/>
        <v>2031.7774014950958</v>
      </c>
      <c r="K429" s="118">
        <f t="shared" ca="1" si="99"/>
        <v>2039.5</v>
      </c>
      <c r="L429" s="118">
        <f>9.345+5*4</f>
        <v>29.344999999999999</v>
      </c>
      <c r="M429" s="118">
        <f t="shared" ca="1" si="92"/>
        <v>419.39868884509588</v>
      </c>
      <c r="N429" s="121">
        <f t="shared" ca="1" si="93"/>
        <v>0.25546240552749311</v>
      </c>
      <c r="O429" s="122">
        <f t="shared" ca="1" si="94"/>
        <v>22.566666666666666</v>
      </c>
      <c r="P429" s="121">
        <f t="shared" ca="1" si="95"/>
        <v>0.13584411519925776</v>
      </c>
      <c r="Q429" s="118">
        <f t="shared" ca="1" si="96"/>
        <v>1888.7119245309</v>
      </c>
      <c r="R429" s="118">
        <f t="shared" si="97"/>
        <v>-1641.7237126499999</v>
      </c>
      <c r="S429" s="123" t="s">
        <v>220</v>
      </c>
      <c r="T429" s="118" t="s">
        <v>216</v>
      </c>
      <c r="U429" s="118" t="s">
        <v>217</v>
      </c>
      <c r="V429" s="118" t="s">
        <v>268</v>
      </c>
      <c r="W429" s="118" t="s">
        <v>219</v>
      </c>
    </row>
    <row r="430" spans="2:23" x14ac:dyDescent="0.3">
      <c r="B430" s="116" t="e" vm="30">
        <v>#VALUE!</v>
      </c>
      <c r="C430" s="117">
        <v>45548</v>
      </c>
      <c r="D430" s="116">
        <v>51</v>
      </c>
      <c r="E430" s="118">
        <v>309.9425</v>
      </c>
      <c r="F430" s="118">
        <v>60.053773500000005</v>
      </c>
      <c r="G430" s="118">
        <f t="shared" si="89"/>
        <v>15867.121273499999</v>
      </c>
      <c r="H430" s="119">
        <f t="shared" si="90"/>
        <v>3.7991723322494831E-3</v>
      </c>
      <c r="I430" s="120" cm="1">
        <f t="array" aca="1" ref="I430" ca="1">_FV(B430,"Price")</f>
        <v>407.9</v>
      </c>
      <c r="J430" s="118">
        <f t="shared" ca="1" si="91"/>
        <v>20723.866197889445</v>
      </c>
      <c r="K430" s="118">
        <f t="shared" ca="1" si="99"/>
        <v>20802.899999999998</v>
      </c>
      <c r="L430" s="118">
        <f>95.319+51*4</f>
        <v>299.31900000000002</v>
      </c>
      <c r="M430" s="118">
        <f t="shared" ca="1" si="92"/>
        <v>5156.0639243894466</v>
      </c>
      <c r="N430" s="121">
        <f t="shared" ca="1" si="93"/>
        <v>0.3249527015968986</v>
      </c>
      <c r="O430" s="122">
        <f t="shared" ca="1" si="94"/>
        <v>22.333333333333332</v>
      </c>
      <c r="P430" s="121">
        <f t="shared" ca="1" si="95"/>
        <v>0.17460145160430374</v>
      </c>
      <c r="Q430" s="118">
        <f t="shared" ca="1" si="96"/>
        <v>18229.559329776665</v>
      </c>
      <c r="R430" s="118">
        <f t="shared" si="97"/>
        <v>-15867.121273499999</v>
      </c>
      <c r="S430" s="123" t="s">
        <v>220</v>
      </c>
      <c r="T430" s="118" t="s">
        <v>216</v>
      </c>
      <c r="U430" s="118" t="s">
        <v>217</v>
      </c>
      <c r="V430" s="118" t="s">
        <v>268</v>
      </c>
      <c r="W430" s="118" t="s">
        <v>219</v>
      </c>
    </row>
    <row r="431" spans="2:23" x14ac:dyDescent="0.3">
      <c r="B431" s="116" t="e" vm="30">
        <v>#VALUE!</v>
      </c>
      <c r="C431" s="117">
        <v>45558</v>
      </c>
      <c r="D431" s="116">
        <v>6</v>
      </c>
      <c r="E431" s="118">
        <v>302.49765000000002</v>
      </c>
      <c r="F431" s="118">
        <v>6.8712289799999997</v>
      </c>
      <c r="G431" s="118">
        <f>(E431*D431)+F431</f>
        <v>1821.8571289800002</v>
      </c>
      <c r="H431" s="119">
        <f>F431/(D431*E431)</f>
        <v>3.7858305014931517E-3</v>
      </c>
      <c r="I431" s="120" cm="1">
        <f t="array" aca="1" ref="I431" ca="1">_FV(B431,"Price")</f>
        <v>407.9</v>
      </c>
      <c r="J431" s="118">
        <f t="shared" ca="1" si="91"/>
        <v>2438.134558430645</v>
      </c>
      <c r="K431" s="118">
        <f t="shared" ca="1" si="99"/>
        <v>2447.3999999999996</v>
      </c>
      <c r="L431" s="118">
        <f>11.214+6*4</f>
        <v>35.213999999999999</v>
      </c>
      <c r="M431" s="118">
        <f t="shared" ca="1" si="92"/>
        <v>651.49142945064477</v>
      </c>
      <c r="N431" s="121">
        <f t="shared" ca="1" si="93"/>
        <v>0.35759743126256782</v>
      </c>
      <c r="O431" s="122">
        <f t="shared" ca="1" si="94"/>
        <v>22</v>
      </c>
      <c r="P431" s="121">
        <f t="shared" ca="1" si="95"/>
        <v>0.19505314432503701</v>
      </c>
      <c r="Q431" s="118">
        <f t="shared" ca="1" si="96"/>
        <v>2089.0628412304004</v>
      </c>
      <c r="R431" s="118">
        <f t="shared" si="97"/>
        <v>-1821.8571289800002</v>
      </c>
      <c r="S431" s="123" t="s">
        <v>220</v>
      </c>
      <c r="T431" s="118" t="s">
        <v>216</v>
      </c>
      <c r="U431" s="118" t="s">
        <v>217</v>
      </c>
      <c r="V431" s="118" t="s">
        <v>268</v>
      </c>
      <c r="W431" s="118" t="s">
        <v>219</v>
      </c>
    </row>
    <row r="432" spans="2:23" x14ac:dyDescent="0.3">
      <c r="B432" s="116" t="e" vm="30">
        <v>#VALUE!</v>
      </c>
      <c r="C432" s="117">
        <v>45572</v>
      </c>
      <c r="D432" s="116">
        <v>6</v>
      </c>
      <c r="E432" s="118">
        <v>290.09994999999998</v>
      </c>
      <c r="F432" s="118">
        <v>6.5860943399999998</v>
      </c>
      <c r="G432" s="118">
        <f>(E432*D432)+F432</f>
        <v>1747.1857943399998</v>
      </c>
      <c r="H432" s="119">
        <f>F432/(D432*E432)</f>
        <v>3.7838075808010311E-3</v>
      </c>
      <c r="I432" s="120" cm="1">
        <f t="array" aca="1" ref="I432" ca="1">_FV(B432,"Price")</f>
        <v>407.9</v>
      </c>
      <c r="J432" s="118">
        <f t="shared" ca="1" si="91"/>
        <v>2438.1395093267474</v>
      </c>
      <c r="K432" s="118">
        <f t="shared" ca="1" si="99"/>
        <v>2447.3999999999996</v>
      </c>
      <c r="L432" s="118">
        <f>11.214+6*4</f>
        <v>35.213999999999999</v>
      </c>
      <c r="M432" s="118">
        <f t="shared" ca="1" si="92"/>
        <v>726.16771498674757</v>
      </c>
      <c r="N432" s="121">
        <f t="shared" ca="1" si="93"/>
        <v>0.41562134796377381</v>
      </c>
      <c r="O432" s="122">
        <f t="shared" ca="1" si="94"/>
        <v>21.533333333333335</v>
      </c>
      <c r="P432" s="121">
        <f t="shared" ca="1" si="95"/>
        <v>0.23161561186835689</v>
      </c>
      <c r="Q432" s="118">
        <f t="shared" ca="1" si="96"/>
        <v>1998.0040217052531</v>
      </c>
      <c r="R432" s="118">
        <f t="shared" si="97"/>
        <v>-1747.1857943399998</v>
      </c>
      <c r="S432" s="123" t="s">
        <v>220</v>
      </c>
      <c r="T432" s="118" t="s">
        <v>216</v>
      </c>
      <c r="U432" s="118" t="s">
        <v>217</v>
      </c>
      <c r="V432" s="118" t="s">
        <v>268</v>
      </c>
      <c r="W432" s="118" t="s">
        <v>219</v>
      </c>
    </row>
    <row r="433" spans="2:23" x14ac:dyDescent="0.3">
      <c r="B433" s="116" t="e" vm="30">
        <v>#VALUE!</v>
      </c>
      <c r="C433" s="117">
        <v>45581</v>
      </c>
      <c r="D433" s="116">
        <v>55</v>
      </c>
      <c r="E433" s="118">
        <v>282.09440000000001</v>
      </c>
      <c r="F433" s="118">
        <v>58.614207399999998</v>
      </c>
      <c r="G433" s="118">
        <f>(E433*D433)+F433</f>
        <v>15573.806207400001</v>
      </c>
      <c r="H433" s="119">
        <f>F433/(D433*E433)</f>
        <v>3.7778589784773528E-3</v>
      </c>
      <c r="I433" s="120" cm="1">
        <f t="array" aca="1" ref="I433" ca="1">_FV(B433,"Price")</f>
        <v>407.9</v>
      </c>
      <c r="J433" s="118">
        <f t="shared" ca="1" si="91"/>
        <v>22349.745622747349</v>
      </c>
      <c r="K433" s="118">
        <f t="shared" ca="1" si="99"/>
        <v>22434.5</v>
      </c>
      <c r="L433" s="118">
        <f>102.795+55*4</f>
        <v>322.79500000000002</v>
      </c>
      <c r="M433" s="118">
        <f t="shared" ca="1" si="92"/>
        <v>7098.7344153473477</v>
      </c>
      <c r="N433" s="121">
        <f t="shared" ca="1" si="93"/>
        <v>0.45581242766295216</v>
      </c>
      <c r="O433" s="122">
        <f t="shared" ca="1" si="94"/>
        <v>21.233333333333334</v>
      </c>
      <c r="P433" s="121">
        <f t="shared" ca="1" si="95"/>
        <v>0.25760199993510635</v>
      </c>
      <c r="Q433" s="118">
        <f t="shared" ca="1" si="96"/>
        <v>17778.364997203069</v>
      </c>
      <c r="R433" s="118">
        <f t="shared" si="97"/>
        <v>-15573.806207400001</v>
      </c>
      <c r="S433" s="123" t="s">
        <v>220</v>
      </c>
      <c r="T433" s="118" t="s">
        <v>216</v>
      </c>
      <c r="U433" s="118" t="s">
        <v>217</v>
      </c>
      <c r="V433" s="118" t="s">
        <v>268</v>
      </c>
      <c r="W433" s="118" t="s">
        <v>219</v>
      </c>
    </row>
    <row r="434" spans="2:23" x14ac:dyDescent="0.3">
      <c r="B434" s="116" t="e" vm="30">
        <v>#VALUE!</v>
      </c>
      <c r="C434" s="117">
        <v>45586</v>
      </c>
      <c r="D434" s="116">
        <v>6</v>
      </c>
      <c r="E434" s="118">
        <v>281.56484999999998</v>
      </c>
      <c r="F434" s="118">
        <v>6.3893260199999995</v>
      </c>
      <c r="G434" s="118">
        <f>(E434*D434)+F434</f>
        <v>1695.7784260199999</v>
      </c>
      <c r="H434" s="119">
        <f>F434/(D434*E434)</f>
        <v>3.7820334107755284E-3</v>
      </c>
      <c r="I434" s="120" cm="1">
        <f t="array" aca="1" ref="I434" ca="1">_FV(B434,"Price")</f>
        <v>407.9</v>
      </c>
      <c r="J434" s="118">
        <f t="shared" ca="1" si="91"/>
        <v>2438.1438514304677</v>
      </c>
      <c r="K434" s="118">
        <f t="shared" ca="1" si="99"/>
        <v>2447.3999999999996</v>
      </c>
      <c r="L434" s="118">
        <f>11.214+6*4</f>
        <v>35.213999999999999</v>
      </c>
      <c r="M434" s="118">
        <f t="shared" ca="1" si="92"/>
        <v>777.57942541046782</v>
      </c>
      <c r="N434" s="121">
        <f t="shared" ca="1" si="93"/>
        <v>0.45853834055163117</v>
      </c>
      <c r="O434" s="122">
        <f t="shared" ca="1" si="94"/>
        <v>21.066666666666666</v>
      </c>
      <c r="P434" s="121">
        <f t="shared" ca="1" si="95"/>
        <v>0.26119272563067597</v>
      </c>
      <c r="Q434" s="118">
        <f t="shared" ca="1" si="96"/>
        <v>1933.9410849632532</v>
      </c>
      <c r="R434" s="118">
        <f t="shared" si="97"/>
        <v>-1695.7784260199999</v>
      </c>
      <c r="S434" s="123" t="s">
        <v>220</v>
      </c>
      <c r="T434" s="118" t="s">
        <v>216</v>
      </c>
      <c r="U434" s="118" t="s">
        <v>217</v>
      </c>
      <c r="V434" s="118" t="s">
        <v>268</v>
      </c>
      <c r="W434" s="118" t="s">
        <v>219</v>
      </c>
    </row>
    <row r="435" spans="2:23" x14ac:dyDescent="0.3">
      <c r="B435" s="116" t="e" vm="30">
        <v>#VALUE!</v>
      </c>
      <c r="C435" s="117">
        <v>45601</v>
      </c>
      <c r="D435" s="116">
        <v>7</v>
      </c>
      <c r="E435" s="118">
        <v>259.91559999999998</v>
      </c>
      <c r="F435" s="118">
        <v>6.8871902399999998</v>
      </c>
      <c r="G435" s="118">
        <f>(E435*D435)+F435</f>
        <v>1826.2963902399999</v>
      </c>
      <c r="H435" s="119">
        <f>F435/(D435*E435)</f>
        <v>3.7853992603752913E-3</v>
      </c>
      <c r="I435" s="120" cm="1">
        <f t="array" aca="1" ref="I435" ca="1">_FV(B435,"Price")</f>
        <v>407.9</v>
      </c>
      <c r="J435" s="118">
        <f t="shared" ca="1" si="91"/>
        <v>2844.4915494918505</v>
      </c>
      <c r="K435" s="118">
        <f t="shared" ca="1" si="99"/>
        <v>2855.2999999999997</v>
      </c>
      <c r="L435" s="118">
        <f>13.083+7*4</f>
        <v>41.082999999999998</v>
      </c>
      <c r="M435" s="118">
        <f t="shared" ca="1" si="92"/>
        <v>1059.2781592518506</v>
      </c>
      <c r="N435" s="121">
        <f t="shared" ca="1" si="93"/>
        <v>0.58001437494636188</v>
      </c>
      <c r="O435" s="122">
        <f t="shared" ca="1" si="94"/>
        <v>20.6</v>
      </c>
      <c r="P435" s="121">
        <f t="shared" ca="1" si="95"/>
        <v>0.33787245142506517</v>
      </c>
      <c r="Q435" s="118">
        <f t="shared" ca="1" si="96"/>
        <v>2077.1077611662931</v>
      </c>
      <c r="R435" s="118">
        <f t="shared" si="97"/>
        <v>-1826.2963902399999</v>
      </c>
      <c r="S435" s="123" t="s">
        <v>220</v>
      </c>
      <c r="T435" s="118" t="s">
        <v>216</v>
      </c>
      <c r="U435" s="118" t="s">
        <v>217</v>
      </c>
      <c r="V435" s="118" t="s">
        <v>268</v>
      </c>
      <c r="W435" s="118" t="s">
        <v>219</v>
      </c>
    </row>
    <row r="436" spans="2:23" x14ac:dyDescent="0.3">
      <c r="B436" s="116" t="e" vm="30">
        <v>#VALUE!</v>
      </c>
      <c r="C436" s="117">
        <v>45608</v>
      </c>
      <c r="D436" s="116">
        <v>65</v>
      </c>
      <c r="E436" s="118">
        <v>247.128525</v>
      </c>
      <c r="F436" s="118">
        <v>60.991404074999991</v>
      </c>
      <c r="G436" s="118">
        <f t="shared" ref="G436:G455" si="101">(E436*D436)+F436</f>
        <v>16124.345529074999</v>
      </c>
      <c r="H436" s="119">
        <f t="shared" ref="H436:H455" si="102">F436/(D436*E436)</f>
        <v>3.7969283127536101E-3</v>
      </c>
      <c r="I436" s="120" cm="1">
        <f t="array" aca="1" ref="I436" ca="1">_FV(B436,"Price")</f>
        <v>407.9</v>
      </c>
      <c r="J436" s="118">
        <f t="shared" ca="1" si="91"/>
        <v>26412.830141179809</v>
      </c>
      <c r="K436" s="118">
        <f t="shared" ca="1" si="99"/>
        <v>26513.5</v>
      </c>
      <c r="L436" s="118">
        <f>121.485+65*4</f>
        <v>381.48500000000001</v>
      </c>
      <c r="M436" s="118">
        <f t="shared" ca="1" si="92"/>
        <v>10669.969612104811</v>
      </c>
      <c r="N436" s="121">
        <f t="shared" ca="1" si="93"/>
        <v>0.66173039971544889</v>
      </c>
      <c r="O436" s="122">
        <f t="shared" ca="1" si="94"/>
        <v>20.366666666666667</v>
      </c>
      <c r="P436" s="121">
        <f t="shared" ca="1" si="95"/>
        <v>0.3898902518781695</v>
      </c>
      <c r="Q436" s="118">
        <f t="shared" ca="1" si="96"/>
        <v>18313.673333133847</v>
      </c>
      <c r="R436" s="118">
        <f t="shared" si="97"/>
        <v>-16124.345529074999</v>
      </c>
      <c r="S436" s="123" t="s">
        <v>220</v>
      </c>
      <c r="T436" s="118" t="s">
        <v>216</v>
      </c>
      <c r="U436" s="118" t="s">
        <v>217</v>
      </c>
      <c r="V436" s="118" t="s">
        <v>268</v>
      </c>
      <c r="W436" s="118" t="s">
        <v>219</v>
      </c>
    </row>
    <row r="437" spans="2:23" x14ac:dyDescent="0.3">
      <c r="B437" s="116" t="e" vm="30">
        <v>#VALUE!</v>
      </c>
      <c r="C437" s="117">
        <v>45617</v>
      </c>
      <c r="D437" s="116">
        <v>7</v>
      </c>
      <c r="E437" s="118">
        <v>244.16927499999997</v>
      </c>
      <c r="F437" s="118">
        <v>6.4640268349999994</v>
      </c>
      <c r="G437" s="118">
        <f t="shared" si="101"/>
        <v>1715.6489518349997</v>
      </c>
      <c r="H437" s="119">
        <f t="shared" si="102"/>
        <v>3.7819353192575112E-3</v>
      </c>
      <c r="I437" s="120" cm="1">
        <f t="array" aca="1" ref="I437" ca="1">_FV(B437,"Price")</f>
        <v>407.9</v>
      </c>
      <c r="J437" s="118">
        <f t="shared" ca="1" si="91"/>
        <v>2844.5014400829236</v>
      </c>
      <c r="K437" s="118">
        <f t="shared" ca="1" si="99"/>
        <v>2855.2999999999997</v>
      </c>
      <c r="L437" s="118">
        <f>13.083+7*4</f>
        <v>41.082999999999998</v>
      </c>
      <c r="M437" s="118">
        <f t="shared" ca="1" si="92"/>
        <v>1169.935488247924</v>
      </c>
      <c r="N437" s="121">
        <f t="shared" ca="1" si="93"/>
        <v>0.68192009035216727</v>
      </c>
      <c r="O437" s="122">
        <f t="shared" ca="1" si="94"/>
        <v>20.066666666666666</v>
      </c>
      <c r="P437" s="121">
        <f t="shared" ca="1" si="95"/>
        <v>0.40779274506109675</v>
      </c>
      <c r="Q437" s="118">
        <f t="shared" ca="1" si="96"/>
        <v>1945.1646560582597</v>
      </c>
      <c r="R437" s="118">
        <f t="shared" si="97"/>
        <v>-1715.6489518349997</v>
      </c>
      <c r="S437" s="123" t="s">
        <v>220</v>
      </c>
      <c r="T437" s="118" t="s">
        <v>216</v>
      </c>
      <c r="U437" s="118" t="s">
        <v>217</v>
      </c>
      <c r="V437" s="118" t="s">
        <v>268</v>
      </c>
      <c r="W437" s="118" t="s">
        <v>219</v>
      </c>
    </row>
    <row r="438" spans="2:23" x14ac:dyDescent="0.3">
      <c r="B438" s="116" t="e" vm="30">
        <v>#VALUE!</v>
      </c>
      <c r="C438" s="117">
        <v>45631</v>
      </c>
      <c r="D438" s="116">
        <v>7</v>
      </c>
      <c r="E438" s="118">
        <v>244.06024999999997</v>
      </c>
      <c r="F438" s="118">
        <v>6.4592328499999994</v>
      </c>
      <c r="G438" s="118">
        <f t="shared" si="101"/>
        <v>1714.8809828499998</v>
      </c>
      <c r="H438" s="119">
        <f t="shared" si="102"/>
        <v>3.7808186707995262E-3</v>
      </c>
      <c r="I438" s="120" cm="1">
        <f t="array" aca="1" ref="I438" ca="1">_FV(B438,"Price")</f>
        <v>407.9</v>
      </c>
      <c r="J438" s="118">
        <f t="shared" ca="1" si="91"/>
        <v>2844.504628449266</v>
      </c>
      <c r="K438" s="118">
        <f t="shared" ca="1" si="99"/>
        <v>2855.2999999999997</v>
      </c>
      <c r="L438" s="118">
        <f>13.083+7*4</f>
        <v>41.082999999999998</v>
      </c>
      <c r="M438" s="118">
        <f t="shared" ca="1" si="92"/>
        <v>1170.7066455992663</v>
      </c>
      <c r="N438" s="121">
        <f t="shared" ca="1" si="93"/>
        <v>0.68267515781395061</v>
      </c>
      <c r="O438" s="122">
        <f t="shared" ca="1" si="94"/>
        <v>19.600000000000001</v>
      </c>
      <c r="P438" s="121">
        <f t="shared" ca="1" si="95"/>
        <v>0.41796438233507172</v>
      </c>
      <c r="Q438" s="118">
        <f t="shared" ca="1" si="96"/>
        <v>1938.9587646090665</v>
      </c>
      <c r="R438" s="118">
        <f t="shared" si="97"/>
        <v>-1714.8809828499998</v>
      </c>
      <c r="S438" s="123" t="s">
        <v>220</v>
      </c>
      <c r="T438" s="118" t="s">
        <v>216</v>
      </c>
      <c r="U438" s="118" t="s">
        <v>217</v>
      </c>
      <c r="V438" s="118" t="s">
        <v>268</v>
      </c>
      <c r="W438" s="118" t="s">
        <v>219</v>
      </c>
    </row>
    <row r="439" spans="2:23" x14ac:dyDescent="0.3">
      <c r="B439" s="116" t="e" vm="30">
        <v>#VALUE!</v>
      </c>
      <c r="C439" s="117">
        <v>45646</v>
      </c>
      <c r="D439" s="116">
        <v>8</v>
      </c>
      <c r="E439" s="118">
        <v>231.397775</v>
      </c>
      <c r="F439" s="118">
        <v>7.0038158400000006</v>
      </c>
      <c r="G439" s="118">
        <f t="shared" si="101"/>
        <v>1858.18601584</v>
      </c>
      <c r="H439" s="119">
        <f t="shared" si="102"/>
        <v>3.7834286868142965E-3</v>
      </c>
      <c r="I439" s="120" cm="1">
        <f t="array" aca="1" ref="I439" ca="1">_FV(B439,"Price")</f>
        <v>407.9</v>
      </c>
      <c r="J439" s="118">
        <f t="shared" ca="1" si="91"/>
        <v>3250.8539155091876</v>
      </c>
      <c r="K439" s="118">
        <f t="shared" ca="1" si="99"/>
        <v>3263.2</v>
      </c>
      <c r="L439" s="118">
        <f>14.952+8*4</f>
        <v>46.951999999999998</v>
      </c>
      <c r="M439" s="118">
        <f t="shared" ca="1" si="92"/>
        <v>1439.6198996691876</v>
      </c>
      <c r="N439" s="121">
        <f t="shared" ca="1" si="93"/>
        <v>0.7747447711893376</v>
      </c>
      <c r="O439" s="122">
        <f t="shared" ca="1" si="94"/>
        <v>19.100000000000001</v>
      </c>
      <c r="P439" s="121">
        <f t="shared" ca="1" si="95"/>
        <v>0.48675064158492409</v>
      </c>
      <c r="Q439" s="118">
        <f t="shared" ca="1" si="96"/>
        <v>2094.7950351902932</v>
      </c>
      <c r="R439" s="118">
        <f t="shared" si="97"/>
        <v>-1858.18601584</v>
      </c>
      <c r="S439" s="123" t="s">
        <v>220</v>
      </c>
      <c r="T439" s="118" t="s">
        <v>216</v>
      </c>
      <c r="U439" s="118" t="s">
        <v>217</v>
      </c>
      <c r="V439" s="118" t="s">
        <v>268</v>
      </c>
      <c r="W439" s="118" t="s">
        <v>219</v>
      </c>
    </row>
    <row r="440" spans="2:23" x14ac:dyDescent="0.3">
      <c r="B440" s="116" t="e" vm="30">
        <v>#VALUE!</v>
      </c>
      <c r="C440" s="117">
        <v>45663</v>
      </c>
      <c r="D440" s="116">
        <v>7</v>
      </c>
      <c r="E440" s="118">
        <v>244.06024999999997</v>
      </c>
      <c r="F440" s="118">
        <v>6.4592328499999994</v>
      </c>
      <c r="G440" s="118">
        <f t="shared" si="101"/>
        <v>1714.8809828499998</v>
      </c>
      <c r="H440" s="119">
        <f t="shared" si="102"/>
        <v>3.7808186707995262E-3</v>
      </c>
      <c r="I440" s="120" cm="1">
        <f t="array" aca="1" ref="I440" ca="1">_FV(B440,"Price")</f>
        <v>407.9</v>
      </c>
      <c r="J440" s="118">
        <f t="shared" ca="1" si="91"/>
        <v>2844.504628449266</v>
      </c>
      <c r="K440" s="118">
        <f t="shared" ca="1" si="99"/>
        <v>2855.2999999999997</v>
      </c>
      <c r="L440" s="118">
        <f>13.083+7*4</f>
        <v>41.082999999999998</v>
      </c>
      <c r="M440" s="118">
        <f t="shared" ca="1" si="92"/>
        <v>1170.7066455992663</v>
      </c>
      <c r="N440" s="121">
        <f t="shared" ca="1" si="93"/>
        <v>0.68267515781395061</v>
      </c>
      <c r="O440" s="122">
        <f t="shared" ca="1" si="94"/>
        <v>18.566666666666666</v>
      </c>
      <c r="P440" s="121">
        <f t="shared" ca="1" si="95"/>
        <v>0.4412263138474366</v>
      </c>
      <c r="Q440" s="118">
        <f t="shared" ca="1" si="96"/>
        <v>1927.1451400605442</v>
      </c>
      <c r="R440" s="118">
        <f t="shared" si="97"/>
        <v>-1714.8809828499998</v>
      </c>
      <c r="S440" s="123" t="s">
        <v>220</v>
      </c>
      <c r="T440" s="118" t="s">
        <v>216</v>
      </c>
      <c r="U440" s="118" t="s">
        <v>217</v>
      </c>
      <c r="V440" s="118" t="s">
        <v>268</v>
      </c>
      <c r="W440" s="118" t="s">
        <v>219</v>
      </c>
    </row>
    <row r="441" spans="2:23" x14ac:dyDescent="0.3">
      <c r="B441" s="116" t="e" vm="30">
        <v>#VALUE!</v>
      </c>
      <c r="C441" s="117">
        <v>45677</v>
      </c>
      <c r="D441" s="116">
        <v>7</v>
      </c>
      <c r="E441" s="118">
        <v>240.92967499999997</v>
      </c>
      <c r="F441" s="118">
        <v>6.3767569950000009</v>
      </c>
      <c r="G441" s="118">
        <f t="shared" si="101"/>
        <v>1692.884481995</v>
      </c>
      <c r="H441" s="119">
        <f t="shared" si="102"/>
        <v>3.781042268869537E-3</v>
      </c>
      <c r="I441" s="120" cm="1">
        <f t="array" aca="1" ref="I441" ca="1">_FV(B441,"Price")</f>
        <v>407.9</v>
      </c>
      <c r="J441" s="118">
        <f t="shared" ca="1" si="91"/>
        <v>2844.5039900096963</v>
      </c>
      <c r="K441" s="118">
        <f t="shared" ca="1" si="99"/>
        <v>2855.2999999999997</v>
      </c>
      <c r="L441" s="118">
        <f>13.083+7*4</f>
        <v>41.082999999999998</v>
      </c>
      <c r="M441" s="118">
        <f t="shared" ca="1" si="92"/>
        <v>1192.7025080146964</v>
      </c>
      <c r="N441" s="121">
        <f t="shared" ca="1" si="93"/>
        <v>0.70453862664577194</v>
      </c>
      <c r="O441" s="122">
        <f t="shared" ca="1" si="94"/>
        <v>18.100000000000001</v>
      </c>
      <c r="P441" s="121">
        <f t="shared" ca="1" si="95"/>
        <v>0.46709743203034604</v>
      </c>
      <c r="Q441" s="118">
        <f t="shared" ca="1" si="96"/>
        <v>1897.1592094890634</v>
      </c>
      <c r="R441" s="118">
        <f t="shared" si="97"/>
        <v>-1692.884481995</v>
      </c>
      <c r="S441" s="123" t="s">
        <v>220</v>
      </c>
      <c r="T441" s="118" t="s">
        <v>216</v>
      </c>
      <c r="U441" s="118" t="s">
        <v>217</v>
      </c>
      <c r="V441" s="118" t="s">
        <v>268</v>
      </c>
      <c r="W441" s="118" t="s">
        <v>219</v>
      </c>
    </row>
    <row r="442" spans="2:23" x14ac:dyDescent="0.3">
      <c r="B442" s="116" t="e" vm="30">
        <v>#VALUE!</v>
      </c>
      <c r="C442" s="117">
        <v>45691</v>
      </c>
      <c r="D442" s="116">
        <v>8</v>
      </c>
      <c r="E442" s="118">
        <v>216.19657499999997</v>
      </c>
      <c r="F442" s="118">
        <v>6.543144719999999</v>
      </c>
      <c r="G442" s="118">
        <f t="shared" si="101"/>
        <v>1736.1157447199998</v>
      </c>
      <c r="H442" s="119">
        <f t="shared" si="102"/>
        <v>3.7830992003457962E-3</v>
      </c>
      <c r="I442" s="120" cm="1">
        <f t="array" aca="1" ref="I442" ca="1">_FV(B442,"Price")</f>
        <v>407.9</v>
      </c>
      <c r="J442" s="118">
        <f t="shared" ca="1" si="91"/>
        <v>3250.8549906894314</v>
      </c>
      <c r="K442" s="118">
        <f t="shared" ca="1" si="99"/>
        <v>3263.2</v>
      </c>
      <c r="L442" s="118">
        <f>14.952+8*4</f>
        <v>46.951999999999998</v>
      </c>
      <c r="M442" s="118">
        <f t="shared" ca="1" si="92"/>
        <v>1561.6912459694315</v>
      </c>
      <c r="N442" s="121">
        <f t="shared" ca="1" si="93"/>
        <v>0.89953175686526621</v>
      </c>
      <c r="O442" s="122">
        <f t="shared" ca="1" si="94"/>
        <v>17.666666666666668</v>
      </c>
      <c r="P442" s="121">
        <f t="shared" ca="1" si="95"/>
        <v>0.61100270277640711</v>
      </c>
      <c r="Q442" s="118">
        <f t="shared" ca="1" si="96"/>
        <v>1940.5915990981332</v>
      </c>
      <c r="R442" s="118">
        <f t="shared" si="97"/>
        <v>-1736.1157447199998</v>
      </c>
      <c r="S442" s="123" t="s">
        <v>220</v>
      </c>
      <c r="T442" s="118" t="s">
        <v>216</v>
      </c>
      <c r="U442" s="118" t="s">
        <v>217</v>
      </c>
      <c r="V442" s="118" t="s">
        <v>268</v>
      </c>
      <c r="W442" s="118" t="s">
        <v>219</v>
      </c>
    </row>
    <row r="443" spans="2:23" x14ac:dyDescent="0.3">
      <c r="B443" s="116" t="e" vm="30">
        <v>#VALUE!</v>
      </c>
      <c r="C443" s="117">
        <v>45706</v>
      </c>
      <c r="D443" s="116">
        <v>8</v>
      </c>
      <c r="E443" s="118">
        <v>210.82319999999996</v>
      </c>
      <c r="F443" s="118">
        <v>6.3800433199999995</v>
      </c>
      <c r="G443" s="118">
        <f t="shared" si="101"/>
        <v>1692.9656433199996</v>
      </c>
      <c r="H443" s="119">
        <f t="shared" si="102"/>
        <v>3.7828161938534286E-3</v>
      </c>
      <c r="I443" s="120" cm="1">
        <f t="array" aca="1" ref="I443" ca="1">_FV(B443,"Price")</f>
        <v>407.9</v>
      </c>
      <c r="J443" s="118">
        <f t="shared" ca="1" si="91"/>
        <v>3250.8559141962173</v>
      </c>
      <c r="K443" s="118">
        <f t="shared" ca="1" si="99"/>
        <v>3263.2</v>
      </c>
      <c r="L443" s="118">
        <f>14.952+8*4</f>
        <v>46.951999999999998</v>
      </c>
      <c r="M443" s="118">
        <f t="shared" ca="1" si="92"/>
        <v>1604.8422708762178</v>
      </c>
      <c r="N443" s="121">
        <f t="shared" ca="1" si="93"/>
        <v>0.94794733561694322</v>
      </c>
      <c r="O443" s="122">
        <f t="shared" ca="1" si="94"/>
        <v>17.166666666666668</v>
      </c>
      <c r="P443" s="121">
        <f t="shared" ca="1" si="95"/>
        <v>0.66264279771281465</v>
      </c>
      <c r="Q443" s="118">
        <f t="shared" ca="1" si="96"/>
        <v>1886.7161558332884</v>
      </c>
      <c r="R443" s="118">
        <f t="shared" si="97"/>
        <v>-1692.9656433199996</v>
      </c>
      <c r="S443" s="123" t="s">
        <v>220</v>
      </c>
      <c r="T443" s="118" t="s">
        <v>216</v>
      </c>
      <c r="U443" s="118" t="s">
        <v>217</v>
      </c>
      <c r="V443" s="118" t="s">
        <v>268</v>
      </c>
      <c r="W443" s="118" t="s">
        <v>219</v>
      </c>
    </row>
    <row r="444" spans="2:23" x14ac:dyDescent="0.3">
      <c r="B444" s="116" t="e" vm="30">
        <v>#VALUE!</v>
      </c>
      <c r="C444" s="117">
        <v>45721</v>
      </c>
      <c r="D444" s="116">
        <v>9</v>
      </c>
      <c r="E444" s="118">
        <v>198.19187500000001</v>
      </c>
      <c r="F444" s="118">
        <v>6.7495041249999996</v>
      </c>
      <c r="G444" s="118">
        <f t="shared" si="101"/>
        <v>1790.476379125</v>
      </c>
      <c r="H444" s="119">
        <f t="shared" si="102"/>
        <v>3.7839336389434617E-3</v>
      </c>
      <c r="I444" s="120" cm="1">
        <f t="array" aca="1" ref="I444" ca="1">_FV(B444,"Price")</f>
        <v>407.9</v>
      </c>
      <c r="J444" s="118">
        <f t="shared" ca="1" si="91"/>
        <v>3657.2088012180743</v>
      </c>
      <c r="K444" s="118">
        <f t="shared" ca="1" si="99"/>
        <v>3671.1</v>
      </c>
      <c r="L444" s="118">
        <f>16.821+9*4</f>
        <v>52.820999999999998</v>
      </c>
      <c r="M444" s="118">
        <f t="shared" ca="1" si="92"/>
        <v>1919.5534220930742</v>
      </c>
      <c r="N444" s="121">
        <f t="shared" ca="1" si="93"/>
        <v>1.0720908940620337</v>
      </c>
      <c r="O444" s="122">
        <f t="shared" ca="1" si="94"/>
        <v>16.600000000000001</v>
      </c>
      <c r="P444" s="121">
        <f t="shared" ca="1" si="95"/>
        <v>0.77500546558701222</v>
      </c>
      <c r="Q444" s="118">
        <f t="shared" ca="1" si="96"/>
        <v>1988.6224317481667</v>
      </c>
      <c r="R444" s="118">
        <f t="shared" si="97"/>
        <v>-1790.476379125</v>
      </c>
      <c r="S444" s="123" t="s">
        <v>220</v>
      </c>
      <c r="T444" s="118" t="s">
        <v>216</v>
      </c>
      <c r="U444" s="118" t="s">
        <v>217</v>
      </c>
      <c r="V444" s="118" t="s">
        <v>268</v>
      </c>
      <c r="W444" s="118" t="s">
        <v>219</v>
      </c>
    </row>
    <row r="445" spans="2:23" x14ac:dyDescent="0.3">
      <c r="B445" s="116" t="e" vm="30">
        <v>#VALUE!</v>
      </c>
      <c r="C445" s="117">
        <v>45736</v>
      </c>
      <c r="D445" s="116">
        <v>8</v>
      </c>
      <c r="E445" s="118">
        <v>212.38069999999996</v>
      </c>
      <c r="F445" s="118">
        <v>6.4261453199999998</v>
      </c>
      <c r="G445" s="118">
        <f t="shared" si="101"/>
        <v>1705.4717453199996</v>
      </c>
      <c r="H445" s="119">
        <f t="shared" si="102"/>
        <v>3.7822088589029045E-3</v>
      </c>
      <c r="I445" s="120" cm="1">
        <f t="array" aca="1" ref="I445" ca="1">_FV(B445,"Price")</f>
        <v>407.9</v>
      </c>
      <c r="J445" s="118">
        <f t="shared" ca="1" si="91"/>
        <v>3250.8578960516279</v>
      </c>
      <c r="K445" s="118">
        <f t="shared" ca="1" si="99"/>
        <v>3263.2</v>
      </c>
      <c r="L445" s="118">
        <f>14.952+8*4</f>
        <v>46.951999999999998</v>
      </c>
      <c r="M445" s="118">
        <f t="shared" ca="1" si="92"/>
        <v>1592.3381507316283</v>
      </c>
      <c r="N445" s="121">
        <f t="shared" ca="1" si="93"/>
        <v>0.93366433955952521</v>
      </c>
      <c r="O445" s="122">
        <f t="shared" ca="1" si="94"/>
        <v>16.100000000000001</v>
      </c>
      <c r="P445" s="121">
        <f t="shared" ca="1" si="95"/>
        <v>0.69589888662821753</v>
      </c>
      <c r="Q445" s="118">
        <f t="shared" ca="1" si="96"/>
        <v>1888.525712651013</v>
      </c>
      <c r="R445" s="118">
        <f t="shared" si="97"/>
        <v>-1705.4717453199996</v>
      </c>
      <c r="S445" s="123" t="s">
        <v>220</v>
      </c>
      <c r="T445" s="118" t="s">
        <v>216</v>
      </c>
      <c r="U445" s="118" t="s">
        <v>217</v>
      </c>
      <c r="V445" s="118" t="s">
        <v>268</v>
      </c>
      <c r="W445" s="118" t="s">
        <v>219</v>
      </c>
    </row>
    <row r="446" spans="2:23" x14ac:dyDescent="0.3">
      <c r="B446" s="116" t="e" vm="30">
        <v>#VALUE!</v>
      </c>
      <c r="C446" s="117">
        <v>45751</v>
      </c>
      <c r="D446" s="116">
        <v>9</v>
      </c>
      <c r="E446" s="118">
        <v>192.03975</v>
      </c>
      <c r="F446" s="118">
        <v>6.54047205</v>
      </c>
      <c r="G446" s="118">
        <f t="shared" si="101"/>
        <v>1734.89822205</v>
      </c>
      <c r="H446" s="119">
        <f t="shared" si="102"/>
        <v>3.7842119491754531E-3</v>
      </c>
      <c r="I446" s="120" cm="1">
        <f t="array" aca="1" ref="I446" ca="1">_FV(B446,"Price")</f>
        <v>407.9</v>
      </c>
      <c r="J446" s="118">
        <f t="shared" ca="1" si="91"/>
        <v>3657.2077795133819</v>
      </c>
      <c r="K446" s="118">
        <f t="shared" ca="1" si="99"/>
        <v>3671.1</v>
      </c>
      <c r="L446" s="118">
        <f>16.821+9*4</f>
        <v>52.820999999999998</v>
      </c>
      <c r="M446" s="118">
        <f t="shared" ca="1" si="92"/>
        <v>1975.1305574633818</v>
      </c>
      <c r="N446" s="121">
        <f t="shared" ca="1" si="93"/>
        <v>1.1384705640711978</v>
      </c>
      <c r="O446" s="122">
        <f t="shared" ca="1" si="94"/>
        <v>15.633333333333333</v>
      </c>
      <c r="P446" s="121">
        <f t="shared" ca="1" si="95"/>
        <v>0.87387932423375525</v>
      </c>
      <c r="Q446" s="118">
        <f t="shared" ca="1" si="96"/>
        <v>1915.7131700814332</v>
      </c>
      <c r="R446" s="118">
        <f t="shared" si="97"/>
        <v>-1734.89822205</v>
      </c>
      <c r="S446" s="123" t="s">
        <v>220</v>
      </c>
      <c r="T446" s="118" t="s">
        <v>216</v>
      </c>
      <c r="U446" s="118" t="s">
        <v>217</v>
      </c>
      <c r="V446" s="118" t="s">
        <v>268</v>
      </c>
      <c r="W446" s="118" t="s">
        <v>219</v>
      </c>
    </row>
    <row r="447" spans="2:23" x14ac:dyDescent="0.3">
      <c r="B447" s="116" t="e" vm="30">
        <v>#VALUE!</v>
      </c>
      <c r="C447" s="117">
        <v>45768</v>
      </c>
      <c r="D447" s="116">
        <v>9</v>
      </c>
      <c r="E447" s="118">
        <v>195.62200000000001</v>
      </c>
      <c r="F447" s="118">
        <v>6.6612406000000002</v>
      </c>
      <c r="G447" s="118">
        <f t="shared" si="101"/>
        <v>1767.2592406000001</v>
      </c>
      <c r="H447" s="119">
        <f t="shared" si="102"/>
        <v>3.7835102618542105E-3</v>
      </c>
      <c r="I447" s="120" cm="1">
        <f t="array" aca="1" ref="I447" ca="1">_FV(B447,"Price")</f>
        <v>407.9</v>
      </c>
      <c r="J447" s="118">
        <f t="shared" ca="1" si="91"/>
        <v>3657.2103554777068</v>
      </c>
      <c r="K447" s="118">
        <f t="shared" ca="1" si="99"/>
        <v>3671.1</v>
      </c>
      <c r="L447" s="118">
        <f>16.821+9*4</f>
        <v>52.820999999999998</v>
      </c>
      <c r="M447" s="118">
        <f t="shared" ca="1" si="92"/>
        <v>1942.7721148777066</v>
      </c>
      <c r="N447" s="121">
        <f t="shared" ca="1" si="93"/>
        <v>1.0993135982800792</v>
      </c>
      <c r="O447" s="122">
        <f t="shared" ca="1" si="94"/>
        <v>15.066666666666666</v>
      </c>
      <c r="P447" s="121">
        <f t="shared" ca="1" si="95"/>
        <v>0.87555950305493035</v>
      </c>
      <c r="Q447" s="118">
        <f t="shared" ca="1" si="96"/>
        <v>1944.7706132113778</v>
      </c>
      <c r="R447" s="118">
        <f t="shared" si="97"/>
        <v>-1767.2592406000001</v>
      </c>
      <c r="S447" s="123" t="s">
        <v>220</v>
      </c>
      <c r="T447" s="118" t="s">
        <v>216</v>
      </c>
      <c r="U447" s="118" t="s">
        <v>217</v>
      </c>
      <c r="V447" s="118" t="s">
        <v>268</v>
      </c>
      <c r="W447" s="118" t="s">
        <v>219</v>
      </c>
    </row>
    <row r="448" spans="2:23" x14ac:dyDescent="0.3">
      <c r="B448" s="116" t="e" vm="30">
        <v>#VALUE!</v>
      </c>
      <c r="C448" s="117">
        <v>45782</v>
      </c>
      <c r="D448" s="116">
        <v>9</v>
      </c>
      <c r="E448" s="118">
        <v>206.43105</v>
      </c>
      <c r="F448" s="118">
        <v>7.0278947900000004</v>
      </c>
      <c r="G448" s="118">
        <f t="shared" si="101"/>
        <v>1864.9073447899998</v>
      </c>
      <c r="H448" s="119">
        <f t="shared" si="102"/>
        <v>3.7827506999983237E-3</v>
      </c>
      <c r="I448" s="120" cm="1">
        <f t="array" aca="1" ref="I448" ca="1">_FV(B448,"Price")</f>
        <v>407.9</v>
      </c>
      <c r="J448" s="118">
        <f t="shared" ca="1" si="91"/>
        <v>3657.2131439052359</v>
      </c>
      <c r="K448" s="118">
        <f t="shared" ca="1" si="99"/>
        <v>3671.1</v>
      </c>
      <c r="L448" s="118">
        <f>16.821+9*4</f>
        <v>52.820999999999998</v>
      </c>
      <c r="M448" s="118">
        <f t="shared" ca="1" si="92"/>
        <v>1845.1267991152361</v>
      </c>
      <c r="N448" s="121">
        <f t="shared" ca="1" si="93"/>
        <v>0.98939328233650603</v>
      </c>
      <c r="O448" s="122">
        <f t="shared" ca="1" si="94"/>
        <v>14.6</v>
      </c>
      <c r="P448" s="121">
        <f t="shared" ca="1" si="95"/>
        <v>0.8131999580847995</v>
      </c>
      <c r="Q448" s="118">
        <f t="shared" ca="1" si="96"/>
        <v>2046.4249930162264</v>
      </c>
      <c r="R448" s="118">
        <f t="shared" si="97"/>
        <v>-1864.9073447899998</v>
      </c>
      <c r="S448" s="123" t="s">
        <v>220</v>
      </c>
      <c r="T448" s="118" t="s">
        <v>216</v>
      </c>
      <c r="U448" s="118" t="s">
        <v>217</v>
      </c>
      <c r="V448" s="118" t="s">
        <v>268</v>
      </c>
      <c r="W448" s="118" t="s">
        <v>219</v>
      </c>
    </row>
    <row r="449" spans="2:23" x14ac:dyDescent="0.3">
      <c r="B449" s="116" t="e" vm="30">
        <v>#VALUE!</v>
      </c>
      <c r="C449" s="117">
        <v>45796</v>
      </c>
      <c r="D449" s="116">
        <v>8</v>
      </c>
      <c r="E449" s="118">
        <v>228.189325</v>
      </c>
      <c r="F449" s="118">
        <v>6.9068521199999999</v>
      </c>
      <c r="G449" s="118">
        <f t="shared" si="101"/>
        <v>1832.4214521199999</v>
      </c>
      <c r="H449" s="119">
        <f t="shared" si="102"/>
        <v>3.7835096580438195E-3</v>
      </c>
      <c r="I449" s="120" cm="1">
        <f t="array" aca="1" ref="I449" ca="1">_FV(B449,"Price")</f>
        <v>407.9</v>
      </c>
      <c r="J449" s="118">
        <f t="shared" ca="1" si="91"/>
        <v>3250.8536512838709</v>
      </c>
      <c r="K449" s="118">
        <f t="shared" ca="1" si="99"/>
        <v>3263.2</v>
      </c>
      <c r="L449" s="118">
        <f>14.952+8*4</f>
        <v>46.951999999999998</v>
      </c>
      <c r="M449" s="118">
        <f t="shared" ca="1" si="92"/>
        <v>1465.384199163871</v>
      </c>
      <c r="N449" s="121">
        <f t="shared" ca="1" si="93"/>
        <v>0.79969823397805717</v>
      </c>
      <c r="O449" s="122">
        <f t="shared" ca="1" si="94"/>
        <v>14.133333333333333</v>
      </c>
      <c r="P449" s="121">
        <f t="shared" ca="1" si="95"/>
        <v>0.67898906658514291</v>
      </c>
      <c r="Q449" s="118">
        <f t="shared" ca="1" si="96"/>
        <v>2005.0762733864176</v>
      </c>
      <c r="R449" s="118">
        <f t="shared" si="97"/>
        <v>-1832.4214521199999</v>
      </c>
      <c r="S449" s="123" t="s">
        <v>220</v>
      </c>
      <c r="T449" s="118" t="s">
        <v>216</v>
      </c>
      <c r="U449" s="118" t="s">
        <v>217</v>
      </c>
      <c r="V449" s="118" t="s">
        <v>268</v>
      </c>
      <c r="W449" s="118" t="s">
        <v>219</v>
      </c>
    </row>
    <row r="450" spans="2:23" x14ac:dyDescent="0.3">
      <c r="B450" s="116" t="e" vm="30">
        <v>#VALUE!</v>
      </c>
      <c r="C450" s="117">
        <v>45811</v>
      </c>
      <c r="D450" s="116">
        <v>8</v>
      </c>
      <c r="E450" s="118">
        <v>220.68528999999998</v>
      </c>
      <c r="F450" s="118">
        <v>6.8308511040000006</v>
      </c>
      <c r="G450" s="118">
        <f t="shared" si="101"/>
        <v>1772.3131711039998</v>
      </c>
      <c r="H450" s="119">
        <f t="shared" si="102"/>
        <v>3.8691132879767388E-3</v>
      </c>
      <c r="I450" s="120" cm="1">
        <f t="array" aca="1" ref="I450" ca="1">_FV(B450,"Price")</f>
        <v>407.9</v>
      </c>
      <c r="J450" s="118">
        <f t="shared" ca="1" si="91"/>
        <v>3250.574309518674</v>
      </c>
      <c r="K450" s="118">
        <f t="shared" ca="1" si="99"/>
        <v>3263.2</v>
      </c>
      <c r="L450" s="118">
        <f>14.952+8*4</f>
        <v>46.951999999999998</v>
      </c>
      <c r="M450" s="118">
        <f t="shared" ca="1" si="92"/>
        <v>1525.2131384146742</v>
      </c>
      <c r="N450" s="121">
        <f t="shared" ca="1" si="93"/>
        <v>0.86057766950103776</v>
      </c>
      <c r="O450" s="122">
        <f t="shared" ca="1" si="94"/>
        <v>13.666666666666666</v>
      </c>
      <c r="P450" s="121">
        <f t="shared" ca="1" si="95"/>
        <v>0.75562917322042344</v>
      </c>
      <c r="Q450" s="118">
        <f t="shared" ca="1" si="96"/>
        <v>1933.7905933601419</v>
      </c>
      <c r="R450" s="118">
        <f t="shared" si="97"/>
        <v>-1772.3131711039998</v>
      </c>
      <c r="S450" s="123" t="s">
        <v>220</v>
      </c>
      <c r="T450" s="118" t="s">
        <v>216</v>
      </c>
      <c r="U450" s="118" t="s">
        <v>217</v>
      </c>
      <c r="V450" s="118" t="s">
        <v>268</v>
      </c>
      <c r="W450" s="118" t="s">
        <v>219</v>
      </c>
    </row>
    <row r="451" spans="2:23" x14ac:dyDescent="0.3">
      <c r="B451" s="116" t="e" vm="30">
        <v>#VALUE!</v>
      </c>
      <c r="C451" s="117">
        <v>45826</v>
      </c>
      <c r="D451" s="116">
        <v>8</v>
      </c>
      <c r="E451" s="118">
        <v>209.83574499999997</v>
      </c>
      <c r="F451" s="118">
        <v>6.3502041120000001</v>
      </c>
      <c r="G451" s="118">
        <f t="shared" si="101"/>
        <v>1685.0361641119998</v>
      </c>
      <c r="H451" s="119">
        <f t="shared" si="102"/>
        <v>3.7828422130843347E-3</v>
      </c>
      <c r="I451" s="120" cm="1">
        <f t="array" aca="1" ref="I451" ca="1">_FV(B451,"Price")</f>
        <v>407.9</v>
      </c>
      <c r="J451" s="118">
        <f t="shared" ca="1" si="91"/>
        <v>3250.855829290263</v>
      </c>
      <c r="K451" s="118">
        <f t="shared" ca="1" si="99"/>
        <v>3263.2</v>
      </c>
      <c r="L451" s="118">
        <f>0+8*4</f>
        <v>32</v>
      </c>
      <c r="M451" s="118">
        <f t="shared" ca="1" si="92"/>
        <v>1597.8196651782632</v>
      </c>
      <c r="N451" s="121">
        <f t="shared" ca="1" si="93"/>
        <v>0.94824057738861711</v>
      </c>
      <c r="O451" s="122">
        <f t="shared" ca="1" si="94"/>
        <v>13.166666666666666</v>
      </c>
      <c r="P451" s="121">
        <f t="shared" ca="1" si="95"/>
        <v>0.86421926040481556</v>
      </c>
      <c r="Q451" s="118">
        <f t="shared" ca="1" si="96"/>
        <v>1832.9448940729421</v>
      </c>
      <c r="R451" s="118">
        <f t="shared" si="97"/>
        <v>-1685.0361641119998</v>
      </c>
      <c r="S451" s="123" t="s">
        <v>220</v>
      </c>
      <c r="T451" s="118" t="s">
        <v>216</v>
      </c>
      <c r="U451" s="118" t="s">
        <v>217</v>
      </c>
      <c r="V451" s="118" t="s">
        <v>268</v>
      </c>
      <c r="W451" s="118" t="s">
        <v>219</v>
      </c>
    </row>
    <row r="452" spans="2:23" ht="15.75" customHeight="1" x14ac:dyDescent="0.3">
      <c r="B452" s="116" t="e" vm="30">
        <v>#VALUE!</v>
      </c>
      <c r="C452" s="117">
        <v>45841</v>
      </c>
      <c r="D452" s="116">
        <v>8</v>
      </c>
      <c r="E452" s="118">
        <v>216.49250000000001</v>
      </c>
      <c r="F452" s="118">
        <v>6.5514680000000007</v>
      </c>
      <c r="G452" s="118">
        <f t="shared" si="101"/>
        <v>1738.4914680000002</v>
      </c>
      <c r="H452" s="119">
        <f t="shared" si="102"/>
        <v>3.7827338129496407E-3</v>
      </c>
      <c r="I452" s="120" cm="1">
        <f t="array" aca="1" ref="I452" ca="1">_FV(B452,"Price")</f>
        <v>407.9</v>
      </c>
      <c r="J452" s="118">
        <f t="shared" ca="1" si="91"/>
        <v>3250.8561830215822</v>
      </c>
      <c r="K452" s="118">
        <f t="shared" ca="1" si="99"/>
        <v>3263.2</v>
      </c>
      <c r="L452" s="118">
        <f>0+8*4</f>
        <v>32</v>
      </c>
      <c r="M452" s="118">
        <f t="shared" ca="1" si="92"/>
        <v>1544.364715021582</v>
      </c>
      <c r="N452" s="121">
        <f t="shared" ca="1" si="93"/>
        <v>0.88833609105844735</v>
      </c>
      <c r="O452" s="122">
        <f t="shared" ca="1" si="94"/>
        <v>12.666666666666666</v>
      </c>
      <c r="P452" s="121">
        <f t="shared" ca="1" si="95"/>
        <v>0.84158155995010797</v>
      </c>
      <c r="Q452" s="118">
        <f t="shared" ca="1" si="96"/>
        <v>1885.2974141866669</v>
      </c>
      <c r="R452" s="118">
        <f t="shared" si="97"/>
        <v>-1738.4914680000002</v>
      </c>
      <c r="S452" s="123" t="s">
        <v>220</v>
      </c>
      <c r="T452" s="118" t="s">
        <v>216</v>
      </c>
      <c r="U452" s="118" t="s">
        <v>217</v>
      </c>
      <c r="V452" s="118" t="s">
        <v>268</v>
      </c>
      <c r="W452" s="118" t="s">
        <v>219</v>
      </c>
    </row>
    <row r="453" spans="2:23" ht="15.75" customHeight="1" x14ac:dyDescent="0.3">
      <c r="B453" s="116" t="e" vm="30">
        <v>#VALUE!</v>
      </c>
      <c r="C453" s="117">
        <v>45873</v>
      </c>
      <c r="D453" s="116">
        <v>9</v>
      </c>
      <c r="E453" s="118">
        <v>203.83002499999998</v>
      </c>
      <c r="F453" s="118">
        <v>6.9390144950000003</v>
      </c>
      <c r="G453" s="118">
        <f t="shared" si="101"/>
        <v>1841.4092394949998</v>
      </c>
      <c r="H453" s="119">
        <f t="shared" si="102"/>
        <v>3.7825713388179964E-3</v>
      </c>
      <c r="I453" s="120" cm="1">
        <f t="array" aca="1" ref="I453" ca="1">_FV(B453,"Price")</f>
        <v>407.9</v>
      </c>
      <c r="J453" s="118">
        <f t="shared" ca="1" si="91"/>
        <v>3657.2138023580651</v>
      </c>
      <c r="K453" s="118">
        <f t="shared" ca="1" si="99"/>
        <v>3671.1</v>
      </c>
      <c r="L453" s="118">
        <f>0+9*4</f>
        <v>36</v>
      </c>
      <c r="M453" s="118">
        <f t="shared" ca="1" si="92"/>
        <v>1851.8045628630653</v>
      </c>
      <c r="N453" s="121">
        <f t="shared" ca="1" si="93"/>
        <v>1.0056453085740551</v>
      </c>
      <c r="O453" s="122">
        <f t="shared" ca="1" si="94"/>
        <v>11.633333333333333</v>
      </c>
      <c r="P453" s="121">
        <f t="shared" ca="1" si="95"/>
        <v>1.0373418655778219</v>
      </c>
      <c r="Q453" s="118">
        <f t="shared" ca="1" si="96"/>
        <v>1984.2207560691677</v>
      </c>
      <c r="R453" s="118">
        <f t="shared" si="97"/>
        <v>-1841.4092394949998</v>
      </c>
      <c r="S453" s="123" t="s">
        <v>220</v>
      </c>
      <c r="T453" s="118" t="s">
        <v>216</v>
      </c>
      <c r="U453" s="118" t="s">
        <v>217</v>
      </c>
      <c r="V453" s="118" t="s">
        <v>268</v>
      </c>
      <c r="W453" s="118" t="s">
        <v>219</v>
      </c>
    </row>
    <row r="454" spans="2:23" ht="15.75" customHeight="1" x14ac:dyDescent="0.3">
      <c r="B454" s="116" t="e" vm="30">
        <v>#VALUE!</v>
      </c>
      <c r="C454" s="117">
        <v>45903</v>
      </c>
      <c r="D454" s="116">
        <v>8</v>
      </c>
      <c r="E454" s="118">
        <v>214.20297499999998</v>
      </c>
      <c r="F454" s="118">
        <v>6.5516673599999997</v>
      </c>
      <c r="G454" s="118">
        <f t="shared" si="101"/>
        <v>1720.1754673599999</v>
      </c>
      <c r="H454" s="119">
        <f t="shared" si="102"/>
        <v>3.8232821929760782E-3</v>
      </c>
      <c r="I454" s="120" cm="1">
        <f t="array" aca="1" ref="I454" ca="1">_FV(B454,"Price")</f>
        <v>407.9</v>
      </c>
      <c r="J454" s="118">
        <f t="shared" ca="1" si="91"/>
        <v>3250.72386554788</v>
      </c>
      <c r="K454" s="118">
        <f t="shared" ca="1" si="99"/>
        <v>3263.2</v>
      </c>
      <c r="L454" s="118">
        <f>0+8*4</f>
        <v>32</v>
      </c>
      <c r="M454" s="118">
        <f t="shared" ca="1" si="92"/>
        <v>1562.5483981878801</v>
      </c>
      <c r="N454" s="121">
        <f t="shared" ca="1" si="93"/>
        <v>0.90836570328837773</v>
      </c>
      <c r="O454" s="122">
        <f t="shared" ca="1" si="94"/>
        <v>10.666666666666666</v>
      </c>
      <c r="P454" s="121">
        <f t="shared" ca="1" si="95"/>
        <v>1.0219114161994249</v>
      </c>
      <c r="Q454" s="118">
        <f t="shared" ca="1" si="96"/>
        <v>1842.4990561500442</v>
      </c>
      <c r="R454" s="118">
        <f t="shared" si="97"/>
        <v>-1720.1754673599999</v>
      </c>
      <c r="S454" s="123" t="s">
        <v>220</v>
      </c>
      <c r="T454" s="118" t="s">
        <v>216</v>
      </c>
      <c r="U454" s="118" t="s">
        <v>217</v>
      </c>
      <c r="V454" s="118" t="s">
        <v>268</v>
      </c>
      <c r="W454" s="118" t="s">
        <v>219</v>
      </c>
    </row>
    <row r="455" spans="2:23" ht="15.75" customHeight="1" x14ac:dyDescent="0.3">
      <c r="B455" s="116" t="e" vm="30">
        <v>#VALUE!</v>
      </c>
      <c r="C455" s="117">
        <v>45933</v>
      </c>
      <c r="D455" s="116">
        <v>8</v>
      </c>
      <c r="E455" s="118">
        <v>224.35787499999998</v>
      </c>
      <c r="F455" s="118">
        <v>6.7864635999999994</v>
      </c>
      <c r="G455" s="118">
        <f t="shared" si="101"/>
        <v>1801.6494635999998</v>
      </c>
      <c r="H455" s="119">
        <f t="shared" si="102"/>
        <v>3.7810482471364111E-3</v>
      </c>
      <c r="I455" s="120" cm="1">
        <f t="array" aca="1" ref="I455" ca="1">_FV(B455,"Price")</f>
        <v>407.9</v>
      </c>
      <c r="J455" s="118">
        <f t="shared" ca="1" si="91"/>
        <v>3250.8616833599444</v>
      </c>
      <c r="K455" s="118">
        <f t="shared" ca="1" si="99"/>
        <v>3263.2</v>
      </c>
      <c r="L455" s="118">
        <f>0+8*4</f>
        <v>32</v>
      </c>
      <c r="M455" s="118">
        <f t="shared" ca="1" si="92"/>
        <v>1481.2122197599447</v>
      </c>
      <c r="N455" s="121">
        <f t="shared" ca="1" si="93"/>
        <v>0.8221422922082926</v>
      </c>
      <c r="O455" s="122">
        <f t="shared" ca="1" si="94"/>
        <v>9.6666666666666661</v>
      </c>
      <c r="P455" s="121">
        <f t="shared" ca="1" si="95"/>
        <v>1.0205904317068462</v>
      </c>
      <c r="Q455" s="118">
        <f t="shared" ca="1" si="96"/>
        <v>1917.7557623653331</v>
      </c>
      <c r="R455" s="118">
        <f t="shared" si="97"/>
        <v>-1801.6494635999998</v>
      </c>
      <c r="S455" s="123" t="s">
        <v>220</v>
      </c>
      <c r="T455" s="118" t="s">
        <v>216</v>
      </c>
      <c r="U455" s="118" t="s">
        <v>217</v>
      </c>
      <c r="V455" s="118" t="s">
        <v>268</v>
      </c>
      <c r="W455" s="118" t="s">
        <v>219</v>
      </c>
    </row>
    <row r="456" spans="2:23" x14ac:dyDescent="0.3">
      <c r="B456" s="116" t="e" vm="31">
        <v>#VALUE!</v>
      </c>
      <c r="C456" s="117">
        <v>45526</v>
      </c>
      <c r="D456" s="116">
        <v>5</v>
      </c>
      <c r="E456" s="118">
        <v>740.24077499999999</v>
      </c>
      <c r="F456" s="118">
        <v>14.015553525</v>
      </c>
      <c r="G456" s="118">
        <f>(E456*D456)+F456</f>
        <v>3715.2194285250002</v>
      </c>
      <c r="H456" s="119">
        <f>F456/(D456*E456)</f>
        <v>3.7867553364646792E-3</v>
      </c>
      <c r="I456" s="120" cm="1">
        <f t="array" aca="1" ref="I456" ca="1">_FV(B456,"Price")</f>
        <v>324.3</v>
      </c>
      <c r="J456" s="118">
        <f t="shared" ca="1" si="91"/>
        <v>1615.3597762219226</v>
      </c>
      <c r="K456" s="118">
        <f t="shared" ca="1" si="99"/>
        <v>1621.5</v>
      </c>
      <c r="L456" s="118">
        <f>20.655+5*3</f>
        <v>35.655000000000001</v>
      </c>
      <c r="M456" s="118">
        <f t="shared" ca="1" si="92"/>
        <v>-2064.2046523030772</v>
      </c>
      <c r="N456" s="121">
        <f t="shared" ca="1" si="93"/>
        <v>-0.5556077351594273</v>
      </c>
      <c r="O456" s="122">
        <f t="shared" ca="1" si="94"/>
        <v>23.033333333333335</v>
      </c>
      <c r="P456" s="121">
        <f t="shared" ca="1" si="95"/>
        <v>-0.28946278532184344</v>
      </c>
      <c r="Q456" s="118">
        <f t="shared" ca="1" si="96"/>
        <v>4285.7120118829507</v>
      </c>
      <c r="R456" s="118">
        <f t="shared" si="97"/>
        <v>-3715.2194285250002</v>
      </c>
      <c r="S456" s="123" t="s">
        <v>220</v>
      </c>
      <c r="T456" s="118" t="s">
        <v>216</v>
      </c>
      <c r="U456" s="118" t="s">
        <v>217</v>
      </c>
      <c r="V456" s="118" t="s">
        <v>269</v>
      </c>
      <c r="W456" s="118" t="s">
        <v>219</v>
      </c>
    </row>
    <row r="457" spans="2:23" x14ac:dyDescent="0.3">
      <c r="B457" s="116" t="e" vm="31">
        <v>#VALUE!</v>
      </c>
      <c r="C457" s="117">
        <v>45541</v>
      </c>
      <c r="D457" s="116">
        <v>5</v>
      </c>
      <c r="E457" s="118">
        <v>722.99384999999995</v>
      </c>
      <c r="F457" s="118">
        <v>13.68813735</v>
      </c>
      <c r="G457" s="118">
        <f>(E457*D457)+F457</f>
        <v>3628.6573873499997</v>
      </c>
      <c r="H457" s="119">
        <f>F457/(D457*E457)</f>
        <v>3.7865155699457198E-3</v>
      </c>
      <c r="I457" s="120" cm="1">
        <f t="array" aca="1" ref="I457" ca="1">_FV(B457,"Price")</f>
        <v>324.3</v>
      </c>
      <c r="J457" s="118">
        <f t="shared" ca="1" si="91"/>
        <v>1615.3601650033331</v>
      </c>
      <c r="K457" s="118">
        <f t="shared" ca="1" si="99"/>
        <v>1621.5</v>
      </c>
      <c r="L457" s="118">
        <f>20.655+5*3</f>
        <v>35.655000000000001</v>
      </c>
      <c r="M457" s="118">
        <f t="shared" ca="1" si="92"/>
        <v>-1977.6422223466666</v>
      </c>
      <c r="N457" s="121">
        <f t="shared" ca="1" si="93"/>
        <v>-0.54500659920140171</v>
      </c>
      <c r="O457" s="122">
        <f t="shared" ca="1" si="94"/>
        <v>22.566666666666666</v>
      </c>
      <c r="P457" s="121">
        <f t="shared" ca="1" si="95"/>
        <v>-0.28981148554284286</v>
      </c>
      <c r="Q457" s="118">
        <f t="shared" ca="1" si="96"/>
        <v>4174.5687320690995</v>
      </c>
      <c r="R457" s="118">
        <f t="shared" si="97"/>
        <v>-3628.6573873499997</v>
      </c>
      <c r="S457" s="123" t="s">
        <v>220</v>
      </c>
      <c r="T457" s="118" t="s">
        <v>216</v>
      </c>
      <c r="U457" s="118" t="s">
        <v>217</v>
      </c>
      <c r="V457" s="118" t="s">
        <v>269</v>
      </c>
      <c r="W457" s="118" t="s">
        <v>219</v>
      </c>
    </row>
    <row r="458" spans="2:23" x14ac:dyDescent="0.3">
      <c r="B458" s="116" t="e" vm="31">
        <v>#VALUE!</v>
      </c>
      <c r="C458" s="117">
        <v>45548</v>
      </c>
      <c r="D458" s="116">
        <v>51</v>
      </c>
      <c r="E458" s="118">
        <v>685.0575</v>
      </c>
      <c r="F458" s="118">
        <v>132.73522650000001</v>
      </c>
      <c r="G458" s="118">
        <f t="shared" ref="G458:G516" si="103">(E458*D458)+F458</f>
        <v>35070.667726500003</v>
      </c>
      <c r="H458" s="119">
        <f t="shared" ref="H458:H516" si="104">F458/(D458*E458)</f>
        <v>3.7991723322494827E-3</v>
      </c>
      <c r="I458" s="120" cm="1">
        <f t="array" aca="1" ref="I458" ca="1">_FV(B458,"Price")</f>
        <v>324.3</v>
      </c>
      <c r="J458" s="118">
        <f t="shared" ref="J458:J521" ca="1" si="105">I458*D458*(1-H458)</f>
        <v>16476.464349045225</v>
      </c>
      <c r="K458" s="118">
        <f t="shared" ca="1" si="99"/>
        <v>16539.3</v>
      </c>
      <c r="L458" s="118">
        <f>210.681+51*3</f>
        <v>363.68100000000004</v>
      </c>
      <c r="M458" s="118">
        <f t="shared" ref="M458:M521" ca="1" si="106">J458-G458+L458</f>
        <v>-18230.522377454778</v>
      </c>
      <c r="N458" s="121">
        <f t="shared" ref="N458:N521" ca="1" si="107">M458/G458</f>
        <v>-0.51982250579390821</v>
      </c>
      <c r="O458" s="122">
        <f t="shared" ref="O458:O521" ca="1" si="108">(DAYS360(C458,NOW(),TRUE))/30</f>
        <v>22.333333333333332</v>
      </c>
      <c r="P458" s="121">
        <f t="shared" ref="P458:P521" ca="1" si="109">(N458/O458)*12</f>
        <v>-0.27930761505344326</v>
      </c>
      <c r="Q458" s="118">
        <f t="shared" ref="Q458:Q521" ca="1" si="110">G458+((G458*O458*8)/(100*12))</f>
        <v>40292.300476890006</v>
      </c>
      <c r="R458" s="118">
        <f t="shared" ref="R458:R521" si="111">-G458</f>
        <v>-35070.667726500003</v>
      </c>
      <c r="S458" s="123" t="s">
        <v>220</v>
      </c>
      <c r="T458" s="118" t="s">
        <v>216</v>
      </c>
      <c r="U458" s="118" t="s">
        <v>217</v>
      </c>
      <c r="V458" s="118" t="s">
        <v>269</v>
      </c>
      <c r="W458" s="118" t="s">
        <v>219</v>
      </c>
    </row>
    <row r="459" spans="2:23" x14ac:dyDescent="0.3">
      <c r="B459" s="116" t="e" vm="31">
        <v>#VALUE!</v>
      </c>
      <c r="C459" s="117">
        <v>45558</v>
      </c>
      <c r="D459" s="116">
        <v>6</v>
      </c>
      <c r="E459" s="118">
        <v>668.60235</v>
      </c>
      <c r="F459" s="118">
        <v>15.18729102</v>
      </c>
      <c r="G459" s="118">
        <f>(E459*D459)+F459</f>
        <v>4026.8013910199998</v>
      </c>
      <c r="H459" s="119">
        <f>F459/(D459*E459)</f>
        <v>3.7858305014931521E-3</v>
      </c>
      <c r="I459" s="120" cm="1">
        <f t="array" aca="1" ref="I459" ca="1">_FV(B459,"Price")</f>
        <v>324.3</v>
      </c>
      <c r="J459" s="118">
        <f t="shared" ca="1" si="105"/>
        <v>1938.4335310101949</v>
      </c>
      <c r="K459" s="118">
        <f t="shared" ca="1" si="99"/>
        <v>1945.8000000000002</v>
      </c>
      <c r="L459" s="118">
        <f>24.786+6*3</f>
        <v>42.786000000000001</v>
      </c>
      <c r="M459" s="118">
        <f t="shared" ca="1" si="106"/>
        <v>-2045.5818600098046</v>
      </c>
      <c r="N459" s="121">
        <f t="shared" ca="1" si="107"/>
        <v>-0.50799174366323863</v>
      </c>
      <c r="O459" s="122">
        <f t="shared" ca="1" si="108"/>
        <v>22</v>
      </c>
      <c r="P459" s="121">
        <f t="shared" ca="1" si="109"/>
        <v>-0.27708640563449377</v>
      </c>
      <c r="Q459" s="118">
        <f t="shared" ca="1" si="110"/>
        <v>4617.3989283696001</v>
      </c>
      <c r="R459" s="118">
        <f t="shared" si="111"/>
        <v>-4026.8013910199998</v>
      </c>
      <c r="S459" s="123" t="s">
        <v>220</v>
      </c>
      <c r="T459" s="118" t="s">
        <v>216</v>
      </c>
      <c r="U459" s="118" t="s">
        <v>217</v>
      </c>
      <c r="V459" s="118" t="s">
        <v>269</v>
      </c>
      <c r="W459" s="118" t="s">
        <v>219</v>
      </c>
    </row>
    <row r="460" spans="2:23" x14ac:dyDescent="0.3">
      <c r="B460" s="116" t="e" vm="31">
        <v>#VALUE!</v>
      </c>
      <c r="C460" s="117">
        <v>45572</v>
      </c>
      <c r="D460" s="116">
        <v>6</v>
      </c>
      <c r="E460" s="118">
        <v>641.20004999999992</v>
      </c>
      <c r="F460" s="118">
        <v>14.557065659999999</v>
      </c>
      <c r="G460" s="118">
        <f>(E460*D460)+F460</f>
        <v>3861.7573656599993</v>
      </c>
      <c r="H460" s="119">
        <f>F460/(D460*E460)</f>
        <v>3.7838075808010311E-3</v>
      </c>
      <c r="I460" s="120" cm="1">
        <f t="array" aca="1" ref="I460" ca="1">_FV(B460,"Price")</f>
        <v>324.3</v>
      </c>
      <c r="J460" s="118">
        <f t="shared" ca="1" si="105"/>
        <v>1938.4374672092777</v>
      </c>
      <c r="K460" s="118">
        <f t="shared" ca="1" si="99"/>
        <v>1945.8000000000002</v>
      </c>
      <c r="L460" s="118">
        <f>24.786+6*3</f>
        <v>42.786000000000001</v>
      </c>
      <c r="M460" s="118">
        <f t="shared" ca="1" si="106"/>
        <v>-1880.5338984507216</v>
      </c>
      <c r="N460" s="121">
        <f t="shared" ca="1" si="107"/>
        <v>-0.48696324506895222</v>
      </c>
      <c r="O460" s="122">
        <f t="shared" ca="1" si="108"/>
        <v>21.533333333333335</v>
      </c>
      <c r="P460" s="121">
        <f t="shared" ca="1" si="109"/>
        <v>-0.27137270623037585</v>
      </c>
      <c r="Q460" s="118">
        <f t="shared" ca="1" si="110"/>
        <v>4416.134089708079</v>
      </c>
      <c r="R460" s="118">
        <f t="shared" si="111"/>
        <v>-3861.7573656599993</v>
      </c>
      <c r="S460" s="123" t="s">
        <v>220</v>
      </c>
      <c r="T460" s="118" t="s">
        <v>216</v>
      </c>
      <c r="U460" s="118" t="s">
        <v>217</v>
      </c>
      <c r="V460" s="118" t="s">
        <v>269</v>
      </c>
      <c r="W460" s="118" t="s">
        <v>219</v>
      </c>
    </row>
    <row r="461" spans="2:23" x14ac:dyDescent="0.3">
      <c r="B461" s="116" t="e" vm="31">
        <v>#VALUE!</v>
      </c>
      <c r="C461" s="117">
        <v>45581</v>
      </c>
      <c r="D461" s="116">
        <v>55</v>
      </c>
      <c r="E461" s="118">
        <v>623.50559999999996</v>
      </c>
      <c r="F461" s="118">
        <v>129.5533926</v>
      </c>
      <c r="G461" s="118">
        <f>(E461*D461)+F461</f>
        <v>34422.361392599996</v>
      </c>
      <c r="H461" s="119">
        <f>F461/(D461*E461)</f>
        <v>3.7778589784773532E-3</v>
      </c>
      <c r="I461" s="120" cm="1">
        <f t="array" aca="1" ref="I461" ca="1">_FV(B461,"Price")</f>
        <v>324.3</v>
      </c>
      <c r="J461" s="118">
        <f t="shared" ca="1" si="105"/>
        <v>17769.11621833039</v>
      </c>
      <c r="K461" s="118">
        <f t="shared" ca="1" si="99"/>
        <v>17836.5</v>
      </c>
      <c r="L461" s="118">
        <f>227.205+55*3</f>
        <v>392.20500000000004</v>
      </c>
      <c r="M461" s="118">
        <f t="shared" ca="1" si="106"/>
        <v>-16261.040174269607</v>
      </c>
      <c r="N461" s="121">
        <f t="shared" ca="1" si="107"/>
        <v>-0.47239757867876403</v>
      </c>
      <c r="O461" s="122">
        <f t="shared" ca="1" si="108"/>
        <v>21.233333333333334</v>
      </c>
      <c r="P461" s="121">
        <f t="shared" ca="1" si="109"/>
        <v>-0.26697508371170336</v>
      </c>
      <c r="Q461" s="118">
        <f t="shared" ca="1" si="110"/>
        <v>39295.037883063596</v>
      </c>
      <c r="R461" s="118">
        <f t="shared" si="111"/>
        <v>-34422.361392599996</v>
      </c>
      <c r="S461" s="123" t="s">
        <v>220</v>
      </c>
      <c r="T461" s="118" t="s">
        <v>216</v>
      </c>
      <c r="U461" s="118" t="s">
        <v>217</v>
      </c>
      <c r="V461" s="118" t="s">
        <v>269</v>
      </c>
      <c r="W461" s="118" t="s">
        <v>219</v>
      </c>
    </row>
    <row r="462" spans="2:23" x14ac:dyDescent="0.3">
      <c r="B462" s="116" t="e" vm="31">
        <v>#VALUE!</v>
      </c>
      <c r="C462" s="117">
        <v>45586</v>
      </c>
      <c r="D462" s="116">
        <v>6</v>
      </c>
      <c r="E462" s="118">
        <v>622.33514999999989</v>
      </c>
      <c r="F462" s="118">
        <v>14.122153979999998</v>
      </c>
      <c r="G462" s="118">
        <f>(E462*D462)+F462</f>
        <v>3748.1330539799992</v>
      </c>
      <c r="H462" s="119">
        <f>F462/(D462*E462)</f>
        <v>3.7820334107755284E-3</v>
      </c>
      <c r="I462" s="120" cm="1">
        <f t="array" aca="1" ref="I462" ca="1">_FV(B462,"Price")</f>
        <v>324.3</v>
      </c>
      <c r="J462" s="118">
        <f t="shared" ca="1" si="105"/>
        <v>1938.4409193893132</v>
      </c>
      <c r="K462" s="118">
        <f t="shared" ca="1" si="99"/>
        <v>1945.8000000000002</v>
      </c>
      <c r="L462" s="118">
        <f>24.786+6*3</f>
        <v>42.786000000000001</v>
      </c>
      <c r="M462" s="118">
        <f t="shared" ca="1" si="106"/>
        <v>-1766.906134590686</v>
      </c>
      <c r="N462" s="121">
        <f t="shared" ca="1" si="107"/>
        <v>-0.47140966159525099</v>
      </c>
      <c r="O462" s="122">
        <f t="shared" ca="1" si="108"/>
        <v>21.066666666666666</v>
      </c>
      <c r="P462" s="121">
        <f t="shared" ca="1" si="109"/>
        <v>-0.268524490782105</v>
      </c>
      <c r="Q462" s="118">
        <f t="shared" ca="1" si="110"/>
        <v>4274.537518450079</v>
      </c>
      <c r="R462" s="118">
        <f t="shared" si="111"/>
        <v>-3748.1330539799992</v>
      </c>
      <c r="S462" s="123" t="s">
        <v>220</v>
      </c>
      <c r="T462" s="118" t="s">
        <v>216</v>
      </c>
      <c r="U462" s="118" t="s">
        <v>217</v>
      </c>
      <c r="V462" s="118" t="s">
        <v>269</v>
      </c>
      <c r="W462" s="118" t="s">
        <v>219</v>
      </c>
    </row>
    <row r="463" spans="2:23" x14ac:dyDescent="0.3">
      <c r="B463" s="116" t="e" vm="31">
        <v>#VALUE!</v>
      </c>
      <c r="C463" s="117">
        <v>45601</v>
      </c>
      <c r="D463" s="116">
        <v>7</v>
      </c>
      <c r="E463" s="118">
        <v>574.48439999999994</v>
      </c>
      <c r="F463" s="118">
        <v>15.222569759999999</v>
      </c>
      <c r="G463" s="118">
        <f>(E463*D463)+F463</f>
        <v>4036.6133697599998</v>
      </c>
      <c r="H463" s="119">
        <f>F463/(D463*E463)</f>
        <v>3.7853992603752913E-3</v>
      </c>
      <c r="I463" s="120" cm="1">
        <f t="array" aca="1" ref="I463" ca="1">_FV(B463,"Price")</f>
        <v>324.3</v>
      </c>
      <c r="J463" s="118">
        <f t="shared" ca="1" si="105"/>
        <v>2261.5067651390223</v>
      </c>
      <c r="K463" s="118">
        <f t="shared" ca="1" si="99"/>
        <v>2270.1</v>
      </c>
      <c r="L463" s="118">
        <f>28.917+7*3</f>
        <v>49.917000000000002</v>
      </c>
      <c r="M463" s="118">
        <f t="shared" ca="1" si="106"/>
        <v>-1725.1896046209777</v>
      </c>
      <c r="N463" s="121">
        <f t="shared" ca="1" si="107"/>
        <v>-0.42738539626933608</v>
      </c>
      <c r="O463" s="122">
        <f t="shared" ca="1" si="108"/>
        <v>20.6</v>
      </c>
      <c r="P463" s="121">
        <f t="shared" ca="1" si="109"/>
        <v>-0.24896236675883654</v>
      </c>
      <c r="Q463" s="118">
        <f t="shared" ca="1" si="110"/>
        <v>4590.9749392070398</v>
      </c>
      <c r="R463" s="118">
        <f t="shared" si="111"/>
        <v>-4036.6133697599998</v>
      </c>
      <c r="S463" s="123" t="s">
        <v>220</v>
      </c>
      <c r="T463" s="118" t="s">
        <v>216</v>
      </c>
      <c r="U463" s="118" t="s">
        <v>217</v>
      </c>
      <c r="V463" s="118" t="s">
        <v>269</v>
      </c>
      <c r="W463" s="118" t="s">
        <v>219</v>
      </c>
    </row>
    <row r="464" spans="2:23" x14ac:dyDescent="0.3">
      <c r="B464" s="116" t="e" vm="31">
        <v>#VALUE!</v>
      </c>
      <c r="C464" s="117">
        <v>45608</v>
      </c>
      <c r="D464" s="116">
        <v>65</v>
      </c>
      <c r="E464" s="118">
        <v>546.22147499999994</v>
      </c>
      <c r="F464" s="118">
        <v>134.80764592499997</v>
      </c>
      <c r="G464" s="118">
        <f t="shared" ref="G464:G527" si="112">(E464*D464)+F464</f>
        <v>35639.203520924995</v>
      </c>
      <c r="H464" s="119">
        <f t="shared" ref="H464:H527" si="113">F464/(D464*E464)</f>
        <v>3.7969283127536105E-3</v>
      </c>
      <c r="I464" s="120" cm="1">
        <f t="array" aca="1" ref="I464" ca="1">_FV(B464,"Price")</f>
        <v>324.3</v>
      </c>
      <c r="J464" s="118">
        <f t="shared" ca="1" si="105"/>
        <v>20999.46264963131</v>
      </c>
      <c r="K464" s="118">
        <f t="shared" ca="1" si="99"/>
        <v>21079.5</v>
      </c>
      <c r="L464" s="118">
        <f>268.515+65*3</f>
        <v>463.51499999999999</v>
      </c>
      <c r="M464" s="118">
        <f t="shared" ca="1" si="106"/>
        <v>-14176.225871293685</v>
      </c>
      <c r="N464" s="121">
        <f t="shared" ca="1" si="107"/>
        <v>-0.39777055800279987</v>
      </c>
      <c r="O464" s="122">
        <f t="shared" ca="1" si="108"/>
        <v>20.366666666666667</v>
      </c>
      <c r="P464" s="121">
        <f t="shared" ca="1" si="109"/>
        <v>-0.23436563155647783</v>
      </c>
      <c r="Q464" s="118">
        <f t="shared" ca="1" si="110"/>
        <v>40478.215376766144</v>
      </c>
      <c r="R464" s="118">
        <f t="shared" si="111"/>
        <v>-35639.203520924995</v>
      </c>
      <c r="S464" s="123" t="s">
        <v>220</v>
      </c>
      <c r="T464" s="118" t="s">
        <v>216</v>
      </c>
      <c r="U464" s="118" t="s">
        <v>217</v>
      </c>
      <c r="V464" s="118" t="s">
        <v>269</v>
      </c>
      <c r="W464" s="118" t="s">
        <v>219</v>
      </c>
    </row>
    <row r="465" spans="2:23" x14ac:dyDescent="0.3">
      <c r="B465" s="116" t="e" vm="31">
        <v>#VALUE!</v>
      </c>
      <c r="C465" s="117">
        <v>45617</v>
      </c>
      <c r="D465" s="116">
        <v>7</v>
      </c>
      <c r="E465" s="118">
        <v>539.68072499999994</v>
      </c>
      <c r="F465" s="118">
        <v>14.287263164999999</v>
      </c>
      <c r="G465" s="118">
        <f t="shared" si="112"/>
        <v>3792.0523381649991</v>
      </c>
      <c r="H465" s="119">
        <f t="shared" si="113"/>
        <v>3.7819353192575112E-3</v>
      </c>
      <c r="I465" s="120" cm="1">
        <f t="array" aca="1" ref="I465" ca="1">_FV(B465,"Price")</f>
        <v>324.3</v>
      </c>
      <c r="J465" s="118">
        <f t="shared" ca="1" si="105"/>
        <v>2261.5146286317536</v>
      </c>
      <c r="K465" s="118">
        <f t="shared" ca="1" si="99"/>
        <v>2270.1</v>
      </c>
      <c r="L465" s="118">
        <f>28.917+7*3</f>
        <v>49.917000000000002</v>
      </c>
      <c r="M465" s="118">
        <f t="shared" ca="1" si="106"/>
        <v>-1480.6207095332456</v>
      </c>
      <c r="N465" s="121">
        <f t="shared" ca="1" si="107"/>
        <v>-0.39045365873028232</v>
      </c>
      <c r="O465" s="122">
        <f t="shared" ca="1" si="108"/>
        <v>20.066666666666666</v>
      </c>
      <c r="P465" s="121">
        <f t="shared" ca="1" si="109"/>
        <v>-0.23349388229717882</v>
      </c>
      <c r="Q465" s="118">
        <f t="shared" ca="1" si="110"/>
        <v>4299.3446731817394</v>
      </c>
      <c r="R465" s="118">
        <f t="shared" si="111"/>
        <v>-3792.0523381649991</v>
      </c>
      <c r="S465" s="123" t="s">
        <v>220</v>
      </c>
      <c r="T465" s="118" t="s">
        <v>216</v>
      </c>
      <c r="U465" s="118" t="s">
        <v>217</v>
      </c>
      <c r="V465" s="118" t="s">
        <v>269</v>
      </c>
      <c r="W465" s="118" t="s">
        <v>219</v>
      </c>
    </row>
    <row r="466" spans="2:23" x14ac:dyDescent="0.3">
      <c r="B466" s="116" t="e" vm="31">
        <v>#VALUE!</v>
      </c>
      <c r="C466" s="117">
        <v>45631</v>
      </c>
      <c r="D466" s="116">
        <v>7</v>
      </c>
      <c r="E466" s="118">
        <v>539.43975</v>
      </c>
      <c r="F466" s="118">
        <v>14.276667149999998</v>
      </c>
      <c r="G466" s="118">
        <f t="shared" si="112"/>
        <v>3790.3549171499999</v>
      </c>
      <c r="H466" s="119">
        <f t="shared" si="113"/>
        <v>3.7808186707995253E-3</v>
      </c>
      <c r="I466" s="120" cm="1">
        <f t="array" aca="1" ref="I466" ca="1">_FV(B466,"Price")</f>
        <v>324.3</v>
      </c>
      <c r="J466" s="118">
        <f t="shared" ca="1" si="105"/>
        <v>2261.5171635354181</v>
      </c>
      <c r="K466" s="118">
        <f t="shared" ca="1" si="99"/>
        <v>2270.1</v>
      </c>
      <c r="L466" s="118">
        <f>28.917+7*3</f>
        <v>49.917000000000002</v>
      </c>
      <c r="M466" s="118">
        <f t="shared" ca="1" si="106"/>
        <v>-1478.9207536145818</v>
      </c>
      <c r="N466" s="121">
        <f t="shared" ca="1" si="107"/>
        <v>-0.3901800190063982</v>
      </c>
      <c r="O466" s="122">
        <f t="shared" ca="1" si="108"/>
        <v>19.600000000000001</v>
      </c>
      <c r="P466" s="121">
        <f t="shared" ca="1" si="109"/>
        <v>-0.2388857259222846</v>
      </c>
      <c r="Q466" s="118">
        <f t="shared" ca="1" si="110"/>
        <v>4285.6279596575996</v>
      </c>
      <c r="R466" s="118">
        <f t="shared" si="111"/>
        <v>-3790.3549171499999</v>
      </c>
      <c r="S466" s="123" t="s">
        <v>220</v>
      </c>
      <c r="T466" s="118" t="s">
        <v>216</v>
      </c>
      <c r="U466" s="118" t="s">
        <v>217</v>
      </c>
      <c r="V466" s="118" t="s">
        <v>269</v>
      </c>
      <c r="W466" s="118" t="s">
        <v>219</v>
      </c>
    </row>
    <row r="467" spans="2:23" x14ac:dyDescent="0.3">
      <c r="B467" s="116" t="e" vm="31">
        <v>#VALUE!</v>
      </c>
      <c r="C467" s="117">
        <v>45646</v>
      </c>
      <c r="D467" s="116">
        <v>8</v>
      </c>
      <c r="E467" s="118">
        <v>511.45222499999994</v>
      </c>
      <c r="F467" s="118">
        <v>15.48034416</v>
      </c>
      <c r="G467" s="118">
        <f t="shared" si="112"/>
        <v>4107.0981441599997</v>
      </c>
      <c r="H467" s="119">
        <f t="shared" si="113"/>
        <v>3.7834286868142965E-3</v>
      </c>
      <c r="I467" s="120" cm="1">
        <f t="array" aca="1" ref="I467" ca="1">_FV(B467,"Price")</f>
        <v>324.3</v>
      </c>
      <c r="J467" s="118">
        <f t="shared" ca="1" si="105"/>
        <v>2584.584272614929</v>
      </c>
      <c r="K467" s="118">
        <f t="shared" ca="1" si="99"/>
        <v>2594.4</v>
      </c>
      <c r="L467" s="118">
        <f>33.048+8*3</f>
        <v>57.048000000000002</v>
      </c>
      <c r="M467" s="118">
        <f t="shared" ca="1" si="106"/>
        <v>-1465.4658715450707</v>
      </c>
      <c r="N467" s="121">
        <f t="shared" ca="1" si="107"/>
        <v>-0.35681296626155834</v>
      </c>
      <c r="O467" s="122">
        <f t="shared" ca="1" si="108"/>
        <v>19.100000000000001</v>
      </c>
      <c r="P467" s="121">
        <f t="shared" ca="1" si="109"/>
        <v>-0.224175685609356</v>
      </c>
      <c r="Q467" s="118">
        <f t="shared" ca="1" si="110"/>
        <v>4630.0686411830393</v>
      </c>
      <c r="R467" s="118">
        <f t="shared" si="111"/>
        <v>-4107.0981441599997</v>
      </c>
      <c r="S467" s="123" t="s">
        <v>220</v>
      </c>
      <c r="T467" s="118" t="s">
        <v>216</v>
      </c>
      <c r="U467" s="118" t="s">
        <v>217</v>
      </c>
      <c r="V467" s="118" t="s">
        <v>269</v>
      </c>
      <c r="W467" s="118" t="s">
        <v>219</v>
      </c>
    </row>
    <row r="468" spans="2:23" x14ac:dyDescent="0.3">
      <c r="B468" s="116" t="e" vm="31">
        <v>#VALUE!</v>
      </c>
      <c r="C468" s="117">
        <v>45663</v>
      </c>
      <c r="D468" s="116">
        <v>7</v>
      </c>
      <c r="E468" s="118">
        <v>539.43975</v>
      </c>
      <c r="F468" s="118">
        <v>14.276667149999998</v>
      </c>
      <c r="G468" s="118">
        <f t="shared" si="112"/>
        <v>3790.3549171499999</v>
      </c>
      <c r="H468" s="119">
        <f t="shared" si="113"/>
        <v>3.7808186707995253E-3</v>
      </c>
      <c r="I468" s="120" cm="1">
        <f t="array" aca="1" ref="I468" ca="1">_FV(B468,"Price")</f>
        <v>324.3</v>
      </c>
      <c r="J468" s="118">
        <f t="shared" ca="1" si="105"/>
        <v>2261.5171635354181</v>
      </c>
      <c r="K468" s="118">
        <f t="shared" ca="1" si="99"/>
        <v>2270.1</v>
      </c>
      <c r="L468" s="118">
        <f>28.917+7*3</f>
        <v>49.917000000000002</v>
      </c>
      <c r="M468" s="118">
        <f t="shared" ca="1" si="106"/>
        <v>-1478.9207536145818</v>
      </c>
      <c r="N468" s="121">
        <f t="shared" ca="1" si="107"/>
        <v>-0.3901800190063982</v>
      </c>
      <c r="O468" s="122">
        <f t="shared" ca="1" si="108"/>
        <v>18.566666666666666</v>
      </c>
      <c r="P468" s="121">
        <f t="shared" ca="1" si="109"/>
        <v>-0.25218098176356074</v>
      </c>
      <c r="Q468" s="118">
        <f t="shared" ca="1" si="110"/>
        <v>4259.5166257839001</v>
      </c>
      <c r="R468" s="118">
        <f t="shared" si="111"/>
        <v>-3790.3549171499999</v>
      </c>
      <c r="S468" s="123" t="s">
        <v>220</v>
      </c>
      <c r="T468" s="118" t="s">
        <v>216</v>
      </c>
      <c r="U468" s="118" t="s">
        <v>217</v>
      </c>
      <c r="V468" s="118" t="s">
        <v>269</v>
      </c>
      <c r="W468" s="118" t="s">
        <v>219</v>
      </c>
    </row>
    <row r="469" spans="2:23" x14ac:dyDescent="0.3">
      <c r="B469" s="116" t="e" vm="31">
        <v>#VALUE!</v>
      </c>
      <c r="C469" s="117">
        <v>45677</v>
      </c>
      <c r="D469" s="116">
        <v>7</v>
      </c>
      <c r="E469" s="118">
        <v>532.52032499999996</v>
      </c>
      <c r="F469" s="118">
        <v>14.094373005</v>
      </c>
      <c r="G469" s="118">
        <f t="shared" si="112"/>
        <v>3741.7366480049996</v>
      </c>
      <c r="H469" s="119">
        <f t="shared" si="113"/>
        <v>3.7810422688695365E-3</v>
      </c>
      <c r="I469" s="120" cm="1">
        <f t="array" aca="1" ref="I469" ca="1">_FV(B469,"Price")</f>
        <v>324.3</v>
      </c>
      <c r="J469" s="118">
        <f t="shared" ca="1" si="105"/>
        <v>2261.5166559454392</v>
      </c>
      <c r="K469" s="118">
        <f t="shared" ca="1" si="99"/>
        <v>2270.1</v>
      </c>
      <c r="L469" s="118">
        <f>28.917+7*3</f>
        <v>49.917000000000002</v>
      </c>
      <c r="M469" s="118">
        <f t="shared" ca="1" si="106"/>
        <v>-1430.3029920595604</v>
      </c>
      <c r="N469" s="121">
        <f t="shared" ca="1" si="107"/>
        <v>-0.38225645645643241</v>
      </c>
      <c r="O469" s="122">
        <f t="shared" ca="1" si="108"/>
        <v>18.100000000000001</v>
      </c>
      <c r="P469" s="121">
        <f t="shared" ca="1" si="109"/>
        <v>-0.25342969488824246</v>
      </c>
      <c r="Q469" s="118">
        <f t="shared" ca="1" si="110"/>
        <v>4193.2395368642692</v>
      </c>
      <c r="R469" s="118">
        <f t="shared" si="111"/>
        <v>-3741.7366480049996</v>
      </c>
      <c r="S469" s="123" t="s">
        <v>220</v>
      </c>
      <c r="T469" s="118" t="s">
        <v>216</v>
      </c>
      <c r="U469" s="118" t="s">
        <v>217</v>
      </c>
      <c r="V469" s="118" t="s">
        <v>269</v>
      </c>
      <c r="W469" s="118" t="s">
        <v>219</v>
      </c>
    </row>
    <row r="470" spans="2:23" x14ac:dyDescent="0.3">
      <c r="B470" s="116" t="e" vm="31">
        <v>#VALUE!</v>
      </c>
      <c r="C470" s="117">
        <v>45691</v>
      </c>
      <c r="D470" s="116">
        <v>8</v>
      </c>
      <c r="E470" s="118">
        <v>477.8534249999999</v>
      </c>
      <c r="F470" s="118">
        <v>14.462135279999998</v>
      </c>
      <c r="G470" s="118">
        <f t="shared" si="112"/>
        <v>3837.2895352799992</v>
      </c>
      <c r="H470" s="119">
        <f t="shared" si="113"/>
        <v>3.7830992003457966E-3</v>
      </c>
      <c r="I470" s="120" cm="1">
        <f t="array" aca="1" ref="I470" ca="1">_FV(B470,"Price")</f>
        <v>324.3</v>
      </c>
      <c r="J470" s="118">
        <f t="shared" ca="1" si="105"/>
        <v>2584.5851274346228</v>
      </c>
      <c r="K470" s="118">
        <f t="shared" ca="1" si="99"/>
        <v>2594.4</v>
      </c>
      <c r="L470" s="118">
        <f>33.048+8*3</f>
        <v>57.048000000000002</v>
      </c>
      <c r="M470" s="118">
        <f t="shared" ca="1" si="106"/>
        <v>-1195.6564078453764</v>
      </c>
      <c r="N470" s="121">
        <f t="shared" ca="1" si="107"/>
        <v>-0.31158879121643651</v>
      </c>
      <c r="O470" s="122">
        <f t="shared" ca="1" si="108"/>
        <v>17.666666666666668</v>
      </c>
      <c r="P470" s="121">
        <f t="shared" ca="1" si="109"/>
        <v>-0.21164521667531538</v>
      </c>
      <c r="Q470" s="118">
        <f t="shared" ca="1" si="110"/>
        <v>4289.2369694351992</v>
      </c>
      <c r="R470" s="118">
        <f t="shared" si="111"/>
        <v>-3837.2895352799992</v>
      </c>
      <c r="S470" s="123" t="s">
        <v>220</v>
      </c>
      <c r="T470" s="118" t="s">
        <v>216</v>
      </c>
      <c r="U470" s="118" t="s">
        <v>217</v>
      </c>
      <c r="V470" s="118" t="s">
        <v>269</v>
      </c>
      <c r="W470" s="118" t="s">
        <v>219</v>
      </c>
    </row>
    <row r="471" spans="2:23" x14ac:dyDescent="0.3">
      <c r="B471" s="116" t="e" vm="31">
        <v>#VALUE!</v>
      </c>
      <c r="C471" s="117">
        <v>45706</v>
      </c>
      <c r="D471" s="116">
        <v>8</v>
      </c>
      <c r="E471" s="118">
        <v>465.97679999999991</v>
      </c>
      <c r="F471" s="118">
        <v>14.101636679999999</v>
      </c>
      <c r="G471" s="118">
        <f t="shared" si="112"/>
        <v>3741.9160366799993</v>
      </c>
      <c r="H471" s="119">
        <f t="shared" si="113"/>
        <v>3.7828161938534281E-3</v>
      </c>
      <c r="I471" s="120" cm="1">
        <f t="array" aca="1" ref="I471" ca="1">_FV(B471,"Price")</f>
        <v>324.3</v>
      </c>
      <c r="J471" s="118">
        <f t="shared" ca="1" si="105"/>
        <v>2584.5858616666665</v>
      </c>
      <c r="K471" s="118">
        <f t="shared" ca="1" si="99"/>
        <v>2594.4</v>
      </c>
      <c r="L471" s="118">
        <f>33.048+8*3</f>
        <v>57.048000000000002</v>
      </c>
      <c r="M471" s="118">
        <f t="shared" ca="1" si="106"/>
        <v>-1100.2821750133328</v>
      </c>
      <c r="N471" s="121">
        <f t="shared" ca="1" si="107"/>
        <v>-0.29404245424746461</v>
      </c>
      <c r="O471" s="122">
        <f t="shared" ca="1" si="108"/>
        <v>17.166666666666668</v>
      </c>
      <c r="P471" s="121">
        <f t="shared" ca="1" si="109"/>
        <v>-0.20554423986230536</v>
      </c>
      <c r="Q471" s="118">
        <f t="shared" ca="1" si="110"/>
        <v>4170.1575386555996</v>
      </c>
      <c r="R471" s="118">
        <f t="shared" si="111"/>
        <v>-3741.9160366799993</v>
      </c>
      <c r="S471" s="123" t="s">
        <v>220</v>
      </c>
      <c r="T471" s="118" t="s">
        <v>216</v>
      </c>
      <c r="U471" s="118" t="s">
        <v>217</v>
      </c>
      <c r="V471" s="118" t="s">
        <v>269</v>
      </c>
      <c r="W471" s="118" t="s">
        <v>219</v>
      </c>
    </row>
    <row r="472" spans="2:23" x14ac:dyDescent="0.3">
      <c r="B472" s="116" t="e" vm="31">
        <v>#VALUE!</v>
      </c>
      <c r="C472" s="117">
        <v>45721</v>
      </c>
      <c r="D472" s="116">
        <v>9</v>
      </c>
      <c r="E472" s="118">
        <v>438.05812500000002</v>
      </c>
      <c r="F472" s="118">
        <v>14.918245875</v>
      </c>
      <c r="G472" s="118">
        <f t="shared" si="112"/>
        <v>3957.4413708750003</v>
      </c>
      <c r="H472" s="119">
        <f t="shared" si="113"/>
        <v>3.7839336389434621E-3</v>
      </c>
      <c r="I472" s="120" cm="1">
        <f t="array" aca="1" ref="I472" ca="1">_FV(B472,"Price")</f>
        <v>324.3</v>
      </c>
      <c r="J472" s="118">
        <f t="shared" ca="1" si="105"/>
        <v>2907.655832888016</v>
      </c>
      <c r="K472" s="118">
        <f t="shared" ref="K472:K535" ca="1" si="114">I472*D472</f>
        <v>2918.7000000000003</v>
      </c>
      <c r="L472" s="118">
        <f>37.179+9*3</f>
        <v>64.179000000000002</v>
      </c>
      <c r="M472" s="118">
        <f t="shared" ca="1" si="106"/>
        <v>-985.60653798698434</v>
      </c>
      <c r="N472" s="121">
        <f t="shared" ca="1" si="107"/>
        <v>-0.24905145664080028</v>
      </c>
      <c r="O472" s="122">
        <f t="shared" ca="1" si="108"/>
        <v>16.600000000000001</v>
      </c>
      <c r="P472" s="121">
        <f t="shared" ca="1" si="109"/>
        <v>-0.18003719757166284</v>
      </c>
      <c r="Q472" s="118">
        <f t="shared" ca="1" si="110"/>
        <v>4395.3982159185007</v>
      </c>
      <c r="R472" s="118">
        <f t="shared" si="111"/>
        <v>-3957.4413708750003</v>
      </c>
      <c r="S472" s="123" t="s">
        <v>220</v>
      </c>
      <c r="T472" s="118" t="s">
        <v>216</v>
      </c>
      <c r="U472" s="118" t="s">
        <v>217</v>
      </c>
      <c r="V472" s="118" t="s">
        <v>269</v>
      </c>
      <c r="W472" s="118" t="s">
        <v>219</v>
      </c>
    </row>
    <row r="473" spans="2:23" x14ac:dyDescent="0.3">
      <c r="B473" s="116" t="e" vm="31">
        <v>#VALUE!</v>
      </c>
      <c r="C473" s="117">
        <v>45736</v>
      </c>
      <c r="D473" s="116">
        <v>8</v>
      </c>
      <c r="E473" s="118">
        <v>469.41929999999991</v>
      </c>
      <c r="F473" s="118">
        <v>14.203534680000001</v>
      </c>
      <c r="G473" s="118">
        <f t="shared" si="112"/>
        <v>3769.5579346799991</v>
      </c>
      <c r="H473" s="119">
        <f t="shared" si="113"/>
        <v>3.782208858902905E-3</v>
      </c>
      <c r="I473" s="120" cm="1">
        <f t="array" aca="1" ref="I473" ca="1">_FV(B473,"Price")</f>
        <v>324.3</v>
      </c>
      <c r="J473" s="118">
        <f t="shared" ca="1" si="105"/>
        <v>2584.5874373364622</v>
      </c>
      <c r="K473" s="118">
        <f t="shared" ca="1" si="114"/>
        <v>2594.4</v>
      </c>
      <c r="L473" s="118">
        <f>33.048+8*3</f>
        <v>57.048000000000002</v>
      </c>
      <c r="M473" s="118">
        <f t="shared" ca="1" si="106"/>
        <v>-1127.9224973435369</v>
      </c>
      <c r="N473" s="121">
        <f t="shared" ca="1" si="107"/>
        <v>-0.29921877230394317</v>
      </c>
      <c r="O473" s="122">
        <f t="shared" ca="1" si="108"/>
        <v>16.100000000000001</v>
      </c>
      <c r="P473" s="121">
        <f t="shared" ca="1" si="109"/>
        <v>-0.22302020295946073</v>
      </c>
      <c r="Q473" s="118">
        <f t="shared" ca="1" si="110"/>
        <v>4174.1571530023193</v>
      </c>
      <c r="R473" s="118">
        <f t="shared" si="111"/>
        <v>-3769.5579346799991</v>
      </c>
      <c r="S473" s="123" t="s">
        <v>220</v>
      </c>
      <c r="T473" s="118" t="s">
        <v>216</v>
      </c>
      <c r="U473" s="118" t="s">
        <v>217</v>
      </c>
      <c r="V473" s="118" t="s">
        <v>269</v>
      </c>
      <c r="W473" s="118" t="s">
        <v>219</v>
      </c>
    </row>
    <row r="474" spans="2:23" x14ac:dyDescent="0.3">
      <c r="B474" s="116" t="e" vm="31">
        <v>#VALUE!</v>
      </c>
      <c r="C474" s="117">
        <v>45751</v>
      </c>
      <c r="D474" s="116">
        <v>9</v>
      </c>
      <c r="E474" s="118">
        <v>424.46024999999992</v>
      </c>
      <c r="F474" s="118">
        <v>14.456227950000001</v>
      </c>
      <c r="G474" s="118">
        <f t="shared" si="112"/>
        <v>3834.5984779499995</v>
      </c>
      <c r="H474" s="119">
        <f t="shared" si="113"/>
        <v>3.7842119491754535E-3</v>
      </c>
      <c r="I474" s="120" cm="1">
        <f t="array" aca="1" ref="I474" ca="1">_FV(B474,"Price")</f>
        <v>324.3</v>
      </c>
      <c r="J474" s="118">
        <f t="shared" ca="1" si="105"/>
        <v>2907.6550205839421</v>
      </c>
      <c r="K474" s="118">
        <f t="shared" ca="1" si="114"/>
        <v>2918.7000000000003</v>
      </c>
      <c r="L474" s="118">
        <f>37.179+9*3</f>
        <v>64.179000000000002</v>
      </c>
      <c r="M474" s="118">
        <f t="shared" ca="1" si="106"/>
        <v>-862.7644573660574</v>
      </c>
      <c r="N474" s="121">
        <f t="shared" ca="1" si="107"/>
        <v>-0.22499473212832879</v>
      </c>
      <c r="O474" s="122">
        <f t="shared" ca="1" si="108"/>
        <v>15.633333333333333</v>
      </c>
      <c r="P474" s="121">
        <f t="shared" ca="1" si="109"/>
        <v>-0.17270384555692614</v>
      </c>
      <c r="Q474" s="118">
        <f t="shared" ca="1" si="110"/>
        <v>4234.2488526518991</v>
      </c>
      <c r="R474" s="118">
        <f t="shared" si="111"/>
        <v>-3834.5984779499995</v>
      </c>
      <c r="S474" s="123" t="s">
        <v>220</v>
      </c>
      <c r="T474" s="118" t="s">
        <v>216</v>
      </c>
      <c r="U474" s="118" t="s">
        <v>217</v>
      </c>
      <c r="V474" s="118" t="s">
        <v>269</v>
      </c>
      <c r="W474" s="118" t="s">
        <v>219</v>
      </c>
    </row>
    <row r="475" spans="2:23" x14ac:dyDescent="0.3">
      <c r="B475" s="116" t="e" vm="31">
        <v>#VALUE!</v>
      </c>
      <c r="C475" s="117">
        <v>45768</v>
      </c>
      <c r="D475" s="116">
        <v>9</v>
      </c>
      <c r="E475" s="118">
        <v>432.37799999999993</v>
      </c>
      <c r="F475" s="118">
        <v>14.723159399999997</v>
      </c>
      <c r="G475" s="118">
        <f t="shared" si="112"/>
        <v>3906.1251593999991</v>
      </c>
      <c r="H475" s="119">
        <f t="shared" si="113"/>
        <v>3.783510261854211E-3</v>
      </c>
      <c r="I475" s="120" cm="1">
        <f t="array" aca="1" ref="I475" ca="1">_FV(B475,"Price")</f>
        <v>324.3</v>
      </c>
      <c r="J475" s="118">
        <f t="shared" ca="1" si="105"/>
        <v>2907.6570685987263</v>
      </c>
      <c r="K475" s="118">
        <f t="shared" ca="1" si="114"/>
        <v>2918.7000000000003</v>
      </c>
      <c r="L475" s="118">
        <f>37.179+9*3</f>
        <v>64.179000000000002</v>
      </c>
      <c r="M475" s="118">
        <f t="shared" ca="1" si="106"/>
        <v>-934.28909080127289</v>
      </c>
      <c r="N475" s="121">
        <f t="shared" ca="1" si="107"/>
        <v>-0.23918565142566617</v>
      </c>
      <c r="O475" s="122">
        <f t="shared" ca="1" si="108"/>
        <v>15.066666666666666</v>
      </c>
      <c r="P475" s="121">
        <f t="shared" ca="1" si="109"/>
        <v>-0.19050184626822969</v>
      </c>
      <c r="Q475" s="118">
        <f t="shared" ca="1" si="110"/>
        <v>4298.4737309663988</v>
      </c>
      <c r="R475" s="118">
        <f t="shared" si="111"/>
        <v>-3906.1251593999991</v>
      </c>
      <c r="S475" s="123" t="s">
        <v>220</v>
      </c>
      <c r="T475" s="118" t="s">
        <v>216</v>
      </c>
      <c r="U475" s="118" t="s">
        <v>217</v>
      </c>
      <c r="V475" s="118" t="s">
        <v>269</v>
      </c>
      <c r="W475" s="118" t="s">
        <v>219</v>
      </c>
    </row>
    <row r="476" spans="2:23" x14ac:dyDescent="0.3">
      <c r="B476" s="116" t="e" vm="31">
        <v>#VALUE!</v>
      </c>
      <c r="C476" s="117">
        <v>45782</v>
      </c>
      <c r="D476" s="116">
        <v>9</v>
      </c>
      <c r="E476" s="118">
        <v>456.26894999999996</v>
      </c>
      <c r="F476" s="118">
        <v>15.533565209999999</v>
      </c>
      <c r="G476" s="118">
        <f t="shared" si="112"/>
        <v>4121.9541152100001</v>
      </c>
      <c r="H476" s="119">
        <f t="shared" si="113"/>
        <v>3.7827506999983233E-3</v>
      </c>
      <c r="I476" s="120" cm="1">
        <f t="array" aca="1" ref="I476" ca="1">_FV(B476,"Price")</f>
        <v>324.3</v>
      </c>
      <c r="J476" s="118">
        <f t="shared" ca="1" si="105"/>
        <v>2907.659285531915</v>
      </c>
      <c r="K476" s="118">
        <f t="shared" ca="1" si="114"/>
        <v>2918.7000000000003</v>
      </c>
      <c r="L476" s="118">
        <f>37.179+9*3</f>
        <v>64.179000000000002</v>
      </c>
      <c r="M476" s="118">
        <f t="shared" ca="1" si="106"/>
        <v>-1150.115829678085</v>
      </c>
      <c r="N476" s="121">
        <f t="shared" ca="1" si="107"/>
        <v>-0.27902198751659085</v>
      </c>
      <c r="O476" s="122">
        <f t="shared" ca="1" si="108"/>
        <v>14.6</v>
      </c>
      <c r="P476" s="121">
        <f t="shared" ca="1" si="109"/>
        <v>-0.22933314042459521</v>
      </c>
      <c r="Q476" s="118">
        <f t="shared" ca="1" si="110"/>
        <v>4523.1576490904399</v>
      </c>
      <c r="R476" s="118">
        <f t="shared" si="111"/>
        <v>-4121.9541152100001</v>
      </c>
      <c r="S476" s="123" t="s">
        <v>220</v>
      </c>
      <c r="T476" s="118" t="s">
        <v>216</v>
      </c>
      <c r="U476" s="118" t="s">
        <v>217</v>
      </c>
      <c r="V476" s="118" t="s">
        <v>269</v>
      </c>
      <c r="W476" s="118" t="s">
        <v>219</v>
      </c>
    </row>
    <row r="477" spans="2:23" x14ac:dyDescent="0.3">
      <c r="B477" s="116" t="e" vm="31">
        <v>#VALUE!</v>
      </c>
      <c r="C477" s="117">
        <v>45796</v>
      </c>
      <c r="D477" s="116">
        <v>8</v>
      </c>
      <c r="E477" s="118">
        <v>504.3606749999999</v>
      </c>
      <c r="F477" s="118">
        <v>15.266027879999999</v>
      </c>
      <c r="G477" s="118">
        <f t="shared" si="112"/>
        <v>4050.1514278799991</v>
      </c>
      <c r="H477" s="119">
        <f t="shared" si="113"/>
        <v>3.78350965804382E-3</v>
      </c>
      <c r="I477" s="120" cm="1">
        <f t="array" aca="1" ref="I477" ca="1">_FV(B477,"Price")</f>
        <v>324.3</v>
      </c>
      <c r="J477" s="118">
        <f t="shared" ca="1" si="105"/>
        <v>2584.5840625431711</v>
      </c>
      <c r="K477" s="118">
        <f t="shared" ca="1" si="114"/>
        <v>2594.4</v>
      </c>
      <c r="L477" s="118">
        <f>33.048+8*3</f>
        <v>57.048000000000002</v>
      </c>
      <c r="M477" s="118">
        <f t="shared" ca="1" si="106"/>
        <v>-1408.5193653368281</v>
      </c>
      <c r="N477" s="121">
        <f t="shared" ca="1" si="107"/>
        <v>-0.34776955637782159</v>
      </c>
      <c r="O477" s="122">
        <f t="shared" ca="1" si="108"/>
        <v>14.133333333333333</v>
      </c>
      <c r="P477" s="121">
        <f t="shared" ca="1" si="109"/>
        <v>-0.29527603843399947</v>
      </c>
      <c r="Q477" s="118">
        <f t="shared" ca="1" si="110"/>
        <v>4431.7656957513591</v>
      </c>
      <c r="R477" s="118">
        <f t="shared" si="111"/>
        <v>-4050.1514278799991</v>
      </c>
      <c r="S477" s="123" t="s">
        <v>220</v>
      </c>
      <c r="T477" s="118" t="s">
        <v>216</v>
      </c>
      <c r="U477" s="118" t="s">
        <v>217</v>
      </c>
      <c r="V477" s="118" t="s">
        <v>269</v>
      </c>
      <c r="W477" s="118" t="s">
        <v>219</v>
      </c>
    </row>
    <row r="478" spans="2:23" x14ac:dyDescent="0.3">
      <c r="B478" s="116" t="e" vm="31">
        <v>#VALUE!</v>
      </c>
      <c r="C478" s="117">
        <v>45811</v>
      </c>
      <c r="D478" s="116">
        <v>8</v>
      </c>
      <c r="E478" s="118">
        <v>487.77470999999997</v>
      </c>
      <c r="F478" s="118">
        <v>15.098044895999999</v>
      </c>
      <c r="G478" s="118">
        <f t="shared" si="112"/>
        <v>3917.2957248959997</v>
      </c>
      <c r="H478" s="119">
        <f t="shared" si="113"/>
        <v>3.8691132879767384E-3</v>
      </c>
      <c r="I478" s="120" cm="1">
        <f t="array" aca="1" ref="I478" ca="1">_FV(B478,"Price")</f>
        <v>324.3</v>
      </c>
      <c r="J478" s="118">
        <f t="shared" ca="1" si="105"/>
        <v>2584.361972485673</v>
      </c>
      <c r="K478" s="118">
        <f t="shared" ca="1" si="114"/>
        <v>2594.4</v>
      </c>
      <c r="L478" s="118">
        <f>33.048+8*3</f>
        <v>57.048000000000002</v>
      </c>
      <c r="M478" s="118">
        <f t="shared" ca="1" si="106"/>
        <v>-1275.8857524103266</v>
      </c>
      <c r="N478" s="121">
        <f t="shared" ca="1" si="107"/>
        <v>-0.32570575264500873</v>
      </c>
      <c r="O478" s="122">
        <f t="shared" ca="1" si="108"/>
        <v>13.666666666666666</v>
      </c>
      <c r="P478" s="121">
        <f t="shared" ca="1" si="109"/>
        <v>-0.28598553890781253</v>
      </c>
      <c r="Q478" s="118">
        <f t="shared" ca="1" si="110"/>
        <v>4274.2048909420801</v>
      </c>
      <c r="R478" s="118">
        <f t="shared" si="111"/>
        <v>-3917.2957248959997</v>
      </c>
      <c r="S478" s="123" t="s">
        <v>220</v>
      </c>
      <c r="T478" s="118" t="s">
        <v>216</v>
      </c>
      <c r="U478" s="118" t="s">
        <v>217</v>
      </c>
      <c r="V478" s="118" t="s">
        <v>269</v>
      </c>
      <c r="W478" s="118" t="s">
        <v>219</v>
      </c>
    </row>
    <row r="479" spans="2:23" x14ac:dyDescent="0.3">
      <c r="B479" s="116" t="e" vm="31">
        <v>#VALUE!</v>
      </c>
      <c r="C479" s="117">
        <v>45826</v>
      </c>
      <c r="D479" s="116">
        <v>8</v>
      </c>
      <c r="E479" s="118">
        <v>463.79425499999996</v>
      </c>
      <c r="F479" s="118">
        <v>14.035683887999999</v>
      </c>
      <c r="G479" s="118">
        <f t="shared" si="112"/>
        <v>3724.3897238879999</v>
      </c>
      <c r="H479" s="119">
        <f t="shared" si="113"/>
        <v>3.7828422130843343E-3</v>
      </c>
      <c r="I479" s="120" cm="1">
        <f t="array" aca="1" ref="I479" ca="1">_FV(B479,"Price")</f>
        <v>324.3</v>
      </c>
      <c r="J479" s="118">
        <f t="shared" ca="1" si="105"/>
        <v>2584.585794162374</v>
      </c>
      <c r="K479" s="118">
        <f t="shared" ca="1" si="114"/>
        <v>2594.4</v>
      </c>
      <c r="L479" s="118">
        <f>8*3</f>
        <v>24</v>
      </c>
      <c r="M479" s="118">
        <f t="shared" ca="1" si="106"/>
        <v>-1115.8039297256259</v>
      </c>
      <c r="N479" s="121">
        <f t="shared" ca="1" si="107"/>
        <v>-0.29959376232001989</v>
      </c>
      <c r="O479" s="122">
        <f t="shared" ca="1" si="108"/>
        <v>13.166666666666666</v>
      </c>
      <c r="P479" s="121">
        <f t="shared" ca="1" si="109"/>
        <v>-0.27304747958280295</v>
      </c>
      <c r="Q479" s="118">
        <f t="shared" ca="1" si="110"/>
        <v>4051.30837742928</v>
      </c>
      <c r="R479" s="118">
        <f t="shared" si="111"/>
        <v>-3724.3897238879999</v>
      </c>
      <c r="S479" s="123" t="s">
        <v>220</v>
      </c>
      <c r="T479" s="118" t="s">
        <v>216</v>
      </c>
      <c r="U479" s="118" t="s">
        <v>217</v>
      </c>
      <c r="V479" s="118" t="s">
        <v>269</v>
      </c>
      <c r="W479" s="118" t="s">
        <v>219</v>
      </c>
    </row>
    <row r="480" spans="2:23" ht="15.75" customHeight="1" x14ac:dyDescent="0.3">
      <c r="B480" s="116" t="e" vm="31">
        <v>#VALUE!</v>
      </c>
      <c r="C480" s="117">
        <v>45841</v>
      </c>
      <c r="D480" s="116">
        <v>8</v>
      </c>
      <c r="E480" s="118">
        <v>478.50749999999994</v>
      </c>
      <c r="F480" s="118">
        <v>14.480532</v>
      </c>
      <c r="G480" s="118">
        <f t="shared" si="112"/>
        <v>3842.5405319999995</v>
      </c>
      <c r="H480" s="119">
        <f t="shared" si="113"/>
        <v>3.7827338129496407E-3</v>
      </c>
      <c r="I480" s="120" cm="1">
        <f t="array" aca="1" ref="I480" ca="1">_FV(B480,"Price")</f>
        <v>324.3</v>
      </c>
      <c r="J480" s="118">
        <f t="shared" ca="1" si="105"/>
        <v>2584.5860753956836</v>
      </c>
      <c r="K480" s="118">
        <f t="shared" ca="1" si="114"/>
        <v>2594.4</v>
      </c>
      <c r="L480" s="118">
        <f>8*3</f>
        <v>24</v>
      </c>
      <c r="M480" s="118">
        <f t="shared" ca="1" si="106"/>
        <v>-1233.954456604316</v>
      </c>
      <c r="N480" s="121">
        <f t="shared" ca="1" si="107"/>
        <v>-0.32112984790353177</v>
      </c>
      <c r="O480" s="122">
        <f t="shared" ca="1" si="108"/>
        <v>12.666666666666666</v>
      </c>
      <c r="P480" s="121">
        <f t="shared" ca="1" si="109"/>
        <v>-0.30422827696124061</v>
      </c>
      <c r="Q480" s="118">
        <f t="shared" ca="1" si="110"/>
        <v>4167.0217324799996</v>
      </c>
      <c r="R480" s="118">
        <f t="shared" si="111"/>
        <v>-3842.5405319999995</v>
      </c>
      <c r="S480" s="123" t="s">
        <v>220</v>
      </c>
      <c r="T480" s="118" t="s">
        <v>216</v>
      </c>
      <c r="U480" s="118" t="s">
        <v>217</v>
      </c>
      <c r="V480" s="118" t="s">
        <v>269</v>
      </c>
      <c r="W480" s="118" t="s">
        <v>219</v>
      </c>
    </row>
    <row r="481" spans="2:23" ht="15.75" customHeight="1" x14ac:dyDescent="0.3">
      <c r="B481" s="116" t="e" vm="31">
        <v>#VALUE!</v>
      </c>
      <c r="C481" s="117">
        <v>45873</v>
      </c>
      <c r="D481" s="116">
        <v>9</v>
      </c>
      <c r="E481" s="118">
        <v>450.51997499999999</v>
      </c>
      <c r="F481" s="118">
        <v>15.337115505</v>
      </c>
      <c r="G481" s="118">
        <f t="shared" si="112"/>
        <v>4070.016890505</v>
      </c>
      <c r="H481" s="119">
        <f t="shared" si="113"/>
        <v>3.7825713388179956E-3</v>
      </c>
      <c r="I481" s="120" cm="1">
        <f t="array" aca="1" ref="I481" ca="1">_FV(B481,"Price")</f>
        <v>324.3</v>
      </c>
      <c r="J481" s="118">
        <f t="shared" ca="1" si="105"/>
        <v>2907.6598090333923</v>
      </c>
      <c r="K481" s="118">
        <f t="shared" ca="1" si="114"/>
        <v>2918.7000000000003</v>
      </c>
      <c r="L481" s="118">
        <f>9*3</f>
        <v>27</v>
      </c>
      <c r="M481" s="118">
        <f t="shared" ca="1" si="106"/>
        <v>-1135.3570814716077</v>
      </c>
      <c r="N481" s="121">
        <f t="shared" ca="1" si="107"/>
        <v>-0.27895635620586695</v>
      </c>
      <c r="O481" s="122">
        <f t="shared" ca="1" si="108"/>
        <v>11.633333333333333</v>
      </c>
      <c r="P481" s="121">
        <f t="shared" ca="1" si="109"/>
        <v>-0.28774867688857336</v>
      </c>
      <c r="Q481" s="118">
        <f t="shared" ca="1" si="110"/>
        <v>4385.6693115686103</v>
      </c>
      <c r="R481" s="118">
        <f t="shared" si="111"/>
        <v>-4070.016890505</v>
      </c>
      <c r="S481" s="123" t="s">
        <v>220</v>
      </c>
      <c r="T481" s="118" t="s">
        <v>216</v>
      </c>
      <c r="U481" s="118" t="s">
        <v>217</v>
      </c>
      <c r="V481" s="118" t="s">
        <v>269</v>
      </c>
      <c r="W481" s="118" t="s">
        <v>219</v>
      </c>
    </row>
    <row r="482" spans="2:23" ht="15.75" customHeight="1" x14ac:dyDescent="0.3">
      <c r="B482" s="116" t="e" vm="31">
        <v>#VALUE!</v>
      </c>
      <c r="C482" s="117">
        <v>45903</v>
      </c>
      <c r="D482" s="116">
        <v>8</v>
      </c>
      <c r="E482" s="118">
        <v>473.44702499999994</v>
      </c>
      <c r="F482" s="118">
        <v>14.480972639999999</v>
      </c>
      <c r="G482" s="118">
        <f t="shared" si="112"/>
        <v>3802.0571726399994</v>
      </c>
      <c r="H482" s="119">
        <f t="shared" si="113"/>
        <v>3.8232821929760782E-3</v>
      </c>
      <c r="I482" s="120" cm="1">
        <f t="array" aca="1" ref="I482" ca="1">_FV(B482,"Price")</f>
        <v>324.3</v>
      </c>
      <c r="J482" s="118">
        <f t="shared" ca="1" si="105"/>
        <v>2584.4808766785427</v>
      </c>
      <c r="K482" s="118">
        <f t="shared" ca="1" si="114"/>
        <v>2594.4</v>
      </c>
      <c r="L482" s="118">
        <f>8*3</f>
        <v>24</v>
      </c>
      <c r="M482" s="118">
        <f t="shared" ca="1" si="106"/>
        <v>-1193.5762959614567</v>
      </c>
      <c r="N482" s="121">
        <f t="shared" ca="1" si="107"/>
        <v>-0.31392907622498589</v>
      </c>
      <c r="O482" s="122">
        <f t="shared" ca="1" si="108"/>
        <v>10.666666666666666</v>
      </c>
      <c r="P482" s="121">
        <f t="shared" ca="1" si="109"/>
        <v>-0.35317021075310912</v>
      </c>
      <c r="Q482" s="118">
        <f t="shared" ca="1" si="110"/>
        <v>4072.4256826943993</v>
      </c>
      <c r="R482" s="118">
        <f t="shared" si="111"/>
        <v>-3802.0571726399994</v>
      </c>
      <c r="S482" s="123" t="s">
        <v>220</v>
      </c>
      <c r="T482" s="118" t="s">
        <v>216</v>
      </c>
      <c r="U482" s="118" t="s">
        <v>217</v>
      </c>
      <c r="V482" s="118" t="s">
        <v>269</v>
      </c>
      <c r="W482" s="118" t="s">
        <v>219</v>
      </c>
    </row>
    <row r="483" spans="2:23" ht="15.75" customHeight="1" x14ac:dyDescent="0.3">
      <c r="B483" s="116" t="e" vm="31">
        <v>#VALUE!</v>
      </c>
      <c r="C483" s="117">
        <v>45933</v>
      </c>
      <c r="D483" s="116">
        <v>8</v>
      </c>
      <c r="E483" s="118">
        <v>495.89212499999996</v>
      </c>
      <c r="F483" s="118">
        <v>14.999936399999999</v>
      </c>
      <c r="G483" s="118">
        <f t="shared" si="112"/>
        <v>3982.1369363999997</v>
      </c>
      <c r="H483" s="119">
        <f t="shared" si="113"/>
        <v>3.7810482471364111E-3</v>
      </c>
      <c r="I483" s="120" cm="1">
        <f t="array" aca="1" ref="I483" ca="1">_FV(B483,"Price")</f>
        <v>324.3</v>
      </c>
      <c r="J483" s="118">
        <f t="shared" ca="1" si="105"/>
        <v>2584.5904484276293</v>
      </c>
      <c r="K483" s="118">
        <f t="shared" ca="1" si="114"/>
        <v>2594.4</v>
      </c>
      <c r="L483" s="118">
        <f>8*3</f>
        <v>24</v>
      </c>
      <c r="M483" s="118">
        <f t="shared" ca="1" si="106"/>
        <v>-1373.5464879723704</v>
      </c>
      <c r="N483" s="121">
        <f t="shared" ca="1" si="107"/>
        <v>-0.34492698516141629</v>
      </c>
      <c r="O483" s="122">
        <f t="shared" ca="1" si="108"/>
        <v>9.6666666666666661</v>
      </c>
      <c r="P483" s="121">
        <f t="shared" ca="1" si="109"/>
        <v>-0.42818522295899952</v>
      </c>
      <c r="Q483" s="118">
        <f t="shared" ca="1" si="110"/>
        <v>4238.7635389679999</v>
      </c>
      <c r="R483" s="118">
        <f t="shared" si="111"/>
        <v>-3982.1369363999997</v>
      </c>
      <c r="S483" s="123" t="s">
        <v>220</v>
      </c>
      <c r="T483" s="118" t="s">
        <v>216</v>
      </c>
      <c r="U483" s="118" t="s">
        <v>217</v>
      </c>
      <c r="V483" s="118" t="s">
        <v>269</v>
      </c>
      <c r="W483" s="118" t="s">
        <v>219</v>
      </c>
    </row>
    <row r="484" spans="2:23" x14ac:dyDescent="0.3">
      <c r="B484" s="116" t="e" vm="32">
        <v>#VALUE!</v>
      </c>
      <c r="C484" s="117">
        <v>45526</v>
      </c>
      <c r="D484" s="116">
        <v>14</v>
      </c>
      <c r="E484" s="118">
        <v>422.95</v>
      </c>
      <c r="F484" s="118">
        <f>D484*E484*0.0022+9.39</f>
        <v>22.41686</v>
      </c>
      <c r="G484" s="118">
        <f t="shared" si="112"/>
        <v>5943.7168600000005</v>
      </c>
      <c r="H484" s="119">
        <f t="shared" si="113"/>
        <v>3.7858004154493101E-3</v>
      </c>
      <c r="I484" s="120" cm="1">
        <f t="array" aca="1" ref="I484" ca="1">_FV(B484,"Price")</f>
        <v>376.15</v>
      </c>
      <c r="J484" s="118">
        <f t="shared" ca="1" si="105"/>
        <v>5246.1635964322022</v>
      </c>
      <c r="K484" s="118">
        <f t="shared" ca="1" si="114"/>
        <v>5266.0999999999995</v>
      </c>
      <c r="L484" s="118">
        <f>14*2.25+14*2.5</f>
        <v>66.5</v>
      </c>
      <c r="M484" s="118">
        <f t="shared" ca="1" si="106"/>
        <v>-631.05326356779824</v>
      </c>
      <c r="N484" s="121">
        <f t="shared" ca="1" si="107"/>
        <v>-0.1061714880489442</v>
      </c>
      <c r="O484" s="122">
        <f t="shared" ca="1" si="108"/>
        <v>23.033333333333335</v>
      </c>
      <c r="P484" s="121">
        <f t="shared" ca="1" si="109"/>
        <v>-5.5313655134037493E-2</v>
      </c>
      <c r="Q484" s="118">
        <f t="shared" ca="1" si="110"/>
        <v>6856.407604502223</v>
      </c>
      <c r="R484" s="118">
        <f t="shared" si="111"/>
        <v>-5943.7168600000005</v>
      </c>
      <c r="S484" s="123" t="s">
        <v>244</v>
      </c>
      <c r="T484" s="118" t="s">
        <v>216</v>
      </c>
      <c r="U484" s="118" t="s">
        <v>217</v>
      </c>
      <c r="V484" s="118" t="s">
        <v>270</v>
      </c>
      <c r="W484" s="118" t="s">
        <v>219</v>
      </c>
    </row>
    <row r="485" spans="2:23" x14ac:dyDescent="0.3">
      <c r="B485" s="116" t="e" vm="32">
        <v>#VALUE!</v>
      </c>
      <c r="C485" s="117">
        <v>45541</v>
      </c>
      <c r="D485" s="116">
        <v>14</v>
      </c>
      <c r="E485" s="118">
        <v>416.9</v>
      </c>
      <c r="F485" s="118">
        <f>D485*E485*0.0022+9.56</f>
        <v>22.40052</v>
      </c>
      <c r="G485" s="118">
        <f t="shared" si="112"/>
        <v>5859.0005199999996</v>
      </c>
      <c r="H485" s="119">
        <f t="shared" si="113"/>
        <v>3.8379398965150946E-3</v>
      </c>
      <c r="I485" s="120" cm="1">
        <f t="array" aca="1" ref="I485" ca="1">_FV(B485,"Price")</f>
        <v>376.15</v>
      </c>
      <c r="J485" s="118">
        <f t="shared" ca="1" si="105"/>
        <v>5245.8890247109612</v>
      </c>
      <c r="K485" s="118">
        <f t="shared" ca="1" si="114"/>
        <v>5266.0999999999995</v>
      </c>
      <c r="L485" s="118">
        <f>14*2.25+14*2.5</f>
        <v>66.5</v>
      </c>
      <c r="M485" s="118">
        <f t="shared" ca="1" si="106"/>
        <v>-546.61149528903843</v>
      </c>
      <c r="N485" s="121">
        <f t="shared" ca="1" si="107"/>
        <v>-9.3294324419865127E-2</v>
      </c>
      <c r="O485" s="122">
        <f t="shared" ca="1" si="108"/>
        <v>22.566666666666666</v>
      </c>
      <c r="P485" s="121">
        <f t="shared" ca="1" si="109"/>
        <v>-4.9609980489145417E-2</v>
      </c>
      <c r="Q485" s="118">
        <f t="shared" ca="1" si="110"/>
        <v>6740.4545982311101</v>
      </c>
      <c r="R485" s="118">
        <f t="shared" si="111"/>
        <v>-5859.0005199999996</v>
      </c>
      <c r="S485" s="123" t="s">
        <v>244</v>
      </c>
      <c r="T485" s="118" t="s">
        <v>216</v>
      </c>
      <c r="U485" s="118" t="s">
        <v>217</v>
      </c>
      <c r="V485" s="118" t="s">
        <v>270</v>
      </c>
      <c r="W485" s="118" t="s">
        <v>219</v>
      </c>
    </row>
    <row r="486" spans="2:23" x14ac:dyDescent="0.3">
      <c r="B486" s="116" t="e" vm="32">
        <v>#VALUE!</v>
      </c>
      <c r="C486" s="117">
        <v>45558</v>
      </c>
      <c r="D486" s="116">
        <v>13</v>
      </c>
      <c r="E486" s="118">
        <v>455.45</v>
      </c>
      <c r="F486" s="118">
        <f>D486*E486*0.0022+9.39</f>
        <v>22.415869999999998</v>
      </c>
      <c r="G486" s="118">
        <f t="shared" si="112"/>
        <v>5943.2658699999993</v>
      </c>
      <c r="H486" s="119">
        <f t="shared" si="113"/>
        <v>3.785920940405516E-3</v>
      </c>
      <c r="I486" s="120" cm="1">
        <f t="array" aca="1" ref="I486" ca="1">_FV(B486,"Price")</f>
        <v>376.15</v>
      </c>
      <c r="J486" s="118">
        <f t="shared" ca="1" si="105"/>
        <v>4871.4370358974638</v>
      </c>
      <c r="K486" s="118">
        <f t="shared" ca="1" si="114"/>
        <v>4889.95</v>
      </c>
      <c r="L486" s="118">
        <f>13*2.25+13*2.5</f>
        <v>61.75</v>
      </c>
      <c r="M486" s="118">
        <f t="shared" ca="1" si="106"/>
        <v>-1010.0788341025354</v>
      </c>
      <c r="N486" s="121">
        <f t="shared" ca="1" si="107"/>
        <v>-0.16995349967450396</v>
      </c>
      <c r="O486" s="122">
        <f t="shared" ca="1" si="108"/>
        <v>22</v>
      </c>
      <c r="P486" s="121">
        <f t="shared" ca="1" si="109"/>
        <v>-9.2701908913365799E-2</v>
      </c>
      <c r="Q486" s="118">
        <f t="shared" ca="1" si="110"/>
        <v>6814.9448642666657</v>
      </c>
      <c r="R486" s="118">
        <f t="shared" si="111"/>
        <v>-5943.2658699999993</v>
      </c>
      <c r="S486" s="123" t="s">
        <v>244</v>
      </c>
      <c r="T486" s="118" t="s">
        <v>216</v>
      </c>
      <c r="U486" s="118" t="s">
        <v>217</v>
      </c>
      <c r="V486" s="118" t="s">
        <v>270</v>
      </c>
      <c r="W486" s="118" t="s">
        <v>219</v>
      </c>
    </row>
    <row r="487" spans="2:23" x14ac:dyDescent="0.3">
      <c r="B487" s="116" t="e" vm="32">
        <v>#VALUE!</v>
      </c>
      <c r="C487" s="117">
        <v>45572</v>
      </c>
      <c r="D487" s="116">
        <v>13</v>
      </c>
      <c r="E487" s="118">
        <v>446.45</v>
      </c>
      <c r="F487" s="118">
        <f>D487*E487*0.0022+9.18</f>
        <v>21.94847</v>
      </c>
      <c r="G487" s="118">
        <f t="shared" si="112"/>
        <v>5825.7984699999997</v>
      </c>
      <c r="H487" s="119">
        <f t="shared" si="113"/>
        <v>3.781708693367334E-3</v>
      </c>
      <c r="I487" s="120" cm="1">
        <f t="array" aca="1" ref="I487" ca="1">_FV(B487,"Price")</f>
        <v>376.15</v>
      </c>
      <c r="J487" s="118">
        <f t="shared" ca="1" si="105"/>
        <v>4871.4576335748679</v>
      </c>
      <c r="K487" s="118">
        <f t="shared" ca="1" si="114"/>
        <v>4889.95</v>
      </c>
      <c r="L487" s="118">
        <f>13*2.25+13*2.5</f>
        <v>61.75</v>
      </c>
      <c r="M487" s="118">
        <f t="shared" ca="1" si="106"/>
        <v>-892.59083642513178</v>
      </c>
      <c r="N487" s="121">
        <f t="shared" ca="1" si="107"/>
        <v>-0.15321347640525776</v>
      </c>
      <c r="O487" s="122">
        <f t="shared" ca="1" si="108"/>
        <v>21.533333333333335</v>
      </c>
      <c r="P487" s="121">
        <f t="shared" ca="1" si="109"/>
        <v>-8.5382123074137437E-2</v>
      </c>
      <c r="Q487" s="118">
        <f t="shared" ca="1" si="110"/>
        <v>6662.1242059155556</v>
      </c>
      <c r="R487" s="118">
        <f t="shared" si="111"/>
        <v>-5825.7984699999997</v>
      </c>
      <c r="S487" s="123" t="s">
        <v>244</v>
      </c>
      <c r="T487" s="118" t="s">
        <v>216</v>
      </c>
      <c r="U487" s="118" t="s">
        <v>217</v>
      </c>
      <c r="V487" s="118" t="s">
        <v>270</v>
      </c>
      <c r="W487" s="118" t="s">
        <v>219</v>
      </c>
    </row>
    <row r="488" spans="2:23" x14ac:dyDescent="0.3">
      <c r="B488" s="116" t="e" vm="32">
        <v>#VALUE!</v>
      </c>
      <c r="C488" s="117">
        <v>45586</v>
      </c>
      <c r="D488" s="116">
        <v>13</v>
      </c>
      <c r="E488" s="118">
        <v>459.7</v>
      </c>
      <c r="F488" s="118">
        <f>D488*E488*0.0022+9.47</f>
        <v>22.617420000000003</v>
      </c>
      <c r="G488" s="118">
        <f t="shared" si="112"/>
        <v>5998.717419999999</v>
      </c>
      <c r="H488" s="119">
        <f t="shared" si="113"/>
        <v>3.7846455045932974E-3</v>
      </c>
      <c r="I488" s="120" cm="1">
        <f t="array" aca="1" ref="I488" ca="1">_FV(B488,"Price")</f>
        <v>376.15</v>
      </c>
      <c r="J488" s="118">
        <f t="shared" ca="1" si="105"/>
        <v>4871.4432727148132</v>
      </c>
      <c r="K488" s="118">
        <f t="shared" ca="1" si="114"/>
        <v>4889.95</v>
      </c>
      <c r="L488" s="118">
        <f>13*2.25+13*2.5</f>
        <v>61.75</v>
      </c>
      <c r="M488" s="118">
        <f t="shared" ca="1" si="106"/>
        <v>-1065.5241472851858</v>
      </c>
      <c r="N488" s="121">
        <f t="shared" ca="1" si="107"/>
        <v>-0.17762532766299</v>
      </c>
      <c r="O488" s="122">
        <f t="shared" ca="1" si="108"/>
        <v>21.066666666666666</v>
      </c>
      <c r="P488" s="121">
        <f t="shared" ca="1" si="109"/>
        <v>-0.10117898411182975</v>
      </c>
      <c r="Q488" s="118">
        <f t="shared" ca="1" si="110"/>
        <v>6841.2039554311104</v>
      </c>
      <c r="R488" s="118">
        <f t="shared" si="111"/>
        <v>-5998.717419999999</v>
      </c>
      <c r="S488" s="123" t="s">
        <v>244</v>
      </c>
      <c r="T488" s="118" t="s">
        <v>216</v>
      </c>
      <c r="U488" s="118" t="s">
        <v>217</v>
      </c>
      <c r="V488" s="118" t="s">
        <v>270</v>
      </c>
      <c r="W488" s="118" t="s">
        <v>219</v>
      </c>
    </row>
    <row r="489" spans="2:23" x14ac:dyDescent="0.3">
      <c r="B489" s="116" t="e" vm="32">
        <v>#VALUE!</v>
      </c>
      <c r="C489" s="117">
        <v>45601</v>
      </c>
      <c r="D489" s="116">
        <v>13</v>
      </c>
      <c r="E489" s="118">
        <v>432.4</v>
      </c>
      <c r="F489" s="118">
        <f>D489*E489*0.0022+8.98</f>
        <v>21.346640000000001</v>
      </c>
      <c r="G489" s="118">
        <f t="shared" si="112"/>
        <v>5642.5466399999996</v>
      </c>
      <c r="H489" s="119">
        <f t="shared" si="113"/>
        <v>3.7975236604283783E-3</v>
      </c>
      <c r="I489" s="120" cm="1">
        <f t="array" aca="1" ref="I489" ca="1">_FV(B489,"Price")</f>
        <v>376.15</v>
      </c>
      <c r="J489" s="118">
        <f t="shared" ca="1" si="105"/>
        <v>4871.3802991766879</v>
      </c>
      <c r="K489" s="118">
        <f t="shared" ca="1" si="114"/>
        <v>4889.95</v>
      </c>
      <c r="L489" s="118">
        <f>13*2.25+13*2.5</f>
        <v>61.75</v>
      </c>
      <c r="M489" s="118">
        <f t="shared" ca="1" si="106"/>
        <v>-709.41634082331166</v>
      </c>
      <c r="N489" s="121">
        <f t="shared" ca="1" si="107"/>
        <v>-0.12572626972974596</v>
      </c>
      <c r="O489" s="122">
        <f t="shared" ca="1" si="108"/>
        <v>20.6</v>
      </c>
      <c r="P489" s="121">
        <f t="shared" ca="1" si="109"/>
        <v>-7.323860372606561E-2</v>
      </c>
      <c r="Q489" s="118">
        <f t="shared" ca="1" si="110"/>
        <v>6417.4563785599994</v>
      </c>
      <c r="R489" s="118">
        <f t="shared" si="111"/>
        <v>-5642.5466399999996</v>
      </c>
      <c r="S489" s="123" t="s">
        <v>244</v>
      </c>
      <c r="T489" s="118" t="s">
        <v>216</v>
      </c>
      <c r="U489" s="118" t="s">
        <v>217</v>
      </c>
      <c r="V489" s="118" t="s">
        <v>270</v>
      </c>
      <c r="W489" s="118" t="s">
        <v>219</v>
      </c>
    </row>
    <row r="490" spans="2:23" x14ac:dyDescent="0.3">
      <c r="B490" s="116" t="e" vm="32">
        <v>#VALUE!</v>
      </c>
      <c r="C490" s="117">
        <v>45617</v>
      </c>
      <c r="D490" s="116">
        <v>14</v>
      </c>
      <c r="E490" s="118">
        <v>407.45</v>
      </c>
      <c r="F490" s="118">
        <f>D490*E490*0.0022+9.03</f>
        <v>21.579460000000001</v>
      </c>
      <c r="G490" s="118">
        <f t="shared" si="112"/>
        <v>5725.8794600000001</v>
      </c>
      <c r="H490" s="119">
        <f t="shared" si="113"/>
        <v>3.7830163210209843E-3</v>
      </c>
      <c r="I490" s="120" cm="1">
        <f t="array" aca="1" ref="I490" ca="1">_FV(B490,"Price")</f>
        <v>376.15</v>
      </c>
      <c r="J490" s="118">
        <f t="shared" ca="1" si="105"/>
        <v>5246.1782577518707</v>
      </c>
      <c r="K490" s="118">
        <f t="shared" ca="1" si="114"/>
        <v>5266.0999999999995</v>
      </c>
      <c r="L490" s="118">
        <f>14*2.25+14*2.5</f>
        <v>66.5</v>
      </c>
      <c r="M490" s="118">
        <f t="shared" ca="1" si="106"/>
        <v>-413.20120224812945</v>
      </c>
      <c r="N490" s="121">
        <f t="shared" ca="1" si="107"/>
        <v>-7.216379686905415E-2</v>
      </c>
      <c r="O490" s="122">
        <f t="shared" ca="1" si="108"/>
        <v>20.066666666666666</v>
      </c>
      <c r="P490" s="121">
        <f t="shared" ca="1" si="109"/>
        <v>-4.3154430021361288E-2</v>
      </c>
      <c r="Q490" s="118">
        <f t="shared" ca="1" si="110"/>
        <v>6491.8748899822222</v>
      </c>
      <c r="R490" s="118">
        <f t="shared" si="111"/>
        <v>-5725.8794600000001</v>
      </c>
      <c r="S490" s="123" t="s">
        <v>244</v>
      </c>
      <c r="T490" s="118" t="s">
        <v>216</v>
      </c>
      <c r="U490" s="118" t="s">
        <v>217</v>
      </c>
      <c r="V490" s="118" t="s">
        <v>270</v>
      </c>
      <c r="W490" s="118" t="s">
        <v>219</v>
      </c>
    </row>
    <row r="491" spans="2:23" x14ac:dyDescent="0.3">
      <c r="B491" s="116" t="e" vm="32">
        <v>#VALUE!</v>
      </c>
      <c r="C491" s="117">
        <v>45631</v>
      </c>
      <c r="D491" s="116">
        <v>14</v>
      </c>
      <c r="E491" s="118">
        <v>420.5</v>
      </c>
      <c r="F491" s="118">
        <f>D491*E491*0.0022+9.32</f>
        <v>22.2714</v>
      </c>
      <c r="G491" s="118">
        <f t="shared" si="112"/>
        <v>5909.2713999999996</v>
      </c>
      <c r="H491" s="119">
        <f t="shared" si="113"/>
        <v>3.7831493120434856E-3</v>
      </c>
      <c r="I491" s="120" cm="1">
        <f t="array" aca="1" ref="I491" ca="1">_FV(B491,"Price")</f>
        <v>376.15</v>
      </c>
      <c r="J491" s="118">
        <f t="shared" ca="1" si="105"/>
        <v>5246.1775574078474</v>
      </c>
      <c r="K491" s="118">
        <f t="shared" ca="1" si="114"/>
        <v>5266.0999999999995</v>
      </c>
      <c r="L491" s="118">
        <f>14*2.25+14*2.5</f>
        <v>66.5</v>
      </c>
      <c r="M491" s="118">
        <f t="shared" ca="1" si="106"/>
        <v>-596.59384259215221</v>
      </c>
      <c r="N491" s="121">
        <f t="shared" ca="1" si="107"/>
        <v>-0.10095895114787794</v>
      </c>
      <c r="O491" s="122">
        <f t="shared" ca="1" si="108"/>
        <v>19.600000000000001</v>
      </c>
      <c r="P491" s="121">
        <f t="shared" ca="1" si="109"/>
        <v>-6.1811602743598731E-2</v>
      </c>
      <c r="Q491" s="118">
        <f t="shared" ca="1" si="110"/>
        <v>6681.4161962666658</v>
      </c>
      <c r="R491" s="118">
        <f t="shared" si="111"/>
        <v>-5909.2713999999996</v>
      </c>
      <c r="S491" s="123" t="s">
        <v>244</v>
      </c>
      <c r="T491" s="118" t="s">
        <v>216</v>
      </c>
      <c r="U491" s="118" t="s">
        <v>217</v>
      </c>
      <c r="V491" s="118" t="s">
        <v>270</v>
      </c>
      <c r="W491" s="118" t="s">
        <v>219</v>
      </c>
    </row>
    <row r="492" spans="2:23" x14ac:dyDescent="0.3">
      <c r="B492" s="116" t="e" vm="32">
        <v>#VALUE!</v>
      </c>
      <c r="C492" s="117">
        <v>45646</v>
      </c>
      <c r="D492" s="116">
        <v>14</v>
      </c>
      <c r="E492" s="118">
        <v>412.35</v>
      </c>
      <c r="F492" s="118">
        <f>D492*E492*0.0022+9.14</f>
        <v>21.840380000000003</v>
      </c>
      <c r="G492" s="118">
        <f t="shared" si="112"/>
        <v>5794.7403800000002</v>
      </c>
      <c r="H492" s="119">
        <f t="shared" si="113"/>
        <v>3.783259713488888E-3</v>
      </c>
      <c r="I492" s="120" cm="1">
        <f t="array" aca="1" ref="I492" ca="1">_FV(B492,"Price")</f>
        <v>376.15</v>
      </c>
      <c r="J492" s="118">
        <f t="shared" ca="1" si="105"/>
        <v>5246.1769760227953</v>
      </c>
      <c r="K492" s="118">
        <f t="shared" ca="1" si="114"/>
        <v>5266.0999999999995</v>
      </c>
      <c r="L492" s="118">
        <f>14*2.25+14*2.5</f>
        <v>66.5</v>
      </c>
      <c r="M492" s="118">
        <f t="shared" ca="1" si="106"/>
        <v>-482.06340397720487</v>
      </c>
      <c r="N492" s="121">
        <f t="shared" ca="1" si="107"/>
        <v>-8.3189819105787932E-2</v>
      </c>
      <c r="O492" s="122">
        <f t="shared" ca="1" si="108"/>
        <v>19.100000000000001</v>
      </c>
      <c r="P492" s="121">
        <f t="shared" ca="1" si="109"/>
        <v>-5.226585493557357E-2</v>
      </c>
      <c r="Q492" s="118">
        <f t="shared" ca="1" si="110"/>
        <v>6532.603988386667</v>
      </c>
      <c r="R492" s="118">
        <f t="shared" si="111"/>
        <v>-5794.7403800000002</v>
      </c>
      <c r="S492" s="123" t="s">
        <v>244</v>
      </c>
      <c r="T492" s="118" t="s">
        <v>216</v>
      </c>
      <c r="U492" s="118" t="s">
        <v>217</v>
      </c>
      <c r="V492" s="118" t="s">
        <v>270</v>
      </c>
      <c r="W492" s="118" t="s">
        <v>219</v>
      </c>
    </row>
    <row r="493" spans="2:23" x14ac:dyDescent="0.3">
      <c r="B493" s="116" t="e" vm="32">
        <v>#VALUE!</v>
      </c>
      <c r="C493" s="117">
        <v>45663</v>
      </c>
      <c r="D493" s="116">
        <v>15</v>
      </c>
      <c r="E493" s="118">
        <v>381.8</v>
      </c>
      <c r="F493" s="118">
        <f>D493*E493*0.0022+9.07</f>
        <v>21.669400000000003</v>
      </c>
      <c r="G493" s="118">
        <f t="shared" si="112"/>
        <v>5748.6693999999998</v>
      </c>
      <c r="H493" s="119">
        <f t="shared" si="113"/>
        <v>3.7837262091845649E-3</v>
      </c>
      <c r="I493" s="120" cm="1">
        <f t="array" aca="1" ref="I493" ca="1">_FV(B493,"Price")</f>
        <v>376.15</v>
      </c>
      <c r="J493" s="118">
        <f t="shared" ca="1" si="105"/>
        <v>5620.9012707962283</v>
      </c>
      <c r="K493" s="118">
        <f t="shared" ca="1" si="114"/>
        <v>5642.25</v>
      </c>
      <c r="L493" s="118">
        <f>15*2.25+15*2.5</f>
        <v>71.25</v>
      </c>
      <c r="M493" s="118">
        <f t="shared" ca="1" si="106"/>
        <v>-56.518129203771423</v>
      </c>
      <c r="N493" s="121">
        <f t="shared" ca="1" si="107"/>
        <v>-9.8315149595785464E-3</v>
      </c>
      <c r="O493" s="122">
        <f t="shared" ca="1" si="108"/>
        <v>18.566666666666666</v>
      </c>
      <c r="P493" s="121">
        <f t="shared" ca="1" si="109"/>
        <v>-6.354300512474465E-3</v>
      </c>
      <c r="Q493" s="118">
        <f t="shared" ca="1" si="110"/>
        <v>6460.2269235111107</v>
      </c>
      <c r="R493" s="118">
        <f t="shared" si="111"/>
        <v>-5748.6693999999998</v>
      </c>
      <c r="S493" s="123" t="s">
        <v>244</v>
      </c>
      <c r="T493" s="118" t="s">
        <v>216</v>
      </c>
      <c r="U493" s="118" t="s">
        <v>217</v>
      </c>
      <c r="V493" s="118" t="s">
        <v>270</v>
      </c>
      <c r="W493" s="118" t="s">
        <v>219</v>
      </c>
    </row>
    <row r="494" spans="2:23" x14ac:dyDescent="0.3">
      <c r="B494" s="116" t="e" vm="32">
        <v>#VALUE!</v>
      </c>
      <c r="C494" s="117">
        <v>45677</v>
      </c>
      <c r="D494" s="116">
        <v>15</v>
      </c>
      <c r="E494" s="118">
        <v>375.5</v>
      </c>
      <c r="F494" s="118">
        <f>D494*E494*0.0022+8.91</f>
        <v>21.301500000000001</v>
      </c>
      <c r="G494" s="118">
        <f t="shared" si="112"/>
        <v>5653.8014999999996</v>
      </c>
      <c r="H494" s="119">
        <f t="shared" si="113"/>
        <v>3.781890812250333E-3</v>
      </c>
      <c r="I494" s="120" cm="1">
        <f t="array" aca="1" ref="I494" ca="1">_FV(B494,"Price")</f>
        <v>376.15</v>
      </c>
      <c r="J494" s="118">
        <f t="shared" ca="1" si="105"/>
        <v>5620.9116265645807</v>
      </c>
      <c r="K494" s="118">
        <f t="shared" ca="1" si="114"/>
        <v>5642.25</v>
      </c>
      <c r="L494" s="118">
        <f>15*2.25+15*2.5</f>
        <v>71.25</v>
      </c>
      <c r="M494" s="118">
        <f t="shared" ca="1" si="106"/>
        <v>38.360126564581151</v>
      </c>
      <c r="N494" s="121">
        <f t="shared" ca="1" si="107"/>
        <v>6.7848378767066996E-3</v>
      </c>
      <c r="O494" s="122">
        <f t="shared" ca="1" si="108"/>
        <v>18.100000000000001</v>
      </c>
      <c r="P494" s="121">
        <f t="shared" ca="1" si="109"/>
        <v>4.4982350563801321E-3</v>
      </c>
      <c r="Q494" s="118">
        <f t="shared" ca="1" si="110"/>
        <v>6336.0268809999998</v>
      </c>
      <c r="R494" s="118">
        <f t="shared" si="111"/>
        <v>-5653.8014999999996</v>
      </c>
      <c r="S494" s="123" t="s">
        <v>244</v>
      </c>
      <c r="T494" s="118" t="s">
        <v>216</v>
      </c>
      <c r="U494" s="118" t="s">
        <v>217</v>
      </c>
      <c r="V494" s="118" t="s">
        <v>270</v>
      </c>
      <c r="W494" s="118" t="s">
        <v>219</v>
      </c>
    </row>
    <row r="495" spans="2:23" x14ac:dyDescent="0.3">
      <c r="B495" s="116" t="e" vm="32">
        <v>#VALUE!</v>
      </c>
      <c r="C495" s="117">
        <v>45691</v>
      </c>
      <c r="D495" s="116">
        <v>16</v>
      </c>
      <c r="E495" s="118">
        <v>355.6</v>
      </c>
      <c r="F495" s="118">
        <f>D495*E495*0.0022+9.01</f>
        <v>21.527120000000004</v>
      </c>
      <c r="G495" s="118">
        <f t="shared" si="112"/>
        <v>5711.1271200000001</v>
      </c>
      <c r="H495" s="119">
        <f t="shared" si="113"/>
        <v>3.7835911136107989E-3</v>
      </c>
      <c r="I495" s="120" cm="1">
        <f t="array" aca="1" ref="I495" ca="1">_FV(B495,"Price")</f>
        <v>376.15</v>
      </c>
      <c r="J495" s="118">
        <f t="shared" ca="1" si="105"/>
        <v>5995.6288352418442</v>
      </c>
      <c r="K495" s="118">
        <f t="shared" ca="1" si="114"/>
        <v>6018.4</v>
      </c>
      <c r="L495" s="118">
        <f>16*2.25+16*2.5</f>
        <v>76</v>
      </c>
      <c r="M495" s="118">
        <f t="shared" ca="1" si="106"/>
        <v>360.50171524184407</v>
      </c>
      <c r="N495" s="121">
        <f t="shared" ca="1" si="107"/>
        <v>6.3122691487533217E-2</v>
      </c>
      <c r="O495" s="122">
        <f t="shared" ca="1" si="108"/>
        <v>17.666666666666668</v>
      </c>
      <c r="P495" s="121">
        <f t="shared" ca="1" si="109"/>
        <v>4.2875790444362183E-2</v>
      </c>
      <c r="Q495" s="118">
        <f t="shared" ca="1" si="110"/>
        <v>6383.7709808</v>
      </c>
      <c r="R495" s="118">
        <f t="shared" si="111"/>
        <v>-5711.1271200000001</v>
      </c>
      <c r="S495" s="123" t="s">
        <v>244</v>
      </c>
      <c r="T495" s="118" t="s">
        <v>216</v>
      </c>
      <c r="U495" s="118" t="s">
        <v>217</v>
      </c>
      <c r="V495" s="118" t="s">
        <v>270</v>
      </c>
      <c r="W495" s="118" t="s">
        <v>219</v>
      </c>
    </row>
    <row r="496" spans="2:23" x14ac:dyDescent="0.3">
      <c r="B496" s="116" t="e" vm="32">
        <v>#VALUE!</v>
      </c>
      <c r="C496" s="117">
        <v>45706</v>
      </c>
      <c r="D496" s="116">
        <v>17</v>
      </c>
      <c r="E496" s="118">
        <v>334.15</v>
      </c>
      <c r="F496" s="118">
        <f>D496*E496*0.0022+8.99</f>
        <v>21.487209999999997</v>
      </c>
      <c r="G496" s="118">
        <f t="shared" si="112"/>
        <v>5702.0372099999995</v>
      </c>
      <c r="H496" s="119">
        <f t="shared" si="113"/>
        <v>3.7825932348100094E-3</v>
      </c>
      <c r="I496" s="120" cm="1">
        <f t="array" aca="1" ref="I496" ca="1">_FV(B496,"Price")</f>
        <v>376.15</v>
      </c>
      <c r="J496" s="118">
        <f t="shared" ca="1" si="105"/>
        <v>6370.3620184303445</v>
      </c>
      <c r="K496" s="118">
        <f t="shared" ca="1" si="114"/>
        <v>6394.5499999999993</v>
      </c>
      <c r="L496" s="118">
        <f>17*2.25+17*2.5</f>
        <v>80.75</v>
      </c>
      <c r="M496" s="118">
        <f t="shared" ca="1" si="106"/>
        <v>749.074808430345</v>
      </c>
      <c r="N496" s="121">
        <f t="shared" ca="1" si="107"/>
        <v>0.13136968084260275</v>
      </c>
      <c r="O496" s="122">
        <f t="shared" ca="1" si="108"/>
        <v>17.166666666666668</v>
      </c>
      <c r="P496" s="121">
        <f t="shared" ca="1" si="109"/>
        <v>9.1831233210363086E-2</v>
      </c>
      <c r="Q496" s="118">
        <f t="shared" ca="1" si="110"/>
        <v>6354.6036906999998</v>
      </c>
      <c r="R496" s="118">
        <f t="shared" si="111"/>
        <v>-5702.0372099999995</v>
      </c>
      <c r="S496" s="123" t="s">
        <v>244</v>
      </c>
      <c r="T496" s="118" t="s">
        <v>216</v>
      </c>
      <c r="U496" s="118" t="s">
        <v>217</v>
      </c>
      <c r="V496" s="118" t="s">
        <v>270</v>
      </c>
      <c r="W496" s="118" t="s">
        <v>219</v>
      </c>
    </row>
    <row r="497" spans="2:23" x14ac:dyDescent="0.3">
      <c r="B497" s="116" t="e" vm="32">
        <v>#VALUE!</v>
      </c>
      <c r="C497" s="117">
        <v>45721</v>
      </c>
      <c r="D497" s="116">
        <v>17</v>
      </c>
      <c r="E497" s="118">
        <v>350.45</v>
      </c>
      <c r="F497" s="118">
        <f>D497*E497*0.0022+9.43</f>
        <v>22.536830000000002</v>
      </c>
      <c r="G497" s="118">
        <f t="shared" si="112"/>
        <v>5980.1868299999996</v>
      </c>
      <c r="H497" s="119">
        <f t="shared" si="113"/>
        <v>3.7828388710313635E-3</v>
      </c>
      <c r="I497" s="120" cm="1">
        <f t="array" aca="1" ref="I497" ca="1">_FV(B497,"Price")</f>
        <v>376.15</v>
      </c>
      <c r="J497" s="118">
        <f t="shared" ca="1" si="105"/>
        <v>6370.3604476972459</v>
      </c>
      <c r="K497" s="118">
        <f t="shared" ca="1" si="114"/>
        <v>6394.5499999999993</v>
      </c>
      <c r="L497" s="118">
        <f>17*2.25+17*2.5</f>
        <v>80.75</v>
      </c>
      <c r="M497" s="118">
        <f t="shared" ca="1" si="106"/>
        <v>470.9236176972463</v>
      </c>
      <c r="N497" s="121">
        <f t="shared" ca="1" si="107"/>
        <v>7.8747308584880174E-2</v>
      </c>
      <c r="O497" s="122">
        <f t="shared" ca="1" si="108"/>
        <v>16.600000000000001</v>
      </c>
      <c r="P497" s="121">
        <f t="shared" ca="1" si="109"/>
        <v>5.6925765242082052E-2</v>
      </c>
      <c r="Q497" s="118">
        <f t="shared" ca="1" si="110"/>
        <v>6641.9941725199997</v>
      </c>
      <c r="R497" s="118">
        <f t="shared" si="111"/>
        <v>-5980.1868299999996</v>
      </c>
      <c r="S497" s="123" t="s">
        <v>244</v>
      </c>
      <c r="T497" s="118" t="s">
        <v>216</v>
      </c>
      <c r="U497" s="118" t="s">
        <v>217</v>
      </c>
      <c r="V497" s="118" t="s">
        <v>270</v>
      </c>
      <c r="W497" s="118" t="s">
        <v>219</v>
      </c>
    </row>
    <row r="498" spans="2:23" x14ac:dyDescent="0.3">
      <c r="B498" s="116" t="e" vm="32">
        <v>#VALUE!</v>
      </c>
      <c r="C498" s="117">
        <v>45736</v>
      </c>
      <c r="D498" s="116">
        <v>16</v>
      </c>
      <c r="E498" s="118">
        <v>369.6</v>
      </c>
      <c r="F498" s="118">
        <f>D498*E498*0.0022+9.37</f>
        <v>22.379919999999998</v>
      </c>
      <c r="G498" s="118">
        <f t="shared" si="112"/>
        <v>5935.9799200000007</v>
      </c>
      <c r="H498" s="119">
        <f t="shared" si="113"/>
        <v>3.7844832251082245E-3</v>
      </c>
      <c r="I498" s="120" cm="1">
        <f t="array" aca="1" ref="I498" ca="1">_FV(B498,"Price")</f>
        <v>376.15</v>
      </c>
      <c r="J498" s="118">
        <f t="shared" ca="1" si="105"/>
        <v>5995.6234661580083</v>
      </c>
      <c r="K498" s="118">
        <f t="shared" ca="1" si="114"/>
        <v>6018.4</v>
      </c>
      <c r="L498" s="118">
        <f>16*2.25+16*2.5</f>
        <v>76</v>
      </c>
      <c r="M498" s="118">
        <f t="shared" ca="1" si="106"/>
        <v>135.64354615800767</v>
      </c>
      <c r="N498" s="121">
        <f t="shared" ca="1" si="107"/>
        <v>2.2851079010726784E-2</v>
      </c>
      <c r="O498" s="122">
        <f t="shared" ca="1" si="108"/>
        <v>16.100000000000001</v>
      </c>
      <c r="P498" s="121">
        <f t="shared" ca="1" si="109"/>
        <v>1.7031860132218718E-2</v>
      </c>
      <c r="Q498" s="118">
        <f t="shared" ca="1" si="110"/>
        <v>6573.1084314133341</v>
      </c>
      <c r="R498" s="118">
        <f t="shared" si="111"/>
        <v>-5935.9799200000007</v>
      </c>
      <c r="S498" s="123" t="s">
        <v>244</v>
      </c>
      <c r="T498" s="118" t="s">
        <v>216</v>
      </c>
      <c r="U498" s="118" t="s">
        <v>217</v>
      </c>
      <c r="V498" s="118" t="s">
        <v>270</v>
      </c>
      <c r="W498" s="118" t="s">
        <v>219</v>
      </c>
    </row>
    <row r="499" spans="2:23" x14ac:dyDescent="0.3">
      <c r="B499" s="116" t="e" vm="32">
        <v>#VALUE!</v>
      </c>
      <c r="C499" s="117">
        <v>45751</v>
      </c>
      <c r="D499" s="116">
        <v>15</v>
      </c>
      <c r="E499" s="118">
        <v>379.3</v>
      </c>
      <c r="F499" s="118">
        <f>D499*E499*0.0022+9.01</f>
        <v>21.526900000000001</v>
      </c>
      <c r="G499" s="118">
        <f t="shared" si="112"/>
        <v>5711.0268999999998</v>
      </c>
      <c r="H499" s="119">
        <f t="shared" si="113"/>
        <v>3.7836189471834084E-3</v>
      </c>
      <c r="I499" s="120" cm="1">
        <f t="array" aca="1" ref="I499" ca="1">_FV(B499,"Price")</f>
        <v>376.15</v>
      </c>
      <c r="J499" s="118">
        <f t="shared" ca="1" si="105"/>
        <v>5620.9018759952542</v>
      </c>
      <c r="K499" s="118">
        <f t="shared" ca="1" si="114"/>
        <v>5642.25</v>
      </c>
      <c r="L499" s="118">
        <f>15*2.25+15*2.5</f>
        <v>71.25</v>
      </c>
      <c r="M499" s="118">
        <f t="shared" ca="1" si="106"/>
        <v>-18.875024004745683</v>
      </c>
      <c r="N499" s="121">
        <f t="shared" ca="1" si="107"/>
        <v>-3.3050140255416558E-3</v>
      </c>
      <c r="O499" s="122">
        <f t="shared" ca="1" si="108"/>
        <v>15.633333333333333</v>
      </c>
      <c r="P499" s="121">
        <f t="shared" ca="1" si="109"/>
        <v>-2.5368977594776038E-3</v>
      </c>
      <c r="Q499" s="118">
        <f t="shared" ca="1" si="110"/>
        <v>6306.2428146888888</v>
      </c>
      <c r="R499" s="118">
        <f t="shared" si="111"/>
        <v>-5711.0268999999998</v>
      </c>
      <c r="S499" s="123" t="s">
        <v>244</v>
      </c>
      <c r="T499" s="118" t="s">
        <v>216</v>
      </c>
      <c r="U499" s="118" t="s">
        <v>217</v>
      </c>
      <c r="V499" s="118" t="s">
        <v>270</v>
      </c>
      <c r="W499" s="118" t="s">
        <v>219</v>
      </c>
    </row>
    <row r="500" spans="2:23" x14ac:dyDescent="0.3">
      <c r="B500" s="116" t="e" vm="32">
        <v>#VALUE!</v>
      </c>
      <c r="C500" s="117">
        <v>45768</v>
      </c>
      <c r="D500" s="116">
        <v>15</v>
      </c>
      <c r="E500" s="118">
        <v>393.05</v>
      </c>
      <c r="F500" s="118">
        <f>D500*E500*0.0022+9.68</f>
        <v>22.650649999999999</v>
      </c>
      <c r="G500" s="118">
        <f t="shared" si="112"/>
        <v>5918.4006499999996</v>
      </c>
      <c r="H500" s="119">
        <f t="shared" si="113"/>
        <v>3.841860662341517E-3</v>
      </c>
      <c r="I500" s="120" cm="1">
        <f t="array" aca="1" ref="I500" ca="1">_FV(B500,"Price")</f>
        <v>376.15</v>
      </c>
      <c r="J500" s="118">
        <f t="shared" ca="1" si="105"/>
        <v>5620.5732616779042</v>
      </c>
      <c r="K500" s="118">
        <f t="shared" ca="1" si="114"/>
        <v>5642.25</v>
      </c>
      <c r="L500" s="118">
        <f>15*2.25+15*2.5</f>
        <v>71.25</v>
      </c>
      <c r="M500" s="118">
        <f t="shared" ca="1" si="106"/>
        <v>-226.57738832209543</v>
      </c>
      <c r="N500" s="121">
        <f t="shared" ca="1" si="107"/>
        <v>-3.8283550188866554E-2</v>
      </c>
      <c r="O500" s="122">
        <f t="shared" ca="1" si="108"/>
        <v>15.066666666666666</v>
      </c>
      <c r="P500" s="121">
        <f t="shared" ca="1" si="109"/>
        <v>-3.0491323159274247E-2</v>
      </c>
      <c r="Q500" s="118">
        <f t="shared" ca="1" si="110"/>
        <v>6512.8711152888882</v>
      </c>
      <c r="R500" s="118">
        <f t="shared" si="111"/>
        <v>-5918.4006499999996</v>
      </c>
      <c r="S500" s="123" t="s">
        <v>244</v>
      </c>
      <c r="T500" s="118" t="s">
        <v>216</v>
      </c>
      <c r="U500" s="118" t="s">
        <v>217</v>
      </c>
      <c r="V500" s="118" t="s">
        <v>270</v>
      </c>
      <c r="W500" s="118" t="s">
        <v>219</v>
      </c>
    </row>
    <row r="501" spans="2:23" x14ac:dyDescent="0.3">
      <c r="B501" s="116" t="e" vm="32">
        <v>#VALUE!</v>
      </c>
      <c r="C501" s="117">
        <v>45782</v>
      </c>
      <c r="D501" s="116">
        <v>15</v>
      </c>
      <c r="E501" s="118">
        <v>387.35</v>
      </c>
      <c r="F501" s="118">
        <f>D501*E501*0.0022+9.19</f>
        <v>21.972549999999998</v>
      </c>
      <c r="G501" s="118">
        <f t="shared" si="112"/>
        <v>5832.2225500000004</v>
      </c>
      <c r="H501" s="119">
        <f t="shared" si="113"/>
        <v>3.7816875349597689E-3</v>
      </c>
      <c r="I501" s="120" cm="1">
        <f t="array" aca="1" ref="I501" ca="1">_FV(B501,"Price")</f>
        <v>376.15</v>
      </c>
      <c r="J501" s="118">
        <f t="shared" ca="1" si="105"/>
        <v>5620.9127735058728</v>
      </c>
      <c r="K501" s="118">
        <f t="shared" ca="1" si="114"/>
        <v>5642.25</v>
      </c>
      <c r="L501" s="118">
        <f>15*2.25+15*2.5</f>
        <v>71.25</v>
      </c>
      <c r="M501" s="118">
        <f t="shared" ca="1" si="106"/>
        <v>-140.05977649412762</v>
      </c>
      <c r="N501" s="121">
        <f t="shared" ca="1" si="107"/>
        <v>-2.4014820301075036E-2</v>
      </c>
      <c r="O501" s="122">
        <f t="shared" ca="1" si="108"/>
        <v>14.6</v>
      </c>
      <c r="P501" s="121">
        <f t="shared" ca="1" si="109"/>
        <v>-1.9738208466637017E-2</v>
      </c>
      <c r="Q501" s="118">
        <f t="shared" ca="1" si="110"/>
        <v>6399.8922115333335</v>
      </c>
      <c r="R501" s="118">
        <f t="shared" si="111"/>
        <v>-5832.2225500000004</v>
      </c>
      <c r="S501" s="123" t="s">
        <v>244</v>
      </c>
      <c r="T501" s="118" t="s">
        <v>216</v>
      </c>
      <c r="U501" s="118" t="s">
        <v>217</v>
      </c>
      <c r="V501" s="118" t="s">
        <v>270</v>
      </c>
      <c r="W501" s="118" t="s">
        <v>219</v>
      </c>
    </row>
    <row r="502" spans="2:23" x14ac:dyDescent="0.3">
      <c r="B502" s="116" t="e" vm="32">
        <v>#VALUE!</v>
      </c>
      <c r="C502" s="117">
        <v>45796</v>
      </c>
      <c r="D502" s="116">
        <v>14</v>
      </c>
      <c r="E502" s="118">
        <v>410.65</v>
      </c>
      <c r="F502" s="118">
        <f>D502*E502*0.0022+9.1</f>
        <v>21.748019999999997</v>
      </c>
      <c r="G502" s="118">
        <f t="shared" si="112"/>
        <v>5770.8480199999995</v>
      </c>
      <c r="H502" s="119">
        <f t="shared" si="113"/>
        <v>3.782856447096067E-3</v>
      </c>
      <c r="I502" s="120" cm="1">
        <f t="array" aca="1" ref="I502" ca="1">_FV(B502,"Price")</f>
        <v>376.15</v>
      </c>
      <c r="J502" s="118">
        <f t="shared" ca="1" si="105"/>
        <v>5246.1790996639465</v>
      </c>
      <c r="K502" s="118">
        <f t="shared" ca="1" si="114"/>
        <v>5266.0999999999995</v>
      </c>
      <c r="L502" s="118">
        <f>14*2.25+14*2.5</f>
        <v>66.5</v>
      </c>
      <c r="M502" s="118">
        <f t="shared" ca="1" si="106"/>
        <v>-458.16892033605291</v>
      </c>
      <c r="N502" s="121">
        <f t="shared" ca="1" si="107"/>
        <v>-7.9393690277092574E-2</v>
      </c>
      <c r="O502" s="122">
        <f t="shared" ca="1" si="108"/>
        <v>14.133333333333333</v>
      </c>
      <c r="P502" s="121">
        <f t="shared" ca="1" si="109"/>
        <v>-6.7409737027720115E-2</v>
      </c>
      <c r="Q502" s="118">
        <f t="shared" ca="1" si="110"/>
        <v>6314.5901445511108</v>
      </c>
      <c r="R502" s="118">
        <f t="shared" si="111"/>
        <v>-5770.8480199999995</v>
      </c>
      <c r="S502" s="123" t="s">
        <v>244</v>
      </c>
      <c r="T502" s="118" t="s">
        <v>216</v>
      </c>
      <c r="U502" s="118" t="s">
        <v>217</v>
      </c>
      <c r="V502" s="118" t="s">
        <v>270</v>
      </c>
      <c r="W502" s="118" t="s">
        <v>219</v>
      </c>
    </row>
    <row r="503" spans="2:23" x14ac:dyDescent="0.3">
      <c r="B503" s="116" t="e" vm="32">
        <v>#VALUE!</v>
      </c>
      <c r="C503" s="117">
        <v>45811</v>
      </c>
      <c r="D503" s="116">
        <v>15</v>
      </c>
      <c r="E503" s="118">
        <v>393.77</v>
      </c>
      <c r="F503" s="118">
        <f>D503*E503*0.0022+9.36</f>
        <v>22.354409999999998</v>
      </c>
      <c r="G503" s="118">
        <f t="shared" si="112"/>
        <v>5928.9044099999992</v>
      </c>
      <c r="H503" s="119">
        <f t="shared" si="113"/>
        <v>3.7846814130075932E-3</v>
      </c>
      <c r="I503" s="120" cm="1">
        <f t="array" aca="1" ref="I503" ca="1">_FV(B503,"Price")</f>
        <v>376.15</v>
      </c>
      <c r="J503" s="118">
        <f t="shared" ca="1" si="105"/>
        <v>5620.8958812974579</v>
      </c>
      <c r="K503" s="118">
        <f t="shared" ca="1" si="114"/>
        <v>5642.25</v>
      </c>
      <c r="L503" s="118">
        <f>15*2.25+15*2.5</f>
        <v>71.25</v>
      </c>
      <c r="M503" s="118">
        <f t="shared" ca="1" si="106"/>
        <v>-236.7585287025413</v>
      </c>
      <c r="N503" s="121">
        <f t="shared" ca="1" si="107"/>
        <v>-3.993293066139033E-2</v>
      </c>
      <c r="O503" s="122">
        <f t="shared" ca="1" si="108"/>
        <v>13.666666666666666</v>
      </c>
      <c r="P503" s="121">
        <f t="shared" ca="1" si="109"/>
        <v>-3.5063061068537855E-2</v>
      </c>
      <c r="Q503" s="118">
        <f t="shared" ca="1" si="110"/>
        <v>6469.0934784666661</v>
      </c>
      <c r="R503" s="118">
        <f t="shared" si="111"/>
        <v>-5928.9044099999992</v>
      </c>
      <c r="S503" s="123" t="s">
        <v>244</v>
      </c>
      <c r="T503" s="118" t="s">
        <v>216</v>
      </c>
      <c r="U503" s="118" t="s">
        <v>217</v>
      </c>
      <c r="V503" s="118" t="s">
        <v>270</v>
      </c>
      <c r="W503" s="118" t="s">
        <v>219</v>
      </c>
    </row>
    <row r="504" spans="2:23" x14ac:dyDescent="0.3">
      <c r="B504" s="116" t="e" vm="32">
        <v>#VALUE!</v>
      </c>
      <c r="C504" s="117">
        <v>45826</v>
      </c>
      <c r="D504" s="116">
        <v>15</v>
      </c>
      <c r="E504" s="118">
        <v>394.25</v>
      </c>
      <c r="F504" s="118">
        <f>D504*E504*0.0022+9.37</f>
        <v>22.38025</v>
      </c>
      <c r="G504" s="118">
        <f t="shared" si="112"/>
        <v>5936.1302500000002</v>
      </c>
      <c r="H504" s="119">
        <f t="shared" si="113"/>
        <v>3.7844430352990911E-3</v>
      </c>
      <c r="I504" s="120" cm="1">
        <f t="array" aca="1" ref="I504" ca="1">_FV(B504,"Price")</f>
        <v>376.15</v>
      </c>
      <c r="J504" s="118">
        <f t="shared" ca="1" si="105"/>
        <v>5620.8972262840834</v>
      </c>
      <c r="K504" s="118">
        <f t="shared" ca="1" si="114"/>
        <v>5642.25</v>
      </c>
      <c r="L504" s="118">
        <f>15*2.25+15*2.5</f>
        <v>71.25</v>
      </c>
      <c r="M504" s="118">
        <f t="shared" ca="1" si="106"/>
        <v>-243.98302371591672</v>
      </c>
      <c r="N504" s="121">
        <f t="shared" ca="1" si="107"/>
        <v>-4.1101359545794455E-2</v>
      </c>
      <c r="O504" s="122">
        <f t="shared" ca="1" si="108"/>
        <v>13.166666666666666</v>
      </c>
      <c r="P504" s="121">
        <f t="shared" ca="1" si="109"/>
        <v>-3.7459466927812671E-2</v>
      </c>
      <c r="Q504" s="118">
        <f t="shared" ca="1" si="110"/>
        <v>6457.1905719444449</v>
      </c>
      <c r="R504" s="118">
        <f t="shared" si="111"/>
        <v>-5936.1302500000002</v>
      </c>
      <c r="S504" s="123" t="s">
        <v>244</v>
      </c>
      <c r="T504" s="118" t="s">
        <v>216</v>
      </c>
      <c r="U504" s="118" t="s">
        <v>217</v>
      </c>
      <c r="V504" s="118" t="s">
        <v>270</v>
      </c>
      <c r="W504" s="118" t="s">
        <v>219</v>
      </c>
    </row>
    <row r="505" spans="2:23" x14ac:dyDescent="0.3">
      <c r="B505" s="116" t="e" vm="32">
        <v>#VALUE!</v>
      </c>
      <c r="C505" s="117">
        <v>45841</v>
      </c>
      <c r="D505" s="116">
        <v>14</v>
      </c>
      <c r="E505" s="118">
        <v>400.45</v>
      </c>
      <c r="F505" s="118">
        <f>D505*E505*0.0022+8.88</f>
        <v>21.213860000000004</v>
      </c>
      <c r="G505" s="118">
        <f t="shared" si="112"/>
        <v>5627.51386</v>
      </c>
      <c r="H505" s="119">
        <f t="shared" si="113"/>
        <v>3.7839323618072533E-3</v>
      </c>
      <c r="I505" s="120" cm="1">
        <f t="array" aca="1" ref="I505" ca="1">_FV(B505,"Price")</f>
        <v>376.15</v>
      </c>
      <c r="J505" s="118">
        <f t="shared" ca="1" si="105"/>
        <v>5246.1734337894859</v>
      </c>
      <c r="K505" s="118">
        <f t="shared" ca="1" si="114"/>
        <v>5266.0999999999995</v>
      </c>
      <c r="L505" s="118">
        <f>14*2.5</f>
        <v>35</v>
      </c>
      <c r="M505" s="118">
        <f t="shared" ca="1" si="106"/>
        <v>-346.34042621051412</v>
      </c>
      <c r="N505" s="121">
        <f t="shared" ca="1" si="107"/>
        <v>-6.1544126736369179E-2</v>
      </c>
      <c r="O505" s="122">
        <f t="shared" ca="1" si="108"/>
        <v>12.666666666666666</v>
      </c>
      <c r="P505" s="121">
        <f t="shared" ca="1" si="109"/>
        <v>-5.8304962171297124E-2</v>
      </c>
      <c r="Q505" s="118">
        <f t="shared" ca="1" si="110"/>
        <v>6102.7261415111116</v>
      </c>
      <c r="R505" s="118">
        <f t="shared" si="111"/>
        <v>-5627.51386</v>
      </c>
      <c r="S505" s="123" t="s">
        <v>244</v>
      </c>
      <c r="T505" s="118" t="s">
        <v>216</v>
      </c>
      <c r="U505" s="118" t="s">
        <v>217</v>
      </c>
      <c r="V505" s="118" t="s">
        <v>270</v>
      </c>
      <c r="W505" s="118" t="s">
        <v>219</v>
      </c>
    </row>
    <row r="506" spans="2:23" x14ac:dyDescent="0.3">
      <c r="B506" s="116" t="e" vm="32">
        <v>#VALUE!</v>
      </c>
      <c r="C506" s="117">
        <v>45873</v>
      </c>
      <c r="D506" s="116">
        <v>15</v>
      </c>
      <c r="E506" s="118">
        <v>388.45</v>
      </c>
      <c r="F506" s="118">
        <f>D506*E506*0.0022+9.22</f>
        <v>22.038850000000004</v>
      </c>
      <c r="G506" s="118">
        <f t="shared" si="112"/>
        <v>5848.7888499999999</v>
      </c>
      <c r="H506" s="119">
        <f t="shared" si="113"/>
        <v>3.7823572317329563E-3</v>
      </c>
      <c r="I506" s="120" cm="1">
        <f t="array" aca="1" ref="I506" ca="1">_FV(B506,"Price")</f>
        <v>376.15</v>
      </c>
      <c r="J506" s="118">
        <f t="shared" ca="1" si="105"/>
        <v>5620.9089949092549</v>
      </c>
      <c r="K506" s="118">
        <f t="shared" ca="1" si="114"/>
        <v>5642.25</v>
      </c>
      <c r="L506" s="118">
        <f t="shared" ref="L506:L511" si="115">15*2.5</f>
        <v>37.5</v>
      </c>
      <c r="M506" s="118">
        <f t="shared" ca="1" si="106"/>
        <v>-190.37985509074497</v>
      </c>
      <c r="N506" s="121">
        <f t="shared" ca="1" si="107"/>
        <v>-3.2550303998535521E-2</v>
      </c>
      <c r="O506" s="122">
        <f t="shared" ca="1" si="108"/>
        <v>11.633333333333333</v>
      </c>
      <c r="P506" s="121">
        <f t="shared" ca="1" si="109"/>
        <v>-3.3576244812242945E-2</v>
      </c>
      <c r="Q506" s="118">
        <f t="shared" ca="1" si="110"/>
        <v>6302.3949185888887</v>
      </c>
      <c r="R506" s="118">
        <f t="shared" si="111"/>
        <v>-5848.7888499999999</v>
      </c>
      <c r="S506" s="123" t="s">
        <v>244</v>
      </c>
      <c r="T506" s="118" t="s">
        <v>216</v>
      </c>
      <c r="U506" s="118" t="s">
        <v>217</v>
      </c>
      <c r="V506" s="118" t="s">
        <v>270</v>
      </c>
      <c r="W506" s="118" t="s">
        <v>219</v>
      </c>
    </row>
    <row r="507" spans="2:23" x14ac:dyDescent="0.3">
      <c r="B507" s="116" t="e" vm="32">
        <v>#VALUE!</v>
      </c>
      <c r="C507" s="117">
        <v>45903</v>
      </c>
      <c r="D507" s="116">
        <v>15</v>
      </c>
      <c r="E507" s="118">
        <v>387.45</v>
      </c>
      <c r="F507" s="118">
        <f>D507*E507*0.0022+9.19</f>
        <v>21.975850000000001</v>
      </c>
      <c r="G507" s="118">
        <f t="shared" si="112"/>
        <v>5833.7258499999998</v>
      </c>
      <c r="H507" s="119">
        <f t="shared" si="113"/>
        <v>3.7812793048565409E-3</v>
      </c>
      <c r="I507" s="120" cm="1">
        <f t="array" aca="1" ref="I507" ca="1">_FV(B507,"Price")</f>
        <v>376.15</v>
      </c>
      <c r="J507" s="118">
        <f t="shared" ca="1" si="105"/>
        <v>5620.9150768421732</v>
      </c>
      <c r="K507" s="118">
        <f t="shared" ca="1" si="114"/>
        <v>5642.25</v>
      </c>
      <c r="L507" s="118">
        <f t="shared" si="115"/>
        <v>37.5</v>
      </c>
      <c r="M507" s="118">
        <f t="shared" ca="1" si="106"/>
        <v>-175.31077315782659</v>
      </c>
      <c r="N507" s="121">
        <f t="shared" ca="1" si="107"/>
        <v>-3.0051253292580862E-2</v>
      </c>
      <c r="O507" s="122">
        <f t="shared" ca="1" si="108"/>
        <v>10.666666666666666</v>
      </c>
      <c r="P507" s="121">
        <f t="shared" ca="1" si="109"/>
        <v>-3.3807659954153468E-2</v>
      </c>
      <c r="Q507" s="118">
        <f t="shared" ca="1" si="110"/>
        <v>6248.5685771111112</v>
      </c>
      <c r="R507" s="118">
        <f t="shared" si="111"/>
        <v>-5833.7258499999998</v>
      </c>
      <c r="S507" s="123" t="s">
        <v>244</v>
      </c>
      <c r="T507" s="118" t="s">
        <v>216</v>
      </c>
      <c r="U507" s="118" t="s">
        <v>217</v>
      </c>
      <c r="V507" s="118" t="s">
        <v>270</v>
      </c>
      <c r="W507" s="118" t="s">
        <v>219</v>
      </c>
    </row>
    <row r="508" spans="2:23" x14ac:dyDescent="0.3">
      <c r="B508" s="116" t="e" vm="32">
        <v>#VALUE!</v>
      </c>
      <c r="C508" s="117">
        <v>45933</v>
      </c>
      <c r="D508" s="116">
        <v>15</v>
      </c>
      <c r="E508" s="118">
        <v>393.55</v>
      </c>
      <c r="F508" s="118">
        <f>D508*E508*0.0022+9.35</f>
        <v>22.337150000000001</v>
      </c>
      <c r="G508" s="118">
        <f t="shared" si="112"/>
        <v>5925.5871500000003</v>
      </c>
      <c r="H508" s="119">
        <f t="shared" si="113"/>
        <v>3.7838732901367893E-3</v>
      </c>
      <c r="I508" s="120" cm="1">
        <f t="array" aca="1" ref="I508" ca="1">_FV(B508,"Price")</f>
        <v>376.15</v>
      </c>
      <c r="J508" s="118">
        <f t="shared" ca="1" si="105"/>
        <v>5620.9004409287263</v>
      </c>
      <c r="K508" s="118">
        <f t="shared" ca="1" si="114"/>
        <v>5642.25</v>
      </c>
      <c r="L508" s="118">
        <f t="shared" si="115"/>
        <v>37.5</v>
      </c>
      <c r="M508" s="118">
        <f t="shared" ca="1" si="106"/>
        <v>-267.18670907127398</v>
      </c>
      <c r="N508" s="121">
        <f t="shared" ca="1" si="107"/>
        <v>-4.5090334899770053E-2</v>
      </c>
      <c r="O508" s="122">
        <f t="shared" ca="1" si="108"/>
        <v>9.6666666666666661</v>
      </c>
      <c r="P508" s="121">
        <f t="shared" ca="1" si="109"/>
        <v>-5.5974208841093859E-2</v>
      </c>
      <c r="Q508" s="118">
        <f t="shared" ca="1" si="110"/>
        <v>6307.4583218888893</v>
      </c>
      <c r="R508" s="118">
        <f t="shared" si="111"/>
        <v>-5925.5871500000003</v>
      </c>
      <c r="S508" s="123" t="s">
        <v>244</v>
      </c>
      <c r="T508" s="118" t="s">
        <v>216</v>
      </c>
      <c r="U508" s="118" t="s">
        <v>217</v>
      </c>
      <c r="V508" s="118" t="s">
        <v>270</v>
      </c>
      <c r="W508" s="118" t="s">
        <v>219</v>
      </c>
    </row>
    <row r="509" spans="2:23" x14ac:dyDescent="0.3">
      <c r="B509" s="116" t="e" vm="32">
        <v>#VALUE!</v>
      </c>
      <c r="C509" s="117">
        <v>45965</v>
      </c>
      <c r="D509" s="116">
        <v>15</v>
      </c>
      <c r="E509" s="118">
        <v>400.25</v>
      </c>
      <c r="F509" s="118">
        <f>D509*E509*0.0022+9.65</f>
        <v>22.858250000000002</v>
      </c>
      <c r="G509" s="118">
        <f t="shared" si="112"/>
        <v>6026.6082500000002</v>
      </c>
      <c r="H509" s="119">
        <f t="shared" si="113"/>
        <v>3.8073287528627943E-3</v>
      </c>
      <c r="I509" s="120" cm="1">
        <f t="array" aca="1" ref="I509" ca="1">_FV(B509,"Price")</f>
        <v>376.15</v>
      </c>
      <c r="J509" s="118">
        <f t="shared" ca="1" si="105"/>
        <v>5620.76809934416</v>
      </c>
      <c r="K509" s="118">
        <f t="shared" ca="1" si="114"/>
        <v>5642.25</v>
      </c>
      <c r="L509" s="118">
        <f t="shared" si="115"/>
        <v>37.5</v>
      </c>
      <c r="M509" s="118">
        <f t="shared" ca="1" si="106"/>
        <v>-368.34015065584026</v>
      </c>
      <c r="N509" s="121">
        <f t="shared" ca="1" si="107"/>
        <v>-6.1118980258230697E-2</v>
      </c>
      <c r="O509" s="122">
        <f t="shared" ca="1" si="108"/>
        <v>8.6333333333333329</v>
      </c>
      <c r="P509" s="121">
        <f t="shared" ca="1" si="109"/>
        <v>-8.4953022752753099E-2</v>
      </c>
      <c r="Q509" s="118">
        <f t="shared" ca="1" si="110"/>
        <v>6373.4730359444447</v>
      </c>
      <c r="R509" s="118">
        <f t="shared" si="111"/>
        <v>-6026.6082500000002</v>
      </c>
      <c r="S509" s="123" t="s">
        <v>244</v>
      </c>
      <c r="T509" s="118" t="s">
        <v>216</v>
      </c>
      <c r="U509" s="118" t="s">
        <v>217</v>
      </c>
      <c r="V509" s="118" t="s">
        <v>270</v>
      </c>
      <c r="W509" s="118" t="s">
        <v>219</v>
      </c>
    </row>
    <row r="510" spans="2:23" x14ac:dyDescent="0.3">
      <c r="B510" s="116" t="e" vm="32">
        <v>#VALUE!</v>
      </c>
      <c r="C510" s="117">
        <v>45994</v>
      </c>
      <c r="D510" s="116">
        <v>15</v>
      </c>
      <c r="E510" s="118">
        <v>385.6</v>
      </c>
      <c r="F510" s="118">
        <f>D510*E510*0.0022+9.15</f>
        <v>21.8748</v>
      </c>
      <c r="G510" s="118">
        <f t="shared" si="112"/>
        <v>5805.8747999999996</v>
      </c>
      <c r="H510" s="119">
        <f t="shared" si="113"/>
        <v>3.7819502074688798E-3</v>
      </c>
      <c r="I510" s="120" cm="1">
        <f t="array" aca="1" ref="I510" ca="1">_FV(B510,"Price")</f>
        <v>376.15</v>
      </c>
      <c r="J510" s="118">
        <f t="shared" ca="1" si="105"/>
        <v>5620.9112914419093</v>
      </c>
      <c r="K510" s="118">
        <f t="shared" ca="1" si="114"/>
        <v>5642.25</v>
      </c>
      <c r="L510" s="118">
        <f t="shared" si="115"/>
        <v>37.5</v>
      </c>
      <c r="M510" s="118">
        <f t="shared" ca="1" si="106"/>
        <v>-147.46350855809033</v>
      </c>
      <c r="N510" s="121">
        <f t="shared" ca="1" si="107"/>
        <v>-2.5399016278837141E-2</v>
      </c>
      <c r="O510" s="122">
        <f t="shared" ca="1" si="108"/>
        <v>7.666666666666667</v>
      </c>
      <c r="P510" s="121">
        <f t="shared" ca="1" si="109"/>
        <v>-3.9754982001658133E-2</v>
      </c>
      <c r="Q510" s="118">
        <f t="shared" ca="1" si="110"/>
        <v>6102.6195119999993</v>
      </c>
      <c r="R510" s="118">
        <f t="shared" si="111"/>
        <v>-5805.8747999999996</v>
      </c>
      <c r="S510" s="123" t="s">
        <v>244</v>
      </c>
      <c r="T510" s="118" t="s">
        <v>216</v>
      </c>
      <c r="U510" s="118" t="s">
        <v>217</v>
      </c>
      <c r="V510" s="118" t="s">
        <v>270</v>
      </c>
      <c r="W510" s="118" t="s">
        <v>219</v>
      </c>
    </row>
    <row r="511" spans="2:23" x14ac:dyDescent="0.3">
      <c r="B511" s="116" t="e" vm="32">
        <v>#VALUE!</v>
      </c>
      <c r="C511" s="117">
        <v>46027</v>
      </c>
      <c r="D511" s="116">
        <v>15</v>
      </c>
      <c r="E511" s="118">
        <v>390.85</v>
      </c>
      <c r="F511" s="118">
        <f>D511*E511*0.0022+9.29</f>
        <v>22.18805</v>
      </c>
      <c r="G511" s="118">
        <f t="shared" si="112"/>
        <v>5884.9380499999997</v>
      </c>
      <c r="H511" s="119">
        <f t="shared" si="113"/>
        <v>3.7845806148991516E-3</v>
      </c>
      <c r="I511" s="120" cm="1">
        <f t="array" aca="1" ref="I511" ca="1">_FV(B511,"Price")</f>
        <v>376.15</v>
      </c>
      <c r="J511" s="118">
        <f t="shared" ca="1" si="105"/>
        <v>5620.8964500255852</v>
      </c>
      <c r="K511" s="118">
        <f t="shared" ca="1" si="114"/>
        <v>5642.25</v>
      </c>
      <c r="L511" s="118">
        <f t="shared" si="115"/>
        <v>37.5</v>
      </c>
      <c r="M511" s="118">
        <f t="shared" ca="1" si="106"/>
        <v>-226.54159997441457</v>
      </c>
      <c r="N511" s="121">
        <f t="shared" ca="1" si="107"/>
        <v>-3.8495154587806509E-2</v>
      </c>
      <c r="O511" s="122">
        <f t="shared" ca="1" si="108"/>
        <v>6.6</v>
      </c>
      <c r="P511" s="121">
        <f t="shared" ca="1" si="109"/>
        <v>-6.9991190159648192E-2</v>
      </c>
      <c r="Q511" s="118">
        <f t="shared" ca="1" si="110"/>
        <v>6143.8753241999993</v>
      </c>
      <c r="R511" s="118">
        <f t="shared" si="111"/>
        <v>-5884.9380499999997</v>
      </c>
      <c r="S511" s="123" t="s">
        <v>244</v>
      </c>
      <c r="T511" s="118" t="s">
        <v>216</v>
      </c>
      <c r="U511" s="118" t="s">
        <v>217</v>
      </c>
      <c r="V511" s="118" t="s">
        <v>270</v>
      </c>
      <c r="W511" s="118" t="s">
        <v>219</v>
      </c>
    </row>
    <row r="512" spans="2:23" x14ac:dyDescent="0.3">
      <c r="B512" s="116" t="e" vm="32">
        <v>#VALUE!</v>
      </c>
      <c r="C512" s="117">
        <v>46056</v>
      </c>
      <c r="D512" s="116">
        <v>16</v>
      </c>
      <c r="E512" s="118">
        <v>366.35</v>
      </c>
      <c r="F512" s="118">
        <f>D512*E512*0.0022+9.29</f>
        <v>22.18552</v>
      </c>
      <c r="G512" s="118">
        <f t="shared" si="112"/>
        <v>5883.7855200000004</v>
      </c>
      <c r="H512" s="119">
        <f t="shared" si="113"/>
        <v>3.7848914972021287E-3</v>
      </c>
      <c r="I512" s="120" cm="1">
        <f t="array" aca="1" ref="I512" ca="1">_FV(B512,"Price")</f>
        <v>376.15</v>
      </c>
      <c r="J512" s="118">
        <f t="shared" ca="1" si="105"/>
        <v>5995.6210090132381</v>
      </c>
      <c r="K512" s="118">
        <f t="shared" ca="1" si="114"/>
        <v>6018.4</v>
      </c>
      <c r="L512" s="118">
        <f>16*2.5</f>
        <v>40</v>
      </c>
      <c r="M512" s="118">
        <f t="shared" ca="1" si="106"/>
        <v>151.83548901323775</v>
      </c>
      <c r="N512" s="121">
        <f t="shared" ca="1" si="107"/>
        <v>2.5805748441564153E-2</v>
      </c>
      <c r="O512" s="122">
        <f t="shared" ca="1" si="108"/>
        <v>5.666666666666667</v>
      </c>
      <c r="P512" s="121">
        <f t="shared" ca="1" si="109"/>
        <v>5.4647467288018198E-2</v>
      </c>
      <c r="Q512" s="118">
        <f t="shared" ca="1" si="110"/>
        <v>6106.0618618666667</v>
      </c>
      <c r="R512" s="118">
        <f t="shared" si="111"/>
        <v>-5883.7855200000004</v>
      </c>
      <c r="S512" s="123" t="s">
        <v>244</v>
      </c>
      <c r="T512" s="118" t="s">
        <v>216</v>
      </c>
      <c r="U512" s="118" t="s">
        <v>217</v>
      </c>
      <c r="V512" s="118" t="s">
        <v>270</v>
      </c>
      <c r="W512" s="118" t="s">
        <v>219</v>
      </c>
    </row>
    <row r="513" spans="2:23" x14ac:dyDescent="0.3">
      <c r="B513" s="116" t="e" vm="32">
        <v>#VALUE!</v>
      </c>
      <c r="C513" s="117">
        <v>46085</v>
      </c>
      <c r="D513" s="116">
        <v>16</v>
      </c>
      <c r="E513" s="118">
        <v>365.65</v>
      </c>
      <c r="F513" s="118">
        <f>D513*E513*0.0022+9.26</f>
        <v>22.130879999999998</v>
      </c>
      <c r="G513" s="118">
        <f t="shared" si="112"/>
        <v>5872.5308799999993</v>
      </c>
      <c r="H513" s="119">
        <f t="shared" si="113"/>
        <v>3.7827977574182961E-3</v>
      </c>
      <c r="I513" s="120" cm="1">
        <f t="array" aca="1" ref="I513" ca="1">_FV(B513,"Price")</f>
        <v>376.15</v>
      </c>
      <c r="J513" s="118">
        <f t="shared" ca="1" si="105"/>
        <v>5995.6336099767532</v>
      </c>
      <c r="K513" s="118">
        <f t="shared" ca="1" si="114"/>
        <v>6018.4</v>
      </c>
      <c r="L513" s="118">
        <f>16*2.5</f>
        <v>40</v>
      </c>
      <c r="M513" s="118">
        <f t="shared" ca="1" si="106"/>
        <v>163.10272997675384</v>
      </c>
      <c r="N513" s="121">
        <f t="shared" ca="1" si="107"/>
        <v>2.7773839475622109E-2</v>
      </c>
      <c r="O513" s="122">
        <f t="shared" ca="1" si="108"/>
        <v>4.6333333333333337</v>
      </c>
      <c r="P513" s="121">
        <f t="shared" ca="1" si="109"/>
        <v>7.1932246123913371E-2</v>
      </c>
      <c r="Q513" s="118">
        <f t="shared" ca="1" si="110"/>
        <v>6053.9268338488882</v>
      </c>
      <c r="R513" s="118">
        <f t="shared" si="111"/>
        <v>-5872.5308799999993</v>
      </c>
      <c r="S513" s="123" t="s">
        <v>244</v>
      </c>
      <c r="T513" s="118" t="s">
        <v>216</v>
      </c>
      <c r="U513" s="118" t="s">
        <v>217</v>
      </c>
      <c r="V513" s="118" t="s">
        <v>270</v>
      </c>
      <c r="W513" s="118" t="s">
        <v>219</v>
      </c>
    </row>
    <row r="514" spans="2:23" x14ac:dyDescent="0.3">
      <c r="B514" s="116" t="e" vm="32">
        <v>#VALUE!</v>
      </c>
      <c r="C514" s="117">
        <v>46118</v>
      </c>
      <c r="D514" s="116">
        <v>15</v>
      </c>
      <c r="E514" s="118">
        <v>382.85</v>
      </c>
      <c r="F514" s="118">
        <f>D514*E514*0.0022+9.09</f>
        <v>21.724049999999998</v>
      </c>
      <c r="G514" s="118">
        <f t="shared" si="112"/>
        <v>5764.4740499999998</v>
      </c>
      <c r="H514" s="119">
        <f t="shared" si="113"/>
        <v>3.7828653519655212E-3</v>
      </c>
      <c r="I514" s="120" cm="1">
        <f t="array" aca="1" ref="I514" ca="1">_FV(B514,"Price")</f>
        <v>376.15</v>
      </c>
      <c r="J514" s="118">
        <f t="shared" ca="1" si="105"/>
        <v>5620.9061279678726</v>
      </c>
      <c r="K514" s="118">
        <f t="shared" ca="1" si="114"/>
        <v>5642.25</v>
      </c>
      <c r="L514" s="118">
        <f>15*2.5</f>
        <v>37.5</v>
      </c>
      <c r="M514" s="118">
        <f t="shared" ca="1" si="106"/>
        <v>-106.06792203212717</v>
      </c>
      <c r="N514" s="121">
        <f t="shared" ca="1" si="107"/>
        <v>-1.8400277477548393E-2</v>
      </c>
      <c r="O514" s="122">
        <f t="shared" ca="1" si="108"/>
        <v>3.5666666666666669</v>
      </c>
      <c r="P514" s="121">
        <f t="shared" ca="1" si="109"/>
        <v>-6.1907475625396453E-2</v>
      </c>
      <c r="Q514" s="118">
        <f t="shared" ca="1" si="110"/>
        <v>5901.5404329666662</v>
      </c>
      <c r="R514" s="118">
        <f t="shared" si="111"/>
        <v>-5764.4740499999998</v>
      </c>
      <c r="S514" s="123" t="s">
        <v>244</v>
      </c>
      <c r="T514" s="118" t="s">
        <v>216</v>
      </c>
      <c r="U514" s="118" t="s">
        <v>217</v>
      </c>
      <c r="V514" s="118" t="s">
        <v>270</v>
      </c>
      <c r="W514" s="118" t="s">
        <v>219</v>
      </c>
    </row>
    <row r="515" spans="2:23" x14ac:dyDescent="0.3">
      <c r="B515" s="116" t="e" vm="32">
        <v>#VALUE!</v>
      </c>
      <c r="C515" s="117">
        <v>46146</v>
      </c>
      <c r="D515" s="116">
        <v>13</v>
      </c>
      <c r="E515" s="118">
        <v>446.5</v>
      </c>
      <c r="F515" s="118">
        <f>D515*E515*0.0022+9.18</f>
        <v>21.9499</v>
      </c>
      <c r="G515" s="118">
        <f t="shared" si="112"/>
        <v>5826.4498999999996</v>
      </c>
      <c r="H515" s="119">
        <f t="shared" si="113"/>
        <v>3.781531570333362E-3</v>
      </c>
      <c r="I515" s="120" cm="1">
        <f t="array" aca="1" ref="I515" ca="1">_FV(B515,"Price")</f>
        <v>376.15</v>
      </c>
      <c r="J515" s="118">
        <f t="shared" ca="1" si="105"/>
        <v>4871.4584996976482</v>
      </c>
      <c r="K515" s="118">
        <f t="shared" ca="1" si="114"/>
        <v>4889.95</v>
      </c>
      <c r="L515" s="118">
        <f>13*2.5</f>
        <v>32.5</v>
      </c>
      <c r="M515" s="118">
        <f t="shared" ca="1" si="106"/>
        <v>-922.49140030235139</v>
      </c>
      <c r="N515" s="121">
        <f t="shared" ca="1" si="107"/>
        <v>-0.15832821291441149</v>
      </c>
      <c r="O515" s="122">
        <f t="shared" ca="1" si="108"/>
        <v>2.6333333333333333</v>
      </c>
      <c r="P515" s="121">
        <f t="shared" ca="1" si="109"/>
        <v>-0.7214956537871916</v>
      </c>
      <c r="Q515" s="118">
        <f t="shared" ca="1" si="110"/>
        <v>5928.7364649111105</v>
      </c>
      <c r="R515" s="118">
        <f t="shared" si="111"/>
        <v>-5826.4498999999996</v>
      </c>
      <c r="S515" s="123" t="s">
        <v>244</v>
      </c>
      <c r="T515" s="118" t="s">
        <v>216</v>
      </c>
      <c r="U515" s="118" t="s">
        <v>217</v>
      </c>
      <c r="V515" s="118" t="s">
        <v>270</v>
      </c>
      <c r="W515" s="118" t="s">
        <v>219</v>
      </c>
    </row>
    <row r="516" spans="2:23" x14ac:dyDescent="0.3">
      <c r="B516" s="116" t="e" vm="32">
        <v>#VALUE!</v>
      </c>
      <c r="C516" s="117">
        <v>46176</v>
      </c>
      <c r="D516" s="116">
        <v>14</v>
      </c>
      <c r="E516" s="118">
        <v>409.75</v>
      </c>
      <c r="F516" s="118">
        <f>D516*E516*0.0022+9.08</f>
        <v>21.700299999999999</v>
      </c>
      <c r="G516" s="118">
        <f t="shared" si="112"/>
        <v>5758.2003000000004</v>
      </c>
      <c r="H516" s="119">
        <f t="shared" si="113"/>
        <v>3.7828466835178242E-3</v>
      </c>
      <c r="I516" s="120" cm="1">
        <f t="array" aca="1" ref="I516" ca="1">_FV(B516,"Price")</f>
        <v>376.15</v>
      </c>
      <c r="J516" s="118">
        <f t="shared" ca="1" si="105"/>
        <v>5246.1791510799267</v>
      </c>
      <c r="K516" s="118">
        <f t="shared" ca="1" si="114"/>
        <v>5266.0999999999995</v>
      </c>
      <c r="L516" s="118">
        <f t="shared" ref="L516" si="116">14*2.5</f>
        <v>35</v>
      </c>
      <c r="M516" s="118">
        <f t="shared" ca="1" si="106"/>
        <v>-477.02114892007376</v>
      </c>
      <c r="N516" s="121">
        <f t="shared" ca="1" si="107"/>
        <v>-8.2842055515170904E-2</v>
      </c>
      <c r="O516" s="122">
        <f t="shared" ca="1" si="108"/>
        <v>1.6666666666666667</v>
      </c>
      <c r="P516" s="121">
        <f t="shared" ca="1" si="109"/>
        <v>-0.59646279970923044</v>
      </c>
      <c r="Q516" s="118">
        <f t="shared" ca="1" si="110"/>
        <v>5822.1803033333335</v>
      </c>
      <c r="R516" s="118">
        <f t="shared" si="111"/>
        <v>-5758.2003000000004</v>
      </c>
      <c r="S516" s="123" t="s">
        <v>244</v>
      </c>
      <c r="T516" s="118" t="s">
        <v>216</v>
      </c>
      <c r="U516" s="118" t="s">
        <v>217</v>
      </c>
      <c r="V516" s="118" t="s">
        <v>270</v>
      </c>
      <c r="W516" s="118" t="s">
        <v>219</v>
      </c>
    </row>
    <row r="517" spans="2:23" x14ac:dyDescent="0.3">
      <c r="B517" s="116" t="e" vm="32">
        <v>#VALUE!</v>
      </c>
      <c r="C517" s="117">
        <v>46206</v>
      </c>
      <c r="D517" s="116">
        <v>15</v>
      </c>
      <c r="E517" s="118">
        <v>380.55</v>
      </c>
      <c r="F517" s="118">
        <f>D517*E517*0.0022+9.04</f>
        <v>21.59815</v>
      </c>
      <c r="G517" s="118">
        <f t="shared" si="112"/>
        <v>5729.8481499999998</v>
      </c>
      <c r="H517" s="119">
        <f t="shared" si="113"/>
        <v>3.7836727543467787E-3</v>
      </c>
      <c r="I517" s="120" cm="1">
        <f t="array" aca="1" ref="I517" ca="1">_FV(B517,"Price")</f>
        <v>376.15</v>
      </c>
      <c r="J517" s="118">
        <f t="shared" ca="1" si="105"/>
        <v>5620.9015724017872</v>
      </c>
      <c r="K517" s="118">
        <f t="shared" ca="1" si="114"/>
        <v>5642.25</v>
      </c>
      <c r="L517" s="118">
        <v>0</v>
      </c>
      <c r="M517" s="118">
        <f t="shared" ca="1" si="106"/>
        <v>-108.94657759821257</v>
      </c>
      <c r="N517" s="121">
        <f t="shared" ca="1" si="107"/>
        <v>-1.9013868211884912E-2</v>
      </c>
      <c r="O517" s="122">
        <f t="shared" ca="1" si="108"/>
        <v>0.66666666666666663</v>
      </c>
      <c r="P517" s="121">
        <f t="shared" ca="1" si="109"/>
        <v>-0.34224962781392843</v>
      </c>
      <c r="Q517" s="118">
        <f t="shared" ca="1" si="110"/>
        <v>5755.3141417777779</v>
      </c>
      <c r="R517" s="118">
        <f t="shared" si="111"/>
        <v>-5729.8481499999998</v>
      </c>
      <c r="S517" s="123" t="s">
        <v>244</v>
      </c>
      <c r="T517" s="118" t="s">
        <v>216</v>
      </c>
      <c r="U517" s="118" t="s">
        <v>217</v>
      </c>
      <c r="V517" s="118" t="s">
        <v>270</v>
      </c>
      <c r="W517" s="118" t="s">
        <v>219</v>
      </c>
    </row>
    <row r="518" spans="2:23" x14ac:dyDescent="0.3">
      <c r="B518" s="116" t="e" vm="33">
        <v>#VALUE!</v>
      </c>
      <c r="C518" s="117">
        <v>45314</v>
      </c>
      <c r="D518" s="116">
        <v>2</v>
      </c>
      <c r="E518" s="118">
        <v>3740.3</v>
      </c>
      <c r="F518" s="118">
        <f>D518*E518*0.0022+12.08</f>
        <v>28.537320000000001</v>
      </c>
      <c r="G518" s="118">
        <f t="shared" si="112"/>
        <v>7509.1373200000007</v>
      </c>
      <c r="H518" s="119">
        <f t="shared" si="113"/>
        <v>3.8148437291126379E-3</v>
      </c>
      <c r="I518" s="120" cm="1">
        <f t="array" aca="1" ref="I518" ca="1">_FV(B518,"Price")</f>
        <v>4697.3</v>
      </c>
      <c r="J518" s="118">
        <f t="shared" ca="1" si="105"/>
        <v>9358.7610691024784</v>
      </c>
      <c r="K518" s="118">
        <f t="shared" ca="1" si="114"/>
        <v>9394.6</v>
      </c>
      <c r="L518" s="118">
        <f>2*11+2*11</f>
        <v>44</v>
      </c>
      <c r="M518" s="118">
        <f t="shared" ca="1" si="106"/>
        <v>1893.6237491024776</v>
      </c>
      <c r="N518" s="121">
        <f t="shared" ca="1" si="107"/>
        <v>0.25217593824778761</v>
      </c>
      <c r="O518" s="122">
        <f t="shared" ca="1" si="108"/>
        <v>30</v>
      </c>
      <c r="P518" s="121">
        <f t="shared" ca="1" si="109"/>
        <v>0.10087037529911505</v>
      </c>
      <c r="Q518" s="118">
        <f t="shared" ca="1" si="110"/>
        <v>9010.9647840000016</v>
      </c>
      <c r="R518" s="118">
        <f t="shared" si="111"/>
        <v>-7509.1373200000007</v>
      </c>
      <c r="S518" s="123" t="s">
        <v>271</v>
      </c>
      <c r="T518" s="118" t="s">
        <v>216</v>
      </c>
      <c r="U518" s="118" t="s">
        <v>217</v>
      </c>
      <c r="V518" s="118" t="s">
        <v>272</v>
      </c>
      <c r="W518" s="118" t="s">
        <v>219</v>
      </c>
    </row>
    <row r="519" spans="2:23" x14ac:dyDescent="0.3">
      <c r="B519" s="116" t="e" vm="33">
        <v>#VALUE!</v>
      </c>
      <c r="C519" s="117">
        <v>45322</v>
      </c>
      <c r="D519" s="116">
        <v>7</v>
      </c>
      <c r="E519" s="118">
        <v>3660</v>
      </c>
      <c r="F519" s="118">
        <f>D519*E519*0.0022+41.11</f>
        <v>97.474000000000004</v>
      </c>
      <c r="G519" s="118">
        <f t="shared" si="112"/>
        <v>25717.473999999998</v>
      </c>
      <c r="H519" s="119">
        <f t="shared" si="113"/>
        <v>3.8046057767369243E-3</v>
      </c>
      <c r="I519" s="120" cm="1">
        <f t="array" aca="1" ref="I519" ca="1">_FV(B519,"Price")</f>
        <v>4697.3</v>
      </c>
      <c r="J519" s="118">
        <f t="shared" ca="1" si="105"/>
        <v>32756.000376994536</v>
      </c>
      <c r="K519" s="118">
        <f t="shared" ca="1" si="114"/>
        <v>32881.1</v>
      </c>
      <c r="L519" s="118">
        <f>7*11+7*11</f>
        <v>154</v>
      </c>
      <c r="M519" s="118">
        <f t="shared" ca="1" si="106"/>
        <v>7192.5263769945377</v>
      </c>
      <c r="N519" s="121">
        <f t="shared" ca="1" si="107"/>
        <v>0.27967468255220312</v>
      </c>
      <c r="O519" s="122">
        <f t="shared" ca="1" si="108"/>
        <v>29.766666666666666</v>
      </c>
      <c r="P519" s="121">
        <f t="shared" ca="1" si="109"/>
        <v>0.11274679251824538</v>
      </c>
      <c r="Q519" s="118">
        <f t="shared" ca="1" si="110"/>
        <v>30820.963840444441</v>
      </c>
      <c r="R519" s="118">
        <f t="shared" si="111"/>
        <v>-25717.473999999998</v>
      </c>
      <c r="S519" s="123" t="s">
        <v>271</v>
      </c>
      <c r="T519" s="118" t="s">
        <v>216</v>
      </c>
      <c r="U519" s="118" t="s">
        <v>217</v>
      </c>
      <c r="V519" s="118" t="s">
        <v>272</v>
      </c>
      <c r="W519" s="118" t="s">
        <v>219</v>
      </c>
    </row>
    <row r="520" spans="2:23" x14ac:dyDescent="0.3">
      <c r="B520" s="116" t="e" vm="33">
        <v>#VALUE!</v>
      </c>
      <c r="C520" s="117">
        <v>45330</v>
      </c>
      <c r="D520" s="116">
        <v>7</v>
      </c>
      <c r="E520" s="118">
        <v>3550.84</v>
      </c>
      <c r="F520" s="118">
        <f>D520*E520*0.0022+39.79</f>
        <v>94.472936000000004</v>
      </c>
      <c r="G520" s="118">
        <f t="shared" si="112"/>
        <v>24950.352935999999</v>
      </c>
      <c r="H520" s="119">
        <f t="shared" si="113"/>
        <v>3.8008284558824711E-3</v>
      </c>
      <c r="I520" s="120" cm="1">
        <f t="array" aca="1" ref="I520" ca="1">_FV(B520,"Price")</f>
        <v>4697.3</v>
      </c>
      <c r="J520" s="118">
        <f t="shared" ca="1" si="105"/>
        <v>32756.12457945928</v>
      </c>
      <c r="K520" s="118">
        <f t="shared" ca="1" si="114"/>
        <v>32881.1</v>
      </c>
      <c r="L520" s="118">
        <f>7*11+7*11</f>
        <v>154</v>
      </c>
      <c r="M520" s="118">
        <f t="shared" ca="1" si="106"/>
        <v>7959.7716434592803</v>
      </c>
      <c r="N520" s="121">
        <f t="shared" ca="1" si="107"/>
        <v>0.31902441075189769</v>
      </c>
      <c r="O520" s="122">
        <f t="shared" ca="1" si="108"/>
        <v>29.5</v>
      </c>
      <c r="P520" s="121">
        <f t="shared" ca="1" si="109"/>
        <v>0.1297726416617889</v>
      </c>
      <c r="Q520" s="118">
        <f t="shared" ca="1" si="110"/>
        <v>29857.255680080001</v>
      </c>
      <c r="R520" s="118">
        <f t="shared" si="111"/>
        <v>-24950.352935999999</v>
      </c>
      <c r="S520" s="123" t="s">
        <v>271</v>
      </c>
      <c r="T520" s="118" t="s">
        <v>216</v>
      </c>
      <c r="U520" s="118" t="s">
        <v>217</v>
      </c>
      <c r="V520" s="118" t="s">
        <v>272</v>
      </c>
      <c r="W520" s="118" t="s">
        <v>219</v>
      </c>
    </row>
    <row r="521" spans="2:23" x14ac:dyDescent="0.3">
      <c r="B521" s="116" t="e" vm="33">
        <v>#VALUE!</v>
      </c>
      <c r="C521" s="117">
        <v>45344</v>
      </c>
      <c r="D521" s="116">
        <v>2</v>
      </c>
      <c r="E521" s="118">
        <v>3580.05</v>
      </c>
      <c r="F521" s="118">
        <f>D521*E521*0.0022+11.46</f>
        <v>27.212220000000002</v>
      </c>
      <c r="G521" s="118">
        <f t="shared" si="112"/>
        <v>7187.3122200000007</v>
      </c>
      <c r="H521" s="119">
        <f t="shared" si="113"/>
        <v>3.8005363053588638E-3</v>
      </c>
      <c r="I521" s="120" cm="1">
        <f t="array" aca="1" ref="I521" ca="1">_FV(B521,"Price")</f>
        <v>4697.3</v>
      </c>
      <c r="J521" s="118">
        <f t="shared" ca="1" si="105"/>
        <v>9358.8954816256773</v>
      </c>
      <c r="K521" s="118">
        <f t="shared" ca="1" si="114"/>
        <v>9394.6</v>
      </c>
      <c r="L521" s="118">
        <f>2*11+2*11</f>
        <v>44</v>
      </c>
      <c r="M521" s="118">
        <f t="shared" ca="1" si="106"/>
        <v>2215.5832616256766</v>
      </c>
      <c r="N521" s="121">
        <f t="shared" ca="1" si="107"/>
        <v>0.30826311614241747</v>
      </c>
      <c r="O521" s="122">
        <f t="shared" ca="1" si="108"/>
        <v>29.033333333333335</v>
      </c>
      <c r="P521" s="121">
        <f t="shared" ca="1" si="109"/>
        <v>0.1274107024239613</v>
      </c>
      <c r="Q521" s="118">
        <f t="shared" ca="1" si="110"/>
        <v>8578.4564296933349</v>
      </c>
      <c r="R521" s="118">
        <f t="shared" si="111"/>
        <v>-7187.3122200000007</v>
      </c>
      <c r="S521" s="123" t="s">
        <v>271</v>
      </c>
      <c r="T521" s="118" t="s">
        <v>216</v>
      </c>
      <c r="U521" s="118" t="s">
        <v>217</v>
      </c>
      <c r="V521" s="118" t="s">
        <v>272</v>
      </c>
      <c r="W521" s="118" t="s">
        <v>219</v>
      </c>
    </row>
    <row r="522" spans="2:23" x14ac:dyDescent="0.3">
      <c r="B522" s="116" t="e" vm="33">
        <v>#VALUE!</v>
      </c>
      <c r="C522" s="117">
        <v>45373</v>
      </c>
      <c r="D522" s="116">
        <v>2</v>
      </c>
      <c r="E522" s="118">
        <v>3680.55</v>
      </c>
      <c r="F522" s="118">
        <f>D522*E522*0.0022+11.72</f>
        <v>27.91442</v>
      </c>
      <c r="G522" s="118">
        <f t="shared" si="112"/>
        <v>7389.0144200000004</v>
      </c>
      <c r="H522" s="119">
        <f t="shared" si="113"/>
        <v>3.7921533466465608E-3</v>
      </c>
      <c r="I522" s="120" cm="1">
        <f t="array" aca="1" ref="I522" ca="1">_FV(B522,"Price")</f>
        <v>4697.3</v>
      </c>
      <c r="J522" s="118">
        <f t="shared" ref="J522:J579" ca="1" si="117">I522*D522*(1-H522)</f>
        <v>9358.9742361695953</v>
      </c>
      <c r="K522" s="118">
        <f t="shared" ca="1" si="114"/>
        <v>9394.6</v>
      </c>
      <c r="L522" s="118">
        <f>2*11+2*11</f>
        <v>44</v>
      </c>
      <c r="M522" s="118">
        <f t="shared" ref="M522:M579" ca="1" si="118">J522-G522+L522</f>
        <v>2013.9598161695949</v>
      </c>
      <c r="N522" s="121">
        <f t="shared" ref="N522:N579" ca="1" si="119">M522/G522</f>
        <v>0.27256135956621869</v>
      </c>
      <c r="O522" s="122">
        <f t="shared" ref="O522:O579" ca="1" si="120">(DAYS360(C522,NOW(),TRUE))/30</f>
        <v>28.033333333333335</v>
      </c>
      <c r="P522" s="121">
        <f t="shared" ref="P522:P579" ca="1" si="121">(N522/O522)*12</f>
        <v>0.1166731146775728</v>
      </c>
      <c r="Q522" s="118">
        <f t="shared" ref="Q522:Q579" ca="1" si="122">G522+((G522*O522*8)/(100*12))</f>
        <v>8769.9391149377789</v>
      </c>
      <c r="R522" s="118">
        <f t="shared" ref="R522:R579" si="123">-G522</f>
        <v>-7389.0144200000004</v>
      </c>
      <c r="S522" s="123" t="s">
        <v>271</v>
      </c>
      <c r="T522" s="118" t="s">
        <v>216</v>
      </c>
      <c r="U522" s="118" t="s">
        <v>217</v>
      </c>
      <c r="V522" s="118" t="s">
        <v>272</v>
      </c>
      <c r="W522" s="118" t="s">
        <v>219</v>
      </c>
    </row>
    <row r="523" spans="2:23" x14ac:dyDescent="0.3">
      <c r="B523" s="116" t="e" vm="33">
        <v>#VALUE!</v>
      </c>
      <c r="C523" s="117">
        <v>45400</v>
      </c>
      <c r="D523" s="116">
        <v>6</v>
      </c>
      <c r="E523" s="118">
        <v>3600</v>
      </c>
      <c r="F523" s="118">
        <f>D523*E523*0.0022+33.86</f>
        <v>81.38</v>
      </c>
      <c r="G523" s="118">
        <f t="shared" si="112"/>
        <v>21681.38</v>
      </c>
      <c r="H523" s="119">
        <f t="shared" si="113"/>
        <v>3.7675925925925923E-3</v>
      </c>
      <c r="I523" s="120" cm="1">
        <f t="array" aca="1" ref="I523" ca="1">_FV(B523,"Price")</f>
        <v>4697.3</v>
      </c>
      <c r="J523" s="118">
        <f t="shared" ca="1" si="117"/>
        <v>28077.61492388889</v>
      </c>
      <c r="K523" s="118">
        <f t="shared" ca="1" si="114"/>
        <v>28183.800000000003</v>
      </c>
      <c r="L523" s="118">
        <f>6*11+6*11</f>
        <v>132</v>
      </c>
      <c r="M523" s="118">
        <f t="shared" ca="1" si="118"/>
        <v>6528.2349238888892</v>
      </c>
      <c r="N523" s="121">
        <f t="shared" ca="1" si="119"/>
        <v>0.30109868116738364</v>
      </c>
      <c r="O523" s="122">
        <f t="shared" ca="1" si="120"/>
        <v>27.166666666666668</v>
      </c>
      <c r="P523" s="121">
        <f t="shared" ca="1" si="121"/>
        <v>0.13300064444203449</v>
      </c>
      <c r="Q523" s="118">
        <f t="shared" ca="1" si="122"/>
        <v>25608.118822222223</v>
      </c>
      <c r="R523" s="118">
        <f t="shared" si="123"/>
        <v>-21681.38</v>
      </c>
      <c r="S523" s="123" t="s">
        <v>271</v>
      </c>
      <c r="T523" s="118" t="s">
        <v>216</v>
      </c>
      <c r="U523" s="118" t="s">
        <v>217</v>
      </c>
      <c r="V523" s="118" t="s">
        <v>272</v>
      </c>
      <c r="W523" s="118" t="s">
        <v>219</v>
      </c>
    </row>
    <row r="524" spans="2:23" x14ac:dyDescent="0.3">
      <c r="B524" s="116" t="e" vm="33">
        <v>#VALUE!</v>
      </c>
      <c r="C524" s="117">
        <v>45404</v>
      </c>
      <c r="D524" s="116">
        <v>2</v>
      </c>
      <c r="E524" s="118">
        <v>3575</v>
      </c>
      <c r="F524" s="118">
        <f>D524*E524*0.0022+11.36</f>
        <v>27.09</v>
      </c>
      <c r="G524" s="118">
        <f t="shared" si="112"/>
        <v>7177.09</v>
      </c>
      <c r="H524" s="119">
        <f t="shared" si="113"/>
        <v>3.7888111888111889E-3</v>
      </c>
      <c r="I524" s="120" cm="1">
        <f t="array" aca="1" ref="I524" ca="1">_FV(B524,"Price")</f>
        <v>4697.3</v>
      </c>
      <c r="J524" s="118">
        <f t="shared" ca="1" si="117"/>
        <v>9359.0056344055956</v>
      </c>
      <c r="K524" s="118">
        <f t="shared" ca="1" si="114"/>
        <v>9394.6</v>
      </c>
      <c r="L524" s="118">
        <f>2*11+2*11</f>
        <v>44</v>
      </c>
      <c r="M524" s="118">
        <f t="shared" ca="1" si="118"/>
        <v>2225.9156344055955</v>
      </c>
      <c r="N524" s="121">
        <f t="shared" ca="1" si="119"/>
        <v>0.31014180321071566</v>
      </c>
      <c r="O524" s="122">
        <f t="shared" ca="1" si="120"/>
        <v>27.033333333333335</v>
      </c>
      <c r="P524" s="121">
        <f t="shared" ca="1" si="121"/>
        <v>0.13767083743015737</v>
      </c>
      <c r="Q524" s="118">
        <f t="shared" ca="1" si="122"/>
        <v>8470.5611088888891</v>
      </c>
      <c r="R524" s="118">
        <f t="shared" si="123"/>
        <v>-7177.09</v>
      </c>
      <c r="S524" s="123" t="s">
        <v>271</v>
      </c>
      <c r="T524" s="118" t="s">
        <v>216</v>
      </c>
      <c r="U524" s="118" t="s">
        <v>217</v>
      </c>
      <c r="V524" s="118" t="s">
        <v>272</v>
      </c>
      <c r="W524" s="118" t="s">
        <v>219</v>
      </c>
    </row>
    <row r="525" spans="2:23" x14ac:dyDescent="0.3">
      <c r="B525" s="116" t="e" vm="33">
        <v>#VALUE!</v>
      </c>
      <c r="C525" s="117">
        <v>45415</v>
      </c>
      <c r="D525" s="116">
        <v>5</v>
      </c>
      <c r="E525" s="118">
        <v>3500</v>
      </c>
      <c r="F525" s="118">
        <f>D525*E525*0.0022+27.47</f>
        <v>65.97</v>
      </c>
      <c r="G525" s="118">
        <f t="shared" si="112"/>
        <v>17565.97</v>
      </c>
      <c r="H525" s="119">
        <f t="shared" si="113"/>
        <v>3.7697142857142855E-3</v>
      </c>
      <c r="I525" s="120" cm="1">
        <f t="array" aca="1" ref="I525" ca="1">_FV(B525,"Price")</f>
        <v>4697.3</v>
      </c>
      <c r="J525" s="118">
        <f t="shared" ca="1" si="117"/>
        <v>23397.962605428573</v>
      </c>
      <c r="K525" s="118">
        <f t="shared" ca="1" si="114"/>
        <v>23486.5</v>
      </c>
      <c r="L525" s="118">
        <f>5*11+5*11</f>
        <v>110</v>
      </c>
      <c r="M525" s="118">
        <f t="shared" ca="1" si="118"/>
        <v>5941.9926054285716</v>
      </c>
      <c r="N525" s="121">
        <f t="shared" ca="1" si="119"/>
        <v>0.33826726365971088</v>
      </c>
      <c r="O525" s="122">
        <f t="shared" ca="1" si="120"/>
        <v>26.666666666666668</v>
      </c>
      <c r="P525" s="121">
        <f t="shared" ca="1" si="121"/>
        <v>0.15222026864686988</v>
      </c>
      <c r="Q525" s="118">
        <f t="shared" ca="1" si="122"/>
        <v>20688.809111111113</v>
      </c>
      <c r="R525" s="118">
        <f t="shared" si="123"/>
        <v>-17565.97</v>
      </c>
      <c r="S525" s="123" t="s">
        <v>271</v>
      </c>
      <c r="T525" s="118" t="s">
        <v>216</v>
      </c>
      <c r="U525" s="118" t="s">
        <v>217</v>
      </c>
      <c r="V525" s="118" t="s">
        <v>272</v>
      </c>
      <c r="W525" s="118" t="s">
        <v>219</v>
      </c>
    </row>
    <row r="526" spans="2:23" x14ac:dyDescent="0.3">
      <c r="B526" s="116" t="e" vm="33">
        <v>#VALUE!</v>
      </c>
      <c r="C526" s="117">
        <v>45418</v>
      </c>
      <c r="D526" s="116">
        <v>5</v>
      </c>
      <c r="E526" s="118">
        <v>3350</v>
      </c>
      <c r="F526" s="118">
        <f>D526*E526*0.0022+27.26</f>
        <v>64.11</v>
      </c>
      <c r="G526" s="118">
        <f t="shared" si="112"/>
        <v>16814.11</v>
      </c>
      <c r="H526" s="119">
        <f t="shared" si="113"/>
        <v>3.827462686567164E-3</v>
      </c>
      <c r="I526" s="120" cm="1">
        <f t="array" aca="1" ref="I526" ca="1">_FV(B526,"Price")</f>
        <v>4697.3</v>
      </c>
      <c r="J526" s="118">
        <f t="shared" ca="1" si="117"/>
        <v>23396.606297611939</v>
      </c>
      <c r="K526" s="118">
        <f t="shared" ca="1" si="114"/>
        <v>23486.5</v>
      </c>
      <c r="L526" s="118">
        <f>5*11+5*11</f>
        <v>110</v>
      </c>
      <c r="M526" s="118">
        <f t="shared" ca="1" si="118"/>
        <v>6692.4962976119386</v>
      </c>
      <c r="N526" s="121">
        <f t="shared" ca="1" si="119"/>
        <v>0.39802857823648941</v>
      </c>
      <c r="O526" s="122">
        <f t="shared" ca="1" si="120"/>
        <v>26.566666666666666</v>
      </c>
      <c r="P526" s="121">
        <f t="shared" ca="1" si="121"/>
        <v>0.1797870616877493</v>
      </c>
      <c r="Q526" s="118">
        <f t="shared" ca="1" si="122"/>
        <v>19792.075704444447</v>
      </c>
      <c r="R526" s="118">
        <f t="shared" si="123"/>
        <v>-16814.11</v>
      </c>
      <c r="S526" s="123" t="s">
        <v>271</v>
      </c>
      <c r="T526" s="118" t="s">
        <v>216</v>
      </c>
      <c r="U526" s="118" t="s">
        <v>217</v>
      </c>
      <c r="V526" s="118" t="s">
        <v>272</v>
      </c>
      <c r="W526" s="118" t="s">
        <v>219</v>
      </c>
    </row>
    <row r="527" spans="2:23" x14ac:dyDescent="0.3">
      <c r="B527" s="116" t="e" vm="33">
        <v>#VALUE!</v>
      </c>
      <c r="C527" s="117">
        <v>45434</v>
      </c>
      <c r="D527" s="116">
        <v>2</v>
      </c>
      <c r="E527" s="118">
        <v>3394.15</v>
      </c>
      <c r="F527" s="118">
        <f>D527*E527*0.0022+10.95</f>
        <v>25.884260000000001</v>
      </c>
      <c r="G527" s="118">
        <f t="shared" si="112"/>
        <v>6814.18426</v>
      </c>
      <c r="H527" s="119">
        <f t="shared" si="113"/>
        <v>3.8130695461308429E-3</v>
      </c>
      <c r="I527" s="120" cm="1">
        <f t="array" aca="1" ref="I527" ca="1">_FV(B527,"Price")</f>
        <v>4697.3</v>
      </c>
      <c r="J527" s="118">
        <f t="shared" ca="1" si="117"/>
        <v>9358.7777368419192</v>
      </c>
      <c r="K527" s="118">
        <f t="shared" ca="1" si="114"/>
        <v>9394.6</v>
      </c>
      <c r="L527" s="118">
        <f>2*11+2*11</f>
        <v>44</v>
      </c>
      <c r="M527" s="118">
        <f t="shared" ca="1" si="118"/>
        <v>2588.5934768419193</v>
      </c>
      <c r="N527" s="121">
        <f t="shared" ca="1" si="119"/>
        <v>0.3798831053097938</v>
      </c>
      <c r="O527" s="122">
        <f t="shared" ca="1" si="120"/>
        <v>26.033333333333335</v>
      </c>
      <c r="P527" s="121">
        <f t="shared" ca="1" si="121"/>
        <v>0.17510616890080125</v>
      </c>
      <c r="Q527" s="118">
        <f t="shared" ca="1" si="122"/>
        <v>7996.8237949022223</v>
      </c>
      <c r="R527" s="118">
        <f t="shared" si="123"/>
        <v>-6814.18426</v>
      </c>
      <c r="S527" s="123" t="s">
        <v>271</v>
      </c>
      <c r="T527" s="118" t="s">
        <v>216</v>
      </c>
      <c r="U527" s="118" t="s">
        <v>217</v>
      </c>
      <c r="V527" s="118" t="s">
        <v>272</v>
      </c>
      <c r="W527" s="118" t="s">
        <v>219</v>
      </c>
    </row>
    <row r="528" spans="2:23" x14ac:dyDescent="0.3">
      <c r="B528" s="116" t="e" vm="33">
        <v>#VALUE!</v>
      </c>
      <c r="C528" s="117">
        <v>45467</v>
      </c>
      <c r="D528" s="116">
        <v>2</v>
      </c>
      <c r="E528" s="118">
        <v>3426.25</v>
      </c>
      <c r="F528" s="118">
        <f>D528*E528*0.0022+10.8</f>
        <v>25.875500000000002</v>
      </c>
      <c r="G528" s="118">
        <f t="shared" ref="G528:G562" si="124">(E528*D528)+F528</f>
        <v>6878.3755000000001</v>
      </c>
      <c r="H528" s="119">
        <f t="shared" ref="H528:H562" si="125">F528/(D528*E528)</f>
        <v>3.7760671287851151E-3</v>
      </c>
      <c r="I528" s="120" cm="1">
        <f t="array" aca="1" ref="I528" ca="1">_FV(B528,"Price")</f>
        <v>4697.3</v>
      </c>
      <c r="J528" s="118">
        <f t="shared" ca="1" si="117"/>
        <v>9359.1253597519153</v>
      </c>
      <c r="K528" s="118">
        <f t="shared" ca="1" si="114"/>
        <v>9394.6</v>
      </c>
      <c r="L528" s="118">
        <f>2*11+2*11</f>
        <v>44</v>
      </c>
      <c r="M528" s="118">
        <f t="shared" ca="1" si="118"/>
        <v>2524.7498597519152</v>
      </c>
      <c r="N528" s="121">
        <f t="shared" ca="1" si="119"/>
        <v>0.36705612535284171</v>
      </c>
      <c r="O528" s="122">
        <f t="shared" ca="1" si="120"/>
        <v>24.966666666666665</v>
      </c>
      <c r="P528" s="121">
        <f t="shared" ca="1" si="121"/>
        <v>0.17642216972900271</v>
      </c>
      <c r="Q528" s="118">
        <f t="shared" ca="1" si="122"/>
        <v>8023.2428887777778</v>
      </c>
      <c r="R528" s="118">
        <f t="shared" si="123"/>
        <v>-6878.3755000000001</v>
      </c>
      <c r="S528" s="123" t="s">
        <v>271</v>
      </c>
      <c r="T528" s="118" t="s">
        <v>216</v>
      </c>
      <c r="U528" s="118" t="s">
        <v>217</v>
      </c>
      <c r="V528" s="118" t="s">
        <v>272</v>
      </c>
      <c r="W528" s="118" t="s">
        <v>219</v>
      </c>
    </row>
    <row r="529" spans="2:23" x14ac:dyDescent="0.3">
      <c r="B529" s="116" t="e" vm="33">
        <v>#VALUE!</v>
      </c>
      <c r="C529" s="117">
        <v>45481</v>
      </c>
      <c r="D529" s="116">
        <v>7</v>
      </c>
      <c r="E529" s="118">
        <v>3134.85</v>
      </c>
      <c r="F529" s="118">
        <f>D529*E529*0.0022+34.57</f>
        <v>82.846689999999995</v>
      </c>
      <c r="G529" s="118">
        <f t="shared" si="124"/>
        <v>22026.796689999999</v>
      </c>
      <c r="H529" s="119">
        <f t="shared" si="125"/>
        <v>3.7753772679941394E-3</v>
      </c>
      <c r="I529" s="120" cm="1">
        <f t="array" aca="1" ref="I529" ca="1">_FV(B529,"Price")</f>
        <v>4697.3</v>
      </c>
      <c r="J529" s="118">
        <f t="shared" ca="1" si="117"/>
        <v>32756.961442513355</v>
      </c>
      <c r="K529" s="118">
        <f t="shared" ca="1" si="114"/>
        <v>32881.1</v>
      </c>
      <c r="L529" s="118">
        <f>7*11</f>
        <v>77</v>
      </c>
      <c r="M529" s="118">
        <f t="shared" ca="1" si="118"/>
        <v>10807.164752513356</v>
      </c>
      <c r="N529" s="121">
        <f t="shared" ca="1" si="119"/>
        <v>0.49063715004096475</v>
      </c>
      <c r="O529" s="122">
        <f t="shared" ca="1" si="120"/>
        <v>24.5</v>
      </c>
      <c r="P529" s="121">
        <f t="shared" ca="1" si="121"/>
        <v>0.24031207348945213</v>
      </c>
      <c r="Q529" s="118">
        <f t="shared" ca="1" si="122"/>
        <v>25624.506816033332</v>
      </c>
      <c r="R529" s="118">
        <f t="shared" si="123"/>
        <v>-22026.796689999999</v>
      </c>
      <c r="S529" s="123" t="s">
        <v>271</v>
      </c>
      <c r="T529" s="118" t="s">
        <v>216</v>
      </c>
      <c r="U529" s="118" t="s">
        <v>217</v>
      </c>
      <c r="V529" s="118" t="s">
        <v>272</v>
      </c>
      <c r="W529" s="118" t="s">
        <v>219</v>
      </c>
    </row>
    <row r="530" spans="2:23" x14ac:dyDescent="0.3">
      <c r="B530" s="116" t="e" vm="33">
        <v>#VALUE!</v>
      </c>
      <c r="C530" s="117">
        <v>45495</v>
      </c>
      <c r="D530" s="116">
        <v>2</v>
      </c>
      <c r="E530" s="118">
        <v>3253</v>
      </c>
      <c r="F530" s="118">
        <f>D530*E530*0.0022+10.05</f>
        <v>24.363199999999999</v>
      </c>
      <c r="G530" s="118">
        <f t="shared" si="124"/>
        <v>6530.3631999999998</v>
      </c>
      <c r="H530" s="119">
        <f t="shared" si="125"/>
        <v>3.7447279434368276E-3</v>
      </c>
      <c r="I530" s="120" cm="1">
        <f t="array" aca="1" ref="I530" ca="1">_FV(B530,"Price")</f>
        <v>4697.3</v>
      </c>
      <c r="J530" s="118">
        <f t="shared" ca="1" si="117"/>
        <v>9359.4197788625879</v>
      </c>
      <c r="K530" s="118">
        <f t="shared" ca="1" si="114"/>
        <v>9394.6</v>
      </c>
      <c r="L530" s="118">
        <f>2*11</f>
        <v>22</v>
      </c>
      <c r="M530" s="118">
        <f t="shared" ca="1" si="118"/>
        <v>2851.0565788625881</v>
      </c>
      <c r="N530" s="121">
        <f t="shared" ca="1" si="119"/>
        <v>0.43658468779540288</v>
      </c>
      <c r="O530" s="122">
        <f t="shared" ca="1" si="120"/>
        <v>24.033333333333335</v>
      </c>
      <c r="P530" s="121">
        <f t="shared" ca="1" si="121"/>
        <v>0.21798958059132456</v>
      </c>
      <c r="Q530" s="118">
        <f t="shared" ca="1" si="122"/>
        <v>7576.6725038222221</v>
      </c>
      <c r="R530" s="118">
        <f t="shared" si="123"/>
        <v>-6530.3631999999998</v>
      </c>
      <c r="S530" s="123" t="s">
        <v>271</v>
      </c>
      <c r="T530" s="118" t="s">
        <v>216</v>
      </c>
      <c r="U530" s="118" t="s">
        <v>217</v>
      </c>
      <c r="V530" s="118" t="s">
        <v>272</v>
      </c>
      <c r="W530" s="118" t="s">
        <v>219</v>
      </c>
    </row>
    <row r="531" spans="2:23" x14ac:dyDescent="0.3">
      <c r="B531" s="116" t="e" vm="34">
        <v>#VALUE!</v>
      </c>
      <c r="C531" s="117">
        <v>45525</v>
      </c>
      <c r="D531" s="116">
        <f>33*2.5</f>
        <v>82.5</v>
      </c>
      <c r="E531" s="118">
        <f>1541.32/2.5</f>
        <v>616.52800000000002</v>
      </c>
      <c r="F531" s="118">
        <f>D531*E531*0.0022+81.2</f>
        <v>193.09983200000002</v>
      </c>
      <c r="G531" s="118">
        <f t="shared" si="124"/>
        <v>51056.659832000005</v>
      </c>
      <c r="H531" s="119">
        <f t="shared" si="125"/>
        <v>3.7964277765850443E-3</v>
      </c>
      <c r="I531" s="120" cm="1">
        <f t="array" aca="1" ref="I531" ca="1">_FV(B531,"Price")</f>
        <v>459.05</v>
      </c>
      <c r="J531" s="118">
        <f t="shared" ca="1" si="117"/>
        <v>37727.848110905587</v>
      </c>
      <c r="K531" s="118">
        <f t="shared" ca="1" si="114"/>
        <v>37871.625</v>
      </c>
      <c r="L531" s="118">
        <f>41.25+82.5*0.5+82.5*0.5+82.5*0.5+82.5*0.5</f>
        <v>206.25</v>
      </c>
      <c r="M531" s="118">
        <f t="shared" ca="1" si="118"/>
        <v>-13122.561721094418</v>
      </c>
      <c r="N531" s="121">
        <f t="shared" ca="1" si="119"/>
        <v>-0.25701958890913951</v>
      </c>
      <c r="O531" s="122">
        <f t="shared" ca="1" si="120"/>
        <v>23.066666666666666</v>
      </c>
      <c r="P531" s="121">
        <f t="shared" ca="1" si="121"/>
        <v>-0.13370961272729801</v>
      </c>
      <c r="Q531" s="118">
        <f t="shared" ca="1" si="122"/>
        <v>58908.039521720893</v>
      </c>
      <c r="R531" s="118">
        <f t="shared" si="123"/>
        <v>-51056.659832000005</v>
      </c>
      <c r="S531" s="123" t="s">
        <v>273</v>
      </c>
      <c r="T531" s="118" t="s">
        <v>216</v>
      </c>
      <c r="U531" s="118" t="s">
        <v>217</v>
      </c>
      <c r="V531" s="118" t="s">
        <v>238</v>
      </c>
      <c r="W531" s="118" t="s">
        <v>219</v>
      </c>
    </row>
    <row r="532" spans="2:23" x14ac:dyDescent="0.3">
      <c r="B532" s="116" t="e" vm="34">
        <v>#VALUE!</v>
      </c>
      <c r="C532" s="117">
        <v>45526</v>
      </c>
      <c r="D532" s="116">
        <f>3*2.5</f>
        <v>7.5</v>
      </c>
      <c r="E532" s="118">
        <f>1599.62/2.5</f>
        <v>639.84799999999996</v>
      </c>
      <c r="F532" s="118">
        <f>D532*E532*0.0022+7.6</f>
        <v>18.157491999999998</v>
      </c>
      <c r="G532" s="118">
        <f t="shared" si="124"/>
        <v>4817.0174919999999</v>
      </c>
      <c r="H532" s="119">
        <f t="shared" si="125"/>
        <v>3.7837094643311119E-3</v>
      </c>
      <c r="I532" s="120" cm="1">
        <f t="array" aca="1" ref="I532" ca="1">_FV(B532,"Price")</f>
        <v>459.05</v>
      </c>
      <c r="J532" s="118">
        <f t="shared" ca="1" si="117"/>
        <v>3429.848161277991</v>
      </c>
      <c r="K532" s="118">
        <f t="shared" ca="1" si="114"/>
        <v>3442.875</v>
      </c>
      <c r="L532" s="118">
        <f>3.75+7.5*0.5+7.5*0.5+7.5*0.5+7.5*0.5</f>
        <v>18.75</v>
      </c>
      <c r="M532" s="118">
        <f t="shared" ca="1" si="118"/>
        <v>-1368.4193307220089</v>
      </c>
      <c r="N532" s="121">
        <f t="shared" ca="1" si="119"/>
        <v>-0.28408020792838112</v>
      </c>
      <c r="O532" s="122">
        <f t="shared" ca="1" si="120"/>
        <v>23.033333333333335</v>
      </c>
      <c r="P532" s="121">
        <f t="shared" ca="1" si="121"/>
        <v>-0.14800126606977887</v>
      </c>
      <c r="Q532" s="118">
        <f t="shared" ca="1" si="122"/>
        <v>5556.697289104889</v>
      </c>
      <c r="R532" s="118">
        <f t="shared" si="123"/>
        <v>-4817.0174919999999</v>
      </c>
      <c r="S532" s="123" t="s">
        <v>273</v>
      </c>
      <c r="T532" s="118" t="s">
        <v>216</v>
      </c>
      <c r="U532" s="118" t="s">
        <v>217</v>
      </c>
      <c r="V532" s="118" t="s">
        <v>238</v>
      </c>
      <c r="W532" s="118" t="s">
        <v>219</v>
      </c>
    </row>
    <row r="533" spans="2:23" x14ac:dyDescent="0.3">
      <c r="B533" s="116" t="e" vm="34">
        <v>#VALUE!</v>
      </c>
      <c r="C533" s="117">
        <v>45541</v>
      </c>
      <c r="D533" s="116">
        <f>4*2.5</f>
        <v>10</v>
      </c>
      <c r="E533" s="118">
        <f>1499.4/2.5</f>
        <v>599.76</v>
      </c>
      <c r="F533" s="118">
        <f>D533*E533*0.0022+9.52</f>
        <v>22.71472</v>
      </c>
      <c r="G533" s="118">
        <f t="shared" si="124"/>
        <v>6020.3147200000003</v>
      </c>
      <c r="H533" s="119">
        <f t="shared" si="125"/>
        <v>3.787301587301587E-3</v>
      </c>
      <c r="I533" s="120" cm="1">
        <f t="array" aca="1" ref="I533" ca="1">_FV(B533,"Price")</f>
        <v>459.05</v>
      </c>
      <c r="J533" s="118">
        <f t="shared" ca="1" si="117"/>
        <v>4573.1143920634922</v>
      </c>
      <c r="K533" s="118">
        <f t="shared" ca="1" si="114"/>
        <v>4590.5</v>
      </c>
      <c r="L533" s="118">
        <f>5+10*0.5+10*0.5+10*0.5+10*0.5</f>
        <v>25</v>
      </c>
      <c r="M533" s="118">
        <f t="shared" ca="1" si="118"/>
        <v>-1422.2003279365081</v>
      </c>
      <c r="N533" s="121">
        <f t="shared" ca="1" si="119"/>
        <v>-0.23623355158025824</v>
      </c>
      <c r="O533" s="122">
        <f t="shared" ca="1" si="120"/>
        <v>22.566666666666666</v>
      </c>
      <c r="P533" s="121">
        <f t="shared" ca="1" si="121"/>
        <v>-0.12561902299688768</v>
      </c>
      <c r="Q533" s="118">
        <f t="shared" ca="1" si="122"/>
        <v>6926.0376234311116</v>
      </c>
      <c r="R533" s="118">
        <f t="shared" si="123"/>
        <v>-6020.3147200000003</v>
      </c>
      <c r="S533" s="123" t="s">
        <v>273</v>
      </c>
      <c r="T533" s="118" t="s">
        <v>216</v>
      </c>
      <c r="U533" s="118" t="s">
        <v>217</v>
      </c>
      <c r="V533" s="118" t="s">
        <v>238</v>
      </c>
      <c r="W533" s="118" t="s">
        <v>219</v>
      </c>
    </row>
    <row r="534" spans="2:23" x14ac:dyDescent="0.3">
      <c r="B534" s="116" t="e" vm="34">
        <v>#VALUE!</v>
      </c>
      <c r="C534" s="117">
        <v>45558</v>
      </c>
      <c r="D534" s="116">
        <v>9</v>
      </c>
      <c r="E534" s="118">
        <v>651.95000000000005</v>
      </c>
      <c r="F534" s="118">
        <f>D534*E534*0.0022+9.31</f>
        <v>22.218610000000002</v>
      </c>
      <c r="G534" s="118">
        <f t="shared" si="124"/>
        <v>5889.7686100000001</v>
      </c>
      <c r="H534" s="119">
        <f t="shared" si="125"/>
        <v>3.7866929127148472E-3</v>
      </c>
      <c r="I534" s="120" cm="1">
        <f t="array" aca="1" ref="I534" ca="1">_FV(B534,"Price")</f>
        <v>459.05</v>
      </c>
      <c r="J534" s="118">
        <f t="shared" ca="1" si="117"/>
        <v>4115.805467565764</v>
      </c>
      <c r="K534" s="118">
        <f t="shared" ca="1" si="114"/>
        <v>4131.45</v>
      </c>
      <c r="L534" s="118">
        <f>4.5+9*0.5+9*0.5+9*0.5+9*0.5</f>
        <v>22.5</v>
      </c>
      <c r="M534" s="118">
        <f t="shared" ca="1" si="118"/>
        <v>-1751.463142434236</v>
      </c>
      <c r="N534" s="121">
        <f t="shared" ca="1" si="119"/>
        <v>-0.29737384580108928</v>
      </c>
      <c r="O534" s="122">
        <f t="shared" ca="1" si="120"/>
        <v>22</v>
      </c>
      <c r="P534" s="121">
        <f t="shared" ca="1" si="121"/>
        <v>-0.16220391589150324</v>
      </c>
      <c r="Q534" s="118">
        <f t="shared" ca="1" si="122"/>
        <v>6753.601339466667</v>
      </c>
      <c r="R534" s="118">
        <f t="shared" si="123"/>
        <v>-5889.7686100000001</v>
      </c>
      <c r="S534" s="123" t="s">
        <v>273</v>
      </c>
      <c r="T534" s="118" t="s">
        <v>216</v>
      </c>
      <c r="U534" s="118" t="s">
        <v>217</v>
      </c>
      <c r="V534" s="118" t="s">
        <v>238</v>
      </c>
      <c r="W534" s="118" t="s">
        <v>219</v>
      </c>
    </row>
    <row r="535" spans="2:23" x14ac:dyDescent="0.3">
      <c r="B535" s="116" t="e" vm="34">
        <v>#VALUE!</v>
      </c>
      <c r="C535" s="117">
        <v>45565</v>
      </c>
      <c r="D535" s="116">
        <v>83</v>
      </c>
      <c r="E535" s="118">
        <v>606.65</v>
      </c>
      <c r="F535" s="118">
        <f>D535*E535*0.0022+79.97</f>
        <v>190.74428999999998</v>
      </c>
      <c r="G535" s="118">
        <f t="shared" si="124"/>
        <v>50542.694289999999</v>
      </c>
      <c r="H535" s="119">
        <f t="shared" si="125"/>
        <v>3.7882205157893584E-3</v>
      </c>
      <c r="I535" s="120" cm="1">
        <f t="array" aca="1" ref="I535" ca="1">_FV(B535,"Price")</f>
        <v>459.05</v>
      </c>
      <c r="J535" s="118">
        <f t="shared" ca="1" si="117"/>
        <v>37956.814441894836</v>
      </c>
      <c r="K535" s="118">
        <f t="shared" ca="1" si="114"/>
        <v>38101.15</v>
      </c>
      <c r="L535" s="118">
        <f>41.5+83*0.5+83*0.5+83*0.5+83*0.5</f>
        <v>207.5</v>
      </c>
      <c r="M535" s="118">
        <f t="shared" ca="1" si="118"/>
        <v>-12378.379848105164</v>
      </c>
      <c r="N535" s="121">
        <f t="shared" ca="1" si="119"/>
        <v>-0.24490937853612321</v>
      </c>
      <c r="O535" s="122">
        <f t="shared" ca="1" si="120"/>
        <v>21.766666666666666</v>
      </c>
      <c r="P535" s="121">
        <f t="shared" ca="1" si="121"/>
        <v>-0.13501895294487651</v>
      </c>
      <c r="Q535" s="118">
        <f t="shared" ca="1" si="122"/>
        <v>57877.000816971107</v>
      </c>
      <c r="R535" s="118">
        <f t="shared" si="123"/>
        <v>-50542.694289999999</v>
      </c>
      <c r="S535" s="123" t="s">
        <v>273</v>
      </c>
      <c r="T535" s="118" t="s">
        <v>216</v>
      </c>
      <c r="U535" s="118" t="s">
        <v>217</v>
      </c>
      <c r="V535" s="118" t="s">
        <v>238</v>
      </c>
      <c r="W535" s="118" t="s">
        <v>219</v>
      </c>
    </row>
    <row r="536" spans="2:23" x14ac:dyDescent="0.3">
      <c r="B536" s="116" t="e" vm="34">
        <v>#VALUE!</v>
      </c>
      <c r="C536" s="117">
        <v>45569</v>
      </c>
      <c r="D536" s="116">
        <v>87</v>
      </c>
      <c r="E536" s="118">
        <v>582.65</v>
      </c>
      <c r="F536" s="118">
        <f>D536*E536*0.0022+80.97</f>
        <v>192.48921000000001</v>
      </c>
      <c r="G536" s="118">
        <f t="shared" si="124"/>
        <v>50883.039209999995</v>
      </c>
      <c r="H536" s="119">
        <f t="shared" si="125"/>
        <v>3.7973391490129823E-3</v>
      </c>
      <c r="I536" s="120" cm="1">
        <f t="array" aca="1" ref="I536" ca="1">_FV(B536,"Price")</f>
        <v>459.05</v>
      </c>
      <c r="J536" s="118">
        <f t="shared" ca="1" si="117"/>
        <v>39785.694337337161</v>
      </c>
      <c r="K536" s="118">
        <f t="shared" ref="K536:K593" ca="1" si="126">I536*D536</f>
        <v>39937.35</v>
      </c>
      <c r="L536" s="118">
        <f>43.5+87*0.5+87*0.5+87*0.5+87*0.5</f>
        <v>217.5</v>
      </c>
      <c r="M536" s="118">
        <f t="shared" ca="1" si="118"/>
        <v>-10879.844872662834</v>
      </c>
      <c r="N536" s="121">
        <f t="shared" ca="1" si="119"/>
        <v>-0.2138206569729551</v>
      </c>
      <c r="O536" s="122">
        <f t="shared" ca="1" si="120"/>
        <v>21.633333333333333</v>
      </c>
      <c r="P536" s="121">
        <f t="shared" ca="1" si="121"/>
        <v>-0.11860621958438189</v>
      </c>
      <c r="Q536" s="118">
        <f t="shared" ca="1" si="122"/>
        <v>58221.504198286661</v>
      </c>
      <c r="R536" s="118">
        <f t="shared" si="123"/>
        <v>-50883.039209999995</v>
      </c>
      <c r="S536" s="123" t="s">
        <v>273</v>
      </c>
      <c r="T536" s="118" t="s">
        <v>216</v>
      </c>
      <c r="U536" s="118" t="s">
        <v>217</v>
      </c>
      <c r="V536" s="118" t="s">
        <v>238</v>
      </c>
      <c r="W536" s="118" t="s">
        <v>219</v>
      </c>
    </row>
    <row r="537" spans="2:23" x14ac:dyDescent="0.3">
      <c r="B537" s="116" t="e" vm="34">
        <v>#VALUE!</v>
      </c>
      <c r="C537" s="117">
        <v>45572</v>
      </c>
      <c r="D537" s="116">
        <v>90</v>
      </c>
      <c r="E537" s="118">
        <v>545.9</v>
      </c>
      <c r="F537" s="118">
        <f>D537*E537*0.0022+78.62</f>
        <v>186.70820000000001</v>
      </c>
      <c r="G537" s="118">
        <f t="shared" si="124"/>
        <v>49317.708200000001</v>
      </c>
      <c r="H537" s="119">
        <f t="shared" si="125"/>
        <v>3.8002116789806846E-3</v>
      </c>
      <c r="I537" s="120" cm="1">
        <f t="array" aca="1" ref="I537" ca="1">_FV(B537,"Price")</f>
        <v>459.05</v>
      </c>
      <c r="J537" s="118">
        <f t="shared" ca="1" si="117"/>
        <v>41157.496154588749</v>
      </c>
      <c r="K537" s="118">
        <f t="shared" ca="1" si="126"/>
        <v>41314.5</v>
      </c>
      <c r="L537" s="118">
        <f>45+90*0.5+90*0.5+90*0.5+90*0.5</f>
        <v>225</v>
      </c>
      <c r="M537" s="118">
        <f t="shared" ca="1" si="118"/>
        <v>-7935.2120454112519</v>
      </c>
      <c r="N537" s="121">
        <f t="shared" ca="1" si="119"/>
        <v>-0.16089985392734149</v>
      </c>
      <c r="O537" s="122">
        <f t="shared" ca="1" si="120"/>
        <v>21.533333333333335</v>
      </c>
      <c r="P537" s="121">
        <f t="shared" ca="1" si="121"/>
        <v>-8.9665553272202686E-2</v>
      </c>
      <c r="Q537" s="118">
        <f t="shared" ca="1" si="122"/>
        <v>56397.539199377781</v>
      </c>
      <c r="R537" s="118">
        <f t="shared" si="123"/>
        <v>-49317.708200000001</v>
      </c>
      <c r="S537" s="123" t="s">
        <v>273</v>
      </c>
      <c r="T537" s="118" t="s">
        <v>216</v>
      </c>
      <c r="U537" s="118" t="s">
        <v>217</v>
      </c>
      <c r="V537" s="118" t="s">
        <v>238</v>
      </c>
      <c r="W537" s="118" t="s">
        <v>219</v>
      </c>
    </row>
    <row r="538" spans="2:23" x14ac:dyDescent="0.3">
      <c r="B538" s="116" t="e" vm="34">
        <v>#VALUE!</v>
      </c>
      <c r="C538" s="117">
        <v>45572</v>
      </c>
      <c r="D538" s="116">
        <v>10</v>
      </c>
      <c r="E538" s="118">
        <v>545.54999999999995</v>
      </c>
      <c r="F538" s="118">
        <f>D538*E538*0.0022+7.82</f>
        <v>19.822099999999999</v>
      </c>
      <c r="G538" s="118">
        <f t="shared" si="124"/>
        <v>5475.3221000000003</v>
      </c>
      <c r="H538" s="119">
        <f t="shared" si="125"/>
        <v>3.6334158188983594E-3</v>
      </c>
      <c r="I538" s="120" cm="1">
        <f t="array" aca="1" ref="I538" ca="1">_FV(B538,"Price")</f>
        <v>459.05</v>
      </c>
      <c r="J538" s="118">
        <f t="shared" ca="1" si="117"/>
        <v>4573.820804683347</v>
      </c>
      <c r="K538" s="118">
        <f t="shared" ca="1" si="126"/>
        <v>4590.5</v>
      </c>
      <c r="L538" s="118">
        <f>5+10*0.5+10*0.5+10*0.5+10*0.5</f>
        <v>25</v>
      </c>
      <c r="M538" s="118">
        <f t="shared" ca="1" si="118"/>
        <v>-876.50129531665334</v>
      </c>
      <c r="N538" s="121">
        <f t="shared" ca="1" si="119"/>
        <v>-0.16008214298783505</v>
      </c>
      <c r="O538" s="122">
        <f t="shared" ca="1" si="120"/>
        <v>21.533333333333335</v>
      </c>
      <c r="P538" s="121">
        <f t="shared" ca="1" si="121"/>
        <v>-8.920986296535699E-2</v>
      </c>
      <c r="Q538" s="118">
        <f t="shared" ca="1" si="122"/>
        <v>6261.3350059111117</v>
      </c>
      <c r="R538" s="118">
        <f t="shared" si="123"/>
        <v>-5475.3221000000003</v>
      </c>
      <c r="S538" s="123" t="s">
        <v>273</v>
      </c>
      <c r="T538" s="118" t="s">
        <v>216</v>
      </c>
      <c r="U538" s="118" t="s">
        <v>217</v>
      </c>
      <c r="V538" s="118" t="s">
        <v>238</v>
      </c>
      <c r="W538" s="118" t="s">
        <v>219</v>
      </c>
    </row>
    <row r="539" spans="2:23" x14ac:dyDescent="0.3">
      <c r="B539" s="116" t="e" vm="34">
        <v>#VALUE!</v>
      </c>
      <c r="C539" s="117">
        <v>45586</v>
      </c>
      <c r="D539" s="116">
        <v>10</v>
      </c>
      <c r="E539" s="118">
        <v>577.9</v>
      </c>
      <c r="F539" s="118">
        <f>D539*E539*0.0022+9.16</f>
        <v>21.873800000000003</v>
      </c>
      <c r="G539" s="118">
        <f t="shared" si="124"/>
        <v>5800.8738000000003</v>
      </c>
      <c r="H539" s="119">
        <f t="shared" si="125"/>
        <v>3.7850493164907429E-3</v>
      </c>
      <c r="I539" s="120" cm="1">
        <f t="array" aca="1" ref="I539" ca="1">_FV(B539,"Price")</f>
        <v>459.05</v>
      </c>
      <c r="J539" s="118">
        <f t="shared" ca="1" si="117"/>
        <v>4573.124731112649</v>
      </c>
      <c r="K539" s="118">
        <f t="shared" ca="1" si="126"/>
        <v>4590.5</v>
      </c>
      <c r="L539" s="118">
        <f>5+10*0.5+10*0.5+10*0.5+10*0.5</f>
        <v>25</v>
      </c>
      <c r="M539" s="118">
        <f t="shared" ca="1" si="118"/>
        <v>-1202.7490688873513</v>
      </c>
      <c r="N539" s="121">
        <f t="shared" ca="1" si="119"/>
        <v>-0.20733929238166693</v>
      </c>
      <c r="O539" s="122">
        <f t="shared" ca="1" si="120"/>
        <v>21.066666666666666</v>
      </c>
      <c r="P539" s="121">
        <f t="shared" ca="1" si="121"/>
        <v>-0.11810466021740521</v>
      </c>
      <c r="Q539" s="118">
        <f t="shared" ca="1" si="122"/>
        <v>6615.5742981333333</v>
      </c>
      <c r="R539" s="118">
        <f t="shared" si="123"/>
        <v>-5800.8738000000003</v>
      </c>
      <c r="S539" s="123" t="s">
        <v>273</v>
      </c>
      <c r="T539" s="118" t="s">
        <v>216</v>
      </c>
      <c r="U539" s="118" t="s">
        <v>217</v>
      </c>
      <c r="V539" s="118" t="s">
        <v>238</v>
      </c>
      <c r="W539" s="118" t="s">
        <v>219</v>
      </c>
    </row>
    <row r="540" spans="2:23" x14ac:dyDescent="0.3">
      <c r="B540" s="116" t="e" vm="34">
        <v>#VALUE!</v>
      </c>
      <c r="C540" s="117">
        <v>45601</v>
      </c>
      <c r="D540" s="116">
        <v>10</v>
      </c>
      <c r="E540" s="118">
        <v>584.35</v>
      </c>
      <c r="F540" s="118">
        <f>D540*E540*0.0022+9.26</f>
        <v>22.1157</v>
      </c>
      <c r="G540" s="118">
        <f t="shared" si="124"/>
        <v>5865.6157000000003</v>
      </c>
      <c r="H540" s="119">
        <f t="shared" si="125"/>
        <v>3.7846667237101052E-3</v>
      </c>
      <c r="I540" s="120" cm="1">
        <f t="array" aca="1" ref="I540" ca="1">_FV(B540,"Price")</f>
        <v>459.05</v>
      </c>
      <c r="J540" s="118">
        <f t="shared" ca="1" si="117"/>
        <v>4573.1264874048084</v>
      </c>
      <c r="K540" s="118">
        <f t="shared" ca="1" si="126"/>
        <v>4590.5</v>
      </c>
      <c r="L540" s="118">
        <f>5+10*0.5+10*0.5+10*0.5+10*0.5</f>
        <v>25</v>
      </c>
      <c r="M540" s="118">
        <f t="shared" ca="1" si="118"/>
        <v>-1267.4892125951919</v>
      </c>
      <c r="N540" s="121">
        <f t="shared" ca="1" si="119"/>
        <v>-0.2160880080492133</v>
      </c>
      <c r="O540" s="122">
        <f t="shared" ca="1" si="120"/>
        <v>20.6</v>
      </c>
      <c r="P540" s="121">
        <f t="shared" ca="1" si="121"/>
        <v>-0.12587650954323104</v>
      </c>
      <c r="Q540" s="118">
        <f t="shared" ca="1" si="122"/>
        <v>6671.1602561333339</v>
      </c>
      <c r="R540" s="118">
        <f t="shared" si="123"/>
        <v>-5865.6157000000003</v>
      </c>
      <c r="S540" s="123" t="s">
        <v>273</v>
      </c>
      <c r="T540" s="118" t="s">
        <v>216</v>
      </c>
      <c r="U540" s="118" t="s">
        <v>217</v>
      </c>
      <c r="V540" s="118" t="s">
        <v>238</v>
      </c>
      <c r="W540" s="118" t="s">
        <v>219</v>
      </c>
    </row>
    <row r="541" spans="2:23" x14ac:dyDescent="0.3">
      <c r="B541" s="116" t="e" vm="34">
        <v>#VALUE!</v>
      </c>
      <c r="C541" s="117">
        <v>45617</v>
      </c>
      <c r="D541" s="116">
        <v>9</v>
      </c>
      <c r="E541" s="118">
        <v>620.54999999999995</v>
      </c>
      <c r="F541" s="118">
        <f>D541*E541*0.0022+8.97</f>
        <v>21.256889999999999</v>
      </c>
      <c r="G541" s="118">
        <f t="shared" si="124"/>
        <v>5606.2068899999995</v>
      </c>
      <c r="H541" s="119">
        <f t="shared" si="125"/>
        <v>3.8061021137163267E-3</v>
      </c>
      <c r="I541" s="120" cm="1">
        <f t="array" aca="1" ref="I541" ca="1">_FV(B541,"Price")</f>
        <v>459.05</v>
      </c>
      <c r="J541" s="118">
        <f t="shared" ca="1" si="117"/>
        <v>4115.7252794222868</v>
      </c>
      <c r="K541" s="118">
        <f t="shared" ca="1" si="126"/>
        <v>4131.45</v>
      </c>
      <c r="L541" s="118">
        <f>4.5+9*0.5+9*0.5+9*0.5+9*0.5</f>
        <v>22.5</v>
      </c>
      <c r="M541" s="118">
        <f t="shared" ca="1" si="118"/>
        <v>-1467.9816105777127</v>
      </c>
      <c r="N541" s="121">
        <f t="shared" ca="1" si="119"/>
        <v>-0.26184934651559261</v>
      </c>
      <c r="O541" s="122">
        <f t="shared" ca="1" si="120"/>
        <v>20.066666666666666</v>
      </c>
      <c r="P541" s="121">
        <f t="shared" ca="1" si="121"/>
        <v>-0.15658764907909192</v>
      </c>
      <c r="Q541" s="118">
        <f t="shared" ca="1" si="122"/>
        <v>6356.1927895066656</v>
      </c>
      <c r="R541" s="118">
        <f t="shared" si="123"/>
        <v>-5606.2068899999995</v>
      </c>
      <c r="S541" s="123" t="s">
        <v>273</v>
      </c>
      <c r="T541" s="118" t="s">
        <v>216</v>
      </c>
      <c r="U541" s="118" t="s">
        <v>217</v>
      </c>
      <c r="V541" s="118" t="s">
        <v>238</v>
      </c>
      <c r="W541" s="118" t="s">
        <v>219</v>
      </c>
    </row>
    <row r="542" spans="2:23" x14ac:dyDescent="0.3">
      <c r="B542" s="116" t="e" vm="34">
        <v>#VALUE!</v>
      </c>
      <c r="C542" s="117">
        <v>45631</v>
      </c>
      <c r="D542" s="116">
        <v>9</v>
      </c>
      <c r="E542" s="118">
        <v>622.75</v>
      </c>
      <c r="F542" s="118">
        <f>D542*E542*0.0022+8.87</f>
        <v>21.20045</v>
      </c>
      <c r="G542" s="118">
        <f t="shared" si="124"/>
        <v>5625.9504500000003</v>
      </c>
      <c r="H542" s="119">
        <f t="shared" si="125"/>
        <v>3.7825861992060307E-3</v>
      </c>
      <c r="I542" s="120" cm="1">
        <f t="array" aca="1" ref="I542" ca="1">_FV(B542,"Price")</f>
        <v>459.05</v>
      </c>
      <c r="J542" s="118">
        <f t="shared" ca="1" si="117"/>
        <v>4115.8224342472904</v>
      </c>
      <c r="K542" s="118">
        <f t="shared" ca="1" si="126"/>
        <v>4131.45</v>
      </c>
      <c r="L542" s="118">
        <f>4.5+9*0.5+9*0.5+9*0.5+9*0.5</f>
        <v>22.5</v>
      </c>
      <c r="M542" s="118">
        <f t="shared" ca="1" si="118"/>
        <v>-1487.6280157527099</v>
      </c>
      <c r="N542" s="121">
        <f t="shared" ca="1" si="119"/>
        <v>-0.26442252362046842</v>
      </c>
      <c r="O542" s="122">
        <f t="shared" ca="1" si="120"/>
        <v>19.600000000000001</v>
      </c>
      <c r="P542" s="121">
        <f t="shared" ca="1" si="121"/>
        <v>-0.16189134099212352</v>
      </c>
      <c r="Q542" s="118">
        <f t="shared" ca="1" si="122"/>
        <v>6361.0746421333333</v>
      </c>
      <c r="R542" s="118">
        <f t="shared" si="123"/>
        <v>-5625.9504500000003</v>
      </c>
      <c r="S542" s="123" t="s">
        <v>273</v>
      </c>
      <c r="T542" s="118" t="s">
        <v>216</v>
      </c>
      <c r="U542" s="118" t="s">
        <v>217</v>
      </c>
      <c r="V542" s="118" t="s">
        <v>238</v>
      </c>
      <c r="W542" s="118" t="s">
        <v>219</v>
      </c>
    </row>
    <row r="543" spans="2:23" x14ac:dyDescent="0.3">
      <c r="B543" s="116" t="e" vm="34">
        <v>#VALUE!</v>
      </c>
      <c r="C543" s="117">
        <v>45646</v>
      </c>
      <c r="D543" s="116">
        <v>9</v>
      </c>
      <c r="E543" s="118">
        <v>627.25</v>
      </c>
      <c r="F543" s="118">
        <f>D543*E543*0.0022+8.95</f>
        <v>21.36955</v>
      </c>
      <c r="G543" s="118">
        <f t="shared" si="124"/>
        <v>5666.6195500000003</v>
      </c>
      <c r="H543" s="119">
        <f t="shared" si="125"/>
        <v>3.7854036579425183E-3</v>
      </c>
      <c r="I543" s="120" cm="1">
        <f t="array" aca="1" ref="I543" ca="1">_FV(B543,"Price")</f>
        <v>459.05</v>
      </c>
      <c r="J543" s="118">
        <f t="shared" ca="1" si="117"/>
        <v>4115.8107940573927</v>
      </c>
      <c r="K543" s="118">
        <f t="shared" ca="1" si="126"/>
        <v>4131.45</v>
      </c>
      <c r="L543" s="118">
        <f>4.5+9*0.5+9*0.5+9*0.5+9*0.5</f>
        <v>22.5</v>
      </c>
      <c r="M543" s="118">
        <f t="shared" ca="1" si="118"/>
        <v>-1528.3087559426076</v>
      </c>
      <c r="N543" s="121">
        <f t="shared" ca="1" si="119"/>
        <v>-0.26970378767401237</v>
      </c>
      <c r="O543" s="122">
        <f t="shared" ca="1" si="120"/>
        <v>19.100000000000001</v>
      </c>
      <c r="P543" s="121">
        <f t="shared" ca="1" si="121"/>
        <v>-0.16944740586848944</v>
      </c>
      <c r="Q543" s="118">
        <f t="shared" ca="1" si="122"/>
        <v>6388.1691060333342</v>
      </c>
      <c r="R543" s="118">
        <f t="shared" si="123"/>
        <v>-5666.6195500000003</v>
      </c>
      <c r="S543" s="123" t="s">
        <v>273</v>
      </c>
      <c r="T543" s="118" t="s">
        <v>216</v>
      </c>
      <c r="U543" s="118" t="s">
        <v>217</v>
      </c>
      <c r="V543" s="118" t="s">
        <v>238</v>
      </c>
      <c r="W543" s="118" t="s">
        <v>219</v>
      </c>
    </row>
    <row r="544" spans="2:23" x14ac:dyDescent="0.3">
      <c r="B544" s="116" t="e" vm="34">
        <v>#VALUE!</v>
      </c>
      <c r="C544" s="117">
        <v>45663</v>
      </c>
      <c r="D544" s="116">
        <v>9</v>
      </c>
      <c r="E544" s="118">
        <v>632.15</v>
      </c>
      <c r="F544" s="118">
        <f>D544*E544*0.0022+9.01</f>
        <v>21.52657</v>
      </c>
      <c r="G544" s="118">
        <f t="shared" si="124"/>
        <v>5710.8765699999994</v>
      </c>
      <c r="H544" s="119">
        <f t="shared" si="125"/>
        <v>3.7836606993769061E-3</v>
      </c>
      <c r="I544" s="120" cm="1">
        <f t="array" aca="1" ref="I544" ca="1">_FV(B544,"Price")</f>
        <v>459.05</v>
      </c>
      <c r="J544" s="118">
        <f t="shared" ca="1" si="117"/>
        <v>4115.8179950035592</v>
      </c>
      <c r="K544" s="118">
        <f t="shared" ca="1" si="126"/>
        <v>4131.45</v>
      </c>
      <c r="L544" s="118">
        <f>4.5+9*0.5+9*0.5+9*0.5+9*0.5</f>
        <v>22.5</v>
      </c>
      <c r="M544" s="118">
        <f t="shared" ca="1" si="118"/>
        <v>-1572.5585749964403</v>
      </c>
      <c r="N544" s="121">
        <f t="shared" ca="1" si="119"/>
        <v>-0.27536203168131868</v>
      </c>
      <c r="O544" s="122">
        <f t="shared" ca="1" si="120"/>
        <v>18.566666666666666</v>
      </c>
      <c r="P544" s="121">
        <f t="shared" ca="1" si="121"/>
        <v>-0.17797186966835676</v>
      </c>
      <c r="Q544" s="118">
        <f t="shared" ca="1" si="122"/>
        <v>6417.7561809977769</v>
      </c>
      <c r="R544" s="118">
        <f t="shared" si="123"/>
        <v>-5710.8765699999994</v>
      </c>
      <c r="S544" s="123" t="s">
        <v>273</v>
      </c>
      <c r="T544" s="118" t="s">
        <v>216</v>
      </c>
      <c r="U544" s="118" t="s">
        <v>217</v>
      </c>
      <c r="V544" s="118" t="s">
        <v>238</v>
      </c>
      <c r="W544" s="118" t="s">
        <v>219</v>
      </c>
    </row>
    <row r="545" spans="2:23" x14ac:dyDescent="0.3">
      <c r="B545" s="116" t="e" vm="34">
        <v>#VALUE!</v>
      </c>
      <c r="C545" s="117">
        <v>45674</v>
      </c>
      <c r="D545" s="116">
        <v>100</v>
      </c>
      <c r="E545" s="118">
        <v>550</v>
      </c>
      <c r="F545" s="118">
        <f>D545*E545*0.0022+86.83</f>
        <v>207.83</v>
      </c>
      <c r="G545" s="118">
        <f t="shared" si="124"/>
        <v>55207.83</v>
      </c>
      <c r="H545" s="119">
        <f t="shared" si="125"/>
        <v>3.778727272727273E-3</v>
      </c>
      <c r="I545" s="120" cm="1">
        <f t="array" aca="1" ref="I545" ca="1">_FV(B545,"Price")</f>
        <v>459.05</v>
      </c>
      <c r="J545" s="118">
        <f t="shared" ca="1" si="117"/>
        <v>45731.537524545449</v>
      </c>
      <c r="K545" s="118">
        <f t="shared" ca="1" si="126"/>
        <v>45905</v>
      </c>
      <c r="L545" s="118">
        <f>50+100*0.5+100*0.5+100*0.5+100*0.5</f>
        <v>250</v>
      </c>
      <c r="M545" s="118">
        <f t="shared" ca="1" si="118"/>
        <v>-9226.2924754545529</v>
      </c>
      <c r="N545" s="121">
        <f t="shared" ca="1" si="119"/>
        <v>-0.16711927412206842</v>
      </c>
      <c r="O545" s="122">
        <f t="shared" ca="1" si="120"/>
        <v>18.2</v>
      </c>
      <c r="P545" s="121">
        <f t="shared" ca="1" si="121"/>
        <v>-0.110188532388177</v>
      </c>
      <c r="Q545" s="118">
        <f t="shared" ca="1" si="122"/>
        <v>61906.380040000004</v>
      </c>
      <c r="R545" s="118">
        <f t="shared" si="123"/>
        <v>-55207.83</v>
      </c>
      <c r="S545" s="123" t="s">
        <v>273</v>
      </c>
      <c r="T545" s="118" t="s">
        <v>216</v>
      </c>
      <c r="U545" s="118" t="s">
        <v>217</v>
      </c>
      <c r="V545" s="118" t="s">
        <v>238</v>
      </c>
      <c r="W545" s="118" t="s">
        <v>219</v>
      </c>
    </row>
    <row r="546" spans="2:23" x14ac:dyDescent="0.3">
      <c r="B546" s="116" t="e" vm="34">
        <v>#VALUE!</v>
      </c>
      <c r="C546" s="117">
        <v>45677</v>
      </c>
      <c r="D546" s="116">
        <v>10</v>
      </c>
      <c r="E546" s="118">
        <v>552.65</v>
      </c>
      <c r="F546" s="118">
        <f>D546*E546*0.0022+8.76</f>
        <v>20.918300000000002</v>
      </c>
      <c r="G546" s="118">
        <f t="shared" si="124"/>
        <v>5547.4183000000003</v>
      </c>
      <c r="H546" s="119">
        <f t="shared" si="125"/>
        <v>3.7850900208088304E-3</v>
      </c>
      <c r="I546" s="120" cm="1">
        <f t="array" aca="1" ref="I546" ca="1">_FV(B546,"Price")</f>
        <v>459.05</v>
      </c>
      <c r="J546" s="118">
        <f t="shared" ca="1" si="117"/>
        <v>4573.1245442594773</v>
      </c>
      <c r="K546" s="118">
        <f t="shared" ca="1" si="126"/>
        <v>4590.5</v>
      </c>
      <c r="L546" s="118">
        <f>5+10*0.5+10*0.5+10*0.5+10*0.5</f>
        <v>25</v>
      </c>
      <c r="M546" s="118">
        <f t="shared" ca="1" si="118"/>
        <v>-949.29375574052301</v>
      </c>
      <c r="N546" s="121">
        <f t="shared" ca="1" si="119"/>
        <v>-0.17112352168224323</v>
      </c>
      <c r="O546" s="122">
        <f t="shared" ca="1" si="120"/>
        <v>18.100000000000001</v>
      </c>
      <c r="P546" s="121">
        <f t="shared" ca="1" si="121"/>
        <v>-0.11345205857386291</v>
      </c>
      <c r="Q546" s="118">
        <f t="shared" ca="1" si="122"/>
        <v>6216.8067748666672</v>
      </c>
      <c r="R546" s="118">
        <f t="shared" si="123"/>
        <v>-5547.4183000000003</v>
      </c>
      <c r="S546" s="123" t="s">
        <v>273</v>
      </c>
      <c r="T546" s="118" t="s">
        <v>216</v>
      </c>
      <c r="U546" s="118" t="s">
        <v>217</v>
      </c>
      <c r="V546" s="118" t="s">
        <v>238</v>
      </c>
      <c r="W546" s="118" t="s">
        <v>219</v>
      </c>
    </row>
    <row r="547" spans="2:23" x14ac:dyDescent="0.3">
      <c r="B547" s="116" t="e" vm="34">
        <v>#VALUE!</v>
      </c>
      <c r="C547" s="117">
        <v>45691</v>
      </c>
      <c r="D547" s="116">
        <v>10</v>
      </c>
      <c r="E547" s="118">
        <v>573.65</v>
      </c>
      <c r="F547" s="118">
        <f>D547*E547*0.0022+9.08</f>
        <v>21.700299999999999</v>
      </c>
      <c r="G547" s="118">
        <f t="shared" si="124"/>
        <v>5758.2003000000004</v>
      </c>
      <c r="H547" s="119">
        <f t="shared" si="125"/>
        <v>3.7828466835178242E-3</v>
      </c>
      <c r="I547" s="120" cm="1">
        <f t="array" aca="1" ref="I547" ca="1">_FV(B547,"Price")</f>
        <v>459.05</v>
      </c>
      <c r="J547" s="118">
        <f t="shared" ca="1" si="117"/>
        <v>4573.1348422993115</v>
      </c>
      <c r="K547" s="118">
        <f t="shared" ca="1" si="126"/>
        <v>4590.5</v>
      </c>
      <c r="L547" s="118">
        <f>5+10*0.5+10*0.5+10*0.5+10*0.5</f>
        <v>25</v>
      </c>
      <c r="M547" s="118">
        <f t="shared" ca="1" si="118"/>
        <v>-1160.065457700689</v>
      </c>
      <c r="N547" s="121">
        <f t="shared" ca="1" si="119"/>
        <v>-0.20146319983010819</v>
      </c>
      <c r="O547" s="122">
        <f t="shared" ca="1" si="120"/>
        <v>17.666666666666668</v>
      </c>
      <c r="P547" s="121">
        <f t="shared" ca="1" si="121"/>
        <v>-0.13684292818648858</v>
      </c>
      <c r="Q547" s="118">
        <f t="shared" ca="1" si="122"/>
        <v>6436.388335333334</v>
      </c>
      <c r="R547" s="118">
        <f t="shared" si="123"/>
        <v>-5758.2003000000004</v>
      </c>
      <c r="S547" s="123" t="s">
        <v>273</v>
      </c>
      <c r="T547" s="118" t="s">
        <v>216</v>
      </c>
      <c r="U547" s="118" t="s">
        <v>217</v>
      </c>
      <c r="V547" s="118" t="s">
        <v>238</v>
      </c>
      <c r="W547" s="118" t="s">
        <v>219</v>
      </c>
    </row>
    <row r="548" spans="2:23" x14ac:dyDescent="0.3">
      <c r="B548" s="116" t="e" vm="34">
        <v>#VALUE!</v>
      </c>
      <c r="C548" s="117">
        <v>45706</v>
      </c>
      <c r="D548" s="116">
        <v>12</v>
      </c>
      <c r="E548" s="118">
        <v>475.3</v>
      </c>
      <c r="F548" s="118">
        <f>D548*E548*0.0022+9.03</f>
        <v>21.577919999999999</v>
      </c>
      <c r="G548" s="118">
        <f t="shared" si="124"/>
        <v>5725.1779200000001</v>
      </c>
      <c r="H548" s="119">
        <f t="shared" si="125"/>
        <v>3.7832106038291602E-3</v>
      </c>
      <c r="I548" s="120" cm="1">
        <f t="array" aca="1" ref="I548" ca="1">_FV(B548,"Price")</f>
        <v>459.05</v>
      </c>
      <c r="J548" s="118">
        <f t="shared" ca="1" si="117"/>
        <v>5487.7598060677474</v>
      </c>
      <c r="K548" s="118">
        <f t="shared" ca="1" si="126"/>
        <v>5508.6</v>
      </c>
      <c r="L548" s="118">
        <f>6+12*0.5+12*0.5+12*0.5+12*0.5</f>
        <v>30</v>
      </c>
      <c r="M548" s="118">
        <f t="shared" ca="1" si="118"/>
        <v>-207.41811393225271</v>
      </c>
      <c r="N548" s="121">
        <f t="shared" ca="1" si="119"/>
        <v>-3.6229112322897508E-2</v>
      </c>
      <c r="O548" s="122">
        <f t="shared" ca="1" si="120"/>
        <v>17.166666666666668</v>
      </c>
      <c r="P548" s="121">
        <f t="shared" ca="1" si="121"/>
        <v>-2.532520473056913E-2</v>
      </c>
      <c r="Q548" s="118">
        <f t="shared" ca="1" si="122"/>
        <v>6380.3927264000004</v>
      </c>
      <c r="R548" s="118">
        <f t="shared" si="123"/>
        <v>-5725.1779200000001</v>
      </c>
      <c r="S548" s="123" t="s">
        <v>273</v>
      </c>
      <c r="T548" s="118" t="s">
        <v>216</v>
      </c>
      <c r="U548" s="118" t="s">
        <v>217</v>
      </c>
      <c r="V548" s="118" t="s">
        <v>238</v>
      </c>
      <c r="W548" s="118" t="s">
        <v>219</v>
      </c>
    </row>
    <row r="549" spans="2:23" x14ac:dyDescent="0.3">
      <c r="B549" s="116" t="e" vm="34">
        <v>#VALUE!</v>
      </c>
      <c r="C549" s="117">
        <v>45721</v>
      </c>
      <c r="D549" s="116">
        <v>12</v>
      </c>
      <c r="E549" s="118">
        <v>475.05</v>
      </c>
      <c r="F549" s="118">
        <f>D549*E549*0.0022+9.03</f>
        <v>21.57132</v>
      </c>
      <c r="G549" s="118">
        <f t="shared" si="124"/>
        <v>5722.1713200000004</v>
      </c>
      <c r="H549" s="119">
        <f t="shared" si="125"/>
        <v>3.7840437848647508E-3</v>
      </c>
      <c r="I549" s="120" cm="1">
        <f t="array" aca="1" ref="I549" ca="1">_FV(B549,"Price")</f>
        <v>459.05</v>
      </c>
      <c r="J549" s="118">
        <f t="shared" ca="1" si="117"/>
        <v>5487.7552164066947</v>
      </c>
      <c r="K549" s="118">
        <f t="shared" ca="1" si="126"/>
        <v>5508.6</v>
      </c>
      <c r="L549" s="118">
        <f>6+12*0.5+12*0.5+12*0.5+12*0.5</f>
        <v>30</v>
      </c>
      <c r="M549" s="118">
        <f t="shared" ca="1" si="118"/>
        <v>-204.41610359330571</v>
      </c>
      <c r="N549" s="121">
        <f t="shared" ca="1" si="119"/>
        <v>-3.5723520349493082E-2</v>
      </c>
      <c r="O549" s="122">
        <f t="shared" ca="1" si="120"/>
        <v>16.600000000000001</v>
      </c>
      <c r="P549" s="121">
        <f t="shared" ca="1" si="121"/>
        <v>-2.5824231577946805E-2</v>
      </c>
      <c r="Q549" s="118">
        <f t="shared" ca="1" si="122"/>
        <v>6355.4249460800002</v>
      </c>
      <c r="R549" s="118">
        <f t="shared" si="123"/>
        <v>-5722.1713200000004</v>
      </c>
      <c r="S549" s="123" t="s">
        <v>273</v>
      </c>
      <c r="T549" s="118" t="s">
        <v>216</v>
      </c>
      <c r="U549" s="118" t="s">
        <v>217</v>
      </c>
      <c r="V549" s="118" t="s">
        <v>238</v>
      </c>
      <c r="W549" s="118" t="s">
        <v>219</v>
      </c>
    </row>
    <row r="550" spans="2:23" x14ac:dyDescent="0.3">
      <c r="B550" s="116" t="e" vm="34">
        <v>#VALUE!</v>
      </c>
      <c r="C550" s="117">
        <v>45736</v>
      </c>
      <c r="D550" s="116">
        <v>10</v>
      </c>
      <c r="E550" s="118">
        <v>552.20000000000005</v>
      </c>
      <c r="F550" s="118">
        <f>D550*E550*0.0022+8.75</f>
        <v>20.898400000000002</v>
      </c>
      <c r="G550" s="118">
        <f t="shared" si="124"/>
        <v>5542.8984</v>
      </c>
      <c r="H550" s="119">
        <f t="shared" si="125"/>
        <v>3.7845708076783779E-3</v>
      </c>
      <c r="I550" s="120" cm="1">
        <f t="array" aca="1" ref="I550" ca="1">_FV(B550,"Price")</f>
        <v>459.05</v>
      </c>
      <c r="J550" s="118">
        <f t="shared" ca="1" si="117"/>
        <v>4573.1269277073525</v>
      </c>
      <c r="K550" s="118">
        <f t="shared" ca="1" si="126"/>
        <v>4590.5</v>
      </c>
      <c r="L550" s="118">
        <f>5+10*0.5+10*0.5+10*0.5+10*0.5</f>
        <v>25</v>
      </c>
      <c r="M550" s="118">
        <f t="shared" ca="1" si="118"/>
        <v>-944.77147229264756</v>
      </c>
      <c r="N550" s="121">
        <f t="shared" ca="1" si="119"/>
        <v>-0.17044719280668172</v>
      </c>
      <c r="O550" s="122">
        <f t="shared" ca="1" si="120"/>
        <v>16.100000000000001</v>
      </c>
      <c r="P550" s="121">
        <f t="shared" ca="1" si="121"/>
        <v>-0.12704138594286835</v>
      </c>
      <c r="Q550" s="118">
        <f t="shared" ca="1" si="122"/>
        <v>6137.8361616000002</v>
      </c>
      <c r="R550" s="118">
        <f t="shared" si="123"/>
        <v>-5542.8984</v>
      </c>
      <c r="S550" s="123" t="s">
        <v>273</v>
      </c>
      <c r="T550" s="118" t="s">
        <v>216</v>
      </c>
      <c r="U550" s="118" t="s">
        <v>217</v>
      </c>
      <c r="V550" s="118" t="s">
        <v>238</v>
      </c>
      <c r="W550" s="118" t="s">
        <v>219</v>
      </c>
    </row>
    <row r="551" spans="2:23" x14ac:dyDescent="0.3">
      <c r="B551" s="116" t="e" vm="34">
        <v>#VALUE!</v>
      </c>
      <c r="C551" s="117">
        <v>45751</v>
      </c>
      <c r="D551" s="116">
        <v>11</v>
      </c>
      <c r="E551" s="118">
        <v>536.29999999999995</v>
      </c>
      <c r="F551" s="118">
        <f>D551*E551*0.0022+9.34</f>
        <v>22.318459999999998</v>
      </c>
      <c r="G551" s="118">
        <f t="shared" si="124"/>
        <v>5921.6184599999997</v>
      </c>
      <c r="H551" s="119">
        <f t="shared" si="125"/>
        <v>3.7832386893360231E-3</v>
      </c>
      <c r="I551" s="120" cm="1">
        <f t="array" aca="1" ref="I551" ca="1">_FV(B551,"Price")</f>
        <v>459.05</v>
      </c>
      <c r="J551" s="118">
        <f t="shared" ca="1" si="117"/>
        <v>5030.446347076263</v>
      </c>
      <c r="K551" s="118">
        <f t="shared" ca="1" si="126"/>
        <v>5049.55</v>
      </c>
      <c r="L551" s="118">
        <f>0+11*0.5+11*0.5+11*0.5+11*0.5</f>
        <v>22</v>
      </c>
      <c r="M551" s="118">
        <f t="shared" ca="1" si="118"/>
        <v>-869.17211292373668</v>
      </c>
      <c r="N551" s="121">
        <f t="shared" ca="1" si="119"/>
        <v>-0.14677948584410092</v>
      </c>
      <c r="O551" s="122">
        <f t="shared" ca="1" si="120"/>
        <v>15.633333333333333</v>
      </c>
      <c r="P551" s="121">
        <f t="shared" ca="1" si="121"/>
        <v>-0.11266655629824376</v>
      </c>
      <c r="Q551" s="118">
        <f t="shared" ca="1" si="122"/>
        <v>6538.7826950533326</v>
      </c>
      <c r="R551" s="118">
        <f t="shared" si="123"/>
        <v>-5921.6184599999997</v>
      </c>
      <c r="S551" s="123" t="s">
        <v>273</v>
      </c>
      <c r="T551" s="118" t="s">
        <v>216</v>
      </c>
      <c r="U551" s="118" t="s">
        <v>217</v>
      </c>
      <c r="V551" s="118" t="s">
        <v>238</v>
      </c>
      <c r="W551" s="118" t="s">
        <v>219</v>
      </c>
    </row>
    <row r="552" spans="2:23" x14ac:dyDescent="0.3">
      <c r="B552" s="116" t="e" vm="34">
        <v>#VALUE!</v>
      </c>
      <c r="C552" s="117">
        <v>45768</v>
      </c>
      <c r="D552" s="116">
        <v>10</v>
      </c>
      <c r="E552" s="118">
        <v>548</v>
      </c>
      <c r="F552" s="118">
        <f>D552*E552*0.0022+8.67</f>
        <v>20.725999999999999</v>
      </c>
      <c r="G552" s="118">
        <f t="shared" si="124"/>
        <v>5500.7259999999997</v>
      </c>
      <c r="H552" s="119">
        <f t="shared" si="125"/>
        <v>3.7821167883211678E-3</v>
      </c>
      <c r="I552" s="120" cm="1">
        <f t="array" aca="1" ref="I552" ca="1">_FV(B552,"Price")</f>
        <v>459.05</v>
      </c>
      <c r="J552" s="118">
        <f t="shared" ca="1" si="117"/>
        <v>4573.1381928832116</v>
      </c>
      <c r="K552" s="118">
        <f t="shared" ca="1" si="126"/>
        <v>4590.5</v>
      </c>
      <c r="L552" s="118">
        <f>0+10*0.5+11*0.5+11*0.5+11*0.5</f>
        <v>21.5</v>
      </c>
      <c r="M552" s="118">
        <f t="shared" ca="1" si="118"/>
        <v>-906.0878071167881</v>
      </c>
      <c r="N552" s="121">
        <f t="shared" ca="1" si="119"/>
        <v>-0.16472149442033437</v>
      </c>
      <c r="O552" s="122">
        <f t="shared" ca="1" si="120"/>
        <v>15.066666666666666</v>
      </c>
      <c r="P552" s="121">
        <f t="shared" ca="1" si="121"/>
        <v>-0.13119411060026631</v>
      </c>
      <c r="Q552" s="118">
        <f t="shared" ca="1" si="122"/>
        <v>6053.2433671111103</v>
      </c>
      <c r="R552" s="118">
        <f t="shared" si="123"/>
        <v>-5500.7259999999997</v>
      </c>
      <c r="S552" s="123" t="s">
        <v>273</v>
      </c>
      <c r="T552" s="118" t="s">
        <v>216</v>
      </c>
      <c r="U552" s="118" t="s">
        <v>217</v>
      </c>
      <c r="V552" s="118" t="s">
        <v>238</v>
      </c>
      <c r="W552" s="118" t="s">
        <v>219</v>
      </c>
    </row>
    <row r="553" spans="2:23" x14ac:dyDescent="0.3">
      <c r="B553" s="116" t="e" vm="34">
        <v>#VALUE!</v>
      </c>
      <c r="C553" s="117">
        <v>45782</v>
      </c>
      <c r="D553" s="116">
        <v>11</v>
      </c>
      <c r="E553" s="118">
        <v>533.54999999999995</v>
      </c>
      <c r="F553" s="118">
        <f>D553*E553*0.0022+9.76</f>
        <v>22.671909999999997</v>
      </c>
      <c r="G553" s="118">
        <f t="shared" si="124"/>
        <v>5891.7219099999993</v>
      </c>
      <c r="H553" s="119">
        <f t="shared" si="125"/>
        <v>3.8629607858171253E-3</v>
      </c>
      <c r="I553" s="120" cm="1">
        <f t="array" aca="1" ref="I553" ca="1">_FV(B553,"Price")</f>
        <v>459.05</v>
      </c>
      <c r="J553" s="118">
        <f t="shared" ca="1" si="117"/>
        <v>5030.0437863639772</v>
      </c>
      <c r="K553" s="118">
        <f t="shared" ca="1" si="126"/>
        <v>5049.55</v>
      </c>
      <c r="L553" s="118">
        <f>0+11*0.5+11*0.5+11*0.5+11*0.5</f>
        <v>22</v>
      </c>
      <c r="M553" s="118">
        <f t="shared" ca="1" si="118"/>
        <v>-839.67812363602206</v>
      </c>
      <c r="N553" s="121">
        <f t="shared" ca="1" si="119"/>
        <v>-0.14251828861963753</v>
      </c>
      <c r="O553" s="122">
        <f t="shared" ca="1" si="120"/>
        <v>14.6</v>
      </c>
      <c r="P553" s="121">
        <f t="shared" ca="1" si="121"/>
        <v>-0.11713831941340072</v>
      </c>
      <c r="Q553" s="118">
        <f t="shared" ca="1" si="122"/>
        <v>6465.1828425733329</v>
      </c>
      <c r="R553" s="118">
        <f t="shared" si="123"/>
        <v>-5891.7219099999993</v>
      </c>
      <c r="S553" s="123" t="s">
        <v>273</v>
      </c>
      <c r="T553" s="118" t="s">
        <v>216</v>
      </c>
      <c r="U553" s="118" t="s">
        <v>217</v>
      </c>
      <c r="V553" s="118" t="s">
        <v>238</v>
      </c>
      <c r="W553" s="118" t="s">
        <v>219</v>
      </c>
    </row>
    <row r="554" spans="2:23" x14ac:dyDescent="0.3">
      <c r="B554" s="116" t="e" vm="34">
        <v>#VALUE!</v>
      </c>
      <c r="C554" s="117">
        <v>45796</v>
      </c>
      <c r="D554" s="116">
        <v>11</v>
      </c>
      <c r="E554" s="118">
        <v>504.15</v>
      </c>
      <c r="F554" s="118">
        <f>D554*E554*0.0022+8.79</f>
        <v>20.99043</v>
      </c>
      <c r="G554" s="118">
        <f t="shared" si="124"/>
        <v>5566.6404299999995</v>
      </c>
      <c r="H554" s="119">
        <f t="shared" si="125"/>
        <v>3.7850261015390445E-3</v>
      </c>
      <c r="I554" s="120" cm="1">
        <f t="array" aca="1" ref="I554" ca="1">_FV(B554,"Price")</f>
        <v>459.05</v>
      </c>
      <c r="J554" s="118">
        <f t="shared" ca="1" si="117"/>
        <v>5030.4373214489733</v>
      </c>
      <c r="K554" s="118">
        <f t="shared" ca="1" si="126"/>
        <v>5049.55</v>
      </c>
      <c r="L554" s="118">
        <f>0+11*0.5+11*0.5+11*0.5+11*0.5</f>
        <v>22</v>
      </c>
      <c r="M554" s="118">
        <f t="shared" ca="1" si="118"/>
        <v>-514.20310855102616</v>
      </c>
      <c r="N554" s="121">
        <f t="shared" ca="1" si="119"/>
        <v>-9.2372251273830919E-2</v>
      </c>
      <c r="O554" s="122">
        <f t="shared" ca="1" si="120"/>
        <v>14.133333333333333</v>
      </c>
      <c r="P554" s="121">
        <f t="shared" ca="1" si="121"/>
        <v>-7.8429269949479075E-2</v>
      </c>
      <c r="Q554" s="118">
        <f t="shared" ca="1" si="122"/>
        <v>6091.1416616266661</v>
      </c>
      <c r="R554" s="118">
        <f t="shared" si="123"/>
        <v>-5566.6404299999995</v>
      </c>
      <c r="S554" s="123" t="s">
        <v>273</v>
      </c>
      <c r="T554" s="118" t="s">
        <v>216</v>
      </c>
      <c r="U554" s="118" t="s">
        <v>217</v>
      </c>
      <c r="V554" s="118" t="s">
        <v>238</v>
      </c>
      <c r="W554" s="118" t="s">
        <v>219</v>
      </c>
    </row>
    <row r="555" spans="2:23" x14ac:dyDescent="0.3">
      <c r="B555" s="116" t="e" vm="34">
        <v>#VALUE!</v>
      </c>
      <c r="C555" s="117">
        <v>45811</v>
      </c>
      <c r="D555" s="116">
        <v>12</v>
      </c>
      <c r="E555" s="118">
        <v>478.45</v>
      </c>
      <c r="F555" s="118">
        <f>D555*E555*0.0022+9.09</f>
        <v>21.721080000000001</v>
      </c>
      <c r="G555" s="118">
        <f t="shared" si="124"/>
        <v>5763.1210799999999</v>
      </c>
      <c r="H555" s="119">
        <f t="shared" si="125"/>
        <v>3.7832375378827466E-3</v>
      </c>
      <c r="I555" s="120" cm="1">
        <f t="array" aca="1" ref="I555" ca="1">_FV(B555,"Price")</f>
        <v>459.05</v>
      </c>
      <c r="J555" s="118">
        <f t="shared" ca="1" si="117"/>
        <v>5487.759657698819</v>
      </c>
      <c r="K555" s="118">
        <f t="shared" ca="1" si="126"/>
        <v>5508.6</v>
      </c>
      <c r="L555" s="118">
        <f>0+12*0.5+12*0.5+12*0.5+12*0.5</f>
        <v>24</v>
      </c>
      <c r="M555" s="118">
        <f t="shared" ca="1" si="118"/>
        <v>-251.36142230118094</v>
      </c>
      <c r="N555" s="121">
        <f t="shared" ca="1" si="119"/>
        <v>-4.3615502574376061E-2</v>
      </c>
      <c r="O555" s="122">
        <f t="shared" ca="1" si="120"/>
        <v>13.666666666666666</v>
      </c>
      <c r="P555" s="121">
        <f t="shared" ca="1" si="121"/>
        <v>-3.8296538845793614E-2</v>
      </c>
      <c r="Q555" s="118">
        <f t="shared" ca="1" si="122"/>
        <v>6288.2054450666665</v>
      </c>
      <c r="R555" s="118">
        <f t="shared" si="123"/>
        <v>-5763.1210799999999</v>
      </c>
      <c r="S555" s="123" t="s">
        <v>273</v>
      </c>
      <c r="T555" s="118" t="s">
        <v>216</v>
      </c>
      <c r="U555" s="118" t="s">
        <v>217</v>
      </c>
      <c r="V555" s="118" t="s">
        <v>238</v>
      </c>
      <c r="W555" s="118" t="s">
        <v>219</v>
      </c>
    </row>
    <row r="556" spans="2:23" x14ac:dyDescent="0.3">
      <c r="B556" s="116" t="e" vm="34">
        <v>#VALUE!</v>
      </c>
      <c r="C556" s="117">
        <v>45826</v>
      </c>
      <c r="D556" s="116">
        <v>12</v>
      </c>
      <c r="E556" s="118">
        <v>467.5</v>
      </c>
      <c r="F556" s="118">
        <f>D556*E556*0.0022+8.88</f>
        <v>21.222000000000001</v>
      </c>
      <c r="G556" s="118">
        <f t="shared" si="124"/>
        <v>5631.2219999999998</v>
      </c>
      <c r="H556" s="119">
        <f t="shared" si="125"/>
        <v>3.7828877005347595E-3</v>
      </c>
      <c r="I556" s="120" cm="1">
        <f t="array" aca="1" ref="I556" ca="1">_FV(B556,"Price")</f>
        <v>459.05</v>
      </c>
      <c r="J556" s="118">
        <f t="shared" ca="1" si="117"/>
        <v>5487.7615848128344</v>
      </c>
      <c r="K556" s="118">
        <f t="shared" ca="1" si="126"/>
        <v>5508.6</v>
      </c>
      <c r="L556" s="118">
        <f>12*0.5+12*0.5+12*0.5</f>
        <v>18</v>
      </c>
      <c r="M556" s="118">
        <f t="shared" ca="1" si="118"/>
        <v>-125.46041518716538</v>
      </c>
      <c r="N556" s="121">
        <f t="shared" ca="1" si="119"/>
        <v>-2.2279429791112016E-2</v>
      </c>
      <c r="O556" s="122">
        <f t="shared" ca="1" si="120"/>
        <v>13.166666666666666</v>
      </c>
      <c r="P556" s="121">
        <f t="shared" ca="1" si="121"/>
        <v>-2.030530310076032E-2</v>
      </c>
      <c r="Q556" s="118">
        <f t="shared" ca="1" si="122"/>
        <v>6125.5181533333334</v>
      </c>
      <c r="R556" s="118">
        <f t="shared" si="123"/>
        <v>-5631.2219999999998</v>
      </c>
      <c r="S556" s="123" t="s">
        <v>273</v>
      </c>
      <c r="T556" s="118" t="s">
        <v>216</v>
      </c>
      <c r="U556" s="118" t="s">
        <v>217</v>
      </c>
      <c r="V556" s="118" t="s">
        <v>238</v>
      </c>
      <c r="W556" s="118" t="s">
        <v>219</v>
      </c>
    </row>
    <row r="557" spans="2:23" x14ac:dyDescent="0.3">
      <c r="B557" s="116" t="e" vm="34">
        <v>#VALUE!</v>
      </c>
      <c r="C557" s="117">
        <v>45841</v>
      </c>
      <c r="D557" s="116">
        <v>13</v>
      </c>
      <c r="E557" s="118">
        <v>456</v>
      </c>
      <c r="F557" s="118">
        <f>D557*E557*0.0022+9.39</f>
        <v>22.431600000000003</v>
      </c>
      <c r="G557" s="118">
        <f t="shared" si="124"/>
        <v>5950.4315999999999</v>
      </c>
      <c r="H557" s="119">
        <f t="shared" si="125"/>
        <v>3.7840080971659924E-3</v>
      </c>
      <c r="I557" s="120" cm="1">
        <f t="array" aca="1" ref="I557" ca="1">_FV(B557,"Price")</f>
        <v>459.05</v>
      </c>
      <c r="J557" s="118">
        <f t="shared" ca="1" si="117"/>
        <v>5945.0683640789484</v>
      </c>
      <c r="K557" s="118">
        <f t="shared" ca="1" si="126"/>
        <v>5967.6500000000005</v>
      </c>
      <c r="L557" s="118">
        <f>13*0.5+13*0.5+13*0.5</f>
        <v>19.5</v>
      </c>
      <c r="M557" s="118">
        <f t="shared" ca="1" si="118"/>
        <v>14.136764078948545</v>
      </c>
      <c r="N557" s="121">
        <f t="shared" ca="1" si="119"/>
        <v>2.3757544039240018E-3</v>
      </c>
      <c r="O557" s="122">
        <f t="shared" ca="1" si="120"/>
        <v>12.666666666666666</v>
      </c>
      <c r="P557" s="121">
        <f t="shared" ca="1" si="121"/>
        <v>2.2507146984543178E-3</v>
      </c>
      <c r="Q557" s="118">
        <f t="shared" ca="1" si="122"/>
        <v>6452.9124906666666</v>
      </c>
      <c r="R557" s="118">
        <f t="shared" si="123"/>
        <v>-5950.4315999999999</v>
      </c>
      <c r="S557" s="123" t="s">
        <v>273</v>
      </c>
      <c r="T557" s="118" t="s">
        <v>216</v>
      </c>
      <c r="U557" s="118" t="s">
        <v>217</v>
      </c>
      <c r="V557" s="118" t="s">
        <v>238</v>
      </c>
      <c r="W557" s="118" t="s">
        <v>219</v>
      </c>
    </row>
    <row r="558" spans="2:23" x14ac:dyDescent="0.3">
      <c r="B558" s="116" t="e" vm="34">
        <v>#VALUE!</v>
      </c>
      <c r="C558" s="117">
        <v>45873</v>
      </c>
      <c r="D558" s="116">
        <v>11</v>
      </c>
      <c r="E558" s="118">
        <v>507.05</v>
      </c>
      <c r="F558" s="118">
        <f>D558*E558*0.0022+8.84</f>
        <v>21.110610000000001</v>
      </c>
      <c r="G558" s="118">
        <f t="shared" si="124"/>
        <v>5598.6606099999999</v>
      </c>
      <c r="H558" s="119">
        <f t="shared" si="125"/>
        <v>3.7849252808132604E-3</v>
      </c>
      <c r="I558" s="120" cm="1">
        <f t="array" aca="1" ref="I558" ca="1">_FV(B558,"Price")</f>
        <v>459.05</v>
      </c>
      <c r="J558" s="118">
        <f t="shared" ca="1" si="117"/>
        <v>5030.4378305482696</v>
      </c>
      <c r="K558" s="118">
        <f t="shared" ca="1" si="126"/>
        <v>5049.55</v>
      </c>
      <c r="L558" s="118">
        <f>11*0.5+11*0.5</f>
        <v>11</v>
      </c>
      <c r="M558" s="118">
        <f t="shared" ca="1" si="118"/>
        <v>-557.22277945173028</v>
      </c>
      <c r="N558" s="121">
        <f t="shared" ca="1" si="119"/>
        <v>-9.9527872515874874E-2</v>
      </c>
      <c r="O558" s="122">
        <f t="shared" ca="1" si="120"/>
        <v>11.633333333333333</v>
      </c>
      <c r="P558" s="121">
        <f t="shared" ca="1" si="121"/>
        <v>-0.10266485417110303</v>
      </c>
      <c r="Q558" s="118">
        <f t="shared" ca="1" si="122"/>
        <v>6032.8678439755558</v>
      </c>
      <c r="R558" s="118">
        <f t="shared" si="123"/>
        <v>-5598.6606099999999</v>
      </c>
      <c r="S558" s="123" t="s">
        <v>273</v>
      </c>
      <c r="T558" s="118" t="s">
        <v>216</v>
      </c>
      <c r="U558" s="118" t="s">
        <v>217</v>
      </c>
      <c r="V558" s="118" t="s">
        <v>238</v>
      </c>
      <c r="W558" s="118" t="s">
        <v>219</v>
      </c>
    </row>
    <row r="559" spans="2:23" x14ac:dyDescent="0.3">
      <c r="B559" s="116" t="e" vm="34">
        <v>#VALUE!</v>
      </c>
      <c r="C559" s="117">
        <v>45903</v>
      </c>
      <c r="D559" s="116">
        <v>11</v>
      </c>
      <c r="E559" s="118">
        <v>503.2</v>
      </c>
      <c r="F559" s="118">
        <f>D559*E559*0.0022+8.77</f>
        <v>20.94744</v>
      </c>
      <c r="G559" s="118">
        <f t="shared" si="124"/>
        <v>5556.1474399999997</v>
      </c>
      <c r="H559" s="119">
        <f t="shared" si="125"/>
        <v>3.7844052608758494E-3</v>
      </c>
      <c r="I559" s="120" cm="1">
        <f t="array" aca="1" ref="I559" ca="1">_FV(B559,"Price")</f>
        <v>459.05</v>
      </c>
      <c r="J559" s="118">
        <f t="shared" ca="1" si="117"/>
        <v>5030.4404564149445</v>
      </c>
      <c r="K559" s="118">
        <f t="shared" ca="1" si="126"/>
        <v>5049.55</v>
      </c>
      <c r="L559" s="118">
        <f>11*0.5+11*0.5</f>
        <v>11</v>
      </c>
      <c r="M559" s="118">
        <f t="shared" ca="1" si="118"/>
        <v>-514.70698358505524</v>
      </c>
      <c r="N559" s="121">
        <f t="shared" ca="1" si="119"/>
        <v>-9.2637387532152185E-2</v>
      </c>
      <c r="O559" s="122">
        <f t="shared" ca="1" si="120"/>
        <v>10.666666666666666</v>
      </c>
      <c r="P559" s="121">
        <f t="shared" ca="1" si="121"/>
        <v>-0.10421706097367121</v>
      </c>
      <c r="Q559" s="118">
        <f t="shared" ca="1" si="122"/>
        <v>5951.251257955555</v>
      </c>
      <c r="R559" s="118">
        <f t="shared" si="123"/>
        <v>-5556.1474399999997</v>
      </c>
      <c r="S559" s="123" t="s">
        <v>273</v>
      </c>
      <c r="T559" s="118" t="s">
        <v>216</v>
      </c>
      <c r="U559" s="118" t="s">
        <v>217</v>
      </c>
      <c r="V559" s="118" t="s">
        <v>238</v>
      </c>
      <c r="W559" s="118" t="s">
        <v>219</v>
      </c>
    </row>
    <row r="560" spans="2:23" x14ac:dyDescent="0.3">
      <c r="B560" s="116" t="e" vm="34">
        <v>#VALUE!</v>
      </c>
      <c r="C560" s="117">
        <v>45933</v>
      </c>
      <c r="D560" s="116">
        <v>13</v>
      </c>
      <c r="E560" s="118">
        <v>439.85</v>
      </c>
      <c r="F560" s="118">
        <f>D560*E560*0.0022+9.06</f>
        <v>21.639710000000001</v>
      </c>
      <c r="G560" s="118">
        <f t="shared" si="124"/>
        <v>5739.6897100000006</v>
      </c>
      <c r="H560" s="119">
        <f t="shared" si="125"/>
        <v>3.7844562394522608E-3</v>
      </c>
      <c r="I560" s="120" cm="1">
        <f t="array" aca="1" ref="I560" ca="1">_FV(B560,"Price")</f>
        <v>459.05</v>
      </c>
      <c r="J560" s="118">
        <f t="shared" ca="1" si="117"/>
        <v>5945.0656897226336</v>
      </c>
      <c r="K560" s="118">
        <f t="shared" ca="1" si="126"/>
        <v>5967.6500000000005</v>
      </c>
      <c r="L560" s="118">
        <f>13*0.5+13*0.5</f>
        <v>13</v>
      </c>
      <c r="M560" s="118">
        <f t="shared" ca="1" si="118"/>
        <v>218.37597972263302</v>
      </c>
      <c r="N560" s="121">
        <f t="shared" ca="1" si="119"/>
        <v>3.8046652477078419E-2</v>
      </c>
      <c r="O560" s="122">
        <f t="shared" ca="1" si="120"/>
        <v>9.6666666666666661</v>
      </c>
      <c r="P560" s="121">
        <f t="shared" ca="1" si="121"/>
        <v>4.7230327212924937E-2</v>
      </c>
      <c r="Q560" s="118">
        <f t="shared" ca="1" si="122"/>
        <v>6109.5808246444449</v>
      </c>
      <c r="R560" s="118">
        <f t="shared" si="123"/>
        <v>-5739.6897100000006</v>
      </c>
      <c r="S560" s="123" t="s">
        <v>273</v>
      </c>
      <c r="T560" s="118" t="s">
        <v>216</v>
      </c>
      <c r="U560" s="118" t="s">
        <v>217</v>
      </c>
      <c r="V560" s="118" t="s">
        <v>238</v>
      </c>
      <c r="W560" s="118" t="s">
        <v>219</v>
      </c>
    </row>
    <row r="561" spans="1:23" x14ac:dyDescent="0.3">
      <c r="B561" s="116" t="e" vm="35">
        <v>#VALUE!</v>
      </c>
      <c r="C561" s="117">
        <v>46177</v>
      </c>
      <c r="D561" s="116">
        <v>259</v>
      </c>
      <c r="E561" s="118">
        <v>202.9</v>
      </c>
      <c r="F561" s="118">
        <f>259*390.4/500</f>
        <v>202.22719999999998</v>
      </c>
      <c r="G561" s="118">
        <f t="shared" si="124"/>
        <v>52753.3272</v>
      </c>
      <c r="H561" s="119">
        <f t="shared" si="125"/>
        <v>3.848201084277969E-3</v>
      </c>
      <c r="I561" s="120" cm="1">
        <f t="array" aca="1" ref="I561" ca="1">_FV(B561,"Price")</f>
        <v>174.82</v>
      </c>
      <c r="J561" s="118">
        <f t="shared" ca="1" si="117"/>
        <v>45104.13968898965</v>
      </c>
      <c r="K561" s="118">
        <f t="shared" ca="1" si="126"/>
        <v>45278.38</v>
      </c>
      <c r="L561" s="118">
        <f>0</f>
        <v>0</v>
      </c>
      <c r="M561" s="118">
        <f t="shared" ca="1" si="118"/>
        <v>-7649.1875110103501</v>
      </c>
      <c r="N561" s="121">
        <f t="shared" ca="1" si="119"/>
        <v>-0.14499914824349411</v>
      </c>
      <c r="O561" s="122">
        <f t="shared" ca="1" si="120"/>
        <v>1.6333333333333333</v>
      </c>
      <c r="P561" s="121">
        <f t="shared" ca="1" si="121"/>
        <v>-1.0652998646460792</v>
      </c>
      <c r="Q561" s="118">
        <f t="shared" ca="1" si="122"/>
        <v>53327.752318400002</v>
      </c>
      <c r="R561" s="118">
        <f t="shared" si="123"/>
        <v>-52753.3272</v>
      </c>
      <c r="S561" s="123" t="s">
        <v>230</v>
      </c>
      <c r="T561" s="118" t="s">
        <v>216</v>
      </c>
      <c r="U561" s="118" t="s">
        <v>217</v>
      </c>
      <c r="V561" s="118" t="s">
        <v>274</v>
      </c>
      <c r="W561" s="118" t="s">
        <v>275</v>
      </c>
    </row>
    <row r="562" spans="1:23" x14ac:dyDescent="0.3">
      <c r="B562" s="116" t="e" vm="35">
        <v>#VALUE!</v>
      </c>
      <c r="C562" s="117">
        <v>46177</v>
      </c>
      <c r="D562" s="116">
        <v>197</v>
      </c>
      <c r="E562" s="118">
        <v>202.7</v>
      </c>
      <c r="F562" s="118">
        <f>D562*E562*0.0022+56.89</f>
        <v>144.74018000000001</v>
      </c>
      <c r="G562" s="118">
        <f t="shared" si="124"/>
        <v>40076.640179999995</v>
      </c>
      <c r="H562" s="119">
        <f t="shared" si="125"/>
        <v>3.6246755100558707E-3</v>
      </c>
      <c r="I562" s="120" cm="1">
        <f t="array" aca="1" ref="I562" ca="1">_FV(B562,"Price")</f>
        <v>174.82</v>
      </c>
      <c r="J562" s="118">
        <f t="shared" ca="1" si="117"/>
        <v>34314.70784278441</v>
      </c>
      <c r="K562" s="118">
        <f t="shared" ca="1" si="126"/>
        <v>34439.54</v>
      </c>
      <c r="L562" s="118">
        <f>0</f>
        <v>0</v>
      </c>
      <c r="M562" s="118">
        <f t="shared" ca="1" si="118"/>
        <v>-5761.932337215585</v>
      </c>
      <c r="N562" s="121">
        <f t="shared" ca="1" si="119"/>
        <v>-0.14377283902384219</v>
      </c>
      <c r="O562" s="122">
        <f t="shared" ca="1" si="120"/>
        <v>1.6333333333333333</v>
      </c>
      <c r="P562" s="121">
        <f t="shared" ca="1" si="121"/>
        <v>-1.0562902458894528</v>
      </c>
      <c r="Q562" s="118">
        <f t="shared" ca="1" si="122"/>
        <v>40513.030261959997</v>
      </c>
      <c r="R562" s="118">
        <f t="shared" si="123"/>
        <v>-40076.640179999995</v>
      </c>
      <c r="S562" s="123" t="s">
        <v>230</v>
      </c>
      <c r="T562" s="118" t="s">
        <v>216</v>
      </c>
      <c r="U562" s="118" t="s">
        <v>217</v>
      </c>
      <c r="V562" s="118" t="s">
        <v>274</v>
      </c>
      <c r="W562" s="118" t="s">
        <v>275</v>
      </c>
    </row>
    <row r="563" spans="1:23" x14ac:dyDescent="0.3">
      <c r="A563" s="124" t="s">
        <v>258</v>
      </c>
      <c r="B563" s="125" t="s">
        <v>276</v>
      </c>
      <c r="C563" s="117">
        <v>45742</v>
      </c>
      <c r="D563" s="116">
        <v>1</v>
      </c>
      <c r="E563" s="118">
        <v>191.52</v>
      </c>
      <c r="F563" s="118">
        <v>0</v>
      </c>
      <c r="G563" s="118">
        <f>(E563*D563)+F563</f>
        <v>191.52</v>
      </c>
      <c r="H563" s="119">
        <f>F563/(D563*E563)</f>
        <v>0</v>
      </c>
      <c r="I563" s="120">
        <v>255</v>
      </c>
      <c r="J563" s="118">
        <f t="shared" si="117"/>
        <v>255</v>
      </c>
      <c r="K563" s="118">
        <f>I563*D563</f>
        <v>255</v>
      </c>
      <c r="L563" s="118">
        <f>1</f>
        <v>1</v>
      </c>
      <c r="M563" s="118">
        <f>J563-G563+L563</f>
        <v>64.47999999999999</v>
      </c>
      <c r="N563" s="121">
        <f>M563/G563</f>
        <v>0.33667502088554713</v>
      </c>
      <c r="O563" s="122">
        <f ca="1">(DAYS360(C563,NOW(),TRUE))/30</f>
        <v>15.9</v>
      </c>
      <c r="P563" s="121">
        <f ca="1">(N563/O563)*12</f>
        <v>0.25409435538531855</v>
      </c>
      <c r="Q563" s="118">
        <f ca="1">G563+((G563*O563*8)/(100*12))</f>
        <v>211.82112000000001</v>
      </c>
      <c r="R563" s="118">
        <f>-G563</f>
        <v>-191.52</v>
      </c>
      <c r="S563" s="123" t="s">
        <v>277</v>
      </c>
      <c r="T563" s="118" t="s">
        <v>216</v>
      </c>
      <c r="U563" s="118" t="s">
        <v>251</v>
      </c>
      <c r="V563" s="118" t="s">
        <v>254</v>
      </c>
      <c r="W563" s="118" t="s">
        <v>219</v>
      </c>
    </row>
    <row r="564" spans="1:23" x14ac:dyDescent="0.3">
      <c r="B564" s="116"/>
      <c r="C564" s="117"/>
      <c r="D564" s="116"/>
      <c r="E564" s="118"/>
      <c r="F564" s="118"/>
      <c r="G564" s="118"/>
      <c r="H564" s="119"/>
      <c r="I564" s="120" t="e" cm="1" vm="36">
        <f t="array" ref="I564">_FV(B564,"Price")</f>
        <v>#VALUE!</v>
      </c>
      <c r="J564" s="118"/>
      <c r="K564" s="118"/>
      <c r="L564" s="118"/>
      <c r="M564" s="118"/>
      <c r="N564" s="121"/>
      <c r="O564" s="122"/>
      <c r="P564" s="121"/>
      <c r="Q564" s="118"/>
      <c r="R564" s="118"/>
      <c r="S564" s="123"/>
      <c r="T564" s="118"/>
      <c r="U564" s="118"/>
      <c r="V564" s="118"/>
      <c r="W564" s="118"/>
    </row>
    <row r="565" spans="1:23" x14ac:dyDescent="0.3">
      <c r="C565" s="117">
        <f ca="1">TODAY()</f>
        <v>46226</v>
      </c>
      <c r="F565" s="126">
        <f>SUM(F3:F564)</f>
        <v>16334.924859999994</v>
      </c>
      <c r="G565" s="126">
        <f>SUM(G3:G564)</f>
        <v>5152432.8448600033</v>
      </c>
      <c r="H565" s="127"/>
      <c r="I565" s="127"/>
      <c r="J565" s="126">
        <f ca="1">SUM(J3:J564)</f>
        <v>5759743.7842943715</v>
      </c>
      <c r="K565" s="126">
        <f ca="1">SUM(K3:K564)</f>
        <v>5776330.9599999888</v>
      </c>
      <c r="L565" s="126">
        <f>SUM(L3:L564)</f>
        <v>53367.44000000001</v>
      </c>
      <c r="M565" s="126">
        <f ca="1">SUM(M3:M564)</f>
        <v>660678.37943436718</v>
      </c>
      <c r="N565" s="121">
        <f ca="1">M565/G565</f>
        <v>0.12822649015085191</v>
      </c>
      <c r="O565" s="128"/>
      <c r="P565" s="127"/>
      <c r="Q565" s="126">
        <f ca="1">SUM(Q3:Q564)</f>
        <v>5739031.1395916715</v>
      </c>
      <c r="R565" s="126">
        <f ca="1">J565</f>
        <v>5759743.7842943715</v>
      </c>
      <c r="S565" s="129"/>
      <c r="T565" s="126"/>
      <c r="U565" s="126"/>
      <c r="V565" s="126"/>
      <c r="W565" s="126"/>
    </row>
    <row r="566" spans="1:23" x14ac:dyDescent="0.3">
      <c r="G566" s="127"/>
      <c r="J566" s="130" t="s">
        <v>278</v>
      </c>
      <c r="K566" s="130"/>
      <c r="L566" s="130"/>
      <c r="M566" s="131">
        <f>'[2]Sold - Deepak'!O331</f>
        <v>746035.89894500037</v>
      </c>
      <c r="R566" s="127"/>
      <c r="S566" s="132"/>
      <c r="T566" s="127"/>
      <c r="U566" s="127"/>
      <c r="V566" s="127"/>
      <c r="W566" s="127"/>
    </row>
    <row r="567" spans="1:23" ht="15.75" customHeight="1" x14ac:dyDescent="0.3">
      <c r="J567" s="133" t="s">
        <v>12</v>
      </c>
      <c r="K567" s="133"/>
      <c r="L567" s="133"/>
      <c r="M567" s="134">
        <f ca="1">M566+M565</f>
        <v>1406714.2783793677</v>
      </c>
    </row>
    <row r="568" spans="1:23" x14ac:dyDescent="0.3">
      <c r="J568" s="130" t="s">
        <v>279</v>
      </c>
      <c r="K568" s="130"/>
      <c r="L568" s="130"/>
      <c r="M568" s="131">
        <f ca="1">J565-Q565</f>
        <v>20712.644702699967</v>
      </c>
    </row>
    <row r="570" spans="1:23" ht="38.25" x14ac:dyDescent="0.3">
      <c r="I570" s="112" t="s">
        <v>203</v>
      </c>
      <c r="J570" s="112" t="s">
        <v>200</v>
      </c>
    </row>
    <row r="571" spans="1:23" ht="19.5" x14ac:dyDescent="0.3">
      <c r="H571" s="136" t="s">
        <v>61</v>
      </c>
      <c r="I571" s="137">
        <f ca="1">XIRR(R3:R565,C3:C565)*100</f>
        <v>8.0559137463569677</v>
      </c>
      <c r="J571" s="138"/>
    </row>
    <row r="572" spans="1:23" x14ac:dyDescent="0.3">
      <c r="H572" s="139" t="s">
        <v>280</v>
      </c>
      <c r="I572" s="140">
        <f>K389+K390+K391</f>
        <v>900299.6</v>
      </c>
      <c r="J572" s="140">
        <f>G389+G390+G391</f>
        <v>364700</v>
      </c>
      <c r="T572" s="124" t="s">
        <v>281</v>
      </c>
    </row>
    <row r="573" spans="1:23" x14ac:dyDescent="0.3">
      <c r="H573" s="139" t="s">
        <v>282</v>
      </c>
      <c r="I573" s="140">
        <f>K563</f>
        <v>255</v>
      </c>
      <c r="J573" s="140">
        <f>G563</f>
        <v>191.52</v>
      </c>
      <c r="T573" s="124" t="s">
        <v>283</v>
      </c>
    </row>
    <row r="574" spans="1:23" x14ac:dyDescent="0.3">
      <c r="H574" s="139" t="s">
        <v>284</v>
      </c>
      <c r="I574" s="140">
        <f ca="1">K565-(I572+I573)</f>
        <v>4875776.3599999892</v>
      </c>
      <c r="J574" s="140">
        <f>G565-(J572+J573)</f>
        <v>4787541.3248600028</v>
      </c>
      <c r="T574" s="124" t="s">
        <v>285</v>
      </c>
    </row>
    <row r="576" spans="1:23" x14ac:dyDescent="0.3">
      <c r="I576" s="141"/>
      <c r="J576" s="141"/>
    </row>
    <row r="577" spans="9:9" x14ac:dyDescent="0.3">
      <c r="I577" s="141"/>
    </row>
  </sheetData>
  <autoFilter ref="A2:WWE569" xr:uid="{E2A97C67-3FE7-4825-B326-1335E68336F9}"/>
  <mergeCells count="4">
    <mergeCell ref="J566:L566"/>
    <mergeCell ref="J567:L567"/>
    <mergeCell ref="J568:L568"/>
    <mergeCell ref="I571:J571"/>
  </mergeCells>
  <conditionalFormatting sqref="N352:N353 P352:P353">
    <cfRule type="cellIs" dxfId="13" priority="1" stopIfTrue="1" operator="lessThan">
      <formula>0</formula>
    </cfRule>
    <cfRule type="cellIs" dxfId="12" priority="2" stopIfTrue="1" operator="greaterThan">
      <formula>0</formula>
    </cfRule>
    <cfRule type="cellIs" dxfId="11" priority="3" stopIfTrue="1" operator="lessThan">
      <formula>0</formula>
    </cfRule>
    <cfRule type="cellIs" dxfId="10" priority="4" stopIfTrue="1" operator="greaterThan">
      <formula>0</formula>
    </cfRule>
  </conditionalFormatting>
  <conditionalFormatting sqref="P3:P564 N3:N565">
    <cfRule type="cellIs" dxfId="9" priority="5" stopIfTrue="1" operator="lessThan">
      <formula>0</formula>
    </cfRule>
    <cfRule type="cellIs" dxfId="8" priority="6" stopIfTrue="1" operator="greaterThan">
      <formula>0</formula>
    </cfRule>
  </conditionalFormatting>
  <pageMargins left="0.75" right="0.75" top="1" bottom="1" header="0.5" footer="0.5"/>
  <pageSetup orientation="portrait" r:id="rId1"/>
  <headerFooter alignWithMargins="0">
    <oddFooter>&amp;LLevel 1 – Confidential</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72DB-29D3-4AF3-AF92-183F3ED941F9}">
  <sheetPr>
    <pageSetUpPr autoPageBreaks="0"/>
  </sheetPr>
  <dimension ref="A1:K44"/>
  <sheetViews>
    <sheetView workbookViewId="0">
      <selection activeCell="F34" sqref="F34"/>
    </sheetView>
  </sheetViews>
  <sheetFormatPr defaultRowHeight="15" x14ac:dyDescent="0.25"/>
  <cols>
    <col min="1" max="1" width="13.140625" bestFit="1" customWidth="1"/>
    <col min="2" max="2" width="10" bestFit="1" customWidth="1"/>
    <col min="3" max="3" width="10.7109375" bestFit="1" customWidth="1"/>
    <col min="4" max="4" width="11.7109375" bestFit="1" customWidth="1"/>
    <col min="5" max="5" width="11" bestFit="1" customWidth="1"/>
    <col min="6" max="6" width="8.42578125" bestFit="1" customWidth="1"/>
    <col min="7" max="7" width="21.85546875" bestFit="1" customWidth="1"/>
    <col min="8" max="8" width="14.85546875" bestFit="1" customWidth="1"/>
    <col min="9" max="9" width="12" customWidth="1"/>
    <col min="10" max="10" width="14.7109375" bestFit="1" customWidth="1"/>
    <col min="11" max="11" width="13.28515625" bestFit="1" customWidth="1"/>
    <col min="12" max="12" width="17" bestFit="1" customWidth="1"/>
    <col min="13" max="13" width="18" bestFit="1" customWidth="1"/>
    <col min="14" max="14" width="17" bestFit="1" customWidth="1"/>
  </cols>
  <sheetData>
    <row r="1" spans="1:11" x14ac:dyDescent="0.25">
      <c r="A1" s="93" t="s">
        <v>151</v>
      </c>
      <c r="B1" s="93" t="s">
        <v>152</v>
      </c>
      <c r="C1" s="93" t="s">
        <v>153</v>
      </c>
      <c r="D1" s="93" t="s">
        <v>154</v>
      </c>
      <c r="E1" s="93" t="s">
        <v>155</v>
      </c>
      <c r="F1" s="93" t="s">
        <v>156</v>
      </c>
      <c r="G1" s="93" t="s">
        <v>157</v>
      </c>
      <c r="H1" s="93" t="s">
        <v>158</v>
      </c>
      <c r="I1" s="93" t="s">
        <v>159</v>
      </c>
      <c r="J1" s="93" t="s">
        <v>160</v>
      </c>
    </row>
    <row r="2" spans="1:11" x14ac:dyDescent="0.25">
      <c r="A2" s="94" t="s">
        <v>161</v>
      </c>
      <c r="B2" s="95">
        <v>100256</v>
      </c>
      <c r="C2" s="95">
        <v>100273</v>
      </c>
      <c r="D2" s="95">
        <v>106670</v>
      </c>
      <c r="E2" s="95">
        <f t="shared" ref="E2:E29" si="0">D2-B2</f>
        <v>6414</v>
      </c>
      <c r="F2" s="95">
        <f t="shared" ref="F2:F29" si="1">E2*0.1</f>
        <v>641.40000000000009</v>
      </c>
      <c r="G2" s="95">
        <f t="shared" ref="G2:G29" si="2">D2-F2</f>
        <v>106028.6</v>
      </c>
      <c r="H2" s="96">
        <v>46112</v>
      </c>
      <c r="I2" s="96">
        <f t="shared" ref="I2:I10" si="3">SUM(H2,365)</f>
        <v>46477</v>
      </c>
      <c r="J2" s="97">
        <v>6.25</v>
      </c>
      <c r="K2" s="3"/>
    </row>
    <row r="3" spans="1:11" x14ac:dyDescent="0.25">
      <c r="A3" s="94" t="s">
        <v>162</v>
      </c>
      <c r="B3" s="95">
        <v>18921</v>
      </c>
      <c r="C3" s="95">
        <v>19527</v>
      </c>
      <c r="D3" s="95">
        <v>20132</v>
      </c>
      <c r="E3" s="95">
        <f t="shared" si="0"/>
        <v>1211</v>
      </c>
      <c r="F3" s="95">
        <f t="shared" si="1"/>
        <v>121.10000000000001</v>
      </c>
      <c r="G3" s="95">
        <f t="shared" si="2"/>
        <v>20010.900000000001</v>
      </c>
      <c r="H3" s="96">
        <v>45929</v>
      </c>
      <c r="I3" s="96">
        <f t="shared" si="3"/>
        <v>46294</v>
      </c>
      <c r="J3" s="97">
        <v>6.25</v>
      </c>
      <c r="K3" s="3"/>
    </row>
    <row r="4" spans="1:11" x14ac:dyDescent="0.25">
      <c r="A4" s="94" t="s">
        <v>163</v>
      </c>
      <c r="B4" s="95">
        <v>33670</v>
      </c>
      <c r="C4" s="95">
        <v>33681</v>
      </c>
      <c r="D4" s="95">
        <v>35824</v>
      </c>
      <c r="E4" s="95">
        <f t="shared" si="0"/>
        <v>2154</v>
      </c>
      <c r="F4" s="95">
        <f t="shared" si="1"/>
        <v>215.4</v>
      </c>
      <c r="G4" s="95">
        <f t="shared" si="2"/>
        <v>35608.6</v>
      </c>
      <c r="H4" s="96">
        <v>46111</v>
      </c>
      <c r="I4" s="96">
        <f t="shared" si="3"/>
        <v>46476</v>
      </c>
      <c r="J4" s="97">
        <v>6.25</v>
      </c>
      <c r="K4" s="3"/>
    </row>
    <row r="5" spans="1:11" x14ac:dyDescent="0.25">
      <c r="A5" s="94" t="s">
        <v>164</v>
      </c>
      <c r="B5" s="95">
        <v>348814</v>
      </c>
      <c r="C5" s="95">
        <v>352084</v>
      </c>
      <c r="D5" s="95">
        <v>371112</v>
      </c>
      <c r="E5" s="95">
        <f t="shared" si="0"/>
        <v>22298</v>
      </c>
      <c r="F5" s="95">
        <f t="shared" si="1"/>
        <v>2229.8000000000002</v>
      </c>
      <c r="G5" s="95">
        <f t="shared" si="2"/>
        <v>368882.2</v>
      </c>
      <c r="H5" s="96">
        <v>46054</v>
      </c>
      <c r="I5" s="96">
        <f t="shared" si="3"/>
        <v>46419</v>
      </c>
      <c r="J5" s="97">
        <v>6.25</v>
      </c>
      <c r="K5" s="3"/>
    </row>
    <row r="6" spans="1:11" x14ac:dyDescent="0.25">
      <c r="A6" s="94" t="s">
        <v>165</v>
      </c>
      <c r="B6" s="95">
        <v>234998</v>
      </c>
      <c r="C6" s="95">
        <v>234998</v>
      </c>
      <c r="D6" s="95">
        <v>250033</v>
      </c>
      <c r="E6" s="95">
        <f t="shared" si="0"/>
        <v>15035</v>
      </c>
      <c r="F6" s="95">
        <f t="shared" si="1"/>
        <v>1503.5</v>
      </c>
      <c r="G6" s="95">
        <f t="shared" si="2"/>
        <v>248529.5</v>
      </c>
      <c r="H6" s="96">
        <v>46173</v>
      </c>
      <c r="I6" s="96">
        <f t="shared" si="3"/>
        <v>46538</v>
      </c>
      <c r="J6" s="97">
        <v>6.25</v>
      </c>
      <c r="K6" s="3"/>
    </row>
    <row r="7" spans="1:11" x14ac:dyDescent="0.25">
      <c r="A7" s="94" t="s">
        <v>166</v>
      </c>
      <c r="B7" s="95">
        <v>71692</v>
      </c>
      <c r="C7" s="95">
        <v>73780</v>
      </c>
      <c r="D7" s="95">
        <v>76272</v>
      </c>
      <c r="E7" s="95">
        <f t="shared" si="0"/>
        <v>4580</v>
      </c>
      <c r="F7" s="95">
        <f t="shared" si="1"/>
        <v>458</v>
      </c>
      <c r="G7" s="95">
        <f t="shared" si="2"/>
        <v>75814</v>
      </c>
      <c r="H7" s="96">
        <v>45927</v>
      </c>
      <c r="I7" s="96">
        <f t="shared" si="3"/>
        <v>46292</v>
      </c>
      <c r="J7" s="97">
        <v>6.25</v>
      </c>
      <c r="K7" s="3"/>
    </row>
    <row r="8" spans="1:11" x14ac:dyDescent="0.25">
      <c r="A8" s="94" t="s">
        <v>167</v>
      </c>
      <c r="B8" s="95">
        <v>514256</v>
      </c>
      <c r="C8" s="95">
        <v>519157</v>
      </c>
      <c r="D8" s="95">
        <v>547129</v>
      </c>
      <c r="E8" s="95">
        <f t="shared" si="0"/>
        <v>32873</v>
      </c>
      <c r="F8" s="95">
        <f t="shared" si="1"/>
        <v>3287.3</v>
      </c>
      <c r="G8" s="95">
        <f t="shared" si="2"/>
        <v>543841.69999999995</v>
      </c>
      <c r="H8" s="96">
        <v>46053</v>
      </c>
      <c r="I8" s="96">
        <f t="shared" si="3"/>
        <v>46418</v>
      </c>
      <c r="J8" s="97">
        <v>6.25</v>
      </c>
      <c r="K8" s="3"/>
    </row>
    <row r="9" spans="1:11" x14ac:dyDescent="0.25">
      <c r="A9" s="94" t="s">
        <v>168</v>
      </c>
      <c r="B9" s="95">
        <v>169827</v>
      </c>
      <c r="C9" s="95">
        <v>174589</v>
      </c>
      <c r="D9" s="95">
        <v>180676</v>
      </c>
      <c r="E9" s="95">
        <f t="shared" si="0"/>
        <v>10849</v>
      </c>
      <c r="F9" s="95">
        <f t="shared" si="1"/>
        <v>1084.9000000000001</v>
      </c>
      <c r="G9" s="95">
        <f t="shared" si="2"/>
        <v>179591.1</v>
      </c>
      <c r="H9" s="96">
        <v>45933</v>
      </c>
      <c r="I9" s="96">
        <f t="shared" si="3"/>
        <v>46298</v>
      </c>
      <c r="J9" s="97">
        <v>6.25</v>
      </c>
      <c r="K9" s="3"/>
    </row>
    <row r="10" spans="1:11" x14ac:dyDescent="0.25">
      <c r="A10" s="94" t="s">
        <v>169</v>
      </c>
      <c r="B10" s="95">
        <v>20998</v>
      </c>
      <c r="C10" s="95">
        <v>20998</v>
      </c>
      <c r="D10" s="95">
        <v>22341</v>
      </c>
      <c r="E10" s="95">
        <f t="shared" si="0"/>
        <v>1343</v>
      </c>
      <c r="F10" s="95">
        <f t="shared" si="1"/>
        <v>134.30000000000001</v>
      </c>
      <c r="G10" s="95">
        <f t="shared" si="2"/>
        <v>22206.7</v>
      </c>
      <c r="H10" s="96">
        <v>46114</v>
      </c>
      <c r="I10" s="96">
        <f t="shared" si="3"/>
        <v>46479</v>
      </c>
      <c r="J10" s="97">
        <v>6.25</v>
      </c>
      <c r="K10" s="3"/>
    </row>
    <row r="11" spans="1:11" x14ac:dyDescent="0.25">
      <c r="A11" s="94" t="s">
        <v>170</v>
      </c>
      <c r="B11" s="95">
        <v>705166</v>
      </c>
      <c r="C11" s="95">
        <v>717140</v>
      </c>
      <c r="D11" s="95">
        <v>761925</v>
      </c>
      <c r="E11" s="95">
        <f t="shared" si="0"/>
        <v>56759</v>
      </c>
      <c r="F11" s="95">
        <f t="shared" si="1"/>
        <v>5675.9000000000005</v>
      </c>
      <c r="G11" s="95">
        <f t="shared" si="2"/>
        <v>756249.1</v>
      </c>
      <c r="H11" s="96">
        <v>46004</v>
      </c>
      <c r="I11" s="96">
        <f>SUM(H11,455)</f>
        <v>46459</v>
      </c>
      <c r="J11" s="97">
        <v>6.25</v>
      </c>
      <c r="K11" s="3"/>
    </row>
    <row r="12" spans="1:11" x14ac:dyDescent="0.25">
      <c r="A12" s="94" t="s">
        <v>171</v>
      </c>
      <c r="B12" s="95">
        <v>165498.69</v>
      </c>
      <c r="C12" s="95">
        <v>167876.69</v>
      </c>
      <c r="D12" s="95">
        <v>178821.69</v>
      </c>
      <c r="E12" s="95">
        <f t="shared" si="0"/>
        <v>13323</v>
      </c>
      <c r="F12" s="95">
        <f t="shared" si="1"/>
        <v>1332.3000000000002</v>
      </c>
      <c r="G12" s="95">
        <f t="shared" si="2"/>
        <v>177489.39</v>
      </c>
      <c r="H12" s="96">
        <v>46004</v>
      </c>
      <c r="I12" s="96">
        <f>SUM(H12,472)</f>
        <v>46476</v>
      </c>
      <c r="J12" s="97">
        <v>6.25</v>
      </c>
      <c r="K12" s="3"/>
    </row>
    <row r="13" spans="1:11" x14ac:dyDescent="0.25">
      <c r="A13" s="94" t="s">
        <v>172</v>
      </c>
      <c r="B13" s="95">
        <v>156412.70000000001</v>
      </c>
      <c r="C13" s="95">
        <v>156436.70000000001</v>
      </c>
      <c r="D13" s="95">
        <v>169019.7</v>
      </c>
      <c r="E13" s="95">
        <f t="shared" si="0"/>
        <v>12607</v>
      </c>
      <c r="F13" s="95">
        <f t="shared" si="1"/>
        <v>1260.7</v>
      </c>
      <c r="G13" s="95">
        <f t="shared" si="2"/>
        <v>167759</v>
      </c>
      <c r="H13" s="96">
        <v>46112</v>
      </c>
      <c r="I13" s="96">
        <f>SUM(H13,456)</f>
        <v>46568</v>
      </c>
      <c r="J13" s="97">
        <v>6.25</v>
      </c>
      <c r="K13" s="3"/>
    </row>
    <row r="14" spans="1:11" x14ac:dyDescent="0.25">
      <c r="A14" s="94" t="s">
        <v>173</v>
      </c>
      <c r="B14" s="95">
        <v>143988.39000000001</v>
      </c>
      <c r="C14" s="95">
        <v>143988.39000000001</v>
      </c>
      <c r="D14" s="95">
        <v>155594.39000000001</v>
      </c>
      <c r="E14" s="95">
        <f t="shared" si="0"/>
        <v>11606</v>
      </c>
      <c r="F14" s="95">
        <f t="shared" si="1"/>
        <v>1160.6000000000001</v>
      </c>
      <c r="G14" s="95">
        <f t="shared" si="2"/>
        <v>154433.79</v>
      </c>
      <c r="H14" s="96">
        <v>46142</v>
      </c>
      <c r="I14" s="96">
        <f>SUM(H14,456)</f>
        <v>46598</v>
      </c>
      <c r="J14" s="97">
        <v>6.25</v>
      </c>
      <c r="K14" s="3"/>
    </row>
    <row r="15" spans="1:11" x14ac:dyDescent="0.25">
      <c r="A15" s="94" t="s">
        <v>174</v>
      </c>
      <c r="B15" s="95">
        <v>177415.33</v>
      </c>
      <c r="C15" s="95">
        <v>190007.33</v>
      </c>
      <c r="D15" s="95">
        <v>218268.33</v>
      </c>
      <c r="E15" s="95">
        <f t="shared" si="0"/>
        <v>40853</v>
      </c>
      <c r="F15" s="95">
        <f t="shared" si="1"/>
        <v>4085.3</v>
      </c>
      <c r="G15" s="95">
        <f t="shared" si="2"/>
        <v>214183.03</v>
      </c>
      <c r="H15" s="96">
        <v>45716</v>
      </c>
      <c r="I15" s="96">
        <f>SUM(H15,3*365)</f>
        <v>46811</v>
      </c>
      <c r="J15" s="97">
        <v>7</v>
      </c>
      <c r="K15" s="3"/>
    </row>
    <row r="16" spans="1:11" x14ac:dyDescent="0.25">
      <c r="A16" s="94" t="s">
        <v>175</v>
      </c>
      <c r="B16" s="95">
        <v>244417</v>
      </c>
      <c r="C16" s="95">
        <v>244417</v>
      </c>
      <c r="D16" s="95">
        <v>264118</v>
      </c>
      <c r="E16" s="95">
        <f t="shared" si="0"/>
        <v>19701</v>
      </c>
      <c r="F16" s="95">
        <f t="shared" si="1"/>
        <v>1970.1000000000001</v>
      </c>
      <c r="G16" s="95">
        <f t="shared" si="2"/>
        <v>262147.90000000002</v>
      </c>
      <c r="H16" s="96">
        <v>46201</v>
      </c>
      <c r="I16" s="96">
        <f>SUM(H16,457)</f>
        <v>46658</v>
      </c>
      <c r="J16" s="97">
        <v>6.25</v>
      </c>
      <c r="K16" s="3"/>
    </row>
    <row r="17" spans="1:11" x14ac:dyDescent="0.25">
      <c r="A17" s="94" t="s">
        <v>176</v>
      </c>
      <c r="B17" s="95">
        <v>190000</v>
      </c>
      <c r="C17" s="95">
        <v>199656</v>
      </c>
      <c r="D17" s="95">
        <v>206172</v>
      </c>
      <c r="E17" s="95">
        <f t="shared" si="0"/>
        <v>16172</v>
      </c>
      <c r="F17" s="95">
        <f t="shared" si="1"/>
        <v>1617.2</v>
      </c>
      <c r="G17" s="95">
        <f t="shared" si="2"/>
        <v>204554.8</v>
      </c>
      <c r="H17" s="96">
        <v>45807</v>
      </c>
      <c r="I17" s="96">
        <f>SUM(H17,457)</f>
        <v>46264</v>
      </c>
      <c r="J17" s="97">
        <v>6.6</v>
      </c>
      <c r="K17" s="3"/>
    </row>
    <row r="18" spans="1:11" x14ac:dyDescent="0.25">
      <c r="A18" s="94" t="s">
        <v>177</v>
      </c>
      <c r="B18" s="95">
        <v>98708.9</v>
      </c>
      <c r="C18" s="95">
        <v>102110.9</v>
      </c>
      <c r="D18" s="95">
        <v>108549.9</v>
      </c>
      <c r="E18" s="95">
        <f t="shared" si="0"/>
        <v>9841</v>
      </c>
      <c r="F18" s="95">
        <f t="shared" si="1"/>
        <v>984.1</v>
      </c>
      <c r="G18" s="95">
        <f t="shared" si="2"/>
        <v>107565.79999999999</v>
      </c>
      <c r="H18" s="96">
        <v>45898</v>
      </c>
      <c r="I18" s="96">
        <f>SUM(H18,548)</f>
        <v>46446</v>
      </c>
      <c r="J18" s="97">
        <v>6.4</v>
      </c>
      <c r="K18" s="3"/>
    </row>
    <row r="19" spans="1:11" x14ac:dyDescent="0.25">
      <c r="A19" s="94" t="s">
        <v>178</v>
      </c>
      <c r="B19" s="95">
        <v>130000</v>
      </c>
      <c r="C19" s="95">
        <v>133725</v>
      </c>
      <c r="D19" s="95">
        <v>138305</v>
      </c>
      <c r="E19" s="95">
        <f t="shared" si="0"/>
        <v>8305</v>
      </c>
      <c r="F19" s="95">
        <f t="shared" si="1"/>
        <v>830.5</v>
      </c>
      <c r="G19" s="95">
        <f t="shared" si="2"/>
        <v>137474.5</v>
      </c>
      <c r="H19" s="96">
        <v>45930</v>
      </c>
      <c r="I19" s="96">
        <f>SUM(H19,365)</f>
        <v>46295</v>
      </c>
      <c r="J19" s="97">
        <v>6.25</v>
      </c>
      <c r="K19" s="3"/>
    </row>
    <row r="20" spans="1:11" x14ac:dyDescent="0.25">
      <c r="A20" s="94" t="s">
        <v>179</v>
      </c>
      <c r="B20" s="95">
        <v>400000</v>
      </c>
      <c r="C20" s="95">
        <v>407239</v>
      </c>
      <c r="D20" s="95">
        <v>455940</v>
      </c>
      <c r="E20" s="95">
        <f t="shared" si="0"/>
        <v>55940</v>
      </c>
      <c r="F20" s="95">
        <f t="shared" si="1"/>
        <v>5594</v>
      </c>
      <c r="G20" s="95">
        <f t="shared" si="2"/>
        <v>450346</v>
      </c>
      <c r="H20" s="96">
        <v>46003</v>
      </c>
      <c r="I20" s="96">
        <f>SUM(H20,2*365+1)</f>
        <v>46734</v>
      </c>
      <c r="J20" s="97">
        <v>6.6</v>
      </c>
      <c r="K20" s="3"/>
    </row>
    <row r="21" spans="1:11" x14ac:dyDescent="0.25">
      <c r="A21" s="94" t="s">
        <v>180</v>
      </c>
      <c r="B21" s="95">
        <v>143604.04999999999</v>
      </c>
      <c r="C21" s="95">
        <v>145969.04999999999</v>
      </c>
      <c r="D21" s="95">
        <v>163689.04999999999</v>
      </c>
      <c r="E21" s="95">
        <f t="shared" si="0"/>
        <v>20085</v>
      </c>
      <c r="F21" s="95">
        <f t="shared" si="1"/>
        <v>2008.5</v>
      </c>
      <c r="G21" s="95">
        <f t="shared" si="2"/>
        <v>161680.54999999999</v>
      </c>
      <c r="H21" s="96">
        <v>46013</v>
      </c>
      <c r="I21" s="96">
        <f>SUM(H21,2*365+1)</f>
        <v>46744</v>
      </c>
      <c r="J21" s="97">
        <v>6.6</v>
      </c>
      <c r="K21" s="3"/>
    </row>
    <row r="22" spans="1:11" x14ac:dyDescent="0.25">
      <c r="A22" s="94" t="s">
        <v>181</v>
      </c>
      <c r="B22" s="95">
        <v>153984</v>
      </c>
      <c r="C22" s="95">
        <v>156235</v>
      </c>
      <c r="D22" s="95">
        <v>186830</v>
      </c>
      <c r="E22" s="95">
        <f t="shared" si="0"/>
        <v>32846</v>
      </c>
      <c r="F22" s="95">
        <f t="shared" si="1"/>
        <v>3284.6000000000004</v>
      </c>
      <c r="G22" s="95">
        <f t="shared" si="2"/>
        <v>183545.4</v>
      </c>
      <c r="H22" s="96">
        <v>46023</v>
      </c>
      <c r="I22" s="96">
        <f t="shared" ref="I22:I28" si="4">SUM(H22,3*365+2)</f>
        <v>47120</v>
      </c>
      <c r="J22" s="97">
        <v>6.5</v>
      </c>
      <c r="K22" s="3"/>
    </row>
    <row r="23" spans="1:11" x14ac:dyDescent="0.25">
      <c r="A23" s="94" t="s">
        <v>182</v>
      </c>
      <c r="B23" s="95">
        <v>5529</v>
      </c>
      <c r="C23" s="95">
        <v>5593</v>
      </c>
      <c r="D23" s="95">
        <v>6709</v>
      </c>
      <c r="E23" s="95">
        <f t="shared" si="0"/>
        <v>1180</v>
      </c>
      <c r="F23" s="95">
        <f t="shared" si="1"/>
        <v>118</v>
      </c>
      <c r="G23" s="95">
        <f t="shared" si="2"/>
        <v>6591</v>
      </c>
      <c r="H23" s="96">
        <v>46042</v>
      </c>
      <c r="I23" s="96">
        <f t="shared" si="4"/>
        <v>47139</v>
      </c>
      <c r="J23" s="97">
        <v>6.5</v>
      </c>
      <c r="K23" s="3"/>
    </row>
    <row r="24" spans="1:11" x14ac:dyDescent="0.25">
      <c r="A24" s="94" t="s">
        <v>183</v>
      </c>
      <c r="B24" s="95">
        <v>230000</v>
      </c>
      <c r="C24" s="95">
        <v>232315</v>
      </c>
      <c r="D24" s="95">
        <v>279082</v>
      </c>
      <c r="E24" s="95">
        <f t="shared" si="0"/>
        <v>49082</v>
      </c>
      <c r="F24" s="95">
        <f t="shared" si="1"/>
        <v>4908.2</v>
      </c>
      <c r="G24" s="95">
        <f t="shared" si="2"/>
        <v>274173.8</v>
      </c>
      <c r="H24" s="96">
        <v>46052</v>
      </c>
      <c r="I24" s="96">
        <f t="shared" si="4"/>
        <v>47149</v>
      </c>
      <c r="J24" s="97">
        <v>6.5</v>
      </c>
      <c r="K24" s="3"/>
    </row>
    <row r="25" spans="1:11" x14ac:dyDescent="0.25">
      <c r="A25" s="94" t="s">
        <v>184</v>
      </c>
      <c r="B25" s="95">
        <v>4078.15</v>
      </c>
      <c r="C25" s="95">
        <v>4102.1499999999996</v>
      </c>
      <c r="D25" s="95">
        <v>4949.1499999999996</v>
      </c>
      <c r="E25" s="95">
        <f t="shared" si="0"/>
        <v>870.99999999999955</v>
      </c>
      <c r="F25" s="95">
        <f t="shared" si="1"/>
        <v>87.099999999999966</v>
      </c>
      <c r="G25" s="95">
        <f t="shared" si="2"/>
        <v>4862.0499999999993</v>
      </c>
      <c r="H25" s="96">
        <v>46080</v>
      </c>
      <c r="I25" s="96">
        <f t="shared" si="4"/>
        <v>47177</v>
      </c>
      <c r="J25" s="97">
        <v>6.5</v>
      </c>
      <c r="K25" s="3"/>
    </row>
    <row r="26" spans="1:11" x14ac:dyDescent="0.25">
      <c r="A26" s="94" t="s">
        <v>185</v>
      </c>
      <c r="B26" s="95">
        <v>90000</v>
      </c>
      <c r="C26" s="95">
        <v>90028</v>
      </c>
      <c r="D26" s="95">
        <v>109225</v>
      </c>
      <c r="E26" s="95">
        <f t="shared" si="0"/>
        <v>19225</v>
      </c>
      <c r="F26" s="95">
        <f t="shared" si="1"/>
        <v>1922.5</v>
      </c>
      <c r="G26" s="95">
        <f t="shared" si="2"/>
        <v>107302.5</v>
      </c>
      <c r="H26" s="96">
        <v>46111</v>
      </c>
      <c r="I26" s="96">
        <f t="shared" si="4"/>
        <v>47208</v>
      </c>
      <c r="J26" s="97">
        <v>6.5</v>
      </c>
      <c r="K26" s="3"/>
    </row>
    <row r="27" spans="1:11" x14ac:dyDescent="0.25">
      <c r="A27" s="94" t="s">
        <v>186</v>
      </c>
      <c r="B27" s="95">
        <v>100000</v>
      </c>
      <c r="C27" s="95">
        <v>100031</v>
      </c>
      <c r="D27" s="95">
        <v>121362</v>
      </c>
      <c r="E27" s="95">
        <f t="shared" si="0"/>
        <v>21362</v>
      </c>
      <c r="F27" s="95">
        <f t="shared" si="1"/>
        <v>2136.2000000000003</v>
      </c>
      <c r="G27" s="95">
        <f t="shared" si="2"/>
        <v>119225.8</v>
      </c>
      <c r="H27" s="96">
        <v>46111</v>
      </c>
      <c r="I27" s="96">
        <f t="shared" si="4"/>
        <v>47208</v>
      </c>
      <c r="J27" s="97">
        <v>6.5</v>
      </c>
      <c r="K27" s="3"/>
    </row>
    <row r="28" spans="1:11" x14ac:dyDescent="0.25">
      <c r="A28" s="94" t="s">
        <v>187</v>
      </c>
      <c r="B28" s="95">
        <v>110000</v>
      </c>
      <c r="C28" s="95">
        <v>110000</v>
      </c>
      <c r="D28" s="95">
        <v>133499</v>
      </c>
      <c r="E28" s="95">
        <f t="shared" si="0"/>
        <v>23499</v>
      </c>
      <c r="F28" s="95">
        <f t="shared" si="1"/>
        <v>2349.9</v>
      </c>
      <c r="G28" s="95">
        <f t="shared" si="2"/>
        <v>131149.1</v>
      </c>
      <c r="H28" s="96">
        <v>46172</v>
      </c>
      <c r="I28" s="96">
        <f t="shared" si="4"/>
        <v>47269</v>
      </c>
      <c r="J28" s="97">
        <v>6.5</v>
      </c>
      <c r="K28" s="3"/>
    </row>
    <row r="29" spans="1:11" x14ac:dyDescent="0.25">
      <c r="A29" s="94" t="s">
        <v>188</v>
      </c>
      <c r="B29" s="95">
        <v>27185.23</v>
      </c>
      <c r="C29" s="95">
        <v>27185.23</v>
      </c>
      <c r="D29" s="95">
        <v>32992.230000000003</v>
      </c>
      <c r="E29" s="95">
        <f t="shared" si="0"/>
        <v>5807.0000000000036</v>
      </c>
      <c r="F29" s="95">
        <f t="shared" si="1"/>
        <v>580.70000000000039</v>
      </c>
      <c r="G29" s="95">
        <f t="shared" si="2"/>
        <v>32411.530000000002</v>
      </c>
      <c r="H29" s="96">
        <v>46204</v>
      </c>
      <c r="I29" s="96">
        <f>SUM(H29,3*365+1)</f>
        <v>47300</v>
      </c>
      <c r="J29" s="97">
        <v>6.5</v>
      </c>
      <c r="K29" s="3"/>
    </row>
    <row r="30" spans="1:11" x14ac:dyDescent="0.25">
      <c r="A30" s="98"/>
      <c r="B30" s="99">
        <f t="shared" ref="B30:G30" si="5">SUM(B2:B29)</f>
        <v>4789419.4400000013</v>
      </c>
      <c r="C30" s="99">
        <f t="shared" si="5"/>
        <v>4863142.4400000013</v>
      </c>
      <c r="D30" s="99">
        <f t="shared" si="5"/>
        <v>5305240.4400000004</v>
      </c>
      <c r="E30" s="99">
        <f t="shared" si="5"/>
        <v>515821</v>
      </c>
      <c r="F30" s="99">
        <f t="shared" si="5"/>
        <v>51582.099999999984</v>
      </c>
      <c r="G30" s="99">
        <f t="shared" si="5"/>
        <v>5253658.3399999989</v>
      </c>
      <c r="H30" s="98"/>
      <c r="I30" s="98"/>
      <c r="J30" s="98"/>
    </row>
    <row r="32" spans="1:11" x14ac:dyDescent="0.25">
      <c r="B32" s="100"/>
      <c r="C32" s="3"/>
      <c r="E32" s="3"/>
      <c r="G32" s="3"/>
    </row>
    <row r="33" spans="2:5" x14ac:dyDescent="0.25">
      <c r="D33" s="101" t="s">
        <v>189</v>
      </c>
      <c r="E33" s="102">
        <f>E30-F30</f>
        <v>464238.9</v>
      </c>
    </row>
    <row r="34" spans="2:5" x14ac:dyDescent="0.25">
      <c r="C34" s="3"/>
      <c r="D34" s="101" t="s">
        <v>190</v>
      </c>
      <c r="E34" s="102">
        <f>E33*30/457</f>
        <v>30475.201312910285</v>
      </c>
    </row>
    <row r="35" spans="2:5" x14ac:dyDescent="0.25">
      <c r="E35" s="103"/>
    </row>
    <row r="36" spans="2:5" x14ac:dyDescent="0.25">
      <c r="B36" s="3"/>
      <c r="C36" s="3"/>
    </row>
    <row r="37" spans="2:5" x14ac:dyDescent="0.25">
      <c r="C37" s="3"/>
    </row>
    <row r="38" spans="2:5" x14ac:dyDescent="0.25">
      <c r="C38" s="3"/>
    </row>
    <row r="39" spans="2:5" x14ac:dyDescent="0.25">
      <c r="C39" s="3"/>
    </row>
    <row r="40" spans="2:5" x14ac:dyDescent="0.25">
      <c r="C40" s="3"/>
    </row>
    <row r="41" spans="2:5" x14ac:dyDescent="0.25">
      <c r="C41" s="3"/>
    </row>
    <row r="42" spans="2:5" x14ac:dyDescent="0.25">
      <c r="C42" s="3"/>
    </row>
    <row r="43" spans="2:5" x14ac:dyDescent="0.25">
      <c r="C43" s="3"/>
    </row>
    <row r="44" spans="2:5" x14ac:dyDescent="0.25">
      <c r="C44" s="3"/>
    </row>
  </sheetData>
  <autoFilter ref="A1:J30" xr:uid="{00000000-0001-0000-0000-000000000000}">
    <sortState xmlns:xlrd2="http://schemas.microsoft.com/office/spreadsheetml/2017/richdata2" ref="A2:J30">
      <sortCondition ref="A2:A30"/>
    </sortState>
  </autoFilter>
  <pageMargins left="0.7" right="0.7" top="0.75" bottom="0.75" header="0.3" footer="0.3"/>
  <pageSetup orientation="portrait" r:id="rId1"/>
  <headerFooter>
    <oddFooter>&amp;LLevel 1 –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AO257"/>
  <sheetViews>
    <sheetView zoomScale="90" zoomScaleNormal="90" workbookViewId="0">
      <pane xSplit="1" ySplit="2" topLeftCell="B237" activePane="bottomRight" state="frozen"/>
      <selection pane="topRight" activeCell="B1" sqref="B1"/>
      <selection pane="bottomLeft" activeCell="A3" sqref="A3"/>
      <selection pane="bottomRight" activeCell="E262" sqref="E262"/>
    </sheetView>
  </sheetViews>
  <sheetFormatPr defaultRowHeight="15" x14ac:dyDescent="0.25"/>
  <cols>
    <col min="1" max="1" width="12.28515625" bestFit="1" customWidth="1"/>
    <col min="2" max="3" width="14.42578125" bestFit="1" customWidth="1"/>
    <col min="4" max="4" width="15.28515625" bestFit="1" customWidth="1"/>
    <col min="5" max="5" width="13.85546875" style="3" bestFit="1" customWidth="1"/>
    <col min="6" max="6" width="13.140625" bestFit="1" customWidth="1"/>
    <col min="7" max="7" width="10" bestFit="1" customWidth="1"/>
    <col min="8" max="8" width="13.85546875" style="3" bestFit="1" customWidth="1"/>
    <col min="9" max="9" width="14.140625" style="1" bestFit="1" customWidth="1"/>
    <col min="10" max="10" width="13.85546875" style="3" customWidth="1"/>
    <col min="11" max="11" width="12.85546875" customWidth="1"/>
    <col min="12" max="12" width="13.85546875" style="3" bestFit="1" customWidth="1"/>
    <col min="13" max="13" width="14.140625" style="1" bestFit="1" customWidth="1"/>
    <col min="14" max="14" width="13.85546875" style="3" customWidth="1"/>
    <col min="15" max="15" width="12.85546875" customWidth="1"/>
    <col min="16" max="16" width="13.85546875" style="3" bestFit="1" customWidth="1"/>
    <col min="17" max="17" width="14.140625" style="1" bestFit="1" customWidth="1"/>
    <col min="18" max="18" width="13.85546875" style="3" customWidth="1"/>
    <col min="19" max="19" width="12.85546875" customWidth="1"/>
    <col min="20" max="20" width="13.85546875" style="3" bestFit="1" customWidth="1"/>
    <col min="21" max="21" width="14.140625" style="1" bestFit="1" customWidth="1"/>
    <col min="22" max="22" width="15.140625" style="3" bestFit="1" customWidth="1"/>
    <col min="23" max="23" width="12.85546875" customWidth="1"/>
    <col min="24" max="24" width="10.5703125" bestFit="1" customWidth="1"/>
    <col min="26" max="26" width="11" bestFit="1" customWidth="1"/>
    <col min="27" max="27" width="25.5703125" bestFit="1" customWidth="1"/>
    <col min="28" max="28" width="34.42578125" bestFit="1" customWidth="1"/>
    <col min="29" max="29" width="15.140625" bestFit="1" customWidth="1"/>
    <col min="30" max="30" width="15" bestFit="1" customWidth="1"/>
    <col min="31" max="32" width="15.140625" bestFit="1" customWidth="1"/>
    <col min="33" max="33" width="15" bestFit="1" customWidth="1"/>
    <col min="34" max="35" width="15.140625" bestFit="1" customWidth="1"/>
    <col min="36" max="36" width="15" bestFit="1" customWidth="1"/>
    <col min="37" max="38" width="15.140625" bestFit="1" customWidth="1"/>
    <col min="39" max="39" width="15" bestFit="1" customWidth="1"/>
    <col min="40" max="40" width="15.140625" bestFit="1" customWidth="1"/>
    <col min="41" max="41" width="35.42578125" customWidth="1"/>
  </cols>
  <sheetData>
    <row r="1" spans="1:41" x14ac:dyDescent="0.25">
      <c r="B1" s="71" t="s">
        <v>34</v>
      </c>
      <c r="C1" s="71"/>
      <c r="D1" s="71"/>
      <c r="E1" s="71"/>
      <c r="F1" s="72" t="s">
        <v>28</v>
      </c>
      <c r="G1" s="72"/>
      <c r="H1" s="66" t="s">
        <v>30</v>
      </c>
      <c r="I1" s="66"/>
      <c r="J1" s="66"/>
      <c r="K1" s="66"/>
      <c r="L1" s="67" t="s">
        <v>32</v>
      </c>
      <c r="M1" s="67"/>
      <c r="N1" s="67"/>
      <c r="O1" s="67"/>
      <c r="P1" s="73" t="s">
        <v>33</v>
      </c>
      <c r="Q1" s="73"/>
      <c r="R1" s="73"/>
      <c r="S1" s="73"/>
      <c r="T1" s="70" t="s">
        <v>31</v>
      </c>
      <c r="U1" s="70"/>
      <c r="V1" s="70"/>
      <c r="W1" s="70"/>
    </row>
    <row r="2" spans="1:41" s="19" customFormat="1" ht="26.25" x14ac:dyDescent="0.25">
      <c r="A2" s="11" t="s">
        <v>0</v>
      </c>
      <c r="B2" s="11" t="s">
        <v>26</v>
      </c>
      <c r="C2" s="11" t="s">
        <v>25</v>
      </c>
      <c r="D2" s="11" t="s">
        <v>11</v>
      </c>
      <c r="E2" s="17" t="s">
        <v>29</v>
      </c>
      <c r="F2" s="11" t="s">
        <v>2</v>
      </c>
      <c r="G2" s="11" t="s">
        <v>3</v>
      </c>
      <c r="H2" s="17" t="s">
        <v>4</v>
      </c>
      <c r="I2" s="18" t="s">
        <v>5</v>
      </c>
      <c r="J2" s="18" t="s">
        <v>6</v>
      </c>
      <c r="K2" s="18" t="s">
        <v>27</v>
      </c>
      <c r="L2" s="17" t="s">
        <v>4</v>
      </c>
      <c r="M2" s="18" t="s">
        <v>5</v>
      </c>
      <c r="N2" s="18" t="s">
        <v>6</v>
      </c>
      <c r="O2" s="18" t="s">
        <v>27</v>
      </c>
      <c r="P2" s="17" t="s">
        <v>4</v>
      </c>
      <c r="Q2" s="18" t="s">
        <v>5</v>
      </c>
      <c r="R2" s="18" t="s">
        <v>6</v>
      </c>
      <c r="S2" s="18" t="s">
        <v>27</v>
      </c>
      <c r="T2" s="17" t="s">
        <v>4</v>
      </c>
      <c r="U2" s="18" t="s">
        <v>5</v>
      </c>
      <c r="V2" s="18" t="s">
        <v>6</v>
      </c>
      <c r="W2" s="18" t="s">
        <v>27</v>
      </c>
      <c r="X2" s="18" t="s">
        <v>8</v>
      </c>
    </row>
    <row r="3" spans="1:41" ht="15.75" x14ac:dyDescent="0.3">
      <c r="A3" s="20">
        <v>38565</v>
      </c>
      <c r="B3" s="21">
        <f>E3/2</f>
        <v>921</v>
      </c>
      <c r="C3" s="21">
        <f>E3/2-D3</f>
        <v>380</v>
      </c>
      <c r="D3" s="21">
        <v>541</v>
      </c>
      <c r="E3" s="22">
        <v>1842</v>
      </c>
      <c r="F3" s="23">
        <v>8.5000000000000006E-2</v>
      </c>
      <c r="G3" s="22">
        <f t="shared" ref="G3:G34" ca="1" si="0">(DAYS360(A3,NOW(),TRUE))/30</f>
        <v>251.73333333333332</v>
      </c>
      <c r="H3" s="22">
        <f t="shared" ref="H3:H34" ca="1" si="1">SUM(B3, B3*$F3*$G3/12)</f>
        <v>2563.2453333333333</v>
      </c>
      <c r="I3" s="23">
        <f t="shared" ref="I3:I34" ca="1" si="2">(H3-B3)/B3</f>
        <v>1.7831111111111111</v>
      </c>
      <c r="J3" s="22">
        <f t="shared" ref="J3:J34" ca="1" si="3">PRODUCT(B3,POWER((1+$F3/2),2*$G3/12))</f>
        <v>5280.2066862710144</v>
      </c>
      <c r="K3" s="23">
        <f t="shared" ref="K3:K34" ca="1" si="4">(J3-B3)/B3</f>
        <v>4.7331234378621216</v>
      </c>
      <c r="L3" s="22">
        <f ca="1">SUM(C3, C3*$F3*$G3/12)</f>
        <v>1057.5822222222223</v>
      </c>
      <c r="M3" s="23">
        <f ca="1">(L3-C3)/C3</f>
        <v>1.7831111111111113</v>
      </c>
      <c r="N3" s="22">
        <f ca="1">PRODUCT(C3,POWER((1+$F3/2),2*$G3/12))</f>
        <v>2178.5869063876066</v>
      </c>
      <c r="O3" s="23">
        <f ca="1">(N3-C3)/C3</f>
        <v>4.7331234378621225</v>
      </c>
      <c r="P3" s="22">
        <f ca="1">SUM(D3, D3*$F3*$G3/12)</f>
        <v>1505.663111111111</v>
      </c>
      <c r="Q3" s="23">
        <f ca="1">(P3-D3)/D3</f>
        <v>1.7831111111111109</v>
      </c>
      <c r="R3" s="22">
        <f ca="1">PRODUCT(D3,POWER((1+$F3/2),2*$G3/12))</f>
        <v>3101.6197798834082</v>
      </c>
      <c r="S3" s="23">
        <f ca="1">(R3-D3)/D3</f>
        <v>4.7331234378621225</v>
      </c>
      <c r="T3" s="22">
        <f t="shared" ref="T3:T34" ca="1" si="5">SUM(E3, E3*$F3*$G3/12)</f>
        <v>5126.4906666666666</v>
      </c>
      <c r="U3" s="23">
        <f t="shared" ref="U3:U34" ca="1" si="6">(T3-E3)/E3</f>
        <v>1.7831111111111111</v>
      </c>
      <c r="V3" s="22">
        <f t="shared" ref="V3:V34" ca="1" si="7">PRODUCT(E3,POWER((1+$F3/2),2*$G3/12))</f>
        <v>10560.413372542029</v>
      </c>
      <c r="W3" s="23">
        <f t="shared" ref="W3:W34" ca="1" si="8">(V3-E3)/E3</f>
        <v>4.7331234378621216</v>
      </c>
      <c r="X3" s="24" t="s">
        <v>9</v>
      </c>
      <c r="AC3" s="66" t="s">
        <v>26</v>
      </c>
      <c r="AD3" s="66"/>
      <c r="AE3" s="66"/>
      <c r="AF3" s="67" t="s">
        <v>25</v>
      </c>
      <c r="AG3" s="67"/>
      <c r="AH3" s="67"/>
      <c r="AI3" s="69" t="s">
        <v>11</v>
      </c>
      <c r="AJ3" s="69"/>
      <c r="AK3" s="69"/>
      <c r="AL3" s="70" t="s">
        <v>12</v>
      </c>
      <c r="AM3" s="70"/>
      <c r="AN3" s="70"/>
      <c r="AO3" s="65" t="s">
        <v>58</v>
      </c>
    </row>
    <row r="4" spans="1:41" ht="15.75" x14ac:dyDescent="0.3">
      <c r="A4" s="20">
        <v>38596</v>
      </c>
      <c r="B4" s="21">
        <f t="shared" ref="B4:B67" si="9">E4/2</f>
        <v>2040</v>
      </c>
      <c r="C4" s="21">
        <f t="shared" ref="C4:C67" si="10">E4/2-D4</f>
        <v>1499</v>
      </c>
      <c r="D4" s="21">
        <v>541</v>
      </c>
      <c r="E4" s="22">
        <v>4080</v>
      </c>
      <c r="F4" s="23">
        <v>8.5000000000000006E-2</v>
      </c>
      <c r="G4" s="22">
        <f t="shared" ca="1" si="0"/>
        <v>250.73333333333332</v>
      </c>
      <c r="H4" s="22">
        <f t="shared" ca="1" si="1"/>
        <v>5663.0966666666664</v>
      </c>
      <c r="I4" s="23">
        <f t="shared" ca="1" si="2"/>
        <v>1.7760277777777775</v>
      </c>
      <c r="J4" s="22">
        <f t="shared" ca="1" si="3"/>
        <v>11614.721018691822</v>
      </c>
      <c r="K4" s="23">
        <f t="shared" ca="1" si="4"/>
        <v>4.693490695437168</v>
      </c>
      <c r="L4" s="22">
        <f t="shared" ref="L4:L67" ca="1" si="11">SUM(C4, C4*$F4*$G4/12)</f>
        <v>4161.2656388888881</v>
      </c>
      <c r="M4" s="23">
        <f t="shared" ref="M4:M67" ca="1" si="12">(L4-C4)/C4</f>
        <v>1.7760277777777773</v>
      </c>
      <c r="N4" s="22">
        <f t="shared" ref="N4:N67" ca="1" si="13">PRODUCT(C4,POWER((1+$F4/2),2*$G4/12))</f>
        <v>8534.5425524603143</v>
      </c>
      <c r="O4" s="23">
        <f t="shared" ref="O4:O67" ca="1" si="14">(N4-C4)/C4</f>
        <v>4.693490695437168</v>
      </c>
      <c r="P4" s="22">
        <f t="shared" ref="P4:P67" ca="1" si="15">SUM(D4, D4*$F4*$G4/12)</f>
        <v>1501.8310277777778</v>
      </c>
      <c r="Q4" s="23">
        <f t="shared" ref="Q4:Q67" ca="1" si="16">(P4-D4)/D4</f>
        <v>1.7760277777777778</v>
      </c>
      <c r="R4" s="22">
        <f t="shared" ref="R4:R67" ca="1" si="17">PRODUCT(D4,POWER((1+$F4/2),2*$G4/12))</f>
        <v>3080.1784662315081</v>
      </c>
      <c r="S4" s="23">
        <f t="shared" ref="S4:S67" ca="1" si="18">(R4-D4)/D4</f>
        <v>4.693490695437168</v>
      </c>
      <c r="T4" s="22">
        <f t="shared" ca="1" si="5"/>
        <v>11326.193333333333</v>
      </c>
      <c r="U4" s="23">
        <f t="shared" ca="1" si="6"/>
        <v>1.7760277777777775</v>
      </c>
      <c r="V4" s="22">
        <f t="shared" ca="1" si="7"/>
        <v>23229.442037383644</v>
      </c>
      <c r="W4" s="23">
        <f t="shared" ca="1" si="8"/>
        <v>4.693490695437168</v>
      </c>
      <c r="X4" s="24" t="s">
        <v>9</v>
      </c>
      <c r="Z4" s="8"/>
      <c r="AA4" s="4" t="s">
        <v>20</v>
      </c>
      <c r="AB4" s="4" t="s">
        <v>21</v>
      </c>
      <c r="AC4" s="4" t="s">
        <v>34</v>
      </c>
      <c r="AD4" s="4" t="s">
        <v>4</v>
      </c>
      <c r="AE4" s="4" t="s">
        <v>6</v>
      </c>
      <c r="AF4" s="4" t="s">
        <v>34</v>
      </c>
      <c r="AG4" s="4" t="s">
        <v>4</v>
      </c>
      <c r="AH4" s="4" t="s">
        <v>6</v>
      </c>
      <c r="AI4" s="4" t="s">
        <v>34</v>
      </c>
      <c r="AJ4" s="4" t="s">
        <v>4</v>
      </c>
      <c r="AK4" s="4" t="s">
        <v>6</v>
      </c>
      <c r="AL4" s="4" t="s">
        <v>34</v>
      </c>
      <c r="AM4" s="4" t="s">
        <v>4</v>
      </c>
      <c r="AN4" s="4" t="s">
        <v>6</v>
      </c>
      <c r="AO4" s="65"/>
    </row>
    <row r="5" spans="1:41" ht="15.75" x14ac:dyDescent="0.3">
      <c r="A5" s="20">
        <v>38626</v>
      </c>
      <c r="B5" s="21">
        <f t="shared" si="9"/>
        <v>2040</v>
      </c>
      <c r="C5" s="21">
        <f t="shared" si="10"/>
        <v>1499</v>
      </c>
      <c r="D5" s="21">
        <v>541</v>
      </c>
      <c r="E5" s="22">
        <v>4080</v>
      </c>
      <c r="F5" s="23">
        <v>8.5000000000000006E-2</v>
      </c>
      <c r="G5" s="22">
        <f t="shared" ca="1" si="0"/>
        <v>249.73333333333332</v>
      </c>
      <c r="H5" s="22">
        <f t="shared" ca="1" si="1"/>
        <v>5648.6466666666674</v>
      </c>
      <c r="I5" s="23">
        <f t="shared" ca="1" si="2"/>
        <v>1.7689444444444449</v>
      </c>
      <c r="J5" s="22">
        <f t="shared" ca="1" si="3"/>
        <v>11534.429140894203</v>
      </c>
      <c r="K5" s="23">
        <f t="shared" ca="1" si="4"/>
        <v>4.654131931810884</v>
      </c>
      <c r="L5" s="22">
        <f t="shared" ca="1" si="11"/>
        <v>4150.647722222222</v>
      </c>
      <c r="M5" s="23">
        <f t="shared" ca="1" si="12"/>
        <v>1.7689444444444442</v>
      </c>
      <c r="N5" s="22">
        <f t="shared" ca="1" si="13"/>
        <v>8475.5437657845159</v>
      </c>
      <c r="O5" s="23">
        <f t="shared" ca="1" si="14"/>
        <v>4.6541319318108849</v>
      </c>
      <c r="P5" s="22">
        <f t="shared" ca="1" si="15"/>
        <v>1497.9989444444445</v>
      </c>
      <c r="Q5" s="23">
        <f t="shared" ca="1" si="16"/>
        <v>1.7689444444444447</v>
      </c>
      <c r="R5" s="22">
        <f t="shared" ca="1" si="17"/>
        <v>3058.8853751096881</v>
      </c>
      <c r="S5" s="23">
        <f t="shared" ca="1" si="18"/>
        <v>4.654131931810884</v>
      </c>
      <c r="T5" s="22">
        <f t="shared" ca="1" si="5"/>
        <v>11297.293333333335</v>
      </c>
      <c r="U5" s="23">
        <f t="shared" ca="1" si="6"/>
        <v>1.7689444444444449</v>
      </c>
      <c r="V5" s="22">
        <f t="shared" ca="1" si="7"/>
        <v>23068.858281788405</v>
      </c>
      <c r="W5" s="23">
        <f t="shared" ca="1" si="8"/>
        <v>4.654131931810884</v>
      </c>
      <c r="X5" s="24" t="s">
        <v>9</v>
      </c>
      <c r="Z5" s="7" t="s">
        <v>9</v>
      </c>
      <c r="AA5" s="8" t="s">
        <v>16</v>
      </c>
      <c r="AB5" s="8" t="s">
        <v>23</v>
      </c>
      <c r="AC5" s="2">
        <f>SUMIF($X$3:$X$256,"=Amdocs",B3:B256)</f>
        <v>73456</v>
      </c>
      <c r="AD5" s="2">
        <f ca="1">SUMIF($X$3:$X$256,"=Amdocs",H3:H256)</f>
        <v>195942.52811111108</v>
      </c>
      <c r="AE5" s="2">
        <f ca="1">SUMIF($X$3:$X$256,"=Amdocs",J3:J256)</f>
        <v>376729.43874788948</v>
      </c>
      <c r="AF5" s="2">
        <f>SUMIF($X$3:$X$256,"=Amdocs",C3:C256)</f>
        <v>57226</v>
      </c>
      <c r="AG5" s="2">
        <f ca="1">SUMIF($X$3:$X$256,"=Amdocs",L3:L256)</f>
        <v>152439.59102777779</v>
      </c>
      <c r="AH5" s="2">
        <f ca="1">SUMIF($X$3:$X$256,"=Amdocs",N3:N256)</f>
        <v>292433.13292576489</v>
      </c>
      <c r="AI5" s="2">
        <f>SUMIF($X$3:$X$256,"=Amdocs",D3:D256)</f>
        <v>16230</v>
      </c>
      <c r="AJ5" s="2">
        <f ca="1">SUMIF($X$3:$X$256,"=Amdocs",P3:P256)</f>
        <v>43502.937083333331</v>
      </c>
      <c r="AK5" s="2">
        <f ca="1">SUMIF($X$3:$X$256,"=Amdocs",R3:R256)</f>
        <v>84296.305822124574</v>
      </c>
      <c r="AL5" s="2">
        <f>SUMIF($X$3:$X$256,"=Amdocs",E3:E256)</f>
        <v>146912</v>
      </c>
      <c r="AM5" s="2">
        <f ca="1">SUMIF($X$3:$X$256,"=Amdocs",T3:T256)</f>
        <v>391885.05622222216</v>
      </c>
      <c r="AN5" s="2">
        <f ca="1">SUMIF($X$3:$X$256,"=Amdocs",V3:V256)</f>
        <v>753458.87749577896</v>
      </c>
      <c r="AO5" s="8" t="s">
        <v>59</v>
      </c>
    </row>
    <row r="6" spans="1:41" ht="15.75" x14ac:dyDescent="0.3">
      <c r="A6" s="20">
        <v>38657</v>
      </c>
      <c r="B6" s="21">
        <f t="shared" si="9"/>
        <v>2040</v>
      </c>
      <c r="C6" s="21">
        <f t="shared" si="10"/>
        <v>1499</v>
      </c>
      <c r="D6" s="21">
        <v>541</v>
      </c>
      <c r="E6" s="22">
        <v>4080</v>
      </c>
      <c r="F6" s="23">
        <v>8.5000000000000006E-2</v>
      </c>
      <c r="G6" s="22">
        <f t="shared" ca="1" si="0"/>
        <v>248.73333333333332</v>
      </c>
      <c r="H6" s="22">
        <f t="shared" ca="1" si="1"/>
        <v>5634.1966666666667</v>
      </c>
      <c r="I6" s="23">
        <f t="shared" ca="1" si="2"/>
        <v>1.7618611111111111</v>
      </c>
      <c r="J6" s="22">
        <f t="shared" ca="1" si="3"/>
        <v>11454.692316087514</v>
      </c>
      <c r="K6" s="23">
        <f t="shared" ca="1" si="4"/>
        <v>4.6150452529840758</v>
      </c>
      <c r="L6" s="22">
        <f t="shared" ca="1" si="11"/>
        <v>4140.0298055555559</v>
      </c>
      <c r="M6" s="23">
        <f t="shared" ca="1" si="12"/>
        <v>1.7618611111111113</v>
      </c>
      <c r="N6" s="22">
        <f t="shared" ca="1" si="13"/>
        <v>8416.9528342231297</v>
      </c>
      <c r="O6" s="23">
        <f t="shared" ca="1" si="14"/>
        <v>4.6150452529840758</v>
      </c>
      <c r="P6" s="22">
        <f t="shared" ca="1" si="15"/>
        <v>1494.1668611111113</v>
      </c>
      <c r="Q6" s="23">
        <f t="shared" ca="1" si="16"/>
        <v>1.7618611111111115</v>
      </c>
      <c r="R6" s="22">
        <f t="shared" ca="1" si="17"/>
        <v>3037.7394818643852</v>
      </c>
      <c r="S6" s="23">
        <f t="shared" ca="1" si="18"/>
        <v>4.6150452529840758</v>
      </c>
      <c r="T6" s="22">
        <f t="shared" ca="1" si="5"/>
        <v>11268.393333333333</v>
      </c>
      <c r="U6" s="23">
        <f t="shared" ca="1" si="6"/>
        <v>1.7618611111111111</v>
      </c>
      <c r="V6" s="22">
        <f t="shared" ca="1" si="7"/>
        <v>22909.384632175028</v>
      </c>
      <c r="W6" s="23">
        <f t="shared" ca="1" si="8"/>
        <v>4.6150452529840758</v>
      </c>
      <c r="X6" s="24" t="s">
        <v>9</v>
      </c>
      <c r="Z6" s="7" t="s">
        <v>10</v>
      </c>
      <c r="AA6" s="8" t="s">
        <v>15</v>
      </c>
      <c r="AB6" s="8" t="s">
        <v>24</v>
      </c>
      <c r="AC6" s="2">
        <f>SUMIF($X$3:$X$256,"=Adobe",B3:B256)</f>
        <v>24621</v>
      </c>
      <c r="AD6" s="2">
        <f ca="1">SUMIF($X$3:$X$256,"=Adobe",H3:H256)</f>
        <v>62965.742416666675</v>
      </c>
      <c r="AE6" s="2">
        <f ca="1">SUMIF($X$3:$X$256,"=Adobe",J3:J256)</f>
        <v>113170.17495438684</v>
      </c>
      <c r="AF6" s="2">
        <f>SUMIF($X$3:$X$256,"=Adobe",C3:C256)</f>
        <v>24621</v>
      </c>
      <c r="AG6" s="2">
        <f ca="1">SUMIF($X$3:$X$256,"=Adobe",L3:L256)</f>
        <v>62965.742416666675</v>
      </c>
      <c r="AH6" s="2">
        <f ca="1">SUMIF($X$3:$X$256,"=Adobe",N3:N256)</f>
        <v>113170.17495438684</v>
      </c>
      <c r="AI6" s="2">
        <f>SUMIF($X$3:$X$256,"=Adobe",D3:D256)</f>
        <v>0</v>
      </c>
      <c r="AJ6" s="2">
        <f ca="1">SUMIF($X$3:$X$256,"=Adobe",P3:P256)</f>
        <v>0</v>
      </c>
      <c r="AK6" s="2">
        <f ca="1">SUMIF($X$3:$X$256,"=Adobe",R3:R256)</f>
        <v>0</v>
      </c>
      <c r="AL6" s="2">
        <f>SUMIF($X$3:$X$256,"=Adobe",E3:E256)</f>
        <v>49242</v>
      </c>
      <c r="AM6" s="2">
        <f ca="1">SUMIF($X$3:$X$256,"=Adobe",T3:T256)</f>
        <v>125931.48483333335</v>
      </c>
      <c r="AN6" s="2">
        <f ca="1">SUMIF($X$3:$X$256,"=Adobe",V3:V256)</f>
        <v>226340.34990877367</v>
      </c>
      <c r="AO6" s="8" t="s">
        <v>59</v>
      </c>
    </row>
    <row r="7" spans="1:41" ht="15.75" x14ac:dyDescent="0.3">
      <c r="A7" s="20">
        <v>38687</v>
      </c>
      <c r="B7" s="21">
        <f t="shared" si="9"/>
        <v>2040</v>
      </c>
      <c r="C7" s="21">
        <f t="shared" si="10"/>
        <v>1499</v>
      </c>
      <c r="D7" s="21">
        <v>541</v>
      </c>
      <c r="E7" s="22">
        <v>4080</v>
      </c>
      <c r="F7" s="23">
        <v>8.5000000000000006E-2</v>
      </c>
      <c r="G7" s="22">
        <f t="shared" ca="1" si="0"/>
        <v>247.73333333333332</v>
      </c>
      <c r="H7" s="22">
        <f t="shared" ca="1" si="1"/>
        <v>5619.746666666666</v>
      </c>
      <c r="I7" s="23">
        <f t="shared" ca="1" si="2"/>
        <v>1.7547777777777775</v>
      </c>
      <c r="J7" s="22">
        <f t="shared" ca="1" si="3"/>
        <v>11375.506707223334</v>
      </c>
      <c r="K7" s="23">
        <f t="shared" ca="1" si="4"/>
        <v>4.5762287780506536</v>
      </c>
      <c r="L7" s="22">
        <f t="shared" ca="1" si="11"/>
        <v>4129.4118888888888</v>
      </c>
      <c r="M7" s="23">
        <f t="shared" ca="1" si="12"/>
        <v>1.7547777777777778</v>
      </c>
      <c r="N7" s="22">
        <f t="shared" ca="1" si="13"/>
        <v>8358.7669382979293</v>
      </c>
      <c r="O7" s="23">
        <f t="shared" ca="1" si="14"/>
        <v>4.5762287780506536</v>
      </c>
      <c r="P7" s="22">
        <f t="shared" ca="1" si="15"/>
        <v>1490.3347777777781</v>
      </c>
      <c r="Q7" s="23">
        <f t="shared" ca="1" si="16"/>
        <v>1.7547777777777782</v>
      </c>
      <c r="R7" s="22">
        <f t="shared" ca="1" si="17"/>
        <v>3016.7397689254035</v>
      </c>
      <c r="S7" s="23">
        <f t="shared" ca="1" si="18"/>
        <v>4.5762287780506536</v>
      </c>
      <c r="T7" s="22">
        <f t="shared" ca="1" si="5"/>
        <v>11239.493333333332</v>
      </c>
      <c r="U7" s="23">
        <f t="shared" ca="1" si="6"/>
        <v>1.7547777777777775</v>
      </c>
      <c r="V7" s="22">
        <f t="shared" ca="1" si="7"/>
        <v>22751.013414446668</v>
      </c>
      <c r="W7" s="23">
        <f t="shared" ca="1" si="8"/>
        <v>4.5762287780506536</v>
      </c>
      <c r="X7" s="24" t="s">
        <v>9</v>
      </c>
      <c r="Z7" s="7" t="s">
        <v>13</v>
      </c>
      <c r="AA7" s="8" t="s">
        <v>14</v>
      </c>
      <c r="AB7" s="8" t="s">
        <v>22</v>
      </c>
      <c r="AC7" s="2">
        <f>SUMIF($X$3:$X$256,"=Amdocs_2",B3:B256)</f>
        <v>2536658.9200000004</v>
      </c>
      <c r="AD7" s="2">
        <f ca="1">SUMIF($X$3:$X$256,"=Amdocs_2",H3:H256)</f>
        <v>4019491.8677927782</v>
      </c>
      <c r="AE7" s="2">
        <f ca="1">SUMIF($X$3:$X$256,"=Amdocs_2",J3:J256)</f>
        <v>4901522.5747453449</v>
      </c>
      <c r="AF7" s="2">
        <f>SUMIF($X$3:$X$256,"=Amdocs_2",C3:C256)</f>
        <v>2318583.9200000004</v>
      </c>
      <c r="AG7" s="2">
        <f ca="1">SUMIF($X$3:$X$256,"=Amdocs_2",L3:L256)</f>
        <v>3660199.3080705558</v>
      </c>
      <c r="AH7" s="2">
        <f ca="1">SUMIF($X$3:$X$256,"=Amdocs_2",N3:N256)</f>
        <v>4455912.9239265844</v>
      </c>
      <c r="AI7" s="2">
        <f>SUMIF($X$3:$X$256,"=Amdocs_2",D3:D256)</f>
        <v>218075</v>
      </c>
      <c r="AJ7" s="2">
        <f ca="1">SUMIF($X$3:$X$256,"=Amdocs_2",P3:P256)</f>
        <v>359292.55972222245</v>
      </c>
      <c r="AK7" s="2">
        <f ca="1">SUMIF($X$3:$X$256,"=Amdocs_2",R3:R256)</f>
        <v>445609.65081875864</v>
      </c>
      <c r="AL7" s="2">
        <f>SUMIF($X$3:$X$256,"=Amdocs_2",E3:E256)</f>
        <v>5073317.8400000008</v>
      </c>
      <c r="AM7" s="2">
        <f ca="1">SUMIF($X$3:$X$256,"=Amdocs_2",T3:T256)</f>
        <v>8038983.7355855564</v>
      </c>
      <c r="AN7" s="2">
        <f ca="1">SUMIF($X$3:$X$256,"=Amdocs_2",V3:V256)</f>
        <v>9803045.1494906899</v>
      </c>
      <c r="AO7" s="8"/>
    </row>
    <row r="8" spans="1:41" ht="15.75" x14ac:dyDescent="0.3">
      <c r="A8" s="20">
        <v>38718</v>
      </c>
      <c r="B8" s="21">
        <f t="shared" si="9"/>
        <v>2040</v>
      </c>
      <c r="C8" s="21">
        <f t="shared" si="10"/>
        <v>1499</v>
      </c>
      <c r="D8" s="21">
        <v>541</v>
      </c>
      <c r="E8" s="22">
        <v>4080</v>
      </c>
      <c r="F8" s="23">
        <v>8.5000000000000006E-2</v>
      </c>
      <c r="G8" s="22">
        <f t="shared" ca="1" si="0"/>
        <v>246.73333333333332</v>
      </c>
      <c r="H8" s="22">
        <f t="shared" ca="1" si="1"/>
        <v>5605.2966666666671</v>
      </c>
      <c r="I8" s="23">
        <f t="shared" ca="1" si="2"/>
        <v>1.7476944444444447</v>
      </c>
      <c r="J8" s="22">
        <f t="shared" ca="1" si="3"/>
        <v>11296.868503778542</v>
      </c>
      <c r="K8" s="23">
        <f t="shared" ca="1" si="4"/>
        <v>4.537680639107128</v>
      </c>
      <c r="L8" s="22">
        <f t="shared" ca="1" si="11"/>
        <v>4118.7939722222218</v>
      </c>
      <c r="M8" s="23">
        <f t="shared" ca="1" si="12"/>
        <v>1.7476944444444442</v>
      </c>
      <c r="N8" s="22">
        <f t="shared" ca="1" si="13"/>
        <v>8300.9832780215856</v>
      </c>
      <c r="O8" s="23">
        <f t="shared" ca="1" si="14"/>
        <v>4.5376806391071289</v>
      </c>
      <c r="P8" s="22">
        <f t="shared" ca="1" si="15"/>
        <v>1486.5026944444444</v>
      </c>
      <c r="Q8" s="23">
        <f t="shared" ca="1" si="16"/>
        <v>1.7476944444444444</v>
      </c>
      <c r="R8" s="22">
        <f t="shared" ca="1" si="17"/>
        <v>2995.8852257569561</v>
      </c>
      <c r="S8" s="23">
        <f t="shared" ca="1" si="18"/>
        <v>4.537680639107128</v>
      </c>
      <c r="T8" s="22">
        <f t="shared" ca="1" si="5"/>
        <v>11210.593333333334</v>
      </c>
      <c r="U8" s="23">
        <f t="shared" ca="1" si="6"/>
        <v>1.7476944444444447</v>
      </c>
      <c r="V8" s="22">
        <f t="shared" ca="1" si="7"/>
        <v>22593.737007557083</v>
      </c>
      <c r="W8" s="23">
        <f t="shared" ca="1" si="8"/>
        <v>4.537680639107128</v>
      </c>
      <c r="X8" s="24" t="s">
        <v>9</v>
      </c>
      <c r="Z8" s="68" t="s">
        <v>12</v>
      </c>
      <c r="AA8" s="68"/>
      <c r="AB8" s="68"/>
      <c r="AC8" s="14">
        <f t="shared" ref="AC8:AN8" si="19">SUM(AC5:AC7)</f>
        <v>2634735.9200000004</v>
      </c>
      <c r="AD8" s="14">
        <f t="shared" ca="1" si="19"/>
        <v>4278400.1383205559</v>
      </c>
      <c r="AE8" s="14">
        <f t="shared" ca="1" si="19"/>
        <v>5391422.1884476217</v>
      </c>
      <c r="AF8" s="14">
        <f t="shared" si="19"/>
        <v>2400430.9200000004</v>
      </c>
      <c r="AG8" s="14">
        <f t="shared" ca="1" si="19"/>
        <v>3875604.6415150003</v>
      </c>
      <c r="AH8" s="14">
        <f t="shared" ca="1" si="19"/>
        <v>4861516.2318067364</v>
      </c>
      <c r="AI8" s="14">
        <f t="shared" si="19"/>
        <v>234305</v>
      </c>
      <c r="AJ8" s="14">
        <f t="shared" ca="1" si="19"/>
        <v>402795.49680555577</v>
      </c>
      <c r="AK8" s="14">
        <f t="shared" ca="1" si="19"/>
        <v>529905.95664088323</v>
      </c>
      <c r="AL8" s="14">
        <f t="shared" si="19"/>
        <v>5269471.8400000008</v>
      </c>
      <c r="AM8" s="14">
        <f t="shared" ca="1" si="19"/>
        <v>8556800.2766411118</v>
      </c>
      <c r="AN8" s="14">
        <f t="shared" ca="1" si="19"/>
        <v>10782844.376895243</v>
      </c>
      <c r="AO8" s="8"/>
    </row>
    <row r="9" spans="1:41" ht="15.75" x14ac:dyDescent="0.3">
      <c r="A9" s="20">
        <v>38749</v>
      </c>
      <c r="B9" s="21">
        <f t="shared" si="9"/>
        <v>2040</v>
      </c>
      <c r="C9" s="21">
        <f t="shared" si="10"/>
        <v>1499</v>
      </c>
      <c r="D9" s="21">
        <v>541</v>
      </c>
      <c r="E9" s="22">
        <v>4080</v>
      </c>
      <c r="F9" s="23">
        <v>8.5000000000000006E-2</v>
      </c>
      <c r="G9" s="22">
        <f t="shared" ca="1" si="0"/>
        <v>245.73333333333332</v>
      </c>
      <c r="H9" s="22">
        <f t="shared" ca="1" si="1"/>
        <v>5590.8466666666664</v>
      </c>
      <c r="I9" s="23">
        <f t="shared" ca="1" si="2"/>
        <v>1.7406111111111109</v>
      </c>
      <c r="J9" s="22">
        <f t="shared" ca="1" si="3"/>
        <v>11218.773921571921</v>
      </c>
      <c r="K9" s="23">
        <f t="shared" ca="1" si="4"/>
        <v>4.4993989811627069</v>
      </c>
      <c r="L9" s="22">
        <f t="shared" ca="1" si="11"/>
        <v>4108.1760555555556</v>
      </c>
      <c r="M9" s="23">
        <f t="shared" ca="1" si="12"/>
        <v>1.7406111111111111</v>
      </c>
      <c r="N9" s="22">
        <f t="shared" ca="1" si="13"/>
        <v>8243.5990727628978</v>
      </c>
      <c r="O9" s="23">
        <f t="shared" ca="1" si="14"/>
        <v>4.4993989811627069</v>
      </c>
      <c r="P9" s="22">
        <f t="shared" ca="1" si="15"/>
        <v>1482.6706111111112</v>
      </c>
      <c r="Q9" s="23">
        <f t="shared" ca="1" si="16"/>
        <v>1.7406111111111111</v>
      </c>
      <c r="R9" s="22">
        <f t="shared" ca="1" si="17"/>
        <v>2975.1748488090243</v>
      </c>
      <c r="S9" s="23">
        <f t="shared" ca="1" si="18"/>
        <v>4.4993989811627069</v>
      </c>
      <c r="T9" s="22">
        <f t="shared" ca="1" si="5"/>
        <v>11181.693333333333</v>
      </c>
      <c r="U9" s="23">
        <f t="shared" ca="1" si="6"/>
        <v>1.7406111111111109</v>
      </c>
      <c r="V9" s="22">
        <f t="shared" ca="1" si="7"/>
        <v>22437.547843143842</v>
      </c>
      <c r="W9" s="23">
        <f t="shared" ca="1" si="8"/>
        <v>4.4993989811627069</v>
      </c>
      <c r="X9" s="24" t="s">
        <v>9</v>
      </c>
    </row>
    <row r="10" spans="1:41" ht="15.75" x14ac:dyDescent="0.3">
      <c r="A10" s="20">
        <v>38777</v>
      </c>
      <c r="B10" s="21">
        <f t="shared" si="9"/>
        <v>2040</v>
      </c>
      <c r="C10" s="21">
        <f t="shared" si="10"/>
        <v>1499</v>
      </c>
      <c r="D10" s="21">
        <v>541</v>
      </c>
      <c r="E10" s="22">
        <v>4080</v>
      </c>
      <c r="F10" s="23">
        <v>8.5000000000000006E-2</v>
      </c>
      <c r="G10" s="22">
        <f t="shared" ca="1" si="0"/>
        <v>244.73333333333332</v>
      </c>
      <c r="H10" s="22">
        <f t="shared" ca="1" si="1"/>
        <v>5576.3966666666674</v>
      </c>
      <c r="I10" s="23">
        <f t="shared" ca="1" si="2"/>
        <v>1.7335277777777782</v>
      </c>
      <c r="J10" s="22">
        <f t="shared" ca="1" si="3"/>
        <v>11141.219202582084</v>
      </c>
      <c r="K10" s="23">
        <f t="shared" ca="1" si="4"/>
        <v>4.4613819620500417</v>
      </c>
      <c r="L10" s="22">
        <f t="shared" ca="1" si="11"/>
        <v>4097.5581388888895</v>
      </c>
      <c r="M10" s="23">
        <f t="shared" ca="1" si="12"/>
        <v>1.7335277777777782</v>
      </c>
      <c r="N10" s="22">
        <f t="shared" ca="1" si="13"/>
        <v>8186.6115611130108</v>
      </c>
      <c r="O10" s="23">
        <f t="shared" ca="1" si="14"/>
        <v>4.4613819620500408</v>
      </c>
      <c r="P10" s="22">
        <f t="shared" ca="1" si="15"/>
        <v>1478.8385277777779</v>
      </c>
      <c r="Q10" s="23">
        <f t="shared" ca="1" si="16"/>
        <v>1.733527777777778</v>
      </c>
      <c r="R10" s="22">
        <f t="shared" ca="1" si="17"/>
        <v>2954.607641469072</v>
      </c>
      <c r="S10" s="23">
        <f t="shared" ca="1" si="18"/>
        <v>4.4613819620500408</v>
      </c>
      <c r="T10" s="22">
        <f t="shared" ca="1" si="5"/>
        <v>11152.793333333335</v>
      </c>
      <c r="U10" s="23">
        <f t="shared" ca="1" si="6"/>
        <v>1.7335277777777782</v>
      </c>
      <c r="V10" s="22">
        <f t="shared" ca="1" si="7"/>
        <v>22282.438405164168</v>
      </c>
      <c r="W10" s="23">
        <f t="shared" ca="1" si="8"/>
        <v>4.4613819620500417</v>
      </c>
      <c r="X10" s="24" t="s">
        <v>9</v>
      </c>
    </row>
    <row r="11" spans="1:41" ht="15.75" x14ac:dyDescent="0.3">
      <c r="A11" s="20">
        <v>38808</v>
      </c>
      <c r="B11" s="21">
        <f t="shared" si="9"/>
        <v>2040</v>
      </c>
      <c r="C11" s="21">
        <f t="shared" si="10"/>
        <v>1499</v>
      </c>
      <c r="D11" s="21">
        <v>541</v>
      </c>
      <c r="E11" s="22">
        <v>4080</v>
      </c>
      <c r="F11" s="23">
        <v>8.5000000000000006E-2</v>
      </c>
      <c r="G11" s="22">
        <f t="shared" ca="1" si="0"/>
        <v>243.73333333333332</v>
      </c>
      <c r="H11" s="22">
        <f t="shared" ca="1" si="1"/>
        <v>5561.9466666666667</v>
      </c>
      <c r="I11" s="23">
        <f t="shared" ca="1" si="2"/>
        <v>1.7264444444444444</v>
      </c>
      <c r="J11" s="22">
        <f t="shared" ca="1" si="3"/>
        <v>11064.20061476662</v>
      </c>
      <c r="K11" s="23">
        <f t="shared" ca="1" si="4"/>
        <v>4.4236277523365786</v>
      </c>
      <c r="L11" s="22">
        <f t="shared" ca="1" si="11"/>
        <v>4086.940222222222</v>
      </c>
      <c r="M11" s="23">
        <f t="shared" ca="1" si="12"/>
        <v>1.7264444444444442</v>
      </c>
      <c r="N11" s="22">
        <f t="shared" ca="1" si="13"/>
        <v>8130.0180007525314</v>
      </c>
      <c r="O11" s="23">
        <f t="shared" ca="1" si="14"/>
        <v>4.4236277523365786</v>
      </c>
      <c r="P11" s="22">
        <f t="shared" ca="1" si="15"/>
        <v>1475.0064444444447</v>
      </c>
      <c r="Q11" s="23">
        <f t="shared" ca="1" si="16"/>
        <v>1.7264444444444449</v>
      </c>
      <c r="R11" s="22">
        <f t="shared" ca="1" si="17"/>
        <v>2934.1826140140888</v>
      </c>
      <c r="S11" s="23">
        <f t="shared" ca="1" si="18"/>
        <v>4.4236277523365786</v>
      </c>
      <c r="T11" s="22">
        <f t="shared" ca="1" si="5"/>
        <v>11123.893333333333</v>
      </c>
      <c r="U11" s="23">
        <f t="shared" ca="1" si="6"/>
        <v>1.7264444444444444</v>
      </c>
      <c r="V11" s="22">
        <f t="shared" ca="1" si="7"/>
        <v>22128.40122953324</v>
      </c>
      <c r="W11" s="23">
        <f t="shared" ca="1" si="8"/>
        <v>4.4236277523365786</v>
      </c>
      <c r="X11" s="24" t="s">
        <v>9</v>
      </c>
    </row>
    <row r="12" spans="1:41" ht="15.75" x14ac:dyDescent="0.3">
      <c r="A12" s="20">
        <v>38838</v>
      </c>
      <c r="B12" s="21">
        <f t="shared" si="9"/>
        <v>2040</v>
      </c>
      <c r="C12" s="21">
        <f t="shared" si="10"/>
        <v>1499</v>
      </c>
      <c r="D12" s="21">
        <v>541</v>
      </c>
      <c r="E12" s="22">
        <v>4080</v>
      </c>
      <c r="F12" s="23">
        <v>8.5000000000000006E-2</v>
      </c>
      <c r="G12" s="22">
        <f t="shared" ca="1" si="0"/>
        <v>242.73333333333332</v>
      </c>
      <c r="H12" s="22">
        <f t="shared" ca="1" si="1"/>
        <v>5547.496666666666</v>
      </c>
      <c r="I12" s="23">
        <f t="shared" ca="1" si="2"/>
        <v>1.7193611111111107</v>
      </c>
      <c r="J12" s="22">
        <f t="shared" ca="1" si="3"/>
        <v>10987.714451882506</v>
      </c>
      <c r="K12" s="23">
        <f t="shared" ca="1" si="4"/>
        <v>4.3861345352365229</v>
      </c>
      <c r="L12" s="22">
        <f t="shared" ca="1" si="11"/>
        <v>4076.3223055555554</v>
      </c>
      <c r="M12" s="23">
        <f t="shared" ca="1" si="12"/>
        <v>1.7193611111111111</v>
      </c>
      <c r="N12" s="22">
        <f t="shared" ca="1" si="13"/>
        <v>8073.8156683195475</v>
      </c>
      <c r="O12" s="23">
        <f t="shared" ca="1" si="14"/>
        <v>4.3861345352365229</v>
      </c>
      <c r="P12" s="22">
        <f t="shared" ca="1" si="15"/>
        <v>1471.174361111111</v>
      </c>
      <c r="Q12" s="23">
        <f t="shared" ca="1" si="16"/>
        <v>1.7193611111111109</v>
      </c>
      <c r="R12" s="22">
        <f t="shared" ca="1" si="17"/>
        <v>2913.8987835629587</v>
      </c>
      <c r="S12" s="23">
        <f t="shared" ca="1" si="18"/>
        <v>4.3861345352365229</v>
      </c>
      <c r="T12" s="22">
        <f t="shared" ca="1" si="5"/>
        <v>11094.993333333332</v>
      </c>
      <c r="U12" s="23">
        <f t="shared" ca="1" si="6"/>
        <v>1.7193611111111107</v>
      </c>
      <c r="V12" s="22">
        <f t="shared" ca="1" si="7"/>
        <v>21975.428903765012</v>
      </c>
      <c r="W12" s="23">
        <f t="shared" ca="1" si="8"/>
        <v>4.3861345352365229</v>
      </c>
      <c r="X12" s="24" t="s">
        <v>9</v>
      </c>
    </row>
    <row r="13" spans="1:41" ht="15.75" x14ac:dyDescent="0.3">
      <c r="A13" s="20">
        <v>38869</v>
      </c>
      <c r="B13" s="21">
        <f t="shared" si="9"/>
        <v>2040</v>
      </c>
      <c r="C13" s="21">
        <f t="shared" si="10"/>
        <v>1499</v>
      </c>
      <c r="D13" s="21">
        <v>541</v>
      </c>
      <c r="E13" s="22">
        <v>4080</v>
      </c>
      <c r="F13" s="23">
        <v>8.5000000000000006E-2</v>
      </c>
      <c r="G13" s="22">
        <f t="shared" ca="1" si="0"/>
        <v>241.73333333333332</v>
      </c>
      <c r="H13" s="22">
        <f t="shared" ca="1" si="1"/>
        <v>5533.0466666666671</v>
      </c>
      <c r="I13" s="23">
        <f t="shared" ca="1" si="2"/>
        <v>1.712277777777778</v>
      </c>
      <c r="J13" s="22">
        <f t="shared" ca="1" si="3"/>
        <v>10911.757033307755</v>
      </c>
      <c r="K13" s="23">
        <f t="shared" ca="1" si="4"/>
        <v>4.3489005065234094</v>
      </c>
      <c r="L13" s="22">
        <f t="shared" ca="1" si="11"/>
        <v>4065.7043888888888</v>
      </c>
      <c r="M13" s="23">
        <f t="shared" ca="1" si="12"/>
        <v>1.7122777777777778</v>
      </c>
      <c r="N13" s="22">
        <f t="shared" ca="1" si="13"/>
        <v>8018.0018592785909</v>
      </c>
      <c r="O13" s="23">
        <f t="shared" ca="1" si="14"/>
        <v>4.3489005065234094</v>
      </c>
      <c r="P13" s="22">
        <f t="shared" ca="1" si="15"/>
        <v>1467.3422777777778</v>
      </c>
      <c r="Q13" s="23">
        <f t="shared" ca="1" si="16"/>
        <v>1.7122777777777778</v>
      </c>
      <c r="R13" s="22">
        <f t="shared" ca="1" si="17"/>
        <v>2893.7551740291647</v>
      </c>
      <c r="S13" s="23">
        <f t="shared" ca="1" si="18"/>
        <v>4.3489005065234094</v>
      </c>
      <c r="T13" s="22">
        <f t="shared" ca="1" si="5"/>
        <v>11066.093333333334</v>
      </c>
      <c r="U13" s="23">
        <f t="shared" ca="1" si="6"/>
        <v>1.712277777777778</v>
      </c>
      <c r="V13" s="22">
        <f t="shared" ca="1" si="7"/>
        <v>21823.514066615509</v>
      </c>
      <c r="W13" s="23">
        <f t="shared" ca="1" si="8"/>
        <v>4.3489005065234094</v>
      </c>
      <c r="X13" s="24" t="s">
        <v>9</v>
      </c>
    </row>
    <row r="14" spans="1:41" ht="15.75" x14ac:dyDescent="0.3">
      <c r="A14" s="20">
        <v>38899</v>
      </c>
      <c r="B14" s="21">
        <f t="shared" si="9"/>
        <v>2040</v>
      </c>
      <c r="C14" s="21">
        <f t="shared" si="10"/>
        <v>1499</v>
      </c>
      <c r="D14" s="21">
        <v>541</v>
      </c>
      <c r="E14" s="22">
        <v>4080</v>
      </c>
      <c r="F14" s="23">
        <v>8.5000000000000006E-2</v>
      </c>
      <c r="G14" s="22">
        <f t="shared" ca="1" si="0"/>
        <v>240.73333333333332</v>
      </c>
      <c r="H14" s="22">
        <f t="shared" ca="1" si="1"/>
        <v>5518.5966666666664</v>
      </c>
      <c r="I14" s="23">
        <f t="shared" ca="1" si="2"/>
        <v>1.7051944444444442</v>
      </c>
      <c r="J14" s="22">
        <f t="shared" ca="1" si="3"/>
        <v>10836.324703864311</v>
      </c>
      <c r="K14" s="23">
        <f t="shared" ca="1" si="4"/>
        <v>4.3119238744432895</v>
      </c>
      <c r="L14" s="22">
        <f t="shared" ca="1" si="11"/>
        <v>4055.0864722222223</v>
      </c>
      <c r="M14" s="23">
        <f t="shared" ca="1" si="12"/>
        <v>1.7051944444444445</v>
      </c>
      <c r="N14" s="22">
        <f t="shared" ca="1" si="13"/>
        <v>7962.5738877904905</v>
      </c>
      <c r="O14" s="23">
        <f t="shared" ca="1" si="14"/>
        <v>4.3119238744432895</v>
      </c>
      <c r="P14" s="22">
        <f t="shared" ca="1" si="15"/>
        <v>1463.5101944444446</v>
      </c>
      <c r="Q14" s="23">
        <f t="shared" ca="1" si="16"/>
        <v>1.7051944444444447</v>
      </c>
      <c r="R14" s="22">
        <f t="shared" ca="1" si="17"/>
        <v>2873.7508160738198</v>
      </c>
      <c r="S14" s="23">
        <f t="shared" ca="1" si="18"/>
        <v>4.3119238744432895</v>
      </c>
      <c r="T14" s="22">
        <f t="shared" ca="1" si="5"/>
        <v>11037.193333333333</v>
      </c>
      <c r="U14" s="23">
        <f t="shared" ca="1" si="6"/>
        <v>1.7051944444444442</v>
      </c>
      <c r="V14" s="22">
        <f t="shared" ca="1" si="7"/>
        <v>21672.649407728622</v>
      </c>
      <c r="W14" s="23">
        <f t="shared" ca="1" si="8"/>
        <v>4.3119238744432895</v>
      </c>
      <c r="X14" s="24" t="s">
        <v>9</v>
      </c>
    </row>
    <row r="15" spans="1:41" ht="15.75" x14ac:dyDescent="0.3">
      <c r="A15" s="20">
        <v>38930</v>
      </c>
      <c r="B15" s="21">
        <f t="shared" si="9"/>
        <v>2489</v>
      </c>
      <c r="C15" s="21">
        <f t="shared" si="10"/>
        <v>1948</v>
      </c>
      <c r="D15" s="21">
        <v>541</v>
      </c>
      <c r="E15" s="22">
        <v>4978</v>
      </c>
      <c r="F15" s="23">
        <v>8.5000000000000006E-2</v>
      </c>
      <c r="G15" s="22">
        <f t="shared" ca="1" si="0"/>
        <v>239.73333333333332</v>
      </c>
      <c r="H15" s="22">
        <f t="shared" ca="1" si="1"/>
        <v>6715.5985555555553</v>
      </c>
      <c r="I15" s="23">
        <f t="shared" ca="1" si="2"/>
        <v>1.6981111111111111</v>
      </c>
      <c r="J15" s="22">
        <f t="shared" ca="1" si="3"/>
        <v>13129.979917615328</v>
      </c>
      <c r="K15" s="23">
        <f t="shared" ca="1" si="4"/>
        <v>4.2752028596284966</v>
      </c>
      <c r="L15" s="22">
        <f t="shared" ca="1" si="11"/>
        <v>5255.920444444444</v>
      </c>
      <c r="M15" s="23">
        <f t="shared" ca="1" si="12"/>
        <v>1.6981111111111109</v>
      </c>
      <c r="N15" s="22">
        <f t="shared" ca="1" si="13"/>
        <v>10276.095170556311</v>
      </c>
      <c r="O15" s="23">
        <f t="shared" ca="1" si="14"/>
        <v>4.2752028596284966</v>
      </c>
      <c r="P15" s="22">
        <f t="shared" ca="1" si="15"/>
        <v>1459.6781111111113</v>
      </c>
      <c r="Q15" s="23">
        <f t="shared" ca="1" si="16"/>
        <v>1.6981111111111116</v>
      </c>
      <c r="R15" s="22">
        <f t="shared" ca="1" si="17"/>
        <v>2853.8847470590167</v>
      </c>
      <c r="S15" s="23">
        <f t="shared" ca="1" si="18"/>
        <v>4.2752028596284966</v>
      </c>
      <c r="T15" s="22">
        <f t="shared" ca="1" si="5"/>
        <v>13431.197111111111</v>
      </c>
      <c r="U15" s="23">
        <f t="shared" ca="1" si="6"/>
        <v>1.6981111111111111</v>
      </c>
      <c r="V15" s="22">
        <f t="shared" ca="1" si="7"/>
        <v>26259.959835230657</v>
      </c>
      <c r="W15" s="23">
        <f t="shared" ca="1" si="8"/>
        <v>4.2752028596284966</v>
      </c>
      <c r="X15" s="24" t="s">
        <v>9</v>
      </c>
    </row>
    <row r="16" spans="1:41" ht="15.75" x14ac:dyDescent="0.3">
      <c r="A16" s="20">
        <v>38961</v>
      </c>
      <c r="B16" s="21">
        <f t="shared" si="9"/>
        <v>2489</v>
      </c>
      <c r="C16" s="21">
        <f t="shared" si="10"/>
        <v>1948</v>
      </c>
      <c r="D16" s="21">
        <v>541</v>
      </c>
      <c r="E16" s="22">
        <v>4978</v>
      </c>
      <c r="F16" s="23">
        <v>8.5000000000000006E-2</v>
      </c>
      <c r="G16" s="22">
        <f t="shared" ca="1" si="0"/>
        <v>238.73333333333332</v>
      </c>
      <c r="H16" s="22">
        <f t="shared" ca="1" si="1"/>
        <v>6697.9681388888894</v>
      </c>
      <c r="I16" s="23">
        <f t="shared" ca="1" si="2"/>
        <v>1.691027777777778</v>
      </c>
      <c r="J16" s="22">
        <f t="shared" ca="1" si="3"/>
        <v>13039.213144884943</v>
      </c>
      <c r="K16" s="23">
        <f t="shared" ca="1" si="4"/>
        <v>4.2387356950120303</v>
      </c>
      <c r="L16" s="22">
        <f t="shared" ca="1" si="11"/>
        <v>5242.1221111111117</v>
      </c>
      <c r="M16" s="23">
        <f t="shared" ca="1" si="12"/>
        <v>1.691027777777778</v>
      </c>
      <c r="N16" s="22">
        <f t="shared" ca="1" si="13"/>
        <v>10205.057133883434</v>
      </c>
      <c r="O16" s="23">
        <f t="shared" ca="1" si="14"/>
        <v>4.2387356950120303</v>
      </c>
      <c r="P16" s="22">
        <f t="shared" ca="1" si="15"/>
        <v>1455.8460277777776</v>
      </c>
      <c r="Q16" s="23">
        <f t="shared" ca="1" si="16"/>
        <v>1.6910277777777776</v>
      </c>
      <c r="R16" s="22">
        <f t="shared" ca="1" si="17"/>
        <v>2834.1560110015084</v>
      </c>
      <c r="S16" s="23">
        <f t="shared" ca="1" si="18"/>
        <v>4.2387356950120303</v>
      </c>
      <c r="T16" s="22">
        <f t="shared" ca="1" si="5"/>
        <v>13395.936277777779</v>
      </c>
      <c r="U16" s="23">
        <f t="shared" ca="1" si="6"/>
        <v>1.691027777777778</v>
      </c>
      <c r="V16" s="22">
        <f t="shared" ca="1" si="7"/>
        <v>26078.426289769886</v>
      </c>
      <c r="W16" s="23">
        <f t="shared" ca="1" si="8"/>
        <v>4.2387356950120303</v>
      </c>
      <c r="X16" s="24" t="s">
        <v>9</v>
      </c>
    </row>
    <row r="17" spans="1:24" ht="15.75" x14ac:dyDescent="0.3">
      <c r="A17" s="20">
        <v>38991</v>
      </c>
      <c r="B17" s="21">
        <f t="shared" si="9"/>
        <v>2489</v>
      </c>
      <c r="C17" s="21">
        <f t="shared" si="10"/>
        <v>1948</v>
      </c>
      <c r="D17" s="21">
        <v>541</v>
      </c>
      <c r="E17" s="22">
        <v>4978</v>
      </c>
      <c r="F17" s="23">
        <v>8.5000000000000006E-2</v>
      </c>
      <c r="G17" s="22">
        <f t="shared" ca="1" si="0"/>
        <v>237.73333333333332</v>
      </c>
      <c r="H17" s="22">
        <f t="shared" ca="1" si="1"/>
        <v>6680.3377222222225</v>
      </c>
      <c r="I17" s="23">
        <f t="shared" ca="1" si="2"/>
        <v>1.6839444444444445</v>
      </c>
      <c r="J17" s="22">
        <f t="shared" ca="1" si="3"/>
        <v>12949.073837473135</v>
      </c>
      <c r="K17" s="23">
        <f t="shared" ca="1" si="4"/>
        <v>4.2025206257425216</v>
      </c>
      <c r="L17" s="22">
        <f t="shared" ca="1" si="11"/>
        <v>5228.3237777777777</v>
      </c>
      <c r="M17" s="23">
        <f t="shared" ca="1" si="12"/>
        <v>1.6839444444444445</v>
      </c>
      <c r="N17" s="22">
        <f t="shared" ca="1" si="13"/>
        <v>10134.510178946432</v>
      </c>
      <c r="O17" s="23">
        <f t="shared" ca="1" si="14"/>
        <v>4.2025206257425216</v>
      </c>
      <c r="P17" s="22">
        <f t="shared" ca="1" si="15"/>
        <v>1452.0139444444444</v>
      </c>
      <c r="Q17" s="23">
        <f t="shared" ca="1" si="16"/>
        <v>1.6839444444444445</v>
      </c>
      <c r="R17" s="22">
        <f t="shared" ca="1" si="17"/>
        <v>2814.5636585267043</v>
      </c>
      <c r="S17" s="23">
        <f t="shared" ca="1" si="18"/>
        <v>4.2025206257425216</v>
      </c>
      <c r="T17" s="22">
        <f t="shared" ca="1" si="5"/>
        <v>13360.675444444445</v>
      </c>
      <c r="U17" s="23">
        <f t="shared" ca="1" si="6"/>
        <v>1.6839444444444445</v>
      </c>
      <c r="V17" s="22">
        <f t="shared" ca="1" si="7"/>
        <v>25898.147674946271</v>
      </c>
      <c r="W17" s="23">
        <f t="shared" ca="1" si="8"/>
        <v>4.2025206257425216</v>
      </c>
      <c r="X17" s="24" t="s">
        <v>9</v>
      </c>
    </row>
    <row r="18" spans="1:24" ht="15.75" x14ac:dyDescent="0.3">
      <c r="A18" s="20">
        <v>39022</v>
      </c>
      <c r="B18" s="21">
        <f t="shared" si="9"/>
        <v>2489</v>
      </c>
      <c r="C18" s="21">
        <f t="shared" si="10"/>
        <v>1948</v>
      </c>
      <c r="D18" s="21">
        <v>541</v>
      </c>
      <c r="E18" s="22">
        <v>4978</v>
      </c>
      <c r="F18" s="23">
        <v>8.5000000000000006E-2</v>
      </c>
      <c r="G18" s="22">
        <f t="shared" ca="1" si="0"/>
        <v>236.73333333333332</v>
      </c>
      <c r="H18" s="22">
        <f t="shared" ca="1" si="1"/>
        <v>6662.7073055555556</v>
      </c>
      <c r="I18" s="23">
        <f t="shared" ca="1" si="2"/>
        <v>1.6768611111111111</v>
      </c>
      <c r="J18" s="22">
        <f t="shared" ca="1" si="3"/>
        <v>12859.557657749359</v>
      </c>
      <c r="K18" s="23">
        <f t="shared" ca="1" si="4"/>
        <v>4.1665559090997828</v>
      </c>
      <c r="L18" s="22">
        <f t="shared" ca="1" si="11"/>
        <v>5214.5254444444454</v>
      </c>
      <c r="M18" s="23">
        <f t="shared" ca="1" si="12"/>
        <v>1.6768611111111116</v>
      </c>
      <c r="N18" s="22">
        <f t="shared" ca="1" si="13"/>
        <v>10064.450910926376</v>
      </c>
      <c r="O18" s="23">
        <f t="shared" ca="1" si="14"/>
        <v>4.1665559090997828</v>
      </c>
      <c r="P18" s="22">
        <f t="shared" ca="1" si="15"/>
        <v>1448.1818611111112</v>
      </c>
      <c r="Q18" s="23">
        <f t="shared" ca="1" si="16"/>
        <v>1.6768611111111111</v>
      </c>
      <c r="R18" s="22">
        <f t="shared" ca="1" si="17"/>
        <v>2795.1067468229826</v>
      </c>
      <c r="S18" s="23">
        <f t="shared" ca="1" si="18"/>
        <v>4.1665559090997828</v>
      </c>
      <c r="T18" s="22">
        <f t="shared" ca="1" si="5"/>
        <v>13325.414611111111</v>
      </c>
      <c r="U18" s="23">
        <f t="shared" ca="1" si="6"/>
        <v>1.6768611111111111</v>
      </c>
      <c r="V18" s="22">
        <f t="shared" ca="1" si="7"/>
        <v>25719.115315498719</v>
      </c>
      <c r="W18" s="23">
        <f t="shared" ca="1" si="8"/>
        <v>4.1665559090997828</v>
      </c>
      <c r="X18" s="24" t="s">
        <v>9</v>
      </c>
    </row>
    <row r="19" spans="1:24" ht="15.75" x14ac:dyDescent="0.3">
      <c r="A19" s="20">
        <v>39052</v>
      </c>
      <c r="B19" s="21">
        <f t="shared" si="9"/>
        <v>2489</v>
      </c>
      <c r="C19" s="21">
        <f t="shared" si="10"/>
        <v>1948</v>
      </c>
      <c r="D19" s="21">
        <v>541</v>
      </c>
      <c r="E19" s="22">
        <v>4978</v>
      </c>
      <c r="F19" s="23">
        <v>8.5000000000000006E-2</v>
      </c>
      <c r="G19" s="22">
        <f t="shared" ca="1" si="0"/>
        <v>235.73333333333332</v>
      </c>
      <c r="H19" s="22">
        <f t="shared" ca="1" si="1"/>
        <v>6645.0768888888897</v>
      </c>
      <c r="I19" s="23">
        <f t="shared" ca="1" si="2"/>
        <v>1.669777777777778</v>
      </c>
      <c r="J19" s="22">
        <f t="shared" ca="1" si="3"/>
        <v>12770.66029806884</v>
      </c>
      <c r="K19" s="23">
        <f t="shared" ca="1" si="4"/>
        <v>4.1308398144109439</v>
      </c>
      <c r="L19" s="22">
        <f t="shared" ca="1" si="11"/>
        <v>5200.7271111111113</v>
      </c>
      <c r="M19" s="23">
        <f t="shared" ca="1" si="12"/>
        <v>1.6697777777777778</v>
      </c>
      <c r="N19" s="22">
        <f t="shared" ca="1" si="13"/>
        <v>9994.8759584725194</v>
      </c>
      <c r="O19" s="23">
        <f t="shared" ca="1" si="14"/>
        <v>4.1308398144109439</v>
      </c>
      <c r="P19" s="22">
        <f t="shared" ca="1" si="15"/>
        <v>1444.3497777777779</v>
      </c>
      <c r="Q19" s="23">
        <f t="shared" ca="1" si="16"/>
        <v>1.669777777777778</v>
      </c>
      <c r="R19" s="22">
        <f t="shared" ca="1" si="17"/>
        <v>2775.7843395963205</v>
      </c>
      <c r="S19" s="23">
        <f t="shared" ca="1" si="18"/>
        <v>4.1308398144109439</v>
      </c>
      <c r="T19" s="22">
        <f t="shared" ca="1" si="5"/>
        <v>13290.153777777779</v>
      </c>
      <c r="U19" s="23">
        <f t="shared" ca="1" si="6"/>
        <v>1.669777777777778</v>
      </c>
      <c r="V19" s="22">
        <f t="shared" ca="1" si="7"/>
        <v>25541.320596137681</v>
      </c>
      <c r="W19" s="23">
        <f t="shared" ca="1" si="8"/>
        <v>4.1308398144109439</v>
      </c>
      <c r="X19" s="24" t="s">
        <v>9</v>
      </c>
    </row>
    <row r="20" spans="1:24" ht="15.75" x14ac:dyDescent="0.3">
      <c r="A20" s="20">
        <v>39083</v>
      </c>
      <c r="B20" s="21">
        <f t="shared" si="9"/>
        <v>2489</v>
      </c>
      <c r="C20" s="21">
        <f t="shared" si="10"/>
        <v>1948</v>
      </c>
      <c r="D20" s="21">
        <v>541</v>
      </c>
      <c r="E20" s="22">
        <v>4978</v>
      </c>
      <c r="F20" s="23">
        <v>8.5000000000000006E-2</v>
      </c>
      <c r="G20" s="22">
        <f t="shared" ca="1" si="0"/>
        <v>234.73333333333332</v>
      </c>
      <c r="H20" s="22">
        <f t="shared" ca="1" si="1"/>
        <v>6627.4464722222228</v>
      </c>
      <c r="I20" s="23">
        <f t="shared" ca="1" si="2"/>
        <v>1.6626944444444447</v>
      </c>
      <c r="J20" s="22">
        <f t="shared" ca="1" si="3"/>
        <v>12682.377480565319</v>
      </c>
      <c r="K20" s="23">
        <f t="shared" ca="1" si="4"/>
        <v>4.0953706229671836</v>
      </c>
      <c r="L20" s="22">
        <f t="shared" ca="1" si="11"/>
        <v>5186.9287777777772</v>
      </c>
      <c r="M20" s="23">
        <f t="shared" ca="1" si="12"/>
        <v>1.6626944444444443</v>
      </c>
      <c r="N20" s="22">
        <f t="shared" ca="1" si="13"/>
        <v>9925.7819735400735</v>
      </c>
      <c r="O20" s="23">
        <f t="shared" ca="1" si="14"/>
        <v>4.0953706229671836</v>
      </c>
      <c r="P20" s="22">
        <f t="shared" ca="1" si="15"/>
        <v>1440.5176944444447</v>
      </c>
      <c r="Q20" s="23">
        <f t="shared" ca="1" si="16"/>
        <v>1.6626944444444449</v>
      </c>
      <c r="R20" s="22">
        <f t="shared" ca="1" si="17"/>
        <v>2756.5955070252462</v>
      </c>
      <c r="S20" s="23">
        <f t="shared" ca="1" si="18"/>
        <v>4.0953706229671836</v>
      </c>
      <c r="T20" s="22">
        <f t="shared" ca="1" si="5"/>
        <v>13254.892944444446</v>
      </c>
      <c r="U20" s="23">
        <f t="shared" ca="1" si="6"/>
        <v>1.6626944444444447</v>
      </c>
      <c r="V20" s="22">
        <f t="shared" ca="1" si="7"/>
        <v>25364.754961130639</v>
      </c>
      <c r="W20" s="23">
        <f t="shared" ca="1" si="8"/>
        <v>4.0953706229671836</v>
      </c>
      <c r="X20" s="24" t="s">
        <v>9</v>
      </c>
    </row>
    <row r="21" spans="1:24" ht="15.75" x14ac:dyDescent="0.3">
      <c r="A21" s="20">
        <v>39114</v>
      </c>
      <c r="B21" s="21">
        <f t="shared" si="9"/>
        <v>2489</v>
      </c>
      <c r="C21" s="21">
        <f t="shared" si="10"/>
        <v>1948</v>
      </c>
      <c r="D21" s="21">
        <v>541</v>
      </c>
      <c r="E21" s="22">
        <v>4978</v>
      </c>
      <c r="F21" s="23">
        <v>8.5000000000000006E-2</v>
      </c>
      <c r="G21" s="22">
        <f t="shared" ca="1" si="0"/>
        <v>233.73333333333332</v>
      </c>
      <c r="H21" s="22">
        <f t="shared" ca="1" si="1"/>
        <v>6609.816055555556</v>
      </c>
      <c r="I21" s="23">
        <f t="shared" ca="1" si="2"/>
        <v>1.6556111111111114</v>
      </c>
      <c r="J21" s="22">
        <f t="shared" ca="1" si="3"/>
        <v>12594.704956945157</v>
      </c>
      <c r="K21" s="23">
        <f t="shared" ca="1" si="4"/>
        <v>4.0601466279410037</v>
      </c>
      <c r="L21" s="22">
        <f t="shared" ca="1" si="11"/>
        <v>5173.1304444444449</v>
      </c>
      <c r="M21" s="23">
        <f t="shared" ca="1" si="12"/>
        <v>1.6556111111111114</v>
      </c>
      <c r="N21" s="22">
        <f t="shared" ca="1" si="13"/>
        <v>9857.1656312290743</v>
      </c>
      <c r="O21" s="23">
        <f t="shared" ca="1" si="14"/>
        <v>4.0601466279410028</v>
      </c>
      <c r="P21" s="22">
        <f t="shared" ca="1" si="15"/>
        <v>1436.685611111111</v>
      </c>
      <c r="Q21" s="23">
        <f t="shared" ca="1" si="16"/>
        <v>1.6556111111111109</v>
      </c>
      <c r="R21" s="22">
        <f t="shared" ca="1" si="17"/>
        <v>2737.5393257160831</v>
      </c>
      <c r="S21" s="23">
        <f t="shared" ca="1" si="18"/>
        <v>4.0601466279410037</v>
      </c>
      <c r="T21" s="22">
        <f t="shared" ca="1" si="5"/>
        <v>13219.632111111112</v>
      </c>
      <c r="U21" s="23">
        <f t="shared" ca="1" si="6"/>
        <v>1.6556111111111114</v>
      </c>
      <c r="V21" s="22">
        <f t="shared" ca="1" si="7"/>
        <v>25189.409913890315</v>
      </c>
      <c r="W21" s="23">
        <f t="shared" ca="1" si="8"/>
        <v>4.0601466279410037</v>
      </c>
      <c r="X21" s="24" t="s">
        <v>9</v>
      </c>
    </row>
    <row r="22" spans="1:24" ht="15.75" x14ac:dyDescent="0.3">
      <c r="A22" s="20">
        <v>39142</v>
      </c>
      <c r="B22" s="21">
        <f t="shared" si="9"/>
        <v>2489</v>
      </c>
      <c r="C22" s="21">
        <f t="shared" si="10"/>
        <v>1948</v>
      </c>
      <c r="D22" s="21">
        <v>541</v>
      </c>
      <c r="E22" s="22">
        <v>4978</v>
      </c>
      <c r="F22" s="23">
        <v>8.5000000000000006E-2</v>
      </c>
      <c r="G22" s="22">
        <f t="shared" ca="1" si="0"/>
        <v>232.73333333333332</v>
      </c>
      <c r="H22" s="22">
        <f t="shared" ca="1" si="1"/>
        <v>6592.1856388888891</v>
      </c>
      <c r="I22" s="23">
        <f t="shared" ca="1" si="2"/>
        <v>1.6485277777777778</v>
      </c>
      <c r="J22" s="22">
        <f t="shared" ca="1" si="3"/>
        <v>12507.638508282918</v>
      </c>
      <c r="K22" s="23">
        <f t="shared" ca="1" si="4"/>
        <v>4.0251661343041052</v>
      </c>
      <c r="L22" s="22">
        <f t="shared" ca="1" si="11"/>
        <v>5159.3321111111109</v>
      </c>
      <c r="M22" s="23">
        <f t="shared" ca="1" si="12"/>
        <v>1.6485277777777776</v>
      </c>
      <c r="N22" s="22">
        <f t="shared" ca="1" si="13"/>
        <v>9789.0236296243966</v>
      </c>
      <c r="O22" s="23">
        <f t="shared" ca="1" si="14"/>
        <v>4.0251661343041052</v>
      </c>
      <c r="P22" s="22">
        <f t="shared" ca="1" si="15"/>
        <v>1432.8535277777778</v>
      </c>
      <c r="Q22" s="23">
        <f t="shared" ca="1" si="16"/>
        <v>1.6485277777777778</v>
      </c>
      <c r="R22" s="22">
        <f t="shared" ca="1" si="17"/>
        <v>2718.6148786585209</v>
      </c>
      <c r="S22" s="23">
        <f t="shared" ca="1" si="18"/>
        <v>4.0251661343041052</v>
      </c>
      <c r="T22" s="22">
        <f t="shared" ca="1" si="5"/>
        <v>13184.371277777778</v>
      </c>
      <c r="U22" s="23">
        <f t="shared" ca="1" si="6"/>
        <v>1.6485277777777778</v>
      </c>
      <c r="V22" s="22">
        <f t="shared" ca="1" si="7"/>
        <v>25015.277016565837</v>
      </c>
      <c r="W22" s="23">
        <f t="shared" ca="1" si="8"/>
        <v>4.0251661343041052</v>
      </c>
      <c r="X22" s="24" t="s">
        <v>9</v>
      </c>
    </row>
    <row r="23" spans="1:24" ht="15.75" x14ac:dyDescent="0.3">
      <c r="A23" s="20">
        <v>39173</v>
      </c>
      <c r="B23" s="21">
        <f t="shared" si="9"/>
        <v>2489</v>
      </c>
      <c r="C23" s="21">
        <f t="shared" si="10"/>
        <v>1948</v>
      </c>
      <c r="D23" s="21">
        <v>541</v>
      </c>
      <c r="E23" s="22">
        <v>4978</v>
      </c>
      <c r="F23" s="23">
        <v>8.5000000000000006E-2</v>
      </c>
      <c r="G23" s="22">
        <f t="shared" ca="1" si="0"/>
        <v>231.73333333333332</v>
      </c>
      <c r="H23" s="22">
        <f t="shared" ca="1" si="1"/>
        <v>6574.5552222222232</v>
      </c>
      <c r="I23" s="23">
        <f t="shared" ca="1" si="2"/>
        <v>1.6414444444444449</v>
      </c>
      <c r="J23" s="22">
        <f t="shared" ca="1" si="3"/>
        <v>12421.173944818356</v>
      </c>
      <c r="K23" s="23">
        <f t="shared" ca="1" si="4"/>
        <v>3.9904274587458239</v>
      </c>
      <c r="L23" s="22">
        <f t="shared" ca="1" si="11"/>
        <v>5145.5337777777786</v>
      </c>
      <c r="M23" s="23">
        <f t="shared" ca="1" si="12"/>
        <v>1.6414444444444449</v>
      </c>
      <c r="N23" s="22">
        <f t="shared" ca="1" si="13"/>
        <v>9721.3526896368658</v>
      </c>
      <c r="O23" s="23">
        <f t="shared" ca="1" si="14"/>
        <v>3.9904274587458244</v>
      </c>
      <c r="P23" s="22">
        <f t="shared" ca="1" si="15"/>
        <v>1429.0214444444446</v>
      </c>
      <c r="Q23" s="23">
        <f t="shared" ca="1" si="16"/>
        <v>1.6414444444444447</v>
      </c>
      <c r="R23" s="22">
        <f t="shared" ca="1" si="17"/>
        <v>2699.8212551814909</v>
      </c>
      <c r="S23" s="23">
        <f t="shared" ca="1" si="18"/>
        <v>3.9904274587458239</v>
      </c>
      <c r="T23" s="22">
        <f t="shared" ca="1" si="5"/>
        <v>13149.110444444446</v>
      </c>
      <c r="U23" s="23">
        <f t="shared" ca="1" si="6"/>
        <v>1.6414444444444449</v>
      </c>
      <c r="V23" s="22">
        <f t="shared" ca="1" si="7"/>
        <v>24842.347889636712</v>
      </c>
      <c r="W23" s="23">
        <f t="shared" ca="1" si="8"/>
        <v>3.9904274587458239</v>
      </c>
      <c r="X23" s="24" t="s">
        <v>9</v>
      </c>
    </row>
    <row r="24" spans="1:24" ht="15.75" x14ac:dyDescent="0.3">
      <c r="A24" s="20">
        <v>39203</v>
      </c>
      <c r="B24" s="21">
        <f t="shared" si="9"/>
        <v>2489</v>
      </c>
      <c r="C24" s="21">
        <f t="shared" si="10"/>
        <v>1948</v>
      </c>
      <c r="D24" s="21">
        <v>541</v>
      </c>
      <c r="E24" s="22">
        <v>4978</v>
      </c>
      <c r="F24" s="23">
        <v>8.5000000000000006E-2</v>
      </c>
      <c r="G24" s="22">
        <f t="shared" ca="1" si="0"/>
        <v>230.73333333333332</v>
      </c>
      <c r="H24" s="22">
        <f t="shared" ca="1" si="1"/>
        <v>6556.9248055555563</v>
      </c>
      <c r="I24" s="23">
        <f t="shared" ca="1" si="2"/>
        <v>1.6343611111111114</v>
      </c>
      <c r="J24" s="22">
        <f t="shared" ca="1" si="3"/>
        <v>12335.30710575478</v>
      </c>
      <c r="K24" s="23">
        <f t="shared" ca="1" si="4"/>
        <v>3.9559289295921176</v>
      </c>
      <c r="L24" s="22">
        <f t="shared" ca="1" si="11"/>
        <v>5131.7354444444445</v>
      </c>
      <c r="M24" s="23">
        <f t="shared" ca="1" si="12"/>
        <v>1.6343611111111112</v>
      </c>
      <c r="N24" s="22">
        <f t="shared" ca="1" si="13"/>
        <v>9654.1495548454441</v>
      </c>
      <c r="O24" s="23">
        <f t="shared" ca="1" si="14"/>
        <v>3.9559289295921172</v>
      </c>
      <c r="P24" s="22">
        <f t="shared" ca="1" si="15"/>
        <v>1425.1893611111113</v>
      </c>
      <c r="Q24" s="23">
        <f t="shared" ca="1" si="16"/>
        <v>1.6343611111111116</v>
      </c>
      <c r="R24" s="22">
        <f t="shared" ca="1" si="17"/>
        <v>2681.1575509093354</v>
      </c>
      <c r="S24" s="23">
        <f t="shared" ca="1" si="18"/>
        <v>3.9559289295921172</v>
      </c>
      <c r="T24" s="22">
        <f t="shared" ca="1" si="5"/>
        <v>13113.849611111113</v>
      </c>
      <c r="U24" s="23">
        <f t="shared" ca="1" si="6"/>
        <v>1.6343611111111114</v>
      </c>
      <c r="V24" s="22">
        <f t="shared" ca="1" si="7"/>
        <v>24670.614211509561</v>
      </c>
      <c r="W24" s="23">
        <f t="shared" ca="1" si="8"/>
        <v>3.9559289295921176</v>
      </c>
      <c r="X24" s="24" t="s">
        <v>9</v>
      </c>
    </row>
    <row r="25" spans="1:24" ht="15.75" x14ac:dyDescent="0.3">
      <c r="A25" s="20">
        <v>39234</v>
      </c>
      <c r="B25" s="21">
        <f t="shared" si="9"/>
        <v>2489</v>
      </c>
      <c r="C25" s="21">
        <f t="shared" si="10"/>
        <v>1948</v>
      </c>
      <c r="D25" s="21">
        <v>541</v>
      </c>
      <c r="E25" s="22">
        <v>4978</v>
      </c>
      <c r="F25" s="23">
        <v>8.5000000000000006E-2</v>
      </c>
      <c r="G25" s="22">
        <f t="shared" ca="1" si="0"/>
        <v>229.73333333333332</v>
      </c>
      <c r="H25" s="22">
        <f t="shared" ca="1" si="1"/>
        <v>6539.2943888888894</v>
      </c>
      <c r="I25" s="23">
        <f t="shared" ca="1" si="2"/>
        <v>1.627277777777778</v>
      </c>
      <c r="J25" s="22">
        <f t="shared" ca="1" si="3"/>
        <v>12250.03385905884</v>
      </c>
      <c r="K25" s="23">
        <f t="shared" ca="1" si="4"/>
        <v>3.9216688867251266</v>
      </c>
      <c r="L25" s="22">
        <f t="shared" ca="1" si="11"/>
        <v>5117.9371111111104</v>
      </c>
      <c r="M25" s="23">
        <f t="shared" ca="1" si="12"/>
        <v>1.6272777777777774</v>
      </c>
      <c r="N25" s="22">
        <f t="shared" ca="1" si="13"/>
        <v>9587.4109913405464</v>
      </c>
      <c r="O25" s="23">
        <f t="shared" ca="1" si="14"/>
        <v>3.9216688867251266</v>
      </c>
      <c r="P25" s="22">
        <f t="shared" ca="1" si="15"/>
        <v>1421.3572777777777</v>
      </c>
      <c r="Q25" s="23">
        <f t="shared" ca="1" si="16"/>
        <v>1.6272777777777776</v>
      </c>
      <c r="R25" s="22">
        <f t="shared" ca="1" si="17"/>
        <v>2662.6228677182935</v>
      </c>
      <c r="S25" s="23">
        <f t="shared" ca="1" si="18"/>
        <v>3.9216688867251266</v>
      </c>
      <c r="T25" s="22">
        <f t="shared" ca="1" si="5"/>
        <v>13078.588777777779</v>
      </c>
      <c r="U25" s="23">
        <f t="shared" ca="1" si="6"/>
        <v>1.627277777777778</v>
      </c>
      <c r="V25" s="22">
        <f t="shared" ca="1" si="7"/>
        <v>24500.06771811768</v>
      </c>
      <c r="W25" s="23">
        <f t="shared" ca="1" si="8"/>
        <v>3.9216688867251266</v>
      </c>
      <c r="X25" s="24" t="s">
        <v>9</v>
      </c>
    </row>
    <row r="26" spans="1:24" ht="15.75" x14ac:dyDescent="0.3">
      <c r="A26" s="20">
        <v>39264</v>
      </c>
      <c r="B26" s="21">
        <f t="shared" si="9"/>
        <v>2489</v>
      </c>
      <c r="C26" s="21">
        <f t="shared" si="10"/>
        <v>1948</v>
      </c>
      <c r="D26" s="21">
        <v>541</v>
      </c>
      <c r="E26" s="22">
        <v>4978</v>
      </c>
      <c r="F26" s="23">
        <v>8.5000000000000006E-2</v>
      </c>
      <c r="G26" s="22">
        <f t="shared" ca="1" si="0"/>
        <v>228.73333333333332</v>
      </c>
      <c r="H26" s="22">
        <f t="shared" ca="1" si="1"/>
        <v>6521.6639722222226</v>
      </c>
      <c r="I26" s="23">
        <f t="shared" ca="1" si="2"/>
        <v>1.6201944444444445</v>
      </c>
      <c r="J26" s="22">
        <f t="shared" ca="1" si="3"/>
        <v>12165.350101261698</v>
      </c>
      <c r="K26" s="23">
        <f t="shared" ca="1" si="4"/>
        <v>3.8876456815032938</v>
      </c>
      <c r="L26" s="22">
        <f t="shared" ca="1" si="11"/>
        <v>5104.1387777777782</v>
      </c>
      <c r="M26" s="23">
        <f t="shared" ca="1" si="12"/>
        <v>1.6201944444444447</v>
      </c>
      <c r="N26" s="22">
        <f t="shared" ca="1" si="13"/>
        <v>9521.1337875684167</v>
      </c>
      <c r="O26" s="23">
        <f t="shared" ca="1" si="14"/>
        <v>3.8876456815032938</v>
      </c>
      <c r="P26" s="22">
        <f t="shared" ca="1" si="15"/>
        <v>1417.5251944444444</v>
      </c>
      <c r="Q26" s="23">
        <f t="shared" ca="1" si="16"/>
        <v>1.6201944444444445</v>
      </c>
      <c r="R26" s="22">
        <f t="shared" ca="1" si="17"/>
        <v>2644.2163136932818</v>
      </c>
      <c r="S26" s="23">
        <f t="shared" ca="1" si="18"/>
        <v>3.8876456815032934</v>
      </c>
      <c r="T26" s="22">
        <f t="shared" ca="1" si="5"/>
        <v>13043.327944444445</v>
      </c>
      <c r="U26" s="23">
        <f t="shared" ca="1" si="6"/>
        <v>1.6201944444444445</v>
      </c>
      <c r="V26" s="22">
        <f t="shared" ca="1" si="7"/>
        <v>24330.700202523396</v>
      </c>
      <c r="W26" s="23">
        <f t="shared" ca="1" si="8"/>
        <v>3.8876456815032938</v>
      </c>
      <c r="X26" s="24" t="s">
        <v>9</v>
      </c>
    </row>
    <row r="27" spans="1:24" ht="15.75" x14ac:dyDescent="0.3">
      <c r="A27" s="20">
        <v>39295</v>
      </c>
      <c r="B27" s="21">
        <f t="shared" si="9"/>
        <v>2987</v>
      </c>
      <c r="C27" s="21">
        <f t="shared" si="10"/>
        <v>2446</v>
      </c>
      <c r="D27" s="21">
        <v>541</v>
      </c>
      <c r="E27" s="22">
        <v>5974</v>
      </c>
      <c r="F27" s="23">
        <v>8.5000000000000006E-2</v>
      </c>
      <c r="G27" s="22">
        <f t="shared" ca="1" si="0"/>
        <v>227.73333333333332</v>
      </c>
      <c r="H27" s="22">
        <f t="shared" ca="1" si="1"/>
        <v>7805.3628888888888</v>
      </c>
      <c r="I27" s="23">
        <f t="shared" ca="1" si="2"/>
        <v>1.6131111111111112</v>
      </c>
      <c r="J27" s="22">
        <f t="shared" ca="1" si="3"/>
        <v>14498.47288024919</v>
      </c>
      <c r="K27" s="23">
        <f t="shared" ca="1" si="4"/>
        <v>3.853857676682019</v>
      </c>
      <c r="L27" s="22">
        <f t="shared" ca="1" si="11"/>
        <v>6391.6697777777772</v>
      </c>
      <c r="M27" s="23">
        <f t="shared" ca="1" si="12"/>
        <v>1.6131111111111109</v>
      </c>
      <c r="N27" s="22">
        <f t="shared" ca="1" si="13"/>
        <v>11872.535877164217</v>
      </c>
      <c r="O27" s="23">
        <f t="shared" ca="1" si="14"/>
        <v>3.8538576766820185</v>
      </c>
      <c r="P27" s="22">
        <f t="shared" ca="1" si="15"/>
        <v>1413.6931111111112</v>
      </c>
      <c r="Q27" s="23">
        <f t="shared" ca="1" si="16"/>
        <v>1.6131111111111112</v>
      </c>
      <c r="R27" s="22">
        <f t="shared" ca="1" si="17"/>
        <v>2625.9370030849718</v>
      </c>
      <c r="S27" s="23">
        <f t="shared" ca="1" si="18"/>
        <v>3.8538576766820181</v>
      </c>
      <c r="T27" s="22">
        <f t="shared" ca="1" si="5"/>
        <v>15610.725777777778</v>
      </c>
      <c r="U27" s="23">
        <f t="shared" ca="1" si="6"/>
        <v>1.6131111111111112</v>
      </c>
      <c r="V27" s="22">
        <f t="shared" ca="1" si="7"/>
        <v>28996.94576049838</v>
      </c>
      <c r="W27" s="23">
        <f t="shared" ca="1" si="8"/>
        <v>3.853857676682019</v>
      </c>
      <c r="X27" s="24" t="s">
        <v>9</v>
      </c>
    </row>
    <row r="28" spans="1:24" ht="15.75" x14ac:dyDescent="0.3">
      <c r="A28" s="20">
        <v>39326</v>
      </c>
      <c r="B28" s="21">
        <f t="shared" si="9"/>
        <v>2987</v>
      </c>
      <c r="C28" s="21">
        <f t="shared" si="10"/>
        <v>2446</v>
      </c>
      <c r="D28" s="21">
        <v>541</v>
      </c>
      <c r="E28" s="22">
        <v>5974</v>
      </c>
      <c r="F28" s="23">
        <v>8.5000000000000006E-2</v>
      </c>
      <c r="G28" s="22">
        <f t="shared" ca="1" si="0"/>
        <v>226.73333333333332</v>
      </c>
      <c r="H28" s="22">
        <f t="shared" ca="1" si="1"/>
        <v>7784.2049722222218</v>
      </c>
      <c r="I28" s="23">
        <f t="shared" ca="1" si="2"/>
        <v>1.6060277777777776</v>
      </c>
      <c r="J28" s="22">
        <f t="shared" ca="1" si="3"/>
        <v>14398.245796802266</v>
      </c>
      <c r="K28" s="23">
        <f t="shared" ca="1" si="4"/>
        <v>3.8203032463348734</v>
      </c>
      <c r="L28" s="22">
        <f t="shared" ca="1" si="11"/>
        <v>6374.3439444444448</v>
      </c>
      <c r="M28" s="23">
        <f t="shared" ca="1" si="12"/>
        <v>1.6060277777777778</v>
      </c>
      <c r="N28" s="22">
        <f t="shared" ca="1" si="13"/>
        <v>11790.4617405351</v>
      </c>
      <c r="O28" s="23">
        <f t="shared" ca="1" si="14"/>
        <v>3.8203032463348734</v>
      </c>
      <c r="P28" s="22">
        <f t="shared" ca="1" si="15"/>
        <v>1409.861027777778</v>
      </c>
      <c r="Q28" s="23">
        <f t="shared" ca="1" si="16"/>
        <v>1.6060277777777781</v>
      </c>
      <c r="R28" s="22">
        <f t="shared" ca="1" si="17"/>
        <v>2607.7840562671663</v>
      </c>
      <c r="S28" s="23">
        <f t="shared" ca="1" si="18"/>
        <v>3.8203032463348729</v>
      </c>
      <c r="T28" s="22">
        <f t="shared" ca="1" si="5"/>
        <v>15568.409944444444</v>
      </c>
      <c r="U28" s="23">
        <f t="shared" ca="1" si="6"/>
        <v>1.6060277777777776</v>
      </c>
      <c r="V28" s="22">
        <f t="shared" ca="1" si="7"/>
        <v>28796.491593604533</v>
      </c>
      <c r="W28" s="23">
        <f t="shared" ca="1" si="8"/>
        <v>3.8203032463348734</v>
      </c>
      <c r="X28" s="24" t="s">
        <v>9</v>
      </c>
    </row>
    <row r="29" spans="1:24" ht="15.75" x14ac:dyDescent="0.3">
      <c r="A29" s="20">
        <v>39356</v>
      </c>
      <c r="B29" s="21">
        <f t="shared" si="9"/>
        <v>2987</v>
      </c>
      <c r="C29" s="21">
        <f t="shared" si="10"/>
        <v>2446</v>
      </c>
      <c r="D29" s="21">
        <v>541</v>
      </c>
      <c r="E29" s="22">
        <v>5974</v>
      </c>
      <c r="F29" s="23">
        <v>8.5000000000000006E-2</v>
      </c>
      <c r="G29" s="22">
        <f t="shared" ca="1" si="0"/>
        <v>225.73333333333332</v>
      </c>
      <c r="H29" s="22">
        <f t="shared" ca="1" si="1"/>
        <v>7763.0470555555557</v>
      </c>
      <c r="I29" s="23">
        <f t="shared" ca="1" si="2"/>
        <v>1.5989444444444445</v>
      </c>
      <c r="J29" s="22">
        <f t="shared" ca="1" si="3"/>
        <v>14298.711577241033</v>
      </c>
      <c r="K29" s="23">
        <f t="shared" ca="1" si="4"/>
        <v>3.7869807757753708</v>
      </c>
      <c r="L29" s="22">
        <f t="shared" ca="1" si="11"/>
        <v>6357.0181111111106</v>
      </c>
      <c r="M29" s="23">
        <f t="shared" ca="1" si="12"/>
        <v>1.5989444444444443</v>
      </c>
      <c r="N29" s="22">
        <f t="shared" ca="1" si="13"/>
        <v>11708.954977546557</v>
      </c>
      <c r="O29" s="23">
        <f t="shared" ca="1" si="14"/>
        <v>3.7869807757753708</v>
      </c>
      <c r="P29" s="22">
        <f t="shared" ca="1" si="15"/>
        <v>1406.0289444444447</v>
      </c>
      <c r="Q29" s="23">
        <f t="shared" ca="1" si="16"/>
        <v>1.5989444444444449</v>
      </c>
      <c r="R29" s="22">
        <f t="shared" ca="1" si="17"/>
        <v>2589.7565996944754</v>
      </c>
      <c r="S29" s="23">
        <f t="shared" ca="1" si="18"/>
        <v>3.7869807757753704</v>
      </c>
      <c r="T29" s="22">
        <f t="shared" ca="1" si="5"/>
        <v>15526.094111111111</v>
      </c>
      <c r="U29" s="23">
        <f t="shared" ca="1" si="6"/>
        <v>1.5989444444444445</v>
      </c>
      <c r="V29" s="22">
        <f t="shared" ca="1" si="7"/>
        <v>28597.423154482065</v>
      </c>
      <c r="W29" s="23">
        <f t="shared" ca="1" si="8"/>
        <v>3.7869807757753708</v>
      </c>
      <c r="X29" s="24" t="s">
        <v>9</v>
      </c>
    </row>
    <row r="30" spans="1:24" ht="15.75" x14ac:dyDescent="0.3">
      <c r="A30" s="20">
        <v>39387</v>
      </c>
      <c r="B30" s="21">
        <f t="shared" si="9"/>
        <v>2987</v>
      </c>
      <c r="C30" s="21">
        <f t="shared" si="10"/>
        <v>2446</v>
      </c>
      <c r="D30" s="21">
        <v>541</v>
      </c>
      <c r="E30" s="22">
        <v>5974</v>
      </c>
      <c r="F30" s="23">
        <v>8.5000000000000006E-2</v>
      </c>
      <c r="G30" s="22">
        <f t="shared" ca="1" si="0"/>
        <v>224.73333333333332</v>
      </c>
      <c r="H30" s="22">
        <f t="shared" ca="1" si="1"/>
        <v>7741.8891388888887</v>
      </c>
      <c r="I30" s="23">
        <f t="shared" ca="1" si="2"/>
        <v>1.5918611111111112</v>
      </c>
      <c r="J30" s="22">
        <f t="shared" ca="1" si="3"/>
        <v>14199.86543183852</v>
      </c>
      <c r="K30" s="23">
        <f t="shared" ca="1" si="4"/>
        <v>3.7538886614792499</v>
      </c>
      <c r="L30" s="22">
        <f t="shared" ca="1" si="11"/>
        <v>6339.6922777777781</v>
      </c>
      <c r="M30" s="23">
        <f t="shared" ca="1" si="12"/>
        <v>1.5918611111111112</v>
      </c>
      <c r="N30" s="22">
        <f t="shared" ca="1" si="13"/>
        <v>11628.011665978245</v>
      </c>
      <c r="O30" s="23">
        <f t="shared" ca="1" si="14"/>
        <v>3.7538886614792499</v>
      </c>
      <c r="P30" s="22">
        <f t="shared" ca="1" si="15"/>
        <v>1402.196861111111</v>
      </c>
      <c r="Q30" s="23">
        <f t="shared" ca="1" si="16"/>
        <v>1.5918611111111109</v>
      </c>
      <c r="R30" s="22">
        <f t="shared" ca="1" si="17"/>
        <v>2571.8537658602741</v>
      </c>
      <c r="S30" s="23">
        <f t="shared" ca="1" si="18"/>
        <v>3.7538886614792495</v>
      </c>
      <c r="T30" s="22">
        <f t="shared" ca="1" si="5"/>
        <v>15483.778277777777</v>
      </c>
      <c r="U30" s="23">
        <f t="shared" ca="1" si="6"/>
        <v>1.5918611111111112</v>
      </c>
      <c r="V30" s="22">
        <f t="shared" ca="1" si="7"/>
        <v>28399.730863677039</v>
      </c>
      <c r="W30" s="23">
        <f t="shared" ca="1" si="8"/>
        <v>3.7538886614792499</v>
      </c>
      <c r="X30" s="24" t="s">
        <v>9</v>
      </c>
    </row>
    <row r="31" spans="1:24" ht="15.75" x14ac:dyDescent="0.3">
      <c r="A31" s="20">
        <v>39417</v>
      </c>
      <c r="B31" s="21">
        <f t="shared" si="9"/>
        <v>2987</v>
      </c>
      <c r="C31" s="21">
        <f t="shared" si="10"/>
        <v>2446</v>
      </c>
      <c r="D31" s="21">
        <v>541</v>
      </c>
      <c r="E31" s="22">
        <v>5974</v>
      </c>
      <c r="F31" s="23">
        <v>8.5000000000000006E-2</v>
      </c>
      <c r="G31" s="22">
        <f t="shared" ca="1" si="0"/>
        <v>223.73333333333332</v>
      </c>
      <c r="H31" s="22">
        <f t="shared" ca="1" si="1"/>
        <v>7720.7312222222217</v>
      </c>
      <c r="I31" s="23">
        <f t="shared" ca="1" si="2"/>
        <v>1.5847777777777776</v>
      </c>
      <c r="J31" s="22">
        <f t="shared" ca="1" si="3"/>
        <v>14101.702603978851</v>
      </c>
      <c r="K31" s="23">
        <f t="shared" ca="1" si="4"/>
        <v>3.721025311007315</v>
      </c>
      <c r="L31" s="22">
        <f t="shared" ca="1" si="11"/>
        <v>6322.3664444444439</v>
      </c>
      <c r="M31" s="23">
        <f t="shared" ca="1" si="12"/>
        <v>1.5847777777777776</v>
      </c>
      <c r="N31" s="22">
        <f t="shared" ca="1" si="13"/>
        <v>11547.627910723893</v>
      </c>
      <c r="O31" s="23">
        <f t="shared" ca="1" si="14"/>
        <v>3.7210253110073155</v>
      </c>
      <c r="P31" s="22">
        <f t="shared" ca="1" si="15"/>
        <v>1398.3647777777778</v>
      </c>
      <c r="Q31" s="23">
        <f t="shared" ca="1" si="16"/>
        <v>1.5847777777777778</v>
      </c>
      <c r="R31" s="22">
        <f t="shared" ca="1" si="17"/>
        <v>2554.0746932549573</v>
      </c>
      <c r="S31" s="23">
        <f t="shared" ca="1" si="18"/>
        <v>3.7210253110073146</v>
      </c>
      <c r="T31" s="22">
        <f t="shared" ca="1" si="5"/>
        <v>15441.462444444443</v>
      </c>
      <c r="U31" s="23">
        <f t="shared" ca="1" si="6"/>
        <v>1.5847777777777776</v>
      </c>
      <c r="V31" s="22">
        <f t="shared" ca="1" si="7"/>
        <v>28203.405207957701</v>
      </c>
      <c r="W31" s="23">
        <f t="shared" ca="1" si="8"/>
        <v>3.721025311007315</v>
      </c>
      <c r="X31" s="24" t="s">
        <v>9</v>
      </c>
    </row>
    <row r="32" spans="1:24" ht="15.75" x14ac:dyDescent="0.3">
      <c r="A32" s="20">
        <v>39448</v>
      </c>
      <c r="B32" s="21">
        <f t="shared" si="9"/>
        <v>5292</v>
      </c>
      <c r="C32" s="21">
        <f t="shared" si="10"/>
        <v>4751</v>
      </c>
      <c r="D32" s="21">
        <v>541</v>
      </c>
      <c r="E32" s="22">
        <v>10584</v>
      </c>
      <c r="F32" s="23">
        <v>8.5000000000000006E-2</v>
      </c>
      <c r="G32" s="22">
        <f t="shared" ca="1" si="0"/>
        <v>222.73333333333332</v>
      </c>
      <c r="H32" s="22">
        <f t="shared" ca="1" si="1"/>
        <v>13641.159000000001</v>
      </c>
      <c r="I32" s="23">
        <f t="shared" ca="1" si="2"/>
        <v>1.5776944444444447</v>
      </c>
      <c r="J32" s="22">
        <f t="shared" ca="1" si="3"/>
        <v>24810.955344379308</v>
      </c>
      <c r="K32" s="23">
        <f t="shared" ca="1" si="4"/>
        <v>3.6883891429288185</v>
      </c>
      <c r="L32" s="22">
        <f t="shared" ca="1" si="11"/>
        <v>12246.626305555557</v>
      </c>
      <c r="M32" s="23">
        <f t="shared" ca="1" si="12"/>
        <v>1.5776944444444447</v>
      </c>
      <c r="N32" s="22">
        <f t="shared" ca="1" si="13"/>
        <v>22274.536818054818</v>
      </c>
      <c r="O32" s="23">
        <f t="shared" ca="1" si="14"/>
        <v>3.6883891429288185</v>
      </c>
      <c r="P32" s="22">
        <f t="shared" ca="1" si="15"/>
        <v>1394.5326944444446</v>
      </c>
      <c r="Q32" s="23">
        <f t="shared" ca="1" si="16"/>
        <v>1.5776944444444447</v>
      </c>
      <c r="R32" s="22">
        <f t="shared" ca="1" si="17"/>
        <v>2536.4185263244908</v>
      </c>
      <c r="S32" s="23">
        <f t="shared" ca="1" si="18"/>
        <v>3.6883891429288185</v>
      </c>
      <c r="T32" s="22">
        <f t="shared" ca="1" si="5"/>
        <v>27282.318000000003</v>
      </c>
      <c r="U32" s="23">
        <f t="shared" ca="1" si="6"/>
        <v>1.5776944444444447</v>
      </c>
      <c r="V32" s="22">
        <f t="shared" ca="1" si="7"/>
        <v>49621.910688758617</v>
      </c>
      <c r="W32" s="23">
        <f t="shared" ca="1" si="8"/>
        <v>3.6883891429288185</v>
      </c>
      <c r="X32" s="24" t="s">
        <v>9</v>
      </c>
    </row>
    <row r="33" spans="1:24" ht="15.75" x14ac:dyDescent="0.3">
      <c r="A33" s="25">
        <v>39448</v>
      </c>
      <c r="B33" s="26">
        <f t="shared" si="9"/>
        <v>2844</v>
      </c>
      <c r="C33" s="26">
        <f t="shared" si="10"/>
        <v>2844</v>
      </c>
      <c r="D33" s="26">
        <v>0</v>
      </c>
      <c r="E33" s="27">
        <v>5688</v>
      </c>
      <c r="F33" s="28">
        <v>8.5000000000000006E-2</v>
      </c>
      <c r="G33" s="27">
        <f t="shared" ca="1" si="0"/>
        <v>222.73333333333332</v>
      </c>
      <c r="H33" s="27">
        <f t="shared" ca="1" si="1"/>
        <v>7330.9629999999997</v>
      </c>
      <c r="I33" s="28">
        <f t="shared" ca="1" si="2"/>
        <v>1.5776944444444443</v>
      </c>
      <c r="J33" s="27">
        <f t="shared" ca="1" si="3"/>
        <v>13333.778722489562</v>
      </c>
      <c r="K33" s="28">
        <f t="shared" ca="1" si="4"/>
        <v>3.6883891429288194</v>
      </c>
      <c r="L33" s="27">
        <f t="shared" ca="1" si="11"/>
        <v>7330.9629999999997</v>
      </c>
      <c r="M33" s="28">
        <f t="shared" ca="1" si="12"/>
        <v>1.5776944444444443</v>
      </c>
      <c r="N33" s="27">
        <f t="shared" ca="1" si="13"/>
        <v>13333.778722489562</v>
      </c>
      <c r="O33" s="28">
        <f t="shared" ca="1" si="14"/>
        <v>3.6883891429288194</v>
      </c>
      <c r="P33" s="27">
        <f t="shared" ca="1" si="15"/>
        <v>0</v>
      </c>
      <c r="Q33" s="28">
        <v>0</v>
      </c>
      <c r="R33" s="27">
        <f t="shared" ca="1" si="17"/>
        <v>0</v>
      </c>
      <c r="S33" s="28">
        <v>0</v>
      </c>
      <c r="T33" s="27">
        <f t="shared" ca="1" si="5"/>
        <v>14661.925999999999</v>
      </c>
      <c r="U33" s="28">
        <f t="shared" ca="1" si="6"/>
        <v>1.5776944444444443</v>
      </c>
      <c r="V33" s="27">
        <f t="shared" ca="1" si="7"/>
        <v>26667.557444979124</v>
      </c>
      <c r="W33" s="28">
        <f t="shared" ca="1" si="8"/>
        <v>3.6883891429288194</v>
      </c>
      <c r="X33" s="29" t="s">
        <v>10</v>
      </c>
    </row>
    <row r="34" spans="1:24" ht="15.75" x14ac:dyDescent="0.3">
      <c r="A34" s="25">
        <v>39479</v>
      </c>
      <c r="B34" s="26">
        <f t="shared" si="9"/>
        <v>4008</v>
      </c>
      <c r="C34" s="26">
        <f t="shared" si="10"/>
        <v>4008</v>
      </c>
      <c r="D34" s="26">
        <v>0</v>
      </c>
      <c r="E34" s="27">
        <v>8016</v>
      </c>
      <c r="F34" s="28">
        <v>8.5000000000000006E-2</v>
      </c>
      <c r="G34" s="27">
        <f t="shared" ca="1" si="0"/>
        <v>221.73333333333332</v>
      </c>
      <c r="H34" s="27">
        <f t="shared" ca="1" si="1"/>
        <v>10303.009333333332</v>
      </c>
      <c r="I34" s="28">
        <f t="shared" ca="1" si="2"/>
        <v>1.5706111111111107</v>
      </c>
      <c r="J34" s="27">
        <f t="shared" ca="1" si="3"/>
        <v>18661.162175675323</v>
      </c>
      <c r="K34" s="28">
        <f t="shared" ca="1" si="4"/>
        <v>3.65597858674534</v>
      </c>
      <c r="L34" s="27">
        <f t="shared" ca="1" si="11"/>
        <v>10303.009333333332</v>
      </c>
      <c r="M34" s="28">
        <f t="shared" ca="1" si="12"/>
        <v>1.5706111111111107</v>
      </c>
      <c r="N34" s="27">
        <f t="shared" ca="1" si="13"/>
        <v>18661.162175675323</v>
      </c>
      <c r="O34" s="28">
        <f t="shared" ca="1" si="14"/>
        <v>3.65597858674534</v>
      </c>
      <c r="P34" s="27">
        <f t="shared" ca="1" si="15"/>
        <v>0</v>
      </c>
      <c r="Q34" s="28">
        <v>0</v>
      </c>
      <c r="R34" s="27">
        <f t="shared" ca="1" si="17"/>
        <v>0</v>
      </c>
      <c r="S34" s="28">
        <v>0</v>
      </c>
      <c r="T34" s="27">
        <f t="shared" ca="1" si="5"/>
        <v>20606.018666666663</v>
      </c>
      <c r="U34" s="28">
        <f t="shared" ca="1" si="6"/>
        <v>1.5706111111111107</v>
      </c>
      <c r="V34" s="27">
        <f t="shared" ca="1" si="7"/>
        <v>37322.324351350646</v>
      </c>
      <c r="W34" s="28">
        <f t="shared" ca="1" si="8"/>
        <v>3.65597858674534</v>
      </c>
      <c r="X34" s="29" t="s">
        <v>10</v>
      </c>
    </row>
    <row r="35" spans="1:24" ht="15.75" x14ac:dyDescent="0.3">
      <c r="A35" s="25">
        <v>39508</v>
      </c>
      <c r="B35" s="26">
        <f t="shared" si="9"/>
        <v>4008</v>
      </c>
      <c r="C35" s="26">
        <f t="shared" si="10"/>
        <v>4008</v>
      </c>
      <c r="D35" s="26">
        <v>0</v>
      </c>
      <c r="E35" s="27">
        <v>8016</v>
      </c>
      <c r="F35" s="28">
        <v>8.5000000000000006E-2</v>
      </c>
      <c r="G35" s="27">
        <f t="shared" ref="G35:G66" ca="1" si="20">(DAYS360(A35,NOW(),TRUE))/30</f>
        <v>220.73333333333332</v>
      </c>
      <c r="H35" s="27">
        <f t="shared" ref="H35:H66" ca="1" si="21">SUM(B35, B35*$F35*$G35/12)</f>
        <v>10274.619333333332</v>
      </c>
      <c r="I35" s="28">
        <f t="shared" ref="I35:I66" ca="1" si="22">(H35-B35)/B35</f>
        <v>1.5635277777777774</v>
      </c>
      <c r="J35" s="27">
        <f t="shared" ref="J35:J66" ca="1" si="23">PRODUCT(B35,POWER((1+$F35/2),2*$G35/12))</f>
        <v>18532.158667923428</v>
      </c>
      <c r="K35" s="28">
        <f t="shared" ref="K35:K66" ca="1" si="24">(J35-B35)/B35</f>
        <v>3.6237920828152266</v>
      </c>
      <c r="L35" s="27">
        <f t="shared" ca="1" si="11"/>
        <v>10274.619333333332</v>
      </c>
      <c r="M35" s="28">
        <f t="shared" ca="1" si="12"/>
        <v>1.5635277777777774</v>
      </c>
      <c r="N35" s="27">
        <f t="shared" ca="1" si="13"/>
        <v>18532.158667923428</v>
      </c>
      <c r="O35" s="28">
        <f t="shared" ca="1" si="14"/>
        <v>3.6237920828152266</v>
      </c>
      <c r="P35" s="27">
        <f t="shared" ca="1" si="15"/>
        <v>0</v>
      </c>
      <c r="Q35" s="28">
        <v>0</v>
      </c>
      <c r="R35" s="27">
        <f t="shared" ca="1" si="17"/>
        <v>0</v>
      </c>
      <c r="S35" s="28">
        <v>0</v>
      </c>
      <c r="T35" s="27">
        <f t="shared" ref="T35:T66" ca="1" si="25">SUM(E35, E35*$F35*$G35/12)</f>
        <v>20549.238666666664</v>
      </c>
      <c r="U35" s="28">
        <f t="shared" ref="U35:U66" ca="1" si="26">(T35-E35)/E35</f>
        <v>1.5635277777777774</v>
      </c>
      <c r="V35" s="27">
        <f t="shared" ref="V35:V66" ca="1" si="27">PRODUCT(E35,POWER((1+$F35/2),2*$G35/12))</f>
        <v>37064.317335846856</v>
      </c>
      <c r="W35" s="28">
        <f t="shared" ref="W35:W66" ca="1" si="28">(V35-E35)/E35</f>
        <v>3.6237920828152266</v>
      </c>
      <c r="X35" s="29" t="s">
        <v>10</v>
      </c>
    </row>
    <row r="36" spans="1:24" ht="15.75" x14ac:dyDescent="0.3">
      <c r="A36" s="25">
        <v>39539</v>
      </c>
      <c r="B36" s="26">
        <f t="shared" si="9"/>
        <v>4008</v>
      </c>
      <c r="C36" s="26">
        <f t="shared" si="10"/>
        <v>4008</v>
      </c>
      <c r="D36" s="26">
        <v>0</v>
      </c>
      <c r="E36" s="27">
        <v>8016</v>
      </c>
      <c r="F36" s="28">
        <v>8.5000000000000006E-2</v>
      </c>
      <c r="G36" s="27">
        <f t="shared" ca="1" si="20"/>
        <v>219.73333333333332</v>
      </c>
      <c r="H36" s="27">
        <f t="shared" ca="1" si="21"/>
        <v>10246.229333333333</v>
      </c>
      <c r="I36" s="28">
        <f t="shared" ca="1" si="22"/>
        <v>1.5564444444444443</v>
      </c>
      <c r="J36" s="27">
        <f t="shared" ca="1" si="23"/>
        <v>18404.046953772358</v>
      </c>
      <c r="K36" s="28">
        <f t="shared" ca="1" si="24"/>
        <v>3.5918280822785325</v>
      </c>
      <c r="L36" s="27">
        <f t="shared" ca="1" si="11"/>
        <v>10246.229333333333</v>
      </c>
      <c r="M36" s="28">
        <f t="shared" ca="1" si="12"/>
        <v>1.5564444444444443</v>
      </c>
      <c r="N36" s="27">
        <f t="shared" ca="1" si="13"/>
        <v>18404.046953772358</v>
      </c>
      <c r="O36" s="28">
        <f t="shared" ca="1" si="14"/>
        <v>3.5918280822785325</v>
      </c>
      <c r="P36" s="27">
        <f t="shared" ca="1" si="15"/>
        <v>0</v>
      </c>
      <c r="Q36" s="28">
        <v>0</v>
      </c>
      <c r="R36" s="27">
        <f t="shared" ca="1" si="17"/>
        <v>0</v>
      </c>
      <c r="S36" s="28">
        <v>0</v>
      </c>
      <c r="T36" s="27">
        <f t="shared" ca="1" si="25"/>
        <v>20492.458666666666</v>
      </c>
      <c r="U36" s="28">
        <f t="shared" ca="1" si="26"/>
        <v>1.5564444444444443</v>
      </c>
      <c r="V36" s="27">
        <f t="shared" ca="1" si="27"/>
        <v>36808.093907544717</v>
      </c>
      <c r="W36" s="28">
        <f t="shared" ca="1" si="28"/>
        <v>3.5918280822785325</v>
      </c>
      <c r="X36" s="29" t="s">
        <v>10</v>
      </c>
    </row>
    <row r="37" spans="1:24" ht="15.75" x14ac:dyDescent="0.3">
      <c r="A37" s="25">
        <v>39569</v>
      </c>
      <c r="B37" s="26">
        <f t="shared" si="9"/>
        <v>4008</v>
      </c>
      <c r="C37" s="26">
        <f t="shared" si="10"/>
        <v>4008</v>
      </c>
      <c r="D37" s="26">
        <v>0</v>
      </c>
      <c r="E37" s="27">
        <v>8016</v>
      </c>
      <c r="F37" s="28">
        <v>8.5000000000000006E-2</v>
      </c>
      <c r="G37" s="27">
        <f t="shared" ca="1" si="20"/>
        <v>218.73333333333332</v>
      </c>
      <c r="H37" s="27">
        <f t="shared" ca="1" si="21"/>
        <v>10217.839333333333</v>
      </c>
      <c r="I37" s="28">
        <f t="shared" ca="1" si="22"/>
        <v>1.5493611111111112</v>
      </c>
      <c r="J37" s="27">
        <f t="shared" ca="1" si="23"/>
        <v>18276.820868305833</v>
      </c>
      <c r="K37" s="28">
        <f t="shared" ca="1" si="24"/>
        <v>3.5600850469824934</v>
      </c>
      <c r="L37" s="27">
        <f t="shared" ca="1" si="11"/>
        <v>10217.839333333333</v>
      </c>
      <c r="M37" s="28">
        <f t="shared" ca="1" si="12"/>
        <v>1.5493611111111112</v>
      </c>
      <c r="N37" s="27">
        <f t="shared" ca="1" si="13"/>
        <v>18276.820868305833</v>
      </c>
      <c r="O37" s="28">
        <f t="shared" ca="1" si="14"/>
        <v>3.5600850469824934</v>
      </c>
      <c r="P37" s="27">
        <f t="shared" ca="1" si="15"/>
        <v>0</v>
      </c>
      <c r="Q37" s="28">
        <v>0</v>
      </c>
      <c r="R37" s="27">
        <f t="shared" ca="1" si="17"/>
        <v>0</v>
      </c>
      <c r="S37" s="28">
        <v>0</v>
      </c>
      <c r="T37" s="27">
        <f t="shared" ca="1" si="25"/>
        <v>20435.678666666667</v>
      </c>
      <c r="U37" s="28">
        <f t="shared" ca="1" si="26"/>
        <v>1.5493611111111112</v>
      </c>
      <c r="V37" s="27">
        <f t="shared" ca="1" si="27"/>
        <v>36553.641736611666</v>
      </c>
      <c r="W37" s="28">
        <f t="shared" ca="1" si="28"/>
        <v>3.5600850469824934</v>
      </c>
      <c r="X37" s="29" t="s">
        <v>10</v>
      </c>
    </row>
    <row r="38" spans="1:24" ht="15.75" x14ac:dyDescent="0.3">
      <c r="A38" s="25">
        <v>39600</v>
      </c>
      <c r="B38" s="26">
        <f t="shared" si="9"/>
        <v>4008</v>
      </c>
      <c r="C38" s="26">
        <f t="shared" si="10"/>
        <v>4008</v>
      </c>
      <c r="D38" s="26">
        <v>0</v>
      </c>
      <c r="E38" s="27">
        <v>8016</v>
      </c>
      <c r="F38" s="28">
        <v>8.5000000000000006E-2</v>
      </c>
      <c r="G38" s="27">
        <f t="shared" ca="1" si="20"/>
        <v>217.73333333333332</v>
      </c>
      <c r="H38" s="27">
        <f t="shared" ca="1" si="21"/>
        <v>10189.449333333334</v>
      </c>
      <c r="I38" s="28">
        <f t="shared" ca="1" si="22"/>
        <v>1.5422777777777779</v>
      </c>
      <c r="J38" s="27">
        <f t="shared" ca="1" si="23"/>
        <v>18150.474289225247</v>
      </c>
      <c r="K38" s="28">
        <f t="shared" ca="1" si="24"/>
        <v>3.5285614494074968</v>
      </c>
      <c r="L38" s="27">
        <f t="shared" ca="1" si="11"/>
        <v>10189.449333333334</v>
      </c>
      <c r="M38" s="28">
        <f t="shared" ca="1" si="12"/>
        <v>1.5422777777777779</v>
      </c>
      <c r="N38" s="27">
        <f t="shared" ca="1" si="13"/>
        <v>18150.474289225247</v>
      </c>
      <c r="O38" s="28">
        <f t="shared" ca="1" si="14"/>
        <v>3.5285614494074968</v>
      </c>
      <c r="P38" s="27">
        <f t="shared" ca="1" si="15"/>
        <v>0</v>
      </c>
      <c r="Q38" s="28">
        <v>0</v>
      </c>
      <c r="R38" s="27">
        <f t="shared" ca="1" si="17"/>
        <v>0</v>
      </c>
      <c r="S38" s="28">
        <v>0</v>
      </c>
      <c r="T38" s="27">
        <f t="shared" ca="1" si="25"/>
        <v>20378.898666666668</v>
      </c>
      <c r="U38" s="28">
        <f t="shared" ca="1" si="26"/>
        <v>1.5422777777777779</v>
      </c>
      <c r="V38" s="27">
        <f t="shared" ca="1" si="27"/>
        <v>36300.948578450494</v>
      </c>
      <c r="W38" s="28">
        <f t="shared" ca="1" si="28"/>
        <v>3.5285614494074968</v>
      </c>
      <c r="X38" s="29" t="s">
        <v>10</v>
      </c>
    </row>
    <row r="39" spans="1:24" ht="15.75" x14ac:dyDescent="0.3">
      <c r="A39" s="25">
        <v>39630</v>
      </c>
      <c r="B39" s="26">
        <f t="shared" si="9"/>
        <v>1737</v>
      </c>
      <c r="C39" s="26">
        <f t="shared" si="10"/>
        <v>1737</v>
      </c>
      <c r="D39" s="26">
        <v>0</v>
      </c>
      <c r="E39" s="27">
        <v>3474</v>
      </c>
      <c r="F39" s="28">
        <v>8.5000000000000006E-2</v>
      </c>
      <c r="G39" s="27">
        <f t="shared" ca="1" si="20"/>
        <v>216.73333333333332</v>
      </c>
      <c r="H39" s="27">
        <f t="shared" ca="1" si="21"/>
        <v>4403.6327500000007</v>
      </c>
      <c r="I39" s="28">
        <f t="shared" ca="1" si="22"/>
        <v>1.5351944444444448</v>
      </c>
      <c r="J39" s="27">
        <f t="shared" ca="1" si="23"/>
        <v>7811.733276995069</v>
      </c>
      <c r="K39" s="28">
        <f t="shared" ca="1" si="24"/>
        <v>3.4972557725935918</v>
      </c>
      <c r="L39" s="27">
        <f t="shared" ca="1" si="11"/>
        <v>4403.6327500000007</v>
      </c>
      <c r="M39" s="28">
        <f t="shared" ca="1" si="12"/>
        <v>1.5351944444444448</v>
      </c>
      <c r="N39" s="27">
        <f t="shared" ca="1" si="13"/>
        <v>7811.733276995069</v>
      </c>
      <c r="O39" s="28">
        <f t="shared" ca="1" si="14"/>
        <v>3.4972557725935918</v>
      </c>
      <c r="P39" s="27">
        <f t="shared" ca="1" si="15"/>
        <v>0</v>
      </c>
      <c r="Q39" s="28">
        <v>0</v>
      </c>
      <c r="R39" s="27">
        <f t="shared" ca="1" si="17"/>
        <v>0</v>
      </c>
      <c r="S39" s="28">
        <v>0</v>
      </c>
      <c r="T39" s="27">
        <f t="shared" ca="1" si="25"/>
        <v>8807.2655000000013</v>
      </c>
      <c r="U39" s="28">
        <f t="shared" ca="1" si="26"/>
        <v>1.5351944444444448</v>
      </c>
      <c r="V39" s="27">
        <f t="shared" ca="1" si="27"/>
        <v>15623.466553990138</v>
      </c>
      <c r="W39" s="28">
        <f t="shared" ca="1" si="28"/>
        <v>3.4972557725935918</v>
      </c>
      <c r="X39" s="29" t="s">
        <v>10</v>
      </c>
    </row>
    <row r="40" spans="1:24" ht="15.75" x14ac:dyDescent="0.3">
      <c r="A40" s="9">
        <v>39630</v>
      </c>
      <c r="B40" s="10">
        <f t="shared" si="9"/>
        <v>2400</v>
      </c>
      <c r="C40" s="10">
        <f t="shared" si="10"/>
        <v>1859</v>
      </c>
      <c r="D40" s="10">
        <v>541</v>
      </c>
      <c r="E40" s="2">
        <v>4800</v>
      </c>
      <c r="F40" s="12">
        <v>8.5000000000000006E-2</v>
      </c>
      <c r="G40" s="2">
        <f t="shared" ca="1" si="20"/>
        <v>216.73333333333332</v>
      </c>
      <c r="H40" s="2">
        <f t="shared" ca="1" si="21"/>
        <v>6084.4666666666672</v>
      </c>
      <c r="I40" s="12">
        <f t="shared" ca="1" si="22"/>
        <v>1.5351944444444448</v>
      </c>
      <c r="J40" s="2">
        <f t="shared" ca="1" si="23"/>
        <v>10793.41385422462</v>
      </c>
      <c r="K40" s="12">
        <f t="shared" ca="1" si="24"/>
        <v>3.4972557725935918</v>
      </c>
      <c r="L40" s="2">
        <f t="shared" ca="1" si="11"/>
        <v>4712.9264722222215</v>
      </c>
      <c r="M40" s="12">
        <f t="shared" ca="1" si="12"/>
        <v>1.5351944444444441</v>
      </c>
      <c r="N40" s="2">
        <f t="shared" ca="1" si="13"/>
        <v>8360.3984812514864</v>
      </c>
      <c r="O40" s="12">
        <f t="shared" ca="1" si="14"/>
        <v>3.4972557725935913</v>
      </c>
      <c r="P40" s="2">
        <f t="shared" ca="1" si="15"/>
        <v>1371.5401944444443</v>
      </c>
      <c r="Q40" s="12">
        <f t="shared" ca="1" si="16"/>
        <v>1.5351944444444441</v>
      </c>
      <c r="R40" s="2">
        <f t="shared" ca="1" si="17"/>
        <v>2433.0153729731333</v>
      </c>
      <c r="S40" s="12">
        <f t="shared" ca="1" si="18"/>
        <v>3.4972557725935918</v>
      </c>
      <c r="T40" s="2">
        <f t="shared" ca="1" si="25"/>
        <v>12168.933333333334</v>
      </c>
      <c r="U40" s="12">
        <f t="shared" ca="1" si="26"/>
        <v>1.5351944444444448</v>
      </c>
      <c r="V40" s="2">
        <f t="shared" ca="1" si="27"/>
        <v>21586.82770844924</v>
      </c>
      <c r="W40" s="12">
        <f t="shared" ca="1" si="28"/>
        <v>3.4972557725935918</v>
      </c>
      <c r="X40" s="8" t="s">
        <v>13</v>
      </c>
    </row>
    <row r="41" spans="1:24" ht="15.75" x14ac:dyDescent="0.3">
      <c r="A41" s="9">
        <v>39692</v>
      </c>
      <c r="B41" s="10">
        <f t="shared" si="9"/>
        <v>4800</v>
      </c>
      <c r="C41" s="10">
        <f t="shared" si="10"/>
        <v>4259</v>
      </c>
      <c r="D41" s="10">
        <v>541</v>
      </c>
      <c r="E41" s="2">
        <v>9600</v>
      </c>
      <c r="F41" s="12">
        <v>8.5000000000000006E-2</v>
      </c>
      <c r="G41" s="2">
        <f t="shared" ca="1" si="20"/>
        <v>214.73333333333332</v>
      </c>
      <c r="H41" s="2">
        <f t="shared" ca="1" si="21"/>
        <v>12100.933333333334</v>
      </c>
      <c r="I41" s="12">
        <f t="shared" ca="1" si="22"/>
        <v>1.5210277777777781</v>
      </c>
      <c r="J41" s="2">
        <f t="shared" ca="1" si="23"/>
        <v>21289.402395696008</v>
      </c>
      <c r="K41" s="12">
        <f t="shared" ca="1" si="24"/>
        <v>3.4352921657700017</v>
      </c>
      <c r="L41" s="2">
        <f t="shared" ca="1" si="11"/>
        <v>10737.057305555554</v>
      </c>
      <c r="M41" s="12">
        <f t="shared" ca="1" si="12"/>
        <v>1.5210277777777774</v>
      </c>
      <c r="N41" s="2">
        <f t="shared" ca="1" si="13"/>
        <v>18889.909334014439</v>
      </c>
      <c r="O41" s="12">
        <f t="shared" ca="1" si="14"/>
        <v>3.4352921657700022</v>
      </c>
      <c r="P41" s="2">
        <f t="shared" ca="1" si="15"/>
        <v>1363.8760277777778</v>
      </c>
      <c r="Q41" s="12">
        <f t="shared" ca="1" si="16"/>
        <v>1.5210277777777779</v>
      </c>
      <c r="R41" s="2">
        <f t="shared" ca="1" si="17"/>
        <v>2399.4930616815709</v>
      </c>
      <c r="S41" s="12">
        <f t="shared" ca="1" si="18"/>
        <v>3.4352921657700017</v>
      </c>
      <c r="T41" s="2">
        <f t="shared" ca="1" si="25"/>
        <v>24201.866666666669</v>
      </c>
      <c r="U41" s="12">
        <f t="shared" ca="1" si="26"/>
        <v>1.5210277777777781</v>
      </c>
      <c r="V41" s="2">
        <f t="shared" ca="1" si="27"/>
        <v>42578.804791392016</v>
      </c>
      <c r="W41" s="12">
        <f t="shared" ca="1" si="28"/>
        <v>3.4352921657700017</v>
      </c>
      <c r="X41" s="8" t="s">
        <v>13</v>
      </c>
    </row>
    <row r="42" spans="1:24" ht="15.75" x14ac:dyDescent="0.3">
      <c r="A42" s="9">
        <v>39661</v>
      </c>
      <c r="B42" s="10">
        <f t="shared" si="9"/>
        <v>4800</v>
      </c>
      <c r="C42" s="10">
        <f t="shared" si="10"/>
        <v>4259</v>
      </c>
      <c r="D42" s="10">
        <v>541</v>
      </c>
      <c r="E42" s="2">
        <v>9600</v>
      </c>
      <c r="F42" s="12">
        <v>8.5000000000000006E-2</v>
      </c>
      <c r="G42" s="2">
        <f t="shared" ca="1" si="20"/>
        <v>215.73333333333332</v>
      </c>
      <c r="H42" s="2">
        <f t="shared" ca="1" si="21"/>
        <v>12134.933333333334</v>
      </c>
      <c r="I42" s="12">
        <f t="shared" ca="1" si="22"/>
        <v>1.5281111111111114</v>
      </c>
      <c r="J42" s="2">
        <f t="shared" ca="1" si="23"/>
        <v>21437.599248323873</v>
      </c>
      <c r="K42" s="12">
        <f t="shared" ca="1" si="24"/>
        <v>3.4661665100674734</v>
      </c>
      <c r="L42" s="2">
        <f t="shared" ca="1" si="11"/>
        <v>10767.225222222223</v>
      </c>
      <c r="M42" s="12">
        <f t="shared" ca="1" si="12"/>
        <v>1.5281111111111114</v>
      </c>
      <c r="N42" s="2">
        <f t="shared" ca="1" si="13"/>
        <v>19021.403166377371</v>
      </c>
      <c r="O42" s="12">
        <f t="shared" ca="1" si="14"/>
        <v>3.4661665100674739</v>
      </c>
      <c r="P42" s="2">
        <f t="shared" ca="1" si="15"/>
        <v>1367.7081111111111</v>
      </c>
      <c r="Q42" s="12">
        <f t="shared" ca="1" si="16"/>
        <v>1.528111111111111</v>
      </c>
      <c r="R42" s="2">
        <f t="shared" ca="1" si="17"/>
        <v>2416.1960819465035</v>
      </c>
      <c r="S42" s="12">
        <f t="shared" ca="1" si="18"/>
        <v>3.4661665100674739</v>
      </c>
      <c r="T42" s="2">
        <f t="shared" ca="1" si="25"/>
        <v>24269.866666666669</v>
      </c>
      <c r="U42" s="12">
        <f t="shared" ca="1" si="26"/>
        <v>1.5281111111111114</v>
      </c>
      <c r="V42" s="2">
        <f t="shared" ca="1" si="27"/>
        <v>42875.198496647747</v>
      </c>
      <c r="W42" s="12">
        <f t="shared" ca="1" si="28"/>
        <v>3.4661665100674734</v>
      </c>
      <c r="X42" s="8" t="s">
        <v>13</v>
      </c>
    </row>
    <row r="43" spans="1:24" ht="15.75" x14ac:dyDescent="0.3">
      <c r="A43" s="9">
        <v>39722</v>
      </c>
      <c r="B43" s="10">
        <f t="shared" si="9"/>
        <v>4800</v>
      </c>
      <c r="C43" s="10">
        <f t="shared" si="10"/>
        <v>4259</v>
      </c>
      <c r="D43" s="10">
        <v>541</v>
      </c>
      <c r="E43" s="2">
        <v>9600</v>
      </c>
      <c r="F43" s="12">
        <v>8.5000000000000006E-2</v>
      </c>
      <c r="G43" s="2">
        <f t="shared" ca="1" si="20"/>
        <v>213.73333333333332</v>
      </c>
      <c r="H43" s="2">
        <f t="shared" ca="1" si="21"/>
        <v>12066.933333333334</v>
      </c>
      <c r="I43" s="12">
        <f t="shared" ca="1" si="22"/>
        <v>1.5139444444444445</v>
      </c>
      <c r="J43" s="2">
        <f t="shared" ca="1" si="23"/>
        <v>21142.230019124181</v>
      </c>
      <c r="K43" s="12">
        <f t="shared" ca="1" si="24"/>
        <v>3.4046312539842045</v>
      </c>
      <c r="L43" s="2">
        <f t="shared" ca="1" si="11"/>
        <v>10706.889388888889</v>
      </c>
      <c r="M43" s="12">
        <f t="shared" ca="1" si="12"/>
        <v>1.5139444444444443</v>
      </c>
      <c r="N43" s="2">
        <f t="shared" ca="1" si="13"/>
        <v>18759.324510718729</v>
      </c>
      <c r="O43" s="12">
        <f t="shared" ca="1" si="14"/>
        <v>3.404631253984205</v>
      </c>
      <c r="P43" s="2">
        <f t="shared" ca="1" si="15"/>
        <v>1360.0439444444446</v>
      </c>
      <c r="Q43" s="12">
        <f t="shared" ca="1" si="16"/>
        <v>1.5139444444444448</v>
      </c>
      <c r="R43" s="2">
        <f t="shared" ca="1" si="17"/>
        <v>2382.9055084054548</v>
      </c>
      <c r="S43" s="12">
        <f t="shared" ca="1" si="18"/>
        <v>3.404631253984205</v>
      </c>
      <c r="T43" s="2">
        <f t="shared" ca="1" si="25"/>
        <v>24133.866666666669</v>
      </c>
      <c r="U43" s="12">
        <f t="shared" ca="1" si="26"/>
        <v>1.5139444444444445</v>
      </c>
      <c r="V43" s="2">
        <f t="shared" ca="1" si="27"/>
        <v>42284.460038248362</v>
      </c>
      <c r="W43" s="12">
        <f t="shared" ca="1" si="28"/>
        <v>3.4046312539842045</v>
      </c>
      <c r="X43" s="8" t="s">
        <v>13</v>
      </c>
    </row>
    <row r="44" spans="1:24" ht="15.75" x14ac:dyDescent="0.3">
      <c r="A44" s="9">
        <v>39753</v>
      </c>
      <c r="B44" s="10">
        <f t="shared" si="9"/>
        <v>4800</v>
      </c>
      <c r="C44" s="10">
        <f t="shared" si="10"/>
        <v>4259</v>
      </c>
      <c r="D44" s="10">
        <v>541</v>
      </c>
      <c r="E44" s="2">
        <v>9600</v>
      </c>
      <c r="F44" s="12">
        <v>8.5000000000000006E-2</v>
      </c>
      <c r="G44" s="2">
        <f t="shared" ca="1" si="20"/>
        <v>212.73333333333332</v>
      </c>
      <c r="H44" s="2">
        <f t="shared" ca="1" si="21"/>
        <v>12032.933333333334</v>
      </c>
      <c r="I44" s="12">
        <f t="shared" ca="1" si="22"/>
        <v>1.5068611111111112</v>
      </c>
      <c r="J44" s="2">
        <f t="shared" ca="1" si="23"/>
        <v>20996.075036466158</v>
      </c>
      <c r="K44" s="12">
        <f t="shared" ca="1" si="24"/>
        <v>3.3741822992637829</v>
      </c>
      <c r="L44" s="2">
        <f t="shared" ca="1" si="11"/>
        <v>10676.721472222223</v>
      </c>
      <c r="M44" s="12">
        <f t="shared" ca="1" si="12"/>
        <v>1.5068611111111114</v>
      </c>
      <c r="N44" s="2">
        <f t="shared" ca="1" si="13"/>
        <v>18629.642412564452</v>
      </c>
      <c r="O44" s="12">
        <f t="shared" ca="1" si="14"/>
        <v>3.3741822992637829</v>
      </c>
      <c r="P44" s="2">
        <f t="shared" ca="1" si="15"/>
        <v>1356.2118611111114</v>
      </c>
      <c r="Q44" s="12">
        <f t="shared" ca="1" si="16"/>
        <v>1.5068611111111117</v>
      </c>
      <c r="R44" s="2">
        <f t="shared" ca="1" si="17"/>
        <v>2366.4326239017064</v>
      </c>
      <c r="S44" s="12">
        <f t="shared" ca="1" si="18"/>
        <v>3.3741822992637824</v>
      </c>
      <c r="T44" s="2">
        <f t="shared" ca="1" si="25"/>
        <v>24065.866666666669</v>
      </c>
      <c r="U44" s="12">
        <f t="shared" ca="1" si="26"/>
        <v>1.5068611111111112</v>
      </c>
      <c r="V44" s="2">
        <f t="shared" ca="1" si="27"/>
        <v>41992.150072932316</v>
      </c>
      <c r="W44" s="12">
        <f t="shared" ca="1" si="28"/>
        <v>3.3741822992637829</v>
      </c>
      <c r="X44" s="8" t="s">
        <v>13</v>
      </c>
    </row>
    <row r="45" spans="1:24" ht="15.75" x14ac:dyDescent="0.3">
      <c r="A45" s="9">
        <v>39783</v>
      </c>
      <c r="B45" s="10">
        <f t="shared" si="9"/>
        <v>4800</v>
      </c>
      <c r="C45" s="10">
        <f t="shared" si="10"/>
        <v>4259</v>
      </c>
      <c r="D45" s="10">
        <v>541</v>
      </c>
      <c r="E45" s="2">
        <v>9600</v>
      </c>
      <c r="F45" s="12">
        <v>8.5000000000000006E-2</v>
      </c>
      <c r="G45" s="2">
        <f t="shared" ca="1" si="20"/>
        <v>211.73333333333332</v>
      </c>
      <c r="H45" s="2">
        <f t="shared" ca="1" si="21"/>
        <v>11998.933333333334</v>
      </c>
      <c r="I45" s="12">
        <f t="shared" ca="1" si="22"/>
        <v>1.4997777777777779</v>
      </c>
      <c r="J45" s="2">
        <f t="shared" ca="1" si="23"/>
        <v>20850.930414538114</v>
      </c>
      <c r="K45" s="12">
        <f t="shared" ca="1" si="24"/>
        <v>3.343943836362107</v>
      </c>
      <c r="L45" s="2">
        <f t="shared" ca="1" si="11"/>
        <v>10646.553555555554</v>
      </c>
      <c r="M45" s="12">
        <f t="shared" ca="1" si="12"/>
        <v>1.4997777777777774</v>
      </c>
      <c r="N45" s="2">
        <f t="shared" ca="1" si="13"/>
        <v>18500.856799066212</v>
      </c>
      <c r="O45" s="12">
        <f t="shared" ca="1" si="14"/>
        <v>3.3439438363621066</v>
      </c>
      <c r="P45" s="2">
        <f t="shared" ca="1" si="15"/>
        <v>1352.3797777777777</v>
      </c>
      <c r="Q45" s="12">
        <f t="shared" ca="1" si="16"/>
        <v>1.4997777777777777</v>
      </c>
      <c r="R45" s="2">
        <f t="shared" ca="1" si="17"/>
        <v>2350.0736154718998</v>
      </c>
      <c r="S45" s="12">
        <f t="shared" ca="1" si="18"/>
        <v>3.3439438363621066</v>
      </c>
      <c r="T45" s="2">
        <f t="shared" ca="1" si="25"/>
        <v>23997.866666666669</v>
      </c>
      <c r="U45" s="12">
        <f t="shared" ca="1" si="26"/>
        <v>1.4997777777777779</v>
      </c>
      <c r="V45" s="2">
        <f t="shared" ca="1" si="27"/>
        <v>41701.860829076228</v>
      </c>
      <c r="W45" s="12">
        <f t="shared" ca="1" si="28"/>
        <v>3.343943836362107</v>
      </c>
      <c r="X45" s="8" t="s">
        <v>13</v>
      </c>
    </row>
    <row r="46" spans="1:24" ht="15.75" x14ac:dyDescent="0.3">
      <c r="A46" s="9">
        <v>39814</v>
      </c>
      <c r="B46" s="10">
        <f t="shared" si="9"/>
        <v>4800</v>
      </c>
      <c r="C46" s="10">
        <f t="shared" si="10"/>
        <v>4259</v>
      </c>
      <c r="D46" s="10">
        <v>541</v>
      </c>
      <c r="E46" s="2">
        <v>9600</v>
      </c>
      <c r="F46" s="12">
        <v>8.5000000000000006E-2</v>
      </c>
      <c r="G46" s="2">
        <f t="shared" ca="1" si="20"/>
        <v>210.73333333333332</v>
      </c>
      <c r="H46" s="2">
        <f t="shared" ca="1" si="21"/>
        <v>11964.933333333334</v>
      </c>
      <c r="I46" s="12">
        <f t="shared" ca="1" si="22"/>
        <v>1.4926944444444445</v>
      </c>
      <c r="J46" s="2">
        <f t="shared" ca="1" si="23"/>
        <v>20706.789168776249</v>
      </c>
      <c r="K46" s="12">
        <f t="shared" ca="1" si="24"/>
        <v>3.3139144101617188</v>
      </c>
      <c r="L46" s="2">
        <f t="shared" ca="1" si="11"/>
        <v>10616.385638888889</v>
      </c>
      <c r="M46" s="12">
        <f t="shared" ca="1" si="12"/>
        <v>1.4926944444444445</v>
      </c>
      <c r="N46" s="2">
        <f t="shared" ca="1" si="13"/>
        <v>18372.96147287876</v>
      </c>
      <c r="O46" s="12">
        <f t="shared" ca="1" si="14"/>
        <v>3.3139144101617188</v>
      </c>
      <c r="P46" s="2">
        <f t="shared" ca="1" si="15"/>
        <v>1348.5476944444445</v>
      </c>
      <c r="Q46" s="12">
        <f t="shared" ca="1" si="16"/>
        <v>1.4926944444444445</v>
      </c>
      <c r="R46" s="2">
        <f t="shared" ca="1" si="17"/>
        <v>2333.8276958974898</v>
      </c>
      <c r="S46" s="12">
        <f t="shared" ca="1" si="18"/>
        <v>3.3139144101617188</v>
      </c>
      <c r="T46" s="2">
        <f t="shared" ca="1" si="25"/>
        <v>23929.866666666669</v>
      </c>
      <c r="U46" s="12">
        <f t="shared" ca="1" si="26"/>
        <v>1.4926944444444445</v>
      </c>
      <c r="V46" s="2">
        <f t="shared" ca="1" si="27"/>
        <v>41413.578337552499</v>
      </c>
      <c r="W46" s="12">
        <f t="shared" ca="1" si="28"/>
        <v>3.3139144101617188</v>
      </c>
      <c r="X46" s="8" t="s">
        <v>13</v>
      </c>
    </row>
    <row r="47" spans="1:24" ht="15.75" x14ac:dyDescent="0.3">
      <c r="A47" s="9">
        <v>39845</v>
      </c>
      <c r="B47" s="10">
        <f t="shared" si="9"/>
        <v>4800</v>
      </c>
      <c r="C47" s="10">
        <f t="shared" si="10"/>
        <v>4259</v>
      </c>
      <c r="D47" s="10">
        <v>541</v>
      </c>
      <c r="E47" s="2">
        <v>9600</v>
      </c>
      <c r="F47" s="12">
        <v>8.5000000000000006E-2</v>
      </c>
      <c r="G47" s="2">
        <f t="shared" ca="1" si="20"/>
        <v>209.73333333333332</v>
      </c>
      <c r="H47" s="2">
        <f t="shared" ca="1" si="21"/>
        <v>11930.933333333334</v>
      </c>
      <c r="I47" s="12">
        <f t="shared" ca="1" si="22"/>
        <v>1.4856111111111112</v>
      </c>
      <c r="J47" s="2">
        <f t="shared" ca="1" si="23"/>
        <v>20563.644362900599</v>
      </c>
      <c r="K47" s="12">
        <f t="shared" ca="1" si="24"/>
        <v>3.2840925756042916</v>
      </c>
      <c r="L47" s="2">
        <f t="shared" ca="1" si="11"/>
        <v>10586.217722222224</v>
      </c>
      <c r="M47" s="12">
        <f t="shared" ca="1" si="12"/>
        <v>1.4856111111111114</v>
      </c>
      <c r="N47" s="2">
        <f t="shared" ca="1" si="13"/>
        <v>18245.950279498677</v>
      </c>
      <c r="O47" s="12">
        <f t="shared" ca="1" si="14"/>
        <v>3.2840925756042911</v>
      </c>
      <c r="P47" s="2">
        <f t="shared" ca="1" si="15"/>
        <v>1344.7156111111112</v>
      </c>
      <c r="Q47" s="12">
        <f t="shared" ca="1" si="16"/>
        <v>1.4856111111111114</v>
      </c>
      <c r="R47" s="2">
        <f t="shared" ca="1" si="17"/>
        <v>2317.6940834019219</v>
      </c>
      <c r="S47" s="12">
        <f t="shared" ca="1" si="18"/>
        <v>3.284092575604292</v>
      </c>
      <c r="T47" s="2">
        <f t="shared" ca="1" si="25"/>
        <v>23861.866666666669</v>
      </c>
      <c r="U47" s="12">
        <f t="shared" ca="1" si="26"/>
        <v>1.4856111111111112</v>
      </c>
      <c r="V47" s="2">
        <f t="shared" ca="1" si="27"/>
        <v>41127.288725801198</v>
      </c>
      <c r="W47" s="12">
        <f t="shared" ca="1" si="28"/>
        <v>3.2840925756042916</v>
      </c>
      <c r="X47" s="8" t="s">
        <v>13</v>
      </c>
    </row>
    <row r="48" spans="1:24" ht="15.75" x14ac:dyDescent="0.3">
      <c r="A48" s="9">
        <v>39873</v>
      </c>
      <c r="B48" s="10">
        <f t="shared" si="9"/>
        <v>4800</v>
      </c>
      <c r="C48" s="10">
        <f t="shared" si="10"/>
        <v>4259</v>
      </c>
      <c r="D48" s="10">
        <v>541</v>
      </c>
      <c r="E48" s="2">
        <v>9600</v>
      </c>
      <c r="F48" s="12">
        <v>8.5000000000000006E-2</v>
      </c>
      <c r="G48" s="2">
        <f t="shared" ca="1" si="20"/>
        <v>208.73333333333332</v>
      </c>
      <c r="H48" s="2">
        <f t="shared" ca="1" si="21"/>
        <v>11896.933333333334</v>
      </c>
      <c r="I48" s="12">
        <f t="shared" ca="1" si="22"/>
        <v>1.4785277777777779</v>
      </c>
      <c r="J48" s="2">
        <f t="shared" ca="1" si="23"/>
        <v>20421.4891085813</v>
      </c>
      <c r="K48" s="12">
        <f t="shared" ca="1" si="24"/>
        <v>3.254476897621104</v>
      </c>
      <c r="L48" s="2">
        <f t="shared" ca="1" si="11"/>
        <v>10556.049805555554</v>
      </c>
      <c r="M48" s="12">
        <f t="shared" ca="1" si="12"/>
        <v>1.4785277777777774</v>
      </c>
      <c r="N48" s="2">
        <f t="shared" ca="1" si="13"/>
        <v>18119.817106968283</v>
      </c>
      <c r="O48" s="12">
        <f t="shared" ca="1" si="14"/>
        <v>3.2544768976211045</v>
      </c>
      <c r="P48" s="2">
        <f t="shared" ca="1" si="15"/>
        <v>1340.883527777778</v>
      </c>
      <c r="Q48" s="12">
        <f t="shared" ca="1" si="16"/>
        <v>1.4785277777777781</v>
      </c>
      <c r="R48" s="2">
        <f t="shared" ca="1" si="17"/>
        <v>2301.6720016130171</v>
      </c>
      <c r="S48" s="12">
        <f t="shared" ca="1" si="18"/>
        <v>3.2544768976211036</v>
      </c>
      <c r="T48" s="2">
        <f t="shared" ca="1" si="25"/>
        <v>23793.866666666669</v>
      </c>
      <c r="U48" s="12">
        <f t="shared" ca="1" si="26"/>
        <v>1.4785277777777779</v>
      </c>
      <c r="V48" s="2">
        <f t="shared" ca="1" si="27"/>
        <v>40842.978217162599</v>
      </c>
      <c r="W48" s="12">
        <f t="shared" ca="1" si="28"/>
        <v>3.254476897621104</v>
      </c>
      <c r="X48" s="8" t="s">
        <v>13</v>
      </c>
    </row>
    <row r="49" spans="1:24" ht="15.75" x14ac:dyDescent="0.3">
      <c r="A49" s="9">
        <v>39904</v>
      </c>
      <c r="B49" s="10">
        <f t="shared" si="9"/>
        <v>4800</v>
      </c>
      <c r="C49" s="10">
        <f t="shared" si="10"/>
        <v>4259</v>
      </c>
      <c r="D49" s="10">
        <v>541</v>
      </c>
      <c r="E49" s="2">
        <v>9600</v>
      </c>
      <c r="F49" s="12">
        <v>8.5000000000000006E-2</v>
      </c>
      <c r="G49" s="2">
        <f t="shared" ca="1" si="20"/>
        <v>207.73333333333332</v>
      </c>
      <c r="H49" s="2">
        <f t="shared" ca="1" si="21"/>
        <v>11862.933333333334</v>
      </c>
      <c r="I49" s="12">
        <f t="shared" ca="1" si="22"/>
        <v>1.4714444444444446</v>
      </c>
      <c r="J49" s="2">
        <f t="shared" ca="1" si="23"/>
        <v>20280.316565107129</v>
      </c>
      <c r="K49" s="12">
        <f t="shared" ca="1" si="24"/>
        <v>3.2250659510639852</v>
      </c>
      <c r="L49" s="2">
        <f t="shared" ca="1" si="11"/>
        <v>10525.881888888889</v>
      </c>
      <c r="M49" s="12">
        <f t="shared" ca="1" si="12"/>
        <v>1.4714444444444446</v>
      </c>
      <c r="N49" s="2">
        <f t="shared" ca="1" si="13"/>
        <v>17994.555885581511</v>
      </c>
      <c r="O49" s="12">
        <f t="shared" ca="1" si="14"/>
        <v>3.2250659510639847</v>
      </c>
      <c r="P49" s="2">
        <f t="shared" ca="1" si="15"/>
        <v>1337.0514444444443</v>
      </c>
      <c r="Q49" s="12">
        <f t="shared" ca="1" si="16"/>
        <v>1.4714444444444441</v>
      </c>
      <c r="R49" s="2">
        <f t="shared" ca="1" si="17"/>
        <v>2285.7606795256156</v>
      </c>
      <c r="S49" s="12">
        <f t="shared" ca="1" si="18"/>
        <v>3.2250659510639843</v>
      </c>
      <c r="T49" s="2">
        <f t="shared" ca="1" si="25"/>
        <v>23725.866666666669</v>
      </c>
      <c r="U49" s="12">
        <f t="shared" ca="1" si="26"/>
        <v>1.4714444444444446</v>
      </c>
      <c r="V49" s="2">
        <f t="shared" ca="1" si="27"/>
        <v>40560.633130214257</v>
      </c>
      <c r="W49" s="12">
        <f t="shared" ca="1" si="28"/>
        <v>3.2250659510639852</v>
      </c>
      <c r="X49" s="8" t="s">
        <v>13</v>
      </c>
    </row>
    <row r="50" spans="1:24" ht="15.75" x14ac:dyDescent="0.3">
      <c r="A50" s="9">
        <v>39934</v>
      </c>
      <c r="B50" s="10">
        <f t="shared" si="9"/>
        <v>4800</v>
      </c>
      <c r="C50" s="10">
        <f t="shared" si="10"/>
        <v>4259</v>
      </c>
      <c r="D50" s="10">
        <v>541</v>
      </c>
      <c r="E50" s="2">
        <v>9600</v>
      </c>
      <c r="F50" s="12">
        <v>8.5000000000000006E-2</v>
      </c>
      <c r="G50" s="2">
        <f t="shared" ca="1" si="20"/>
        <v>206.73333333333332</v>
      </c>
      <c r="H50" s="2">
        <f t="shared" ca="1" si="21"/>
        <v>11828.933333333334</v>
      </c>
      <c r="I50" s="12">
        <f t="shared" ca="1" si="22"/>
        <v>1.4643611111111112</v>
      </c>
      <c r="J50" s="2">
        <f t="shared" ca="1" si="23"/>
        <v>20140.119939056265</v>
      </c>
      <c r="K50" s="12">
        <f t="shared" ca="1" si="24"/>
        <v>3.1958583206367219</v>
      </c>
      <c r="L50" s="2">
        <f t="shared" ca="1" si="11"/>
        <v>10495.713972222224</v>
      </c>
      <c r="M50" s="12">
        <f t="shared" ca="1" si="12"/>
        <v>1.4643611111111114</v>
      </c>
      <c r="N50" s="2">
        <f t="shared" ca="1" si="13"/>
        <v>17870.160587591799</v>
      </c>
      <c r="O50" s="12">
        <f t="shared" ca="1" si="14"/>
        <v>3.1958583206367219</v>
      </c>
      <c r="P50" s="2">
        <f t="shared" ca="1" si="15"/>
        <v>1333.2193611111111</v>
      </c>
      <c r="Q50" s="12">
        <f t="shared" ca="1" si="16"/>
        <v>1.464361111111111</v>
      </c>
      <c r="R50" s="2">
        <f t="shared" ca="1" si="17"/>
        <v>2269.9593514644666</v>
      </c>
      <c r="S50" s="12">
        <f t="shared" ca="1" si="18"/>
        <v>3.1958583206367219</v>
      </c>
      <c r="T50" s="2">
        <f t="shared" ca="1" si="25"/>
        <v>23657.866666666669</v>
      </c>
      <c r="U50" s="12">
        <f t="shared" ca="1" si="26"/>
        <v>1.4643611111111112</v>
      </c>
      <c r="V50" s="2">
        <f t="shared" ca="1" si="27"/>
        <v>40280.23987811253</v>
      </c>
      <c r="W50" s="12">
        <f t="shared" ca="1" si="28"/>
        <v>3.1958583206367219</v>
      </c>
      <c r="X50" s="8" t="s">
        <v>13</v>
      </c>
    </row>
    <row r="51" spans="1:24" ht="15.75" x14ac:dyDescent="0.3">
      <c r="A51" s="9">
        <v>39965</v>
      </c>
      <c r="B51" s="10">
        <f t="shared" si="9"/>
        <v>4800</v>
      </c>
      <c r="C51" s="10">
        <f t="shared" si="10"/>
        <v>4259</v>
      </c>
      <c r="D51" s="10">
        <v>541</v>
      </c>
      <c r="E51" s="2">
        <v>9600</v>
      </c>
      <c r="F51" s="12">
        <v>8.5000000000000006E-2</v>
      </c>
      <c r="G51" s="2">
        <f t="shared" ca="1" si="20"/>
        <v>205.73333333333332</v>
      </c>
      <c r="H51" s="2">
        <f t="shared" ca="1" si="21"/>
        <v>11794.933333333334</v>
      </c>
      <c r="I51" s="12">
        <f t="shared" ca="1" si="22"/>
        <v>1.4572777777777779</v>
      </c>
      <c r="J51" s="2">
        <f t="shared" ca="1" si="23"/>
        <v>20000.892483969419</v>
      </c>
      <c r="K51" s="12">
        <f t="shared" ca="1" si="24"/>
        <v>3.1668526008269624</v>
      </c>
      <c r="L51" s="2">
        <f t="shared" ca="1" si="11"/>
        <v>10465.546055555555</v>
      </c>
      <c r="M51" s="12">
        <f t="shared" ca="1" si="12"/>
        <v>1.4572777777777774</v>
      </c>
      <c r="N51" s="2">
        <f t="shared" ca="1" si="13"/>
        <v>17746.625226922031</v>
      </c>
      <c r="O51" s="12">
        <f t="shared" ca="1" si="14"/>
        <v>3.166852600826962</v>
      </c>
      <c r="P51" s="2">
        <f t="shared" ca="1" si="15"/>
        <v>1329.3872777777779</v>
      </c>
      <c r="Q51" s="12">
        <f t="shared" ca="1" si="16"/>
        <v>1.4572777777777779</v>
      </c>
      <c r="R51" s="2">
        <f t="shared" ca="1" si="17"/>
        <v>2254.2672570473865</v>
      </c>
      <c r="S51" s="12">
        <f t="shared" ca="1" si="18"/>
        <v>3.166852600826962</v>
      </c>
      <c r="T51" s="2">
        <f t="shared" ca="1" si="25"/>
        <v>23589.866666666669</v>
      </c>
      <c r="U51" s="12">
        <f t="shared" ca="1" si="26"/>
        <v>1.4572777777777779</v>
      </c>
      <c r="V51" s="2">
        <f t="shared" ca="1" si="27"/>
        <v>40001.784967938838</v>
      </c>
      <c r="W51" s="12">
        <f t="shared" ca="1" si="28"/>
        <v>3.1668526008269624</v>
      </c>
      <c r="X51" s="8" t="s">
        <v>13</v>
      </c>
    </row>
    <row r="52" spans="1:24" ht="15.75" x14ac:dyDescent="0.3">
      <c r="A52" s="9">
        <v>39995</v>
      </c>
      <c r="B52" s="10">
        <f t="shared" si="9"/>
        <v>4800</v>
      </c>
      <c r="C52" s="10">
        <f t="shared" si="10"/>
        <v>4259</v>
      </c>
      <c r="D52" s="10">
        <v>541</v>
      </c>
      <c r="E52" s="2">
        <v>9600</v>
      </c>
      <c r="F52" s="12">
        <v>8.5000000000000006E-2</v>
      </c>
      <c r="G52" s="2">
        <f t="shared" ca="1" si="20"/>
        <v>204.73333333333332</v>
      </c>
      <c r="H52" s="2">
        <f t="shared" ca="1" si="21"/>
        <v>11760.933333333334</v>
      </c>
      <c r="I52" s="12">
        <f t="shared" ca="1" si="22"/>
        <v>1.4501944444444446</v>
      </c>
      <c r="J52" s="2">
        <f t="shared" ca="1" si="23"/>
        <v>19862.627500025181</v>
      </c>
      <c r="K52" s="12">
        <f t="shared" ca="1" si="24"/>
        <v>3.1380473958385795</v>
      </c>
      <c r="L52" s="2">
        <f t="shared" ca="1" si="11"/>
        <v>10435.378138888889</v>
      </c>
      <c r="M52" s="12">
        <f t="shared" ca="1" si="12"/>
        <v>1.4501944444444446</v>
      </c>
      <c r="N52" s="2">
        <f t="shared" ca="1" si="13"/>
        <v>17623.943858876508</v>
      </c>
      <c r="O52" s="12">
        <f t="shared" ca="1" si="14"/>
        <v>3.1380473958385791</v>
      </c>
      <c r="P52" s="2">
        <f t="shared" ca="1" si="15"/>
        <v>1325.5551944444446</v>
      </c>
      <c r="Q52" s="12">
        <f t="shared" ca="1" si="16"/>
        <v>1.4501944444444448</v>
      </c>
      <c r="R52" s="2">
        <f t="shared" ca="1" si="17"/>
        <v>2238.6836411486711</v>
      </c>
      <c r="S52" s="12">
        <f t="shared" ca="1" si="18"/>
        <v>3.1380473958385786</v>
      </c>
      <c r="T52" s="2">
        <f t="shared" ca="1" si="25"/>
        <v>23521.866666666669</v>
      </c>
      <c r="U52" s="12">
        <f t="shared" ca="1" si="26"/>
        <v>1.4501944444444446</v>
      </c>
      <c r="V52" s="2">
        <f t="shared" ca="1" si="27"/>
        <v>39725.255000050362</v>
      </c>
      <c r="W52" s="12">
        <f t="shared" ca="1" si="28"/>
        <v>3.1380473958385795</v>
      </c>
      <c r="X52" s="8" t="s">
        <v>13</v>
      </c>
    </row>
    <row r="53" spans="1:24" ht="15.75" x14ac:dyDescent="0.3">
      <c r="A53" s="9">
        <v>40026</v>
      </c>
      <c r="B53" s="10">
        <f t="shared" si="9"/>
        <v>4800</v>
      </c>
      <c r="C53" s="10">
        <f t="shared" si="10"/>
        <v>4259</v>
      </c>
      <c r="D53" s="10">
        <v>541</v>
      </c>
      <c r="E53" s="2">
        <v>9600</v>
      </c>
      <c r="F53" s="12">
        <v>8.5000000000000006E-2</v>
      </c>
      <c r="G53" s="2">
        <f t="shared" ca="1" si="20"/>
        <v>203.73333333333332</v>
      </c>
      <c r="H53" s="2">
        <f t="shared" ca="1" si="21"/>
        <v>11726.933333333334</v>
      </c>
      <c r="I53" s="12">
        <f t="shared" ca="1" si="22"/>
        <v>1.4431111111111112</v>
      </c>
      <c r="J53" s="2">
        <f t="shared" ca="1" si="23"/>
        <v>19725.318333717598</v>
      </c>
      <c r="K53" s="12">
        <f t="shared" ca="1" si="24"/>
        <v>3.1094413195244996</v>
      </c>
      <c r="L53" s="2">
        <f t="shared" ca="1" si="11"/>
        <v>10405.210222222224</v>
      </c>
      <c r="M53" s="12">
        <f t="shared" ca="1" si="12"/>
        <v>1.4431111111111115</v>
      </c>
      <c r="N53" s="2">
        <f t="shared" ca="1" si="13"/>
        <v>17502.110579854845</v>
      </c>
      <c r="O53" s="12">
        <f t="shared" ca="1" si="14"/>
        <v>3.1094413195245001</v>
      </c>
      <c r="P53" s="2">
        <f t="shared" ca="1" si="15"/>
        <v>1321.7231111111114</v>
      </c>
      <c r="Q53" s="12">
        <f t="shared" ca="1" si="16"/>
        <v>1.4431111111111117</v>
      </c>
      <c r="R53" s="2">
        <f t="shared" ca="1" si="17"/>
        <v>2223.2077538627541</v>
      </c>
      <c r="S53" s="12">
        <f t="shared" ca="1" si="18"/>
        <v>3.1094413195244992</v>
      </c>
      <c r="T53" s="2">
        <f t="shared" ca="1" si="25"/>
        <v>23453.866666666669</v>
      </c>
      <c r="U53" s="12">
        <f t="shared" ca="1" si="26"/>
        <v>1.4431111111111112</v>
      </c>
      <c r="V53" s="2">
        <f t="shared" ca="1" si="27"/>
        <v>39450.636667435196</v>
      </c>
      <c r="W53" s="12">
        <f t="shared" ca="1" si="28"/>
        <v>3.1094413195244996</v>
      </c>
      <c r="X53" s="8" t="s">
        <v>13</v>
      </c>
    </row>
    <row r="54" spans="1:24" ht="15.75" x14ac:dyDescent="0.3">
      <c r="A54" s="9">
        <v>40057</v>
      </c>
      <c r="B54" s="10">
        <f t="shared" si="9"/>
        <v>4800</v>
      </c>
      <c r="C54" s="10">
        <f t="shared" si="10"/>
        <v>4259</v>
      </c>
      <c r="D54" s="10">
        <v>541</v>
      </c>
      <c r="E54" s="2">
        <v>9600</v>
      </c>
      <c r="F54" s="12">
        <v>8.5000000000000006E-2</v>
      </c>
      <c r="G54" s="2">
        <f t="shared" ca="1" si="20"/>
        <v>202.73333333333332</v>
      </c>
      <c r="H54" s="2">
        <f t="shared" ca="1" si="21"/>
        <v>11692.933333333334</v>
      </c>
      <c r="I54" s="12">
        <f t="shared" ca="1" si="22"/>
        <v>1.4360277777777779</v>
      </c>
      <c r="J54" s="2">
        <f t="shared" ca="1" si="23"/>
        <v>19588.958377536022</v>
      </c>
      <c r="K54" s="12">
        <f t="shared" ca="1" si="24"/>
        <v>3.0810329953200046</v>
      </c>
      <c r="L54" s="2">
        <f t="shared" ca="1" si="11"/>
        <v>10375.042305555555</v>
      </c>
      <c r="M54" s="12">
        <f t="shared" ca="1" si="12"/>
        <v>1.4360277777777777</v>
      </c>
      <c r="N54" s="2">
        <f t="shared" ca="1" si="13"/>
        <v>17381.119527067898</v>
      </c>
      <c r="O54" s="12">
        <f t="shared" ca="1" si="14"/>
        <v>3.0810329953200042</v>
      </c>
      <c r="P54" s="2">
        <f t="shared" ca="1" si="15"/>
        <v>1317.8910277777777</v>
      </c>
      <c r="Q54" s="12">
        <f t="shared" ca="1" si="16"/>
        <v>1.4360277777777777</v>
      </c>
      <c r="R54" s="2">
        <f t="shared" ca="1" si="17"/>
        <v>2207.8388504681225</v>
      </c>
      <c r="S54" s="12">
        <f t="shared" ca="1" si="18"/>
        <v>3.0810329953200046</v>
      </c>
      <c r="T54" s="2">
        <f t="shared" ca="1" si="25"/>
        <v>23385.866666666669</v>
      </c>
      <c r="U54" s="12">
        <f t="shared" ca="1" si="26"/>
        <v>1.4360277777777779</v>
      </c>
      <c r="V54" s="2">
        <f t="shared" ca="1" si="27"/>
        <v>39177.916755072045</v>
      </c>
      <c r="W54" s="12">
        <f t="shared" ca="1" si="28"/>
        <v>3.0810329953200046</v>
      </c>
      <c r="X54" s="8" t="s">
        <v>13</v>
      </c>
    </row>
    <row r="55" spans="1:24" ht="15.75" x14ac:dyDescent="0.3">
      <c r="A55" s="9">
        <v>40087</v>
      </c>
      <c r="B55" s="10">
        <f t="shared" si="9"/>
        <v>4800</v>
      </c>
      <c r="C55" s="10">
        <f t="shared" si="10"/>
        <v>4259</v>
      </c>
      <c r="D55" s="10">
        <v>541</v>
      </c>
      <c r="E55" s="2">
        <v>9600</v>
      </c>
      <c r="F55" s="12">
        <v>8.5000000000000006E-2</v>
      </c>
      <c r="G55" s="2">
        <f t="shared" ca="1" si="20"/>
        <v>201.73333333333332</v>
      </c>
      <c r="H55" s="2">
        <f t="shared" ca="1" si="21"/>
        <v>11658.933333333334</v>
      </c>
      <c r="I55" s="12">
        <f t="shared" ca="1" si="22"/>
        <v>1.4289444444444446</v>
      </c>
      <c r="J55" s="2">
        <f t="shared" ca="1" si="23"/>
        <v>19453.541069647126</v>
      </c>
      <c r="K55" s="12">
        <f t="shared" ca="1" si="24"/>
        <v>3.0528210561764846</v>
      </c>
      <c r="L55" s="2">
        <f t="shared" ca="1" si="11"/>
        <v>10344.874388888889</v>
      </c>
      <c r="M55" s="12">
        <f t="shared" ca="1" si="12"/>
        <v>1.4289444444444446</v>
      </c>
      <c r="N55" s="2">
        <f t="shared" ca="1" si="13"/>
        <v>17260.964878255647</v>
      </c>
      <c r="O55" s="12">
        <f t="shared" ca="1" si="14"/>
        <v>3.0528210561764846</v>
      </c>
      <c r="P55" s="2">
        <f t="shared" ca="1" si="15"/>
        <v>1314.0589444444445</v>
      </c>
      <c r="Q55" s="12">
        <f t="shared" ca="1" si="16"/>
        <v>1.4289444444444446</v>
      </c>
      <c r="R55" s="2">
        <f t="shared" ca="1" si="17"/>
        <v>2192.576191391478</v>
      </c>
      <c r="S55" s="12">
        <f t="shared" ca="1" si="18"/>
        <v>3.0528210561764841</v>
      </c>
      <c r="T55" s="2">
        <f t="shared" ca="1" si="25"/>
        <v>23317.866666666669</v>
      </c>
      <c r="U55" s="12">
        <f t="shared" ca="1" si="26"/>
        <v>1.4289444444444446</v>
      </c>
      <c r="V55" s="2">
        <f t="shared" ca="1" si="27"/>
        <v>38907.082139294253</v>
      </c>
      <c r="W55" s="12">
        <f t="shared" ca="1" si="28"/>
        <v>3.0528210561764846</v>
      </c>
      <c r="X55" s="8" t="s">
        <v>13</v>
      </c>
    </row>
    <row r="56" spans="1:24" ht="15.75" x14ac:dyDescent="0.3">
      <c r="A56" s="9">
        <v>40118</v>
      </c>
      <c r="B56" s="10">
        <f t="shared" si="9"/>
        <v>4800</v>
      </c>
      <c r="C56" s="10">
        <f t="shared" si="10"/>
        <v>4259</v>
      </c>
      <c r="D56" s="10">
        <v>541</v>
      </c>
      <c r="E56" s="2">
        <v>9600</v>
      </c>
      <c r="F56" s="12">
        <v>8.5000000000000006E-2</v>
      </c>
      <c r="G56" s="2">
        <f t="shared" ca="1" si="20"/>
        <v>200.73333333333332</v>
      </c>
      <c r="H56" s="2">
        <f t="shared" ca="1" si="21"/>
        <v>11624.933333333334</v>
      </c>
      <c r="I56" s="12">
        <f t="shared" ca="1" si="22"/>
        <v>1.4218611111111112</v>
      </c>
      <c r="J56" s="2">
        <f t="shared" ca="1" si="23"/>
        <v>19319.059893579153</v>
      </c>
      <c r="K56" s="12">
        <f t="shared" ca="1" si="24"/>
        <v>3.0248041444956568</v>
      </c>
      <c r="L56" s="2">
        <f t="shared" ca="1" si="11"/>
        <v>10314.706472222224</v>
      </c>
      <c r="M56" s="12">
        <f t="shared" ca="1" si="12"/>
        <v>1.4218611111111115</v>
      </c>
      <c r="N56" s="2">
        <f t="shared" ca="1" si="13"/>
        <v>17141.640851407003</v>
      </c>
      <c r="O56" s="12">
        <f t="shared" ca="1" si="14"/>
        <v>3.0248041444956568</v>
      </c>
      <c r="P56" s="2">
        <f t="shared" ca="1" si="15"/>
        <v>1310.2268611111112</v>
      </c>
      <c r="Q56" s="12">
        <f t="shared" ca="1" si="16"/>
        <v>1.4218611111111115</v>
      </c>
      <c r="R56" s="2">
        <f t="shared" ca="1" si="17"/>
        <v>2177.4190421721505</v>
      </c>
      <c r="S56" s="12">
        <f t="shared" ca="1" si="18"/>
        <v>3.0248041444956573</v>
      </c>
      <c r="T56" s="2">
        <f t="shared" ca="1" si="25"/>
        <v>23249.866666666669</v>
      </c>
      <c r="U56" s="12">
        <f t="shared" ca="1" si="26"/>
        <v>1.4218611111111112</v>
      </c>
      <c r="V56" s="2">
        <f t="shared" ca="1" si="27"/>
        <v>38638.119787158306</v>
      </c>
      <c r="W56" s="12">
        <f t="shared" ca="1" si="28"/>
        <v>3.0248041444956568</v>
      </c>
      <c r="X56" s="8" t="s">
        <v>13</v>
      </c>
    </row>
    <row r="57" spans="1:24" ht="15.75" x14ac:dyDescent="0.3">
      <c r="A57" s="9">
        <v>40148</v>
      </c>
      <c r="B57" s="10">
        <f t="shared" si="9"/>
        <v>4800</v>
      </c>
      <c r="C57" s="10">
        <f t="shared" si="10"/>
        <v>4259</v>
      </c>
      <c r="D57" s="10">
        <v>541</v>
      </c>
      <c r="E57" s="2">
        <v>9600</v>
      </c>
      <c r="F57" s="12">
        <v>8.5000000000000006E-2</v>
      </c>
      <c r="G57" s="2">
        <f t="shared" ca="1" si="20"/>
        <v>199.73333333333332</v>
      </c>
      <c r="H57" s="2">
        <f t="shared" ca="1" si="21"/>
        <v>11590.933333333334</v>
      </c>
      <c r="I57" s="12">
        <f t="shared" ca="1" si="22"/>
        <v>1.4147777777777779</v>
      </c>
      <c r="J57" s="2">
        <f t="shared" ca="1" si="23"/>
        <v>19185.508377908314</v>
      </c>
      <c r="K57" s="12">
        <f t="shared" ca="1" si="24"/>
        <v>2.9969809120642323</v>
      </c>
      <c r="L57" s="2">
        <f t="shared" ca="1" si="11"/>
        <v>10284.538555555555</v>
      </c>
      <c r="M57" s="12">
        <f t="shared" ca="1" si="12"/>
        <v>1.4147777777777777</v>
      </c>
      <c r="N57" s="2">
        <f t="shared" ca="1" si="13"/>
        <v>17023.141704481564</v>
      </c>
      <c r="O57" s="12">
        <f t="shared" ca="1" si="14"/>
        <v>2.9969809120642319</v>
      </c>
      <c r="P57" s="2">
        <f t="shared" ca="1" si="15"/>
        <v>1306.394777777778</v>
      </c>
      <c r="Q57" s="12">
        <f t="shared" ca="1" si="16"/>
        <v>1.4147777777777781</v>
      </c>
      <c r="R57" s="2">
        <f t="shared" ca="1" si="17"/>
        <v>2162.3666734267499</v>
      </c>
      <c r="S57" s="12">
        <f t="shared" ca="1" si="18"/>
        <v>2.9969809120642328</v>
      </c>
      <c r="T57" s="2">
        <f t="shared" ca="1" si="25"/>
        <v>23181.866666666669</v>
      </c>
      <c r="U57" s="12">
        <f t="shared" ca="1" si="26"/>
        <v>1.4147777777777779</v>
      </c>
      <c r="V57" s="2">
        <f t="shared" ca="1" si="27"/>
        <v>38371.016755816629</v>
      </c>
      <c r="W57" s="12">
        <f t="shared" ca="1" si="28"/>
        <v>2.9969809120642323</v>
      </c>
      <c r="X57" s="8" t="s">
        <v>13</v>
      </c>
    </row>
    <row r="58" spans="1:24" ht="15.75" x14ac:dyDescent="0.3">
      <c r="A58" s="9">
        <v>40179</v>
      </c>
      <c r="B58" s="10">
        <f t="shared" si="9"/>
        <v>4800</v>
      </c>
      <c r="C58" s="10">
        <f t="shared" si="10"/>
        <v>4259</v>
      </c>
      <c r="D58" s="10">
        <v>541</v>
      </c>
      <c r="E58" s="2">
        <v>9600</v>
      </c>
      <c r="F58" s="12">
        <v>8.5000000000000006E-2</v>
      </c>
      <c r="G58" s="2">
        <f t="shared" ca="1" si="20"/>
        <v>198.73333333333332</v>
      </c>
      <c r="H58" s="2">
        <f t="shared" ca="1" si="21"/>
        <v>11556.933333333334</v>
      </c>
      <c r="I58" s="12">
        <f t="shared" ca="1" si="22"/>
        <v>1.4076944444444446</v>
      </c>
      <c r="J58" s="2">
        <f t="shared" ca="1" si="23"/>
        <v>19052.880095947417</v>
      </c>
      <c r="K58" s="12">
        <f t="shared" ca="1" si="24"/>
        <v>2.9693500199890455</v>
      </c>
      <c r="L58" s="2">
        <f t="shared" ca="1" si="11"/>
        <v>10254.37063888889</v>
      </c>
      <c r="M58" s="12">
        <f t="shared" ca="1" si="12"/>
        <v>1.4076944444444446</v>
      </c>
      <c r="N58" s="2">
        <f t="shared" ca="1" si="13"/>
        <v>16905.461735133344</v>
      </c>
      <c r="O58" s="12">
        <f t="shared" ca="1" si="14"/>
        <v>2.969350019989045</v>
      </c>
      <c r="P58" s="2">
        <f t="shared" ca="1" si="15"/>
        <v>1302.5626944444443</v>
      </c>
      <c r="Q58" s="12">
        <f t="shared" ca="1" si="16"/>
        <v>1.4076944444444441</v>
      </c>
      <c r="R58" s="2">
        <f t="shared" ca="1" si="17"/>
        <v>2147.4183608140734</v>
      </c>
      <c r="S58" s="12">
        <f t="shared" ca="1" si="18"/>
        <v>2.969350019989045</v>
      </c>
      <c r="T58" s="2">
        <f t="shared" ca="1" si="25"/>
        <v>23113.866666666669</v>
      </c>
      <c r="U58" s="12">
        <f t="shared" ca="1" si="26"/>
        <v>1.4076944444444446</v>
      </c>
      <c r="V58" s="2">
        <f t="shared" ca="1" si="27"/>
        <v>38105.760191894835</v>
      </c>
      <c r="W58" s="12">
        <f t="shared" ca="1" si="28"/>
        <v>2.9693500199890455</v>
      </c>
      <c r="X58" s="8" t="s">
        <v>13</v>
      </c>
    </row>
    <row r="59" spans="1:24" ht="15.75" x14ac:dyDescent="0.3">
      <c r="A59" s="9">
        <v>40210</v>
      </c>
      <c r="B59" s="10">
        <f t="shared" si="9"/>
        <v>4800</v>
      </c>
      <c r="C59" s="10">
        <f t="shared" si="10"/>
        <v>4259</v>
      </c>
      <c r="D59" s="10">
        <v>541</v>
      </c>
      <c r="E59" s="2">
        <v>9600</v>
      </c>
      <c r="F59" s="12">
        <v>8.5000000000000006E-2</v>
      </c>
      <c r="G59" s="2">
        <f t="shared" ca="1" si="20"/>
        <v>197.73333333333332</v>
      </c>
      <c r="H59" s="2">
        <f t="shared" ca="1" si="21"/>
        <v>11522.933333333334</v>
      </c>
      <c r="I59" s="12">
        <f t="shared" ca="1" si="22"/>
        <v>1.4006111111111113</v>
      </c>
      <c r="J59" s="2">
        <f t="shared" ca="1" si="23"/>
        <v>18921.168665436548</v>
      </c>
      <c r="K59" s="12">
        <f t="shared" ca="1" si="24"/>
        <v>2.9419101386326143</v>
      </c>
      <c r="L59" s="2">
        <f t="shared" ca="1" si="11"/>
        <v>10224.202722222224</v>
      </c>
      <c r="M59" s="12">
        <f t="shared" ca="1" si="12"/>
        <v>1.4006111111111115</v>
      </c>
      <c r="N59" s="2">
        <f t="shared" ca="1" si="13"/>
        <v>16788.595280436304</v>
      </c>
      <c r="O59" s="12">
        <f t="shared" ca="1" si="14"/>
        <v>2.9419101386326143</v>
      </c>
      <c r="P59" s="2">
        <f t="shared" ca="1" si="15"/>
        <v>1298.7306111111111</v>
      </c>
      <c r="Q59" s="12">
        <f t="shared" ca="1" si="16"/>
        <v>1.400611111111111</v>
      </c>
      <c r="R59" s="2">
        <f t="shared" ca="1" si="17"/>
        <v>2132.5733850002443</v>
      </c>
      <c r="S59" s="12">
        <f t="shared" ca="1" si="18"/>
        <v>2.9419101386326143</v>
      </c>
      <c r="T59" s="2">
        <f t="shared" ca="1" si="25"/>
        <v>23045.866666666669</v>
      </c>
      <c r="U59" s="12">
        <f t="shared" ca="1" si="26"/>
        <v>1.4006111111111113</v>
      </c>
      <c r="V59" s="2">
        <f t="shared" ca="1" si="27"/>
        <v>37842.337330873095</v>
      </c>
      <c r="W59" s="12">
        <f t="shared" ca="1" si="28"/>
        <v>2.9419101386326143</v>
      </c>
      <c r="X59" s="8" t="s">
        <v>13</v>
      </c>
    </row>
    <row r="60" spans="1:24" ht="15.75" x14ac:dyDescent="0.3">
      <c r="A60" s="9">
        <v>40238</v>
      </c>
      <c r="B60" s="10">
        <f t="shared" si="9"/>
        <v>4800</v>
      </c>
      <c r="C60" s="10">
        <f t="shared" si="10"/>
        <v>4259</v>
      </c>
      <c r="D60" s="10">
        <v>541</v>
      </c>
      <c r="E60" s="2">
        <v>9600</v>
      </c>
      <c r="F60" s="12">
        <v>8.5000000000000006E-2</v>
      </c>
      <c r="G60" s="2">
        <f t="shared" ca="1" si="20"/>
        <v>196.73333333333332</v>
      </c>
      <c r="H60" s="2">
        <f t="shared" ca="1" si="21"/>
        <v>11488.933333333334</v>
      </c>
      <c r="I60" s="12">
        <f t="shared" ca="1" si="22"/>
        <v>1.3935277777777779</v>
      </c>
      <c r="J60" s="2">
        <f t="shared" ca="1" si="23"/>
        <v>18790.367748235993</v>
      </c>
      <c r="K60" s="12">
        <f t="shared" ca="1" si="24"/>
        <v>2.9146599475491652</v>
      </c>
      <c r="L60" s="2">
        <f t="shared" ca="1" si="11"/>
        <v>10194.034805555555</v>
      </c>
      <c r="M60" s="12">
        <f t="shared" ca="1" si="12"/>
        <v>1.3935277777777777</v>
      </c>
      <c r="N60" s="2">
        <f t="shared" ca="1" si="13"/>
        <v>16672.536716611892</v>
      </c>
      <c r="O60" s="12">
        <f t="shared" ca="1" si="14"/>
        <v>2.9146599475491648</v>
      </c>
      <c r="P60" s="2">
        <f t="shared" ca="1" si="15"/>
        <v>1294.8985277777779</v>
      </c>
      <c r="Q60" s="12">
        <f t="shared" ca="1" si="16"/>
        <v>1.3935277777777779</v>
      </c>
      <c r="R60" s="2">
        <f t="shared" ca="1" si="17"/>
        <v>2117.8310316240982</v>
      </c>
      <c r="S60" s="12">
        <f t="shared" ca="1" si="18"/>
        <v>2.9146599475491648</v>
      </c>
      <c r="T60" s="2">
        <f t="shared" ca="1" si="25"/>
        <v>22977.866666666669</v>
      </c>
      <c r="U60" s="12">
        <f t="shared" ca="1" si="26"/>
        <v>1.3935277777777779</v>
      </c>
      <c r="V60" s="2">
        <f t="shared" ca="1" si="27"/>
        <v>37580.735496471985</v>
      </c>
      <c r="W60" s="12">
        <f t="shared" ca="1" si="28"/>
        <v>2.9146599475491652</v>
      </c>
      <c r="X60" s="8" t="s">
        <v>13</v>
      </c>
    </row>
    <row r="61" spans="1:24" ht="15.75" x14ac:dyDescent="0.3">
      <c r="A61" s="9">
        <v>40269</v>
      </c>
      <c r="B61" s="10">
        <f t="shared" si="9"/>
        <v>4800</v>
      </c>
      <c r="C61" s="10">
        <f t="shared" si="10"/>
        <v>4259</v>
      </c>
      <c r="D61" s="10">
        <v>541</v>
      </c>
      <c r="E61" s="2">
        <v>9600</v>
      </c>
      <c r="F61" s="12">
        <v>8.5000000000000006E-2</v>
      </c>
      <c r="G61" s="2">
        <f t="shared" ca="1" si="20"/>
        <v>195.73333333333332</v>
      </c>
      <c r="H61" s="2">
        <f t="shared" ca="1" si="21"/>
        <v>11454.933333333334</v>
      </c>
      <c r="I61" s="12">
        <f t="shared" ca="1" si="22"/>
        <v>1.3864444444444446</v>
      </c>
      <c r="J61" s="2">
        <f t="shared" ca="1" si="23"/>
        <v>18660.471050021224</v>
      </c>
      <c r="K61" s="12">
        <f t="shared" ca="1" si="24"/>
        <v>2.8875981354210882</v>
      </c>
      <c r="L61" s="2">
        <f t="shared" ca="1" si="11"/>
        <v>10163.86688888889</v>
      </c>
      <c r="M61" s="12">
        <f t="shared" ca="1" si="12"/>
        <v>1.3864444444444446</v>
      </c>
      <c r="N61" s="2">
        <f t="shared" ca="1" si="13"/>
        <v>16557.280458758414</v>
      </c>
      <c r="O61" s="12">
        <f t="shared" ca="1" si="14"/>
        <v>2.8875981354210882</v>
      </c>
      <c r="P61" s="2">
        <f t="shared" ca="1" si="15"/>
        <v>1291.0664444444446</v>
      </c>
      <c r="Q61" s="12">
        <f t="shared" ca="1" si="16"/>
        <v>1.3864444444444448</v>
      </c>
      <c r="R61" s="2">
        <f t="shared" ca="1" si="17"/>
        <v>2103.1905912628085</v>
      </c>
      <c r="S61" s="12">
        <f t="shared" ca="1" si="18"/>
        <v>2.8875981354210878</v>
      </c>
      <c r="T61" s="2">
        <f t="shared" ca="1" si="25"/>
        <v>22909.866666666669</v>
      </c>
      <c r="U61" s="12">
        <f t="shared" ca="1" si="26"/>
        <v>1.3864444444444446</v>
      </c>
      <c r="V61" s="2">
        <f t="shared" ca="1" si="27"/>
        <v>37320.942100042448</v>
      </c>
      <c r="W61" s="12">
        <f t="shared" ca="1" si="28"/>
        <v>2.8875981354210882</v>
      </c>
      <c r="X61" s="8" t="s">
        <v>13</v>
      </c>
    </row>
    <row r="62" spans="1:24" ht="15.75" x14ac:dyDescent="0.3">
      <c r="A62" s="9">
        <v>40299</v>
      </c>
      <c r="B62" s="10">
        <f t="shared" si="9"/>
        <v>4800</v>
      </c>
      <c r="C62" s="10">
        <f t="shared" si="10"/>
        <v>4259</v>
      </c>
      <c r="D62" s="10">
        <v>541</v>
      </c>
      <c r="E62" s="2">
        <v>9600</v>
      </c>
      <c r="F62" s="12">
        <v>8.5000000000000006E-2</v>
      </c>
      <c r="G62" s="2">
        <f t="shared" ca="1" si="20"/>
        <v>194.73333333333332</v>
      </c>
      <c r="H62" s="2">
        <f t="shared" ca="1" si="21"/>
        <v>11420.933333333334</v>
      </c>
      <c r="I62" s="12">
        <f t="shared" ca="1" si="22"/>
        <v>1.3793611111111113</v>
      </c>
      <c r="J62" s="2">
        <f t="shared" ca="1" si="23"/>
        <v>18531.472319979999</v>
      </c>
      <c r="K62" s="12">
        <f t="shared" ca="1" si="24"/>
        <v>2.860723399995833</v>
      </c>
      <c r="L62" s="2">
        <f t="shared" ca="1" si="11"/>
        <v>10133.698972222224</v>
      </c>
      <c r="M62" s="12">
        <f t="shared" ca="1" si="12"/>
        <v>1.3793611111111115</v>
      </c>
      <c r="N62" s="2">
        <f t="shared" ca="1" si="13"/>
        <v>16442.820960582256</v>
      </c>
      <c r="O62" s="12">
        <f t="shared" ca="1" si="14"/>
        <v>2.8607233999958339</v>
      </c>
      <c r="P62" s="2">
        <f t="shared" ca="1" si="15"/>
        <v>1287.234361111111</v>
      </c>
      <c r="Q62" s="12">
        <f t="shared" ca="1" si="16"/>
        <v>1.3793611111111108</v>
      </c>
      <c r="R62" s="2">
        <f t="shared" ca="1" si="17"/>
        <v>2088.6513593977461</v>
      </c>
      <c r="S62" s="12">
        <f t="shared" ca="1" si="18"/>
        <v>2.8607233999958339</v>
      </c>
      <c r="T62" s="2">
        <f t="shared" ca="1" si="25"/>
        <v>22841.866666666669</v>
      </c>
      <c r="U62" s="12">
        <f t="shared" ca="1" si="26"/>
        <v>1.3793611111111113</v>
      </c>
      <c r="V62" s="2">
        <f t="shared" ca="1" si="27"/>
        <v>37062.944639959998</v>
      </c>
      <c r="W62" s="12">
        <f t="shared" ca="1" si="28"/>
        <v>2.860723399995833</v>
      </c>
      <c r="X62" s="8" t="s">
        <v>13</v>
      </c>
    </row>
    <row r="63" spans="1:24" ht="15.75" x14ac:dyDescent="0.3">
      <c r="A63" s="9">
        <v>40330</v>
      </c>
      <c r="B63" s="10">
        <f t="shared" si="9"/>
        <v>4800</v>
      </c>
      <c r="C63" s="10">
        <f t="shared" si="10"/>
        <v>4259</v>
      </c>
      <c r="D63" s="10">
        <v>541</v>
      </c>
      <c r="E63" s="2">
        <v>9600</v>
      </c>
      <c r="F63" s="12">
        <v>8.5000000000000006E-2</v>
      </c>
      <c r="G63" s="2">
        <f t="shared" ca="1" si="20"/>
        <v>193.73333333333332</v>
      </c>
      <c r="H63" s="2">
        <f t="shared" ca="1" si="21"/>
        <v>11386.933333333334</v>
      </c>
      <c r="I63" s="12">
        <f t="shared" ca="1" si="22"/>
        <v>1.3722777777777779</v>
      </c>
      <c r="J63" s="2">
        <f t="shared" ca="1" si="23"/>
        <v>18403.365350511573</v>
      </c>
      <c r="K63" s="12">
        <f t="shared" ca="1" si="24"/>
        <v>2.8340344480232442</v>
      </c>
      <c r="L63" s="2">
        <f t="shared" ca="1" si="11"/>
        <v>10103.531055555555</v>
      </c>
      <c r="M63" s="12">
        <f t="shared" ca="1" si="12"/>
        <v>1.3722777777777777</v>
      </c>
      <c r="N63" s="2">
        <f t="shared" ca="1" si="13"/>
        <v>16329.152714130998</v>
      </c>
      <c r="O63" s="12">
        <f t="shared" ca="1" si="14"/>
        <v>2.8340344480232442</v>
      </c>
      <c r="P63" s="2">
        <f t="shared" ca="1" si="15"/>
        <v>1283.4022777777777</v>
      </c>
      <c r="Q63" s="12">
        <f t="shared" ca="1" si="16"/>
        <v>1.3722777777777777</v>
      </c>
      <c r="R63" s="2">
        <f t="shared" ca="1" si="17"/>
        <v>2074.2126363805751</v>
      </c>
      <c r="S63" s="12">
        <f t="shared" ca="1" si="18"/>
        <v>2.8340344480232442</v>
      </c>
      <c r="T63" s="2">
        <f t="shared" ca="1" si="25"/>
        <v>22773.866666666669</v>
      </c>
      <c r="U63" s="12">
        <f t="shared" ca="1" si="26"/>
        <v>1.3722777777777779</v>
      </c>
      <c r="V63" s="2">
        <f t="shared" ca="1" si="27"/>
        <v>36806.730701023145</v>
      </c>
      <c r="W63" s="12">
        <f t="shared" ca="1" si="28"/>
        <v>2.8340344480232442</v>
      </c>
      <c r="X63" s="8" t="s">
        <v>13</v>
      </c>
    </row>
    <row r="64" spans="1:24" ht="15.75" x14ac:dyDescent="0.3">
      <c r="A64" s="9">
        <v>40360</v>
      </c>
      <c r="B64" s="10">
        <f t="shared" si="9"/>
        <v>4800</v>
      </c>
      <c r="C64" s="10">
        <f t="shared" si="10"/>
        <v>4259</v>
      </c>
      <c r="D64" s="10">
        <v>541</v>
      </c>
      <c r="E64" s="2">
        <v>9600</v>
      </c>
      <c r="F64" s="12">
        <v>8.5000000000000006E-2</v>
      </c>
      <c r="G64" s="2">
        <f t="shared" ca="1" si="20"/>
        <v>192.73333333333332</v>
      </c>
      <c r="H64" s="2">
        <f t="shared" ca="1" si="21"/>
        <v>11352.933333333334</v>
      </c>
      <c r="I64" s="12">
        <f t="shared" ca="1" si="22"/>
        <v>1.3651944444444446</v>
      </c>
      <c r="J64" s="2">
        <f t="shared" ca="1" si="23"/>
        <v>18276.143976927975</v>
      </c>
      <c r="K64" s="12">
        <f t="shared" ca="1" si="24"/>
        <v>2.8075299951933279</v>
      </c>
      <c r="L64" s="2">
        <f t="shared" ca="1" si="11"/>
        <v>10073.36313888889</v>
      </c>
      <c r="M64" s="12">
        <f t="shared" ca="1" si="12"/>
        <v>1.3651944444444446</v>
      </c>
      <c r="N64" s="2">
        <f t="shared" ca="1" si="13"/>
        <v>16216.270249528385</v>
      </c>
      <c r="O64" s="12">
        <f t="shared" ca="1" si="14"/>
        <v>2.8075299951933284</v>
      </c>
      <c r="P64" s="2">
        <f t="shared" ca="1" si="15"/>
        <v>1279.5701944444445</v>
      </c>
      <c r="Q64" s="12">
        <f t="shared" ca="1" si="16"/>
        <v>1.3651944444444446</v>
      </c>
      <c r="R64" s="2">
        <f t="shared" ca="1" si="17"/>
        <v>2059.8737273995907</v>
      </c>
      <c r="S64" s="12">
        <f t="shared" ca="1" si="18"/>
        <v>2.8075299951933284</v>
      </c>
      <c r="T64" s="2">
        <f t="shared" ca="1" si="25"/>
        <v>22705.866666666669</v>
      </c>
      <c r="U64" s="12">
        <f t="shared" ca="1" si="26"/>
        <v>1.3651944444444446</v>
      </c>
      <c r="V64" s="2">
        <f t="shared" ca="1" si="27"/>
        <v>36552.28795385595</v>
      </c>
      <c r="W64" s="12">
        <f t="shared" ca="1" si="28"/>
        <v>2.8075299951933279</v>
      </c>
      <c r="X64" s="8" t="s">
        <v>13</v>
      </c>
    </row>
    <row r="65" spans="1:24" ht="15.75" x14ac:dyDescent="0.3">
      <c r="A65" s="9">
        <v>40391</v>
      </c>
      <c r="B65" s="10">
        <f t="shared" si="9"/>
        <v>5480</v>
      </c>
      <c r="C65" s="10">
        <f t="shared" si="10"/>
        <v>4939</v>
      </c>
      <c r="D65" s="10">
        <v>541</v>
      </c>
      <c r="E65" s="2">
        <v>10960</v>
      </c>
      <c r="F65" s="12">
        <v>8.5000000000000006E-2</v>
      </c>
      <c r="G65" s="2">
        <f t="shared" ca="1" si="20"/>
        <v>191.73333333333332</v>
      </c>
      <c r="H65" s="2">
        <f t="shared" ca="1" si="21"/>
        <v>12922.448888888888</v>
      </c>
      <c r="I65" s="12">
        <f t="shared" ca="1" si="22"/>
        <v>1.358111111111111</v>
      </c>
      <c r="J65" s="2">
        <f t="shared" ca="1" si="23"/>
        <v>20721.02403808798</v>
      </c>
      <c r="K65" s="12">
        <f t="shared" ca="1" si="24"/>
        <v>2.7812087660744491</v>
      </c>
      <c r="L65" s="2">
        <f t="shared" ca="1" si="11"/>
        <v>11646.710777777778</v>
      </c>
      <c r="M65" s="12">
        <f t="shared" ca="1" si="12"/>
        <v>1.3581111111111113</v>
      </c>
      <c r="N65" s="2">
        <f t="shared" ca="1" si="13"/>
        <v>18675.390095641706</v>
      </c>
      <c r="O65" s="12">
        <f t="shared" ca="1" si="14"/>
        <v>2.7812087660744496</v>
      </c>
      <c r="P65" s="2">
        <f t="shared" ca="1" si="15"/>
        <v>1275.7381111111113</v>
      </c>
      <c r="Q65" s="12">
        <f t="shared" ca="1" si="16"/>
        <v>1.3581111111111115</v>
      </c>
      <c r="R65" s="2">
        <f t="shared" ca="1" si="17"/>
        <v>2045.6339424462769</v>
      </c>
      <c r="S65" s="12">
        <f t="shared" ca="1" si="18"/>
        <v>2.7812087660744491</v>
      </c>
      <c r="T65" s="2">
        <f t="shared" ca="1" si="25"/>
        <v>25844.897777777776</v>
      </c>
      <c r="U65" s="12">
        <f t="shared" ca="1" si="26"/>
        <v>1.358111111111111</v>
      </c>
      <c r="V65" s="2">
        <f t="shared" ca="1" si="27"/>
        <v>41442.048076175961</v>
      </c>
      <c r="W65" s="12">
        <f t="shared" ca="1" si="28"/>
        <v>2.7812087660744491</v>
      </c>
      <c r="X65" s="8" t="s">
        <v>13</v>
      </c>
    </row>
    <row r="66" spans="1:24" ht="15.75" x14ac:dyDescent="0.3">
      <c r="A66" s="9">
        <v>40422</v>
      </c>
      <c r="B66" s="10">
        <f t="shared" si="9"/>
        <v>5480</v>
      </c>
      <c r="C66" s="10">
        <f t="shared" si="10"/>
        <v>4939</v>
      </c>
      <c r="D66" s="10">
        <v>541</v>
      </c>
      <c r="E66" s="2">
        <v>10960</v>
      </c>
      <c r="F66" s="12">
        <v>8.5000000000000006E-2</v>
      </c>
      <c r="G66" s="2">
        <f t="shared" ca="1" si="20"/>
        <v>190.73333333333332</v>
      </c>
      <c r="H66" s="2">
        <f t="shared" ca="1" si="21"/>
        <v>12883.632222222222</v>
      </c>
      <c r="I66" s="12">
        <f t="shared" ca="1" si="22"/>
        <v>1.3510277777777777</v>
      </c>
      <c r="J66" s="2">
        <f t="shared" ca="1" si="23"/>
        <v>20577.780827404724</v>
      </c>
      <c r="K66" s="12">
        <f t="shared" ca="1" si="24"/>
        <v>2.7550694940519569</v>
      </c>
      <c r="L66" s="2">
        <f t="shared" ca="1" si="11"/>
        <v>11611.726194444444</v>
      </c>
      <c r="M66" s="12">
        <f t="shared" ca="1" si="12"/>
        <v>1.3510277777777775</v>
      </c>
      <c r="N66" s="2">
        <f t="shared" ca="1" si="13"/>
        <v>18546.288231122617</v>
      </c>
      <c r="O66" s="12">
        <f t="shared" ca="1" si="14"/>
        <v>2.7550694940519573</v>
      </c>
      <c r="P66" s="2">
        <f t="shared" ca="1" si="15"/>
        <v>1271.906027777778</v>
      </c>
      <c r="Q66" s="12">
        <f t="shared" ca="1" si="16"/>
        <v>1.3510277777777782</v>
      </c>
      <c r="R66" s="2">
        <f t="shared" ca="1" si="17"/>
        <v>2031.4925962821087</v>
      </c>
      <c r="S66" s="12">
        <f t="shared" ca="1" si="18"/>
        <v>2.7550694940519569</v>
      </c>
      <c r="T66" s="2">
        <f t="shared" ca="1" si="25"/>
        <v>25767.264444444445</v>
      </c>
      <c r="U66" s="12">
        <f t="shared" ca="1" si="26"/>
        <v>1.3510277777777777</v>
      </c>
      <c r="V66" s="2">
        <f t="shared" ca="1" si="27"/>
        <v>41155.561654809448</v>
      </c>
      <c r="W66" s="12">
        <f t="shared" ca="1" si="28"/>
        <v>2.7550694940519569</v>
      </c>
      <c r="X66" s="8" t="s">
        <v>13</v>
      </c>
    </row>
    <row r="67" spans="1:24" ht="15.75" x14ac:dyDescent="0.3">
      <c r="A67" s="9">
        <v>40452</v>
      </c>
      <c r="B67" s="10">
        <f t="shared" si="9"/>
        <v>5480</v>
      </c>
      <c r="C67" s="10">
        <f t="shared" si="10"/>
        <v>4939</v>
      </c>
      <c r="D67" s="10">
        <v>541</v>
      </c>
      <c r="E67" s="2">
        <v>10960</v>
      </c>
      <c r="F67" s="12">
        <v>8.5000000000000006E-2</v>
      </c>
      <c r="G67" s="2">
        <f t="shared" ref="G67:G98" ca="1" si="29">(DAYS360(A67,NOW(),TRUE))/30</f>
        <v>189.73333333333332</v>
      </c>
      <c r="H67" s="2">
        <f t="shared" ref="H67:H98" ca="1" si="30">SUM(B67, B67*$F67*$G67/12)</f>
        <v>12844.815555555557</v>
      </c>
      <c r="I67" s="12">
        <f t="shared" ref="I67:I98" ca="1" si="31">(H67-B67)/B67</f>
        <v>1.3439444444444446</v>
      </c>
      <c r="J67" s="2">
        <f t="shared" ref="J67:J98" ca="1" si="32">PRODUCT(B67,POWER((1+$F67/2),2*$G67/12))</f>
        <v>20435.527848544429</v>
      </c>
      <c r="K67" s="12">
        <f t="shared" ref="K67:K98" ca="1" si="33">(J67-B67)/B67</f>
        <v>2.7291109212672313</v>
      </c>
      <c r="L67" s="2">
        <f t="shared" ca="1" si="11"/>
        <v>11576.741611111112</v>
      </c>
      <c r="M67" s="12">
        <f t="shared" ca="1" si="12"/>
        <v>1.3439444444444446</v>
      </c>
      <c r="N67" s="2">
        <f t="shared" ca="1" si="13"/>
        <v>18418.078840138856</v>
      </c>
      <c r="O67" s="12">
        <f t="shared" ca="1" si="14"/>
        <v>2.7291109212672313</v>
      </c>
      <c r="P67" s="2">
        <f t="shared" ca="1" si="15"/>
        <v>1268.0739444444444</v>
      </c>
      <c r="Q67" s="12">
        <f t="shared" ca="1" si="16"/>
        <v>1.3439444444444442</v>
      </c>
      <c r="R67" s="2">
        <f t="shared" ca="1" si="17"/>
        <v>2017.4490084055722</v>
      </c>
      <c r="S67" s="12">
        <f t="shared" ca="1" si="18"/>
        <v>2.7291109212672313</v>
      </c>
      <c r="T67" s="2">
        <f t="shared" ref="T67:T98" ca="1" si="34">SUM(E67, E67*$F67*$G67/12)</f>
        <v>25689.631111111114</v>
      </c>
      <c r="U67" s="12">
        <f t="shared" ref="U67:U98" ca="1" si="35">(T67-E67)/E67</f>
        <v>1.3439444444444446</v>
      </c>
      <c r="V67" s="2">
        <f t="shared" ref="V67:V98" ca="1" si="36">PRODUCT(E67,POWER((1+$F67/2),2*$G67/12))</f>
        <v>40871.055697088857</v>
      </c>
      <c r="W67" s="12">
        <f t="shared" ref="W67:W98" ca="1" si="37">(V67-E67)/E67</f>
        <v>2.7291109212672313</v>
      </c>
      <c r="X67" s="8" t="s">
        <v>13</v>
      </c>
    </row>
    <row r="68" spans="1:24" ht="15.75" x14ac:dyDescent="0.3">
      <c r="A68" s="9">
        <v>40483</v>
      </c>
      <c r="B68" s="10">
        <f t="shared" ref="B68:B129" si="38">E68/2</f>
        <v>5480</v>
      </c>
      <c r="C68" s="10">
        <f t="shared" ref="C68:C129" si="39">E68/2-D68</f>
        <v>4939</v>
      </c>
      <c r="D68" s="10">
        <v>541</v>
      </c>
      <c r="E68" s="2">
        <v>10960</v>
      </c>
      <c r="F68" s="12">
        <v>8.5000000000000006E-2</v>
      </c>
      <c r="G68" s="2">
        <f t="shared" ca="1" si="29"/>
        <v>188.73333333333332</v>
      </c>
      <c r="H68" s="2">
        <f t="shared" ca="1" si="30"/>
        <v>12805.998888888887</v>
      </c>
      <c r="I68" s="12">
        <f t="shared" ca="1" si="31"/>
        <v>1.3368611111111108</v>
      </c>
      <c r="J68" s="2">
        <f t="shared" ca="1" si="32"/>
        <v>20294.258256093206</v>
      </c>
      <c r="K68" s="12">
        <f t="shared" ca="1" si="33"/>
        <v>2.7033317985571546</v>
      </c>
      <c r="L68" s="2">
        <f t="shared" ref="L68:L129" ca="1" si="40">SUM(C68, C68*$F68*$G68/12)</f>
        <v>11541.757027777778</v>
      </c>
      <c r="M68" s="12">
        <f t="shared" ref="M68:M129" ca="1" si="41">(L68-C68)/C68</f>
        <v>1.3368611111111111</v>
      </c>
      <c r="N68" s="2">
        <f t="shared" ref="N68:N129" ca="1" si="42">PRODUCT(C68,POWER((1+$F68/2),2*$G68/12))</f>
        <v>18290.755753073783</v>
      </c>
      <c r="O68" s="12">
        <f t="shared" ref="O68:O129" ca="1" si="43">(N68-C68)/C68</f>
        <v>2.7033317985571541</v>
      </c>
      <c r="P68" s="2">
        <f t="shared" ref="P68:P129" ca="1" si="44">SUM(D68, D68*$F68*$G68/12)</f>
        <v>1264.2418611111111</v>
      </c>
      <c r="Q68" s="12">
        <f t="shared" ref="Q68:Q129" ca="1" si="45">(P68-D68)/D68</f>
        <v>1.3368611111111111</v>
      </c>
      <c r="R68" s="2">
        <f t="shared" ref="R68:R129" ca="1" si="46">PRODUCT(D68,POWER((1+$F68/2),2*$G68/12))</f>
        <v>2003.5025030194204</v>
      </c>
      <c r="S68" s="12">
        <f t="shared" ref="S68:S129" ca="1" si="47">(R68-D68)/D68</f>
        <v>2.7033317985571541</v>
      </c>
      <c r="T68" s="2">
        <f t="shared" ca="1" si="34"/>
        <v>25611.997777777775</v>
      </c>
      <c r="U68" s="12">
        <f t="shared" ca="1" si="35"/>
        <v>1.3368611111111108</v>
      </c>
      <c r="V68" s="2">
        <f t="shared" ca="1" si="36"/>
        <v>40588.516512186412</v>
      </c>
      <c r="W68" s="12">
        <f t="shared" ca="1" si="37"/>
        <v>2.7033317985571546</v>
      </c>
      <c r="X68" s="8" t="s">
        <v>13</v>
      </c>
    </row>
    <row r="69" spans="1:24" ht="15.75" x14ac:dyDescent="0.3">
      <c r="A69" s="9">
        <v>40513</v>
      </c>
      <c r="B69" s="10">
        <f t="shared" si="38"/>
        <v>5480</v>
      </c>
      <c r="C69" s="10">
        <f t="shared" si="39"/>
        <v>4939</v>
      </c>
      <c r="D69" s="10">
        <v>541</v>
      </c>
      <c r="E69" s="2">
        <v>10960</v>
      </c>
      <c r="F69" s="12">
        <v>8.5000000000000006E-2</v>
      </c>
      <c r="G69" s="2">
        <f t="shared" ca="1" si="29"/>
        <v>187.73333333333332</v>
      </c>
      <c r="H69" s="2">
        <f t="shared" ca="1" si="30"/>
        <v>12767.182222222222</v>
      </c>
      <c r="I69" s="12">
        <f t="shared" ca="1" si="31"/>
        <v>1.3297777777777777</v>
      </c>
      <c r="J69" s="2">
        <f t="shared" ca="1" si="32"/>
        <v>20153.965251959118</v>
      </c>
      <c r="K69" s="12">
        <f t="shared" ca="1" si="33"/>
        <v>2.6777308853939998</v>
      </c>
      <c r="L69" s="2">
        <f t="shared" ca="1" si="40"/>
        <v>11506.772444444447</v>
      </c>
      <c r="M69" s="12">
        <f t="shared" ca="1" si="41"/>
        <v>1.3297777777777782</v>
      </c>
      <c r="N69" s="2">
        <f t="shared" ca="1" si="42"/>
        <v>18164.312842960964</v>
      </c>
      <c r="O69" s="12">
        <f t="shared" ca="1" si="43"/>
        <v>2.6777308853939998</v>
      </c>
      <c r="P69" s="2">
        <f t="shared" ca="1" si="44"/>
        <v>1260.4097777777779</v>
      </c>
      <c r="Q69" s="12">
        <f t="shared" ca="1" si="45"/>
        <v>1.3297777777777779</v>
      </c>
      <c r="R69" s="2">
        <f t="shared" ca="1" si="46"/>
        <v>1989.6524089981538</v>
      </c>
      <c r="S69" s="12">
        <f t="shared" ca="1" si="47"/>
        <v>2.6777308853939994</v>
      </c>
      <c r="T69" s="2">
        <f t="shared" ca="1" si="34"/>
        <v>25534.364444444444</v>
      </c>
      <c r="U69" s="12">
        <f t="shared" ca="1" si="35"/>
        <v>1.3297777777777777</v>
      </c>
      <c r="V69" s="2">
        <f t="shared" ca="1" si="36"/>
        <v>40307.930503918236</v>
      </c>
      <c r="W69" s="12">
        <f t="shared" ca="1" si="37"/>
        <v>2.6777308853939998</v>
      </c>
      <c r="X69" s="8" t="s">
        <v>13</v>
      </c>
    </row>
    <row r="70" spans="1:24" ht="15.75" x14ac:dyDescent="0.3">
      <c r="A70" s="9">
        <v>40544</v>
      </c>
      <c r="B70" s="10">
        <f t="shared" si="38"/>
        <v>5480</v>
      </c>
      <c r="C70" s="10">
        <f t="shared" si="39"/>
        <v>4939</v>
      </c>
      <c r="D70" s="10">
        <v>541</v>
      </c>
      <c r="E70" s="2">
        <v>10960</v>
      </c>
      <c r="F70" s="12">
        <v>8.5000000000000006E-2</v>
      </c>
      <c r="G70" s="2">
        <f t="shared" ca="1" si="29"/>
        <v>186.73333333333332</v>
      </c>
      <c r="H70" s="2">
        <f t="shared" ca="1" si="30"/>
        <v>12728.365555555556</v>
      </c>
      <c r="I70" s="12">
        <f t="shared" ca="1" si="31"/>
        <v>1.3226944444444446</v>
      </c>
      <c r="J70" s="2">
        <f t="shared" ca="1" si="32"/>
        <v>20014.642085045027</v>
      </c>
      <c r="K70" s="12">
        <f t="shared" ca="1" si="33"/>
        <v>2.6523069498257348</v>
      </c>
      <c r="L70" s="2">
        <f t="shared" ca="1" si="40"/>
        <v>11471.787861111112</v>
      </c>
      <c r="M70" s="12">
        <f t="shared" ca="1" si="41"/>
        <v>1.3226944444444446</v>
      </c>
      <c r="N70" s="2">
        <f t="shared" ca="1" si="42"/>
        <v>18038.744025189306</v>
      </c>
      <c r="O70" s="12">
        <f t="shared" ca="1" si="43"/>
        <v>2.6523069498257352</v>
      </c>
      <c r="P70" s="2">
        <f t="shared" ca="1" si="44"/>
        <v>1256.5776944444447</v>
      </c>
      <c r="Q70" s="12">
        <f t="shared" ca="1" si="45"/>
        <v>1.3226944444444448</v>
      </c>
      <c r="R70" s="2">
        <f t="shared" ca="1" si="46"/>
        <v>1975.8980598557225</v>
      </c>
      <c r="S70" s="12">
        <f t="shared" ca="1" si="47"/>
        <v>2.6523069498257348</v>
      </c>
      <c r="T70" s="2">
        <f t="shared" ca="1" si="34"/>
        <v>25456.731111111112</v>
      </c>
      <c r="U70" s="12">
        <f t="shared" ca="1" si="35"/>
        <v>1.3226944444444446</v>
      </c>
      <c r="V70" s="2">
        <f t="shared" ca="1" si="36"/>
        <v>40029.284170090054</v>
      </c>
      <c r="W70" s="12">
        <f t="shared" ca="1" si="37"/>
        <v>2.6523069498257348</v>
      </c>
      <c r="X70" s="8" t="s">
        <v>13</v>
      </c>
    </row>
    <row r="71" spans="1:24" ht="15.75" x14ac:dyDescent="0.3">
      <c r="A71" s="9">
        <v>40575</v>
      </c>
      <c r="B71" s="10">
        <f t="shared" si="38"/>
        <v>5480</v>
      </c>
      <c r="C71" s="10">
        <f t="shared" si="39"/>
        <v>4939</v>
      </c>
      <c r="D71" s="10">
        <v>541</v>
      </c>
      <c r="E71" s="2">
        <v>10960</v>
      </c>
      <c r="F71" s="12">
        <v>8.5000000000000006E-2</v>
      </c>
      <c r="G71" s="2">
        <f t="shared" ca="1" si="29"/>
        <v>185.73333333333332</v>
      </c>
      <c r="H71" s="2">
        <f t="shared" ca="1" si="30"/>
        <v>12689.54888888889</v>
      </c>
      <c r="I71" s="12">
        <f t="shared" ca="1" si="31"/>
        <v>1.3156111111111113</v>
      </c>
      <c r="J71" s="2">
        <f t="shared" ca="1" si="32"/>
        <v>19876.282050923724</v>
      </c>
      <c r="K71" s="12">
        <f t="shared" ca="1" si="33"/>
        <v>2.6270587684167381</v>
      </c>
      <c r="L71" s="2">
        <f t="shared" ca="1" si="40"/>
        <v>11436.803277777777</v>
      </c>
      <c r="M71" s="12">
        <f t="shared" ca="1" si="41"/>
        <v>1.3156111111111111</v>
      </c>
      <c r="N71" s="2">
        <f t="shared" ca="1" si="42"/>
        <v>17914.043257210269</v>
      </c>
      <c r="O71" s="12">
        <f t="shared" ca="1" si="43"/>
        <v>2.6270587684167381</v>
      </c>
      <c r="P71" s="2">
        <f t="shared" ca="1" si="44"/>
        <v>1252.745611111111</v>
      </c>
      <c r="Q71" s="12">
        <f t="shared" ca="1" si="45"/>
        <v>1.3156111111111108</v>
      </c>
      <c r="R71" s="2">
        <f t="shared" ca="1" si="46"/>
        <v>1962.2387937134554</v>
      </c>
      <c r="S71" s="12">
        <f t="shared" ca="1" si="47"/>
        <v>2.6270587684167381</v>
      </c>
      <c r="T71" s="2">
        <f t="shared" ca="1" si="34"/>
        <v>25379.097777777781</v>
      </c>
      <c r="U71" s="12">
        <f t="shared" ca="1" si="35"/>
        <v>1.3156111111111113</v>
      </c>
      <c r="V71" s="2">
        <f t="shared" ca="1" si="36"/>
        <v>39752.564101847449</v>
      </c>
      <c r="W71" s="12">
        <f t="shared" ca="1" si="37"/>
        <v>2.6270587684167381</v>
      </c>
      <c r="X71" s="8" t="s">
        <v>13</v>
      </c>
    </row>
    <row r="72" spans="1:24" ht="15.75" x14ac:dyDescent="0.3">
      <c r="A72" s="9">
        <v>40603</v>
      </c>
      <c r="B72" s="10">
        <f t="shared" si="38"/>
        <v>5480</v>
      </c>
      <c r="C72" s="10">
        <f t="shared" si="39"/>
        <v>4939</v>
      </c>
      <c r="D72" s="10">
        <v>541</v>
      </c>
      <c r="E72" s="2">
        <v>10960</v>
      </c>
      <c r="F72" s="12">
        <v>8.5000000000000006E-2</v>
      </c>
      <c r="G72" s="2">
        <f t="shared" ca="1" si="29"/>
        <v>184.73333333333332</v>
      </c>
      <c r="H72" s="2">
        <f t="shared" ca="1" si="30"/>
        <v>12650.732222222221</v>
      </c>
      <c r="I72" s="12">
        <f t="shared" ca="1" si="31"/>
        <v>1.3085277777777775</v>
      </c>
      <c r="J72" s="2">
        <f t="shared" ca="1" si="32"/>
        <v>19738.878491515323</v>
      </c>
      <c r="K72" s="12">
        <f t="shared" ca="1" si="33"/>
        <v>2.6019851261889277</v>
      </c>
      <c r="L72" s="2">
        <f t="shared" ca="1" si="40"/>
        <v>11401.818694444446</v>
      </c>
      <c r="M72" s="12">
        <f t="shared" ca="1" si="41"/>
        <v>1.3085277777777782</v>
      </c>
      <c r="N72" s="2">
        <f t="shared" ca="1" si="42"/>
        <v>17790.204538247115</v>
      </c>
      <c r="O72" s="12">
        <f t="shared" ca="1" si="43"/>
        <v>2.6019851261889277</v>
      </c>
      <c r="P72" s="2">
        <f t="shared" ca="1" si="44"/>
        <v>1248.9135277777777</v>
      </c>
      <c r="Q72" s="12">
        <f t="shared" ca="1" si="45"/>
        <v>1.3085277777777777</v>
      </c>
      <c r="R72" s="2">
        <f t="shared" ca="1" si="46"/>
        <v>1948.67395326821</v>
      </c>
      <c r="S72" s="12">
        <f t="shared" ca="1" si="47"/>
        <v>2.6019851261889277</v>
      </c>
      <c r="T72" s="2">
        <f t="shared" ca="1" si="34"/>
        <v>25301.464444444442</v>
      </c>
      <c r="U72" s="12">
        <f t="shared" ca="1" si="35"/>
        <v>1.3085277777777775</v>
      </c>
      <c r="V72" s="2">
        <f t="shared" ca="1" si="36"/>
        <v>39477.756983030646</v>
      </c>
      <c r="W72" s="12">
        <f t="shared" ca="1" si="37"/>
        <v>2.6019851261889277</v>
      </c>
      <c r="X72" s="8" t="s">
        <v>13</v>
      </c>
    </row>
    <row r="73" spans="1:24" ht="15.75" x14ac:dyDescent="0.3">
      <c r="A73" s="9">
        <v>40634</v>
      </c>
      <c r="B73" s="10">
        <f t="shared" si="38"/>
        <v>5480</v>
      </c>
      <c r="C73" s="10">
        <f t="shared" si="39"/>
        <v>4939</v>
      </c>
      <c r="D73" s="10">
        <v>541</v>
      </c>
      <c r="E73" s="2">
        <v>10960</v>
      </c>
      <c r="F73" s="12">
        <v>8.5000000000000006E-2</v>
      </c>
      <c r="G73" s="2">
        <f t="shared" ca="1" si="29"/>
        <v>183.73333333333332</v>
      </c>
      <c r="H73" s="2">
        <f t="shared" ca="1" si="30"/>
        <v>12611.915555555555</v>
      </c>
      <c r="I73" s="12">
        <f t="shared" ca="1" si="31"/>
        <v>1.3014444444444444</v>
      </c>
      <c r="J73" s="2">
        <f t="shared" ca="1" si="32"/>
        <v>19602.424794766834</v>
      </c>
      <c r="K73" s="12">
        <f t="shared" ca="1" si="33"/>
        <v>2.5770848165632909</v>
      </c>
      <c r="L73" s="2">
        <f t="shared" ca="1" si="40"/>
        <v>11366.834111111111</v>
      </c>
      <c r="M73" s="12">
        <f t="shared" ca="1" si="41"/>
        <v>1.3014444444444444</v>
      </c>
      <c r="N73" s="2">
        <f t="shared" ca="1" si="42"/>
        <v>17667.221909006093</v>
      </c>
      <c r="O73" s="12">
        <f t="shared" ca="1" si="43"/>
        <v>2.5770848165632909</v>
      </c>
      <c r="P73" s="2">
        <f t="shared" ca="1" si="44"/>
        <v>1245.0814444444445</v>
      </c>
      <c r="Q73" s="12">
        <f t="shared" ca="1" si="45"/>
        <v>1.3014444444444446</v>
      </c>
      <c r="R73" s="2">
        <f t="shared" ca="1" si="46"/>
        <v>1935.2028857607404</v>
      </c>
      <c r="S73" s="12">
        <f t="shared" ca="1" si="47"/>
        <v>2.5770848165632909</v>
      </c>
      <c r="T73" s="2">
        <f t="shared" ca="1" si="34"/>
        <v>25223.831111111111</v>
      </c>
      <c r="U73" s="12">
        <f t="shared" ca="1" si="35"/>
        <v>1.3014444444444444</v>
      </c>
      <c r="V73" s="2">
        <f t="shared" ca="1" si="36"/>
        <v>39204.849589533667</v>
      </c>
      <c r="W73" s="12">
        <f t="shared" ca="1" si="37"/>
        <v>2.5770848165632909</v>
      </c>
      <c r="X73" s="8" t="s">
        <v>13</v>
      </c>
    </row>
    <row r="74" spans="1:24" ht="15.75" x14ac:dyDescent="0.3">
      <c r="A74" s="9">
        <v>40664</v>
      </c>
      <c r="B74" s="10">
        <f t="shared" si="38"/>
        <v>5480</v>
      </c>
      <c r="C74" s="10">
        <f t="shared" si="39"/>
        <v>4939</v>
      </c>
      <c r="D74" s="10">
        <v>541</v>
      </c>
      <c r="E74" s="2">
        <v>10960</v>
      </c>
      <c r="F74" s="12">
        <v>8.5000000000000006E-2</v>
      </c>
      <c r="G74" s="2">
        <f t="shared" ca="1" si="29"/>
        <v>182.73333333333332</v>
      </c>
      <c r="H74" s="2">
        <f t="shared" ca="1" si="30"/>
        <v>12573.09888888889</v>
      </c>
      <c r="I74" s="12">
        <f t="shared" ca="1" si="31"/>
        <v>1.2943611111111113</v>
      </c>
      <c r="J74" s="2">
        <f t="shared" ca="1" si="32"/>
        <v>19466.91439433401</v>
      </c>
      <c r="K74" s="12">
        <f t="shared" ca="1" si="33"/>
        <v>2.5523566413018264</v>
      </c>
      <c r="L74" s="2">
        <f t="shared" ca="1" si="40"/>
        <v>11331.849527777777</v>
      </c>
      <c r="M74" s="12">
        <f t="shared" ca="1" si="41"/>
        <v>1.2943611111111109</v>
      </c>
      <c r="N74" s="2">
        <f t="shared" ca="1" si="42"/>
        <v>17545.089451389722</v>
      </c>
      <c r="O74" s="12">
        <f t="shared" ca="1" si="43"/>
        <v>2.5523566413018268</v>
      </c>
      <c r="P74" s="2">
        <f t="shared" ca="1" si="44"/>
        <v>1241.2493611111113</v>
      </c>
      <c r="Q74" s="12">
        <f t="shared" ca="1" si="45"/>
        <v>1.2943611111111115</v>
      </c>
      <c r="R74" s="2">
        <f t="shared" ca="1" si="46"/>
        <v>1921.8249429442883</v>
      </c>
      <c r="S74" s="12">
        <f t="shared" ca="1" si="47"/>
        <v>2.5523566413018268</v>
      </c>
      <c r="T74" s="2">
        <f t="shared" ca="1" si="34"/>
        <v>25146.197777777779</v>
      </c>
      <c r="U74" s="12">
        <f t="shared" ca="1" si="35"/>
        <v>1.2943611111111113</v>
      </c>
      <c r="V74" s="2">
        <f t="shared" ca="1" si="36"/>
        <v>38933.828788668019</v>
      </c>
      <c r="W74" s="12">
        <f t="shared" ca="1" si="37"/>
        <v>2.5523566413018264</v>
      </c>
      <c r="X74" s="8" t="s">
        <v>13</v>
      </c>
    </row>
    <row r="75" spans="1:24" ht="15.75" x14ac:dyDescent="0.3">
      <c r="A75" s="9">
        <v>40695</v>
      </c>
      <c r="B75" s="10">
        <f t="shared" si="38"/>
        <v>5480</v>
      </c>
      <c r="C75" s="10">
        <f t="shared" si="39"/>
        <v>4939</v>
      </c>
      <c r="D75" s="10">
        <v>541</v>
      </c>
      <c r="E75" s="2">
        <v>10960</v>
      </c>
      <c r="F75" s="12">
        <v>8.5000000000000006E-2</v>
      </c>
      <c r="G75" s="2">
        <f t="shared" ca="1" si="29"/>
        <v>181.73333333333332</v>
      </c>
      <c r="H75" s="2">
        <f t="shared" ca="1" si="30"/>
        <v>12534.28222222222</v>
      </c>
      <c r="I75" s="12">
        <f t="shared" ca="1" si="31"/>
        <v>1.2872777777777775</v>
      </c>
      <c r="J75" s="2">
        <f t="shared" ca="1" si="32"/>
        <v>19332.340769265342</v>
      </c>
      <c r="K75" s="12">
        <f t="shared" ca="1" si="33"/>
        <v>2.5277994104498798</v>
      </c>
      <c r="L75" s="2">
        <f t="shared" ca="1" si="40"/>
        <v>11296.864944444445</v>
      </c>
      <c r="M75" s="12">
        <f t="shared" ca="1" si="41"/>
        <v>1.287277777777778</v>
      </c>
      <c r="N75" s="2">
        <f t="shared" ca="1" si="42"/>
        <v>17423.801288211958</v>
      </c>
      <c r="O75" s="12">
        <f t="shared" ca="1" si="43"/>
        <v>2.5277994104498802</v>
      </c>
      <c r="P75" s="2">
        <f t="shared" ca="1" si="44"/>
        <v>1237.4172777777776</v>
      </c>
      <c r="Q75" s="12">
        <f t="shared" ca="1" si="45"/>
        <v>1.2872777777777775</v>
      </c>
      <c r="R75" s="2">
        <f t="shared" ca="1" si="46"/>
        <v>1908.5394810533851</v>
      </c>
      <c r="S75" s="12">
        <f t="shared" ca="1" si="47"/>
        <v>2.5277994104498802</v>
      </c>
      <c r="T75" s="2">
        <f t="shared" ca="1" si="34"/>
        <v>25068.564444444441</v>
      </c>
      <c r="U75" s="12">
        <f t="shared" ca="1" si="35"/>
        <v>1.2872777777777775</v>
      </c>
      <c r="V75" s="2">
        <f t="shared" ca="1" si="36"/>
        <v>38664.681538530684</v>
      </c>
      <c r="W75" s="12">
        <f t="shared" ca="1" si="37"/>
        <v>2.5277994104498798</v>
      </c>
      <c r="X75" s="8" t="s">
        <v>13</v>
      </c>
    </row>
    <row r="76" spans="1:24" ht="15.75" x14ac:dyDescent="0.3">
      <c r="A76" s="9">
        <v>40725</v>
      </c>
      <c r="B76" s="10">
        <f t="shared" si="38"/>
        <v>5480</v>
      </c>
      <c r="C76" s="10">
        <f t="shared" si="39"/>
        <v>4939</v>
      </c>
      <c r="D76" s="10">
        <v>541</v>
      </c>
      <c r="E76" s="2">
        <v>10960</v>
      </c>
      <c r="F76" s="12">
        <v>8.5000000000000006E-2</v>
      </c>
      <c r="G76" s="2">
        <f t="shared" ca="1" si="29"/>
        <v>180.73333333333332</v>
      </c>
      <c r="H76" s="2">
        <f t="shared" ca="1" si="30"/>
        <v>12495.465555555555</v>
      </c>
      <c r="I76" s="12">
        <f t="shared" ca="1" si="31"/>
        <v>1.2801944444444442</v>
      </c>
      <c r="J76" s="2">
        <f t="shared" ca="1" si="32"/>
        <v>19198.697443688274</v>
      </c>
      <c r="K76" s="12">
        <f t="shared" ca="1" si="33"/>
        <v>2.5034119422788819</v>
      </c>
      <c r="L76" s="2">
        <f t="shared" ca="1" si="40"/>
        <v>11261.880361111111</v>
      </c>
      <c r="M76" s="12">
        <f t="shared" ca="1" si="41"/>
        <v>1.2801944444444444</v>
      </c>
      <c r="N76" s="2">
        <f t="shared" ca="1" si="42"/>
        <v>17303.351582915398</v>
      </c>
      <c r="O76" s="12">
        <f t="shared" ca="1" si="43"/>
        <v>2.5034119422788819</v>
      </c>
      <c r="P76" s="2">
        <f t="shared" ca="1" si="44"/>
        <v>1233.5851944444444</v>
      </c>
      <c r="Q76" s="12">
        <f t="shared" ca="1" si="45"/>
        <v>1.2801944444444444</v>
      </c>
      <c r="R76" s="2">
        <f t="shared" ca="1" si="46"/>
        <v>1895.3458607728751</v>
      </c>
      <c r="S76" s="12">
        <f t="shared" ca="1" si="47"/>
        <v>2.5034119422788819</v>
      </c>
      <c r="T76" s="2">
        <f t="shared" ca="1" si="34"/>
        <v>24990.931111111109</v>
      </c>
      <c r="U76" s="12">
        <f t="shared" ca="1" si="35"/>
        <v>1.2801944444444442</v>
      </c>
      <c r="V76" s="2">
        <f t="shared" ca="1" si="36"/>
        <v>38397.394887376548</v>
      </c>
      <c r="W76" s="12">
        <f t="shared" ca="1" si="37"/>
        <v>2.5034119422788819</v>
      </c>
      <c r="X76" s="8" t="s">
        <v>13</v>
      </c>
    </row>
    <row r="77" spans="1:24" ht="15.75" x14ac:dyDescent="0.3">
      <c r="A77" s="9">
        <v>40756</v>
      </c>
      <c r="B77" s="10">
        <f t="shared" si="38"/>
        <v>6247</v>
      </c>
      <c r="C77" s="10">
        <f t="shared" si="39"/>
        <v>5706</v>
      </c>
      <c r="D77" s="10">
        <v>541</v>
      </c>
      <c r="E77" s="2">
        <v>12494</v>
      </c>
      <c r="F77" s="12">
        <v>8.5000000000000006E-2</v>
      </c>
      <c r="G77" s="2">
        <f t="shared" ca="1" si="29"/>
        <v>179.73333333333332</v>
      </c>
      <c r="H77" s="2">
        <f t="shared" ca="1" si="30"/>
        <v>14200.125111111112</v>
      </c>
      <c r="I77" s="12">
        <f t="shared" ca="1" si="31"/>
        <v>1.2731111111111113</v>
      </c>
      <c r="J77" s="2">
        <f t="shared" ca="1" si="32"/>
        <v>21734.519065994598</v>
      </c>
      <c r="K77" s="12">
        <f t="shared" ca="1" si="33"/>
        <v>2.4791930632294861</v>
      </c>
      <c r="L77" s="2">
        <f t="shared" ca="1" si="40"/>
        <v>12970.371999999999</v>
      </c>
      <c r="M77" s="12">
        <f t="shared" ca="1" si="41"/>
        <v>1.2731111111111111</v>
      </c>
      <c r="N77" s="2">
        <f t="shared" ca="1" si="42"/>
        <v>19852.275618787444</v>
      </c>
      <c r="O77" s="12">
        <f t="shared" ca="1" si="43"/>
        <v>2.4791930632294856</v>
      </c>
      <c r="P77" s="2">
        <f t="shared" ca="1" si="44"/>
        <v>1229.7531111111111</v>
      </c>
      <c r="Q77" s="12">
        <f t="shared" ca="1" si="45"/>
        <v>1.2731111111111111</v>
      </c>
      <c r="R77" s="2">
        <f t="shared" ca="1" si="46"/>
        <v>1882.2434472071518</v>
      </c>
      <c r="S77" s="12">
        <f t="shared" ca="1" si="47"/>
        <v>2.4791930632294856</v>
      </c>
      <c r="T77" s="2">
        <f t="shared" ca="1" si="34"/>
        <v>28400.250222222225</v>
      </c>
      <c r="U77" s="12">
        <f t="shared" ca="1" si="35"/>
        <v>1.2731111111111113</v>
      </c>
      <c r="V77" s="2">
        <f t="shared" ca="1" si="36"/>
        <v>43469.038131989197</v>
      </c>
      <c r="W77" s="12">
        <f t="shared" ca="1" si="37"/>
        <v>2.4791930632294861</v>
      </c>
      <c r="X77" s="8" t="s">
        <v>13</v>
      </c>
    </row>
    <row r="78" spans="1:24" ht="15.75" x14ac:dyDescent="0.3">
      <c r="A78" s="9">
        <v>40787</v>
      </c>
      <c r="B78" s="10">
        <f t="shared" si="38"/>
        <v>6247</v>
      </c>
      <c r="C78" s="10">
        <f t="shared" si="39"/>
        <v>5706</v>
      </c>
      <c r="D78" s="10">
        <v>541</v>
      </c>
      <c r="E78" s="2">
        <v>12494</v>
      </c>
      <c r="F78" s="12">
        <v>8.5000000000000006E-2</v>
      </c>
      <c r="G78" s="2">
        <f t="shared" ca="1" si="29"/>
        <v>178.73333333333332</v>
      </c>
      <c r="H78" s="2">
        <f t="shared" ca="1" si="30"/>
        <v>14155.875527777778</v>
      </c>
      <c r="I78" s="12">
        <f t="shared" ca="1" si="31"/>
        <v>1.2660277777777778</v>
      </c>
      <c r="J78" s="2">
        <f t="shared" ca="1" si="32"/>
        <v>21584.269624270732</v>
      </c>
      <c r="K78" s="12">
        <f t="shared" ca="1" si="33"/>
        <v>2.4551416078550874</v>
      </c>
      <c r="L78" s="2">
        <f t="shared" ca="1" si="40"/>
        <v>12929.9545</v>
      </c>
      <c r="M78" s="12">
        <f t="shared" ca="1" si="41"/>
        <v>1.2660277777777778</v>
      </c>
      <c r="N78" s="2">
        <f t="shared" ca="1" si="42"/>
        <v>19715.03801442113</v>
      </c>
      <c r="O78" s="12">
        <f t="shared" ca="1" si="43"/>
        <v>2.4551416078550878</v>
      </c>
      <c r="P78" s="2">
        <f t="shared" ca="1" si="44"/>
        <v>1225.9210277777779</v>
      </c>
      <c r="Q78" s="12">
        <f t="shared" ca="1" si="45"/>
        <v>1.266027777777778</v>
      </c>
      <c r="R78" s="2">
        <f t="shared" ca="1" si="46"/>
        <v>1869.2316098496024</v>
      </c>
      <c r="S78" s="12">
        <f t="shared" ca="1" si="47"/>
        <v>2.4551416078550874</v>
      </c>
      <c r="T78" s="2">
        <f t="shared" ca="1" si="34"/>
        <v>28311.751055555556</v>
      </c>
      <c r="U78" s="12">
        <f t="shared" ca="1" si="35"/>
        <v>1.2660277777777778</v>
      </c>
      <c r="V78" s="2">
        <f t="shared" ca="1" si="36"/>
        <v>43168.539248541463</v>
      </c>
      <c r="W78" s="12">
        <f t="shared" ca="1" si="37"/>
        <v>2.4551416078550874</v>
      </c>
      <c r="X78" s="8" t="s">
        <v>13</v>
      </c>
    </row>
    <row r="79" spans="1:24" ht="15.75" x14ac:dyDescent="0.3">
      <c r="A79" s="9">
        <v>40817</v>
      </c>
      <c r="B79" s="10">
        <f t="shared" si="38"/>
        <v>6247</v>
      </c>
      <c r="C79" s="10">
        <f t="shared" si="39"/>
        <v>5706</v>
      </c>
      <c r="D79" s="10">
        <v>541</v>
      </c>
      <c r="E79" s="2">
        <v>12494</v>
      </c>
      <c r="F79" s="12">
        <v>8.5000000000000006E-2</v>
      </c>
      <c r="G79" s="2">
        <f t="shared" ca="1" si="29"/>
        <v>177.73333333333332</v>
      </c>
      <c r="H79" s="2">
        <f t="shared" ca="1" si="30"/>
        <v>14111.625944444444</v>
      </c>
      <c r="I79" s="12">
        <f t="shared" ca="1" si="31"/>
        <v>1.2589444444444444</v>
      </c>
      <c r="J79" s="2">
        <f t="shared" ca="1" si="32"/>
        <v>21435.058848029625</v>
      </c>
      <c r="K79" s="12">
        <f t="shared" ca="1" si="33"/>
        <v>2.4312564187657477</v>
      </c>
      <c r="L79" s="2">
        <f t="shared" ca="1" si="40"/>
        <v>12889.537</v>
      </c>
      <c r="M79" s="12">
        <f t="shared" ca="1" si="41"/>
        <v>1.2589444444444444</v>
      </c>
      <c r="N79" s="2">
        <f t="shared" ca="1" si="42"/>
        <v>19578.749125477352</v>
      </c>
      <c r="O79" s="12">
        <f t="shared" ca="1" si="43"/>
        <v>2.4312564187657468</v>
      </c>
      <c r="P79" s="2">
        <f t="shared" ca="1" si="44"/>
        <v>1222.0889444444447</v>
      </c>
      <c r="Q79" s="12">
        <f t="shared" ca="1" si="45"/>
        <v>1.2589444444444449</v>
      </c>
      <c r="R79" s="2">
        <f t="shared" ca="1" si="46"/>
        <v>1856.3097225522692</v>
      </c>
      <c r="S79" s="12">
        <f t="shared" ca="1" si="47"/>
        <v>2.4312564187657473</v>
      </c>
      <c r="T79" s="2">
        <f t="shared" ca="1" si="34"/>
        <v>28223.251888888888</v>
      </c>
      <c r="U79" s="12">
        <f t="shared" ca="1" si="35"/>
        <v>1.2589444444444444</v>
      </c>
      <c r="V79" s="2">
        <f t="shared" ca="1" si="36"/>
        <v>42870.117696059249</v>
      </c>
      <c r="W79" s="12">
        <f t="shared" ca="1" si="37"/>
        <v>2.4312564187657477</v>
      </c>
      <c r="X79" s="8" t="s">
        <v>13</v>
      </c>
    </row>
    <row r="80" spans="1:24" ht="15.75" x14ac:dyDescent="0.3">
      <c r="A80" s="9">
        <v>40848</v>
      </c>
      <c r="B80" s="10">
        <f t="shared" si="38"/>
        <v>6247</v>
      </c>
      <c r="C80" s="10">
        <f t="shared" si="39"/>
        <v>5706</v>
      </c>
      <c r="D80" s="10">
        <v>541</v>
      </c>
      <c r="E80" s="2">
        <v>12494</v>
      </c>
      <c r="F80" s="12">
        <v>8.5000000000000006E-2</v>
      </c>
      <c r="G80" s="2">
        <f t="shared" ca="1" si="29"/>
        <v>176.73333333333332</v>
      </c>
      <c r="H80" s="2">
        <f t="shared" ca="1" si="30"/>
        <v>14067.37636111111</v>
      </c>
      <c r="I80" s="12">
        <f t="shared" ca="1" si="31"/>
        <v>1.2518611111111109</v>
      </c>
      <c r="J80" s="2">
        <f t="shared" ca="1" si="32"/>
        <v>21286.879557038381</v>
      </c>
      <c r="K80" s="12">
        <f t="shared" ca="1" si="33"/>
        <v>2.4075363465724959</v>
      </c>
      <c r="L80" s="2">
        <f t="shared" ca="1" si="40"/>
        <v>12849.119500000001</v>
      </c>
      <c r="M80" s="12">
        <f t="shared" ca="1" si="41"/>
        <v>1.2518611111111113</v>
      </c>
      <c r="N80" s="2">
        <f t="shared" ca="1" si="42"/>
        <v>19443.402393542659</v>
      </c>
      <c r="O80" s="12">
        <f t="shared" ca="1" si="43"/>
        <v>2.4075363465724955</v>
      </c>
      <c r="P80" s="2">
        <f t="shared" ca="1" si="44"/>
        <v>1218.256861111111</v>
      </c>
      <c r="Q80" s="12">
        <f t="shared" ca="1" si="45"/>
        <v>1.2518611111111109</v>
      </c>
      <c r="R80" s="2">
        <f t="shared" ca="1" si="46"/>
        <v>1843.4771634957201</v>
      </c>
      <c r="S80" s="12">
        <f t="shared" ca="1" si="47"/>
        <v>2.4075363465724955</v>
      </c>
      <c r="T80" s="2">
        <f t="shared" ca="1" si="34"/>
        <v>28134.75272222222</v>
      </c>
      <c r="U80" s="12">
        <f t="shared" ca="1" si="35"/>
        <v>1.2518611111111109</v>
      </c>
      <c r="V80" s="2">
        <f t="shared" ca="1" si="36"/>
        <v>42573.759114076762</v>
      </c>
      <c r="W80" s="12">
        <f t="shared" ca="1" si="37"/>
        <v>2.4075363465724959</v>
      </c>
      <c r="X80" s="8" t="s">
        <v>13</v>
      </c>
    </row>
    <row r="81" spans="1:24" ht="15.75" x14ac:dyDescent="0.3">
      <c r="A81" s="9">
        <v>40878</v>
      </c>
      <c r="B81" s="10">
        <f t="shared" si="38"/>
        <v>6247</v>
      </c>
      <c r="C81" s="10">
        <f t="shared" si="39"/>
        <v>5706</v>
      </c>
      <c r="D81" s="10">
        <v>541</v>
      </c>
      <c r="E81" s="2">
        <v>12494</v>
      </c>
      <c r="F81" s="12">
        <v>8.5000000000000006E-2</v>
      </c>
      <c r="G81" s="2">
        <f t="shared" ca="1" si="29"/>
        <v>175.73333333333332</v>
      </c>
      <c r="H81" s="2">
        <f t="shared" ca="1" si="30"/>
        <v>14023.126777777776</v>
      </c>
      <c r="I81" s="12">
        <f t="shared" ca="1" si="31"/>
        <v>1.2447777777777775</v>
      </c>
      <c r="J81" s="2">
        <f t="shared" ca="1" si="32"/>
        <v>21139.724620700621</v>
      </c>
      <c r="K81" s="12">
        <f t="shared" ca="1" si="33"/>
        <v>2.3839802498320188</v>
      </c>
      <c r="L81" s="2">
        <f t="shared" ca="1" si="40"/>
        <v>12808.702000000001</v>
      </c>
      <c r="M81" s="12">
        <f t="shared" ca="1" si="41"/>
        <v>1.244777777777778</v>
      </c>
      <c r="N81" s="2">
        <f t="shared" ca="1" si="42"/>
        <v>19308.991305541498</v>
      </c>
      <c r="O81" s="12">
        <f t="shared" ca="1" si="43"/>
        <v>2.3839802498320184</v>
      </c>
      <c r="P81" s="2">
        <f t="shared" ca="1" si="44"/>
        <v>1214.4247777777778</v>
      </c>
      <c r="Q81" s="12">
        <f t="shared" ca="1" si="45"/>
        <v>1.2447777777777778</v>
      </c>
      <c r="R81" s="2">
        <f t="shared" ca="1" si="46"/>
        <v>1830.7333151591222</v>
      </c>
      <c r="S81" s="12">
        <f t="shared" ca="1" si="47"/>
        <v>2.3839802498320188</v>
      </c>
      <c r="T81" s="2">
        <f t="shared" ca="1" si="34"/>
        <v>28046.253555555551</v>
      </c>
      <c r="U81" s="12">
        <f t="shared" ca="1" si="35"/>
        <v>1.2447777777777775</v>
      </c>
      <c r="V81" s="2">
        <f t="shared" ca="1" si="36"/>
        <v>42279.449241401242</v>
      </c>
      <c r="W81" s="12">
        <f t="shared" ca="1" si="37"/>
        <v>2.3839802498320188</v>
      </c>
      <c r="X81" s="8" t="s">
        <v>13</v>
      </c>
    </row>
    <row r="82" spans="1:24" ht="15.75" x14ac:dyDescent="0.3">
      <c r="A82" s="9">
        <v>40909</v>
      </c>
      <c r="B82" s="10">
        <f t="shared" si="38"/>
        <v>6247</v>
      </c>
      <c r="C82" s="10">
        <f t="shared" si="39"/>
        <v>5706</v>
      </c>
      <c r="D82" s="10">
        <v>541</v>
      </c>
      <c r="E82" s="2">
        <v>12494</v>
      </c>
      <c r="F82" s="12">
        <v>8.5000000000000006E-2</v>
      </c>
      <c r="G82" s="2">
        <f t="shared" ca="1" si="29"/>
        <v>174.73333333333332</v>
      </c>
      <c r="H82" s="2">
        <f t="shared" ca="1" si="30"/>
        <v>13978.877194444445</v>
      </c>
      <c r="I82" s="12">
        <f t="shared" ca="1" si="31"/>
        <v>1.2376944444444447</v>
      </c>
      <c r="J82" s="2">
        <f t="shared" ca="1" si="32"/>
        <v>20993.58695771336</v>
      </c>
      <c r="K82" s="12">
        <f t="shared" ca="1" si="33"/>
        <v>2.3605869949917335</v>
      </c>
      <c r="L82" s="2">
        <f t="shared" ca="1" si="40"/>
        <v>12768.284500000002</v>
      </c>
      <c r="M82" s="12">
        <f t="shared" ca="1" si="41"/>
        <v>1.2376944444444447</v>
      </c>
      <c r="N82" s="2">
        <f t="shared" ca="1" si="42"/>
        <v>19175.509393422832</v>
      </c>
      <c r="O82" s="12">
        <f t="shared" ca="1" si="43"/>
        <v>2.3605869949917335</v>
      </c>
      <c r="P82" s="2">
        <f t="shared" ca="1" si="44"/>
        <v>1210.5926944444445</v>
      </c>
      <c r="Q82" s="12">
        <f t="shared" ca="1" si="45"/>
        <v>1.2376944444444447</v>
      </c>
      <c r="R82" s="2">
        <f t="shared" ca="1" si="46"/>
        <v>1818.0775642905278</v>
      </c>
      <c r="S82" s="12">
        <f t="shared" ca="1" si="47"/>
        <v>2.3605869949917335</v>
      </c>
      <c r="T82" s="2">
        <f t="shared" ca="1" si="34"/>
        <v>27957.75438888889</v>
      </c>
      <c r="U82" s="12">
        <f t="shared" ca="1" si="35"/>
        <v>1.2376944444444447</v>
      </c>
      <c r="V82" s="2">
        <f t="shared" ca="1" si="36"/>
        <v>41987.17391542672</v>
      </c>
      <c r="W82" s="12">
        <f t="shared" ca="1" si="37"/>
        <v>2.3605869949917335</v>
      </c>
      <c r="X82" s="8" t="s">
        <v>13</v>
      </c>
    </row>
    <row r="83" spans="1:24" ht="15.75" x14ac:dyDescent="0.3">
      <c r="A83" s="9">
        <v>40940</v>
      </c>
      <c r="B83" s="10">
        <f t="shared" si="38"/>
        <v>7372</v>
      </c>
      <c r="C83" s="10">
        <f t="shared" si="39"/>
        <v>6831</v>
      </c>
      <c r="D83" s="10">
        <v>541</v>
      </c>
      <c r="E83" s="2">
        <v>14744</v>
      </c>
      <c r="F83" s="12">
        <v>8.5000000000000006E-2</v>
      </c>
      <c r="G83" s="2">
        <f t="shared" ca="1" si="29"/>
        <v>173.73333333333332</v>
      </c>
      <c r="H83" s="2">
        <f t="shared" ca="1" si="30"/>
        <v>16444.065111111111</v>
      </c>
      <c r="I83" s="12">
        <f t="shared" ca="1" si="31"/>
        <v>1.2306111111111111</v>
      </c>
      <c r="J83" s="2">
        <f t="shared" ca="1" si="32"/>
        <v>24602.984424103372</v>
      </c>
      <c r="K83" s="12">
        <f t="shared" ca="1" si="33"/>
        <v>2.3373554563352377</v>
      </c>
      <c r="L83" s="2">
        <f t="shared" ca="1" si="40"/>
        <v>15237.3045</v>
      </c>
      <c r="M83" s="12">
        <f t="shared" ca="1" si="41"/>
        <v>1.2306111111111111</v>
      </c>
      <c r="N83" s="2">
        <f t="shared" ca="1" si="42"/>
        <v>22797.475122226009</v>
      </c>
      <c r="O83" s="12">
        <f t="shared" ca="1" si="43"/>
        <v>2.3373554563352377</v>
      </c>
      <c r="P83" s="2">
        <f t="shared" ca="1" si="44"/>
        <v>1206.7606111111113</v>
      </c>
      <c r="Q83" s="12">
        <f t="shared" ca="1" si="45"/>
        <v>1.2306111111111115</v>
      </c>
      <c r="R83" s="2">
        <f t="shared" ca="1" si="46"/>
        <v>1805.5093018773637</v>
      </c>
      <c r="S83" s="12">
        <f t="shared" ca="1" si="47"/>
        <v>2.3373554563352377</v>
      </c>
      <c r="T83" s="2">
        <f t="shared" ca="1" si="34"/>
        <v>32888.130222222222</v>
      </c>
      <c r="U83" s="12">
        <f t="shared" ca="1" si="35"/>
        <v>1.2306111111111111</v>
      </c>
      <c r="V83" s="2">
        <f t="shared" ca="1" si="36"/>
        <v>49205.968848206743</v>
      </c>
      <c r="W83" s="12">
        <f t="shared" ca="1" si="37"/>
        <v>2.3373554563352377</v>
      </c>
      <c r="X83" s="8" t="s">
        <v>13</v>
      </c>
    </row>
    <row r="84" spans="1:24" ht="15.75" x14ac:dyDescent="0.3">
      <c r="A84" s="9">
        <v>40969</v>
      </c>
      <c r="B84" s="10">
        <f t="shared" si="38"/>
        <v>7372</v>
      </c>
      <c r="C84" s="10">
        <f t="shared" si="39"/>
        <v>6831</v>
      </c>
      <c r="D84" s="10">
        <v>541</v>
      </c>
      <c r="E84" s="2">
        <v>14744</v>
      </c>
      <c r="F84" s="12">
        <v>8.5000000000000006E-2</v>
      </c>
      <c r="G84" s="2">
        <f t="shared" ca="1" si="29"/>
        <v>172.73333333333332</v>
      </c>
      <c r="H84" s="2">
        <f t="shared" ca="1" si="30"/>
        <v>16391.846777777777</v>
      </c>
      <c r="I84" s="12">
        <f t="shared" ca="1" si="31"/>
        <v>1.2235277777777775</v>
      </c>
      <c r="J84" s="2">
        <f t="shared" ca="1" si="32"/>
        <v>24432.905451422255</v>
      </c>
      <c r="K84" s="12">
        <f t="shared" ca="1" si="33"/>
        <v>2.3142845159281409</v>
      </c>
      <c r="L84" s="2">
        <f t="shared" ca="1" si="40"/>
        <v>15188.918249999999</v>
      </c>
      <c r="M84" s="12">
        <f t="shared" ca="1" si="41"/>
        <v>1.2235277777777775</v>
      </c>
      <c r="N84" s="2">
        <f t="shared" ca="1" si="42"/>
        <v>22639.877528305129</v>
      </c>
      <c r="O84" s="12">
        <f t="shared" ca="1" si="43"/>
        <v>2.3142845159281409</v>
      </c>
      <c r="P84" s="2">
        <f t="shared" ca="1" si="44"/>
        <v>1202.9285277777778</v>
      </c>
      <c r="Q84" s="12">
        <f t="shared" ca="1" si="45"/>
        <v>1.223527777777778</v>
      </c>
      <c r="R84" s="2">
        <f t="shared" ca="1" si="46"/>
        <v>1793.0279231171241</v>
      </c>
      <c r="S84" s="12">
        <f t="shared" ca="1" si="47"/>
        <v>2.3142845159281409</v>
      </c>
      <c r="T84" s="2">
        <f t="shared" ca="1" si="34"/>
        <v>32783.693555555554</v>
      </c>
      <c r="U84" s="12">
        <f t="shared" ca="1" si="35"/>
        <v>1.2235277777777775</v>
      </c>
      <c r="V84" s="2">
        <f t="shared" ca="1" si="36"/>
        <v>48865.810902844511</v>
      </c>
      <c r="W84" s="12">
        <f t="shared" ca="1" si="37"/>
        <v>2.3142845159281409</v>
      </c>
      <c r="X84" s="8" t="s">
        <v>13</v>
      </c>
    </row>
    <row r="85" spans="1:24" ht="15.75" x14ac:dyDescent="0.3">
      <c r="A85" s="9">
        <v>41000</v>
      </c>
      <c r="B85" s="10">
        <f t="shared" si="38"/>
        <v>7372</v>
      </c>
      <c r="C85" s="10">
        <f t="shared" si="39"/>
        <v>6831</v>
      </c>
      <c r="D85" s="10">
        <v>541</v>
      </c>
      <c r="E85" s="2">
        <v>14744</v>
      </c>
      <c r="F85" s="12">
        <v>8.5000000000000006E-2</v>
      </c>
      <c r="G85" s="2">
        <f t="shared" ca="1" si="29"/>
        <v>171.73333333333332</v>
      </c>
      <c r="H85" s="2">
        <f t="shared" ca="1" si="30"/>
        <v>16339.628444444445</v>
      </c>
      <c r="I85" s="12">
        <f t="shared" ca="1" si="31"/>
        <v>1.2164444444444444</v>
      </c>
      <c r="J85" s="2">
        <f t="shared" ca="1" si="32"/>
        <v>24264.002224595766</v>
      </c>
      <c r="K85" s="12">
        <f t="shared" ca="1" si="33"/>
        <v>2.2913730635642655</v>
      </c>
      <c r="L85" s="2">
        <f t="shared" ca="1" si="40"/>
        <v>15140.531999999999</v>
      </c>
      <c r="M85" s="12">
        <f t="shared" ca="1" si="41"/>
        <v>1.2164444444444444</v>
      </c>
      <c r="N85" s="2">
        <f t="shared" ca="1" si="42"/>
        <v>22483.369397207498</v>
      </c>
      <c r="O85" s="12">
        <f t="shared" ca="1" si="43"/>
        <v>2.2913730635642655</v>
      </c>
      <c r="P85" s="2">
        <f t="shared" ca="1" si="44"/>
        <v>1199.0964444444444</v>
      </c>
      <c r="Q85" s="12">
        <f t="shared" ca="1" si="45"/>
        <v>1.2164444444444444</v>
      </c>
      <c r="R85" s="2">
        <f t="shared" ca="1" si="46"/>
        <v>1780.6328273882677</v>
      </c>
      <c r="S85" s="12">
        <f t="shared" ca="1" si="47"/>
        <v>2.2913730635642655</v>
      </c>
      <c r="T85" s="2">
        <f t="shared" ca="1" si="34"/>
        <v>32679.256888888889</v>
      </c>
      <c r="U85" s="12">
        <f t="shared" ca="1" si="35"/>
        <v>1.2164444444444444</v>
      </c>
      <c r="V85" s="2">
        <f t="shared" ca="1" si="36"/>
        <v>48528.004449191532</v>
      </c>
      <c r="W85" s="12">
        <f t="shared" ca="1" si="37"/>
        <v>2.2913730635642655</v>
      </c>
      <c r="X85" s="8" t="s">
        <v>13</v>
      </c>
    </row>
    <row r="86" spans="1:24" ht="15.75" x14ac:dyDescent="0.3">
      <c r="A86" s="9">
        <v>41030</v>
      </c>
      <c r="B86" s="10">
        <f t="shared" si="38"/>
        <v>7372</v>
      </c>
      <c r="C86" s="10">
        <f t="shared" si="39"/>
        <v>6831</v>
      </c>
      <c r="D86" s="10">
        <v>541</v>
      </c>
      <c r="E86" s="2">
        <v>14744</v>
      </c>
      <c r="F86" s="12">
        <v>8.5000000000000006E-2</v>
      </c>
      <c r="G86" s="2">
        <f t="shared" ca="1" si="29"/>
        <v>170.73333333333332</v>
      </c>
      <c r="H86" s="2">
        <f t="shared" ca="1" si="30"/>
        <v>16287.41011111111</v>
      </c>
      <c r="I86" s="12">
        <f t="shared" ca="1" si="31"/>
        <v>1.2093611111111111</v>
      </c>
      <c r="J86" s="2">
        <f t="shared" ca="1" si="32"/>
        <v>24096.266615762532</v>
      </c>
      <c r="K86" s="12">
        <f t="shared" ca="1" si="33"/>
        <v>2.2686199967122262</v>
      </c>
      <c r="L86" s="2">
        <f t="shared" ca="1" si="40"/>
        <v>15092.14575</v>
      </c>
      <c r="M86" s="12">
        <f t="shared" ca="1" si="41"/>
        <v>1.2093611111111111</v>
      </c>
      <c r="N86" s="2">
        <f t="shared" ca="1" si="42"/>
        <v>22327.943197541219</v>
      </c>
      <c r="O86" s="12">
        <f t="shared" ca="1" si="43"/>
        <v>2.2686199967122262</v>
      </c>
      <c r="P86" s="2">
        <f t="shared" ca="1" si="44"/>
        <v>1195.2643611111112</v>
      </c>
      <c r="Q86" s="12">
        <f t="shared" ca="1" si="45"/>
        <v>1.2093611111111111</v>
      </c>
      <c r="R86" s="2">
        <f t="shared" ca="1" si="46"/>
        <v>1768.3234182213143</v>
      </c>
      <c r="S86" s="12">
        <f t="shared" ca="1" si="47"/>
        <v>2.2686199967122262</v>
      </c>
      <c r="T86" s="2">
        <f t="shared" ca="1" si="34"/>
        <v>32574.820222222221</v>
      </c>
      <c r="U86" s="12">
        <f t="shared" ca="1" si="35"/>
        <v>1.2093611111111111</v>
      </c>
      <c r="V86" s="2">
        <f t="shared" ca="1" si="36"/>
        <v>48192.533231525063</v>
      </c>
      <c r="W86" s="12">
        <f t="shared" ca="1" si="37"/>
        <v>2.2686199967122262</v>
      </c>
      <c r="X86" s="8" t="s">
        <v>13</v>
      </c>
    </row>
    <row r="87" spans="1:24" ht="15.75" x14ac:dyDescent="0.3">
      <c r="A87" s="9">
        <v>41061</v>
      </c>
      <c r="B87" s="10">
        <f t="shared" si="38"/>
        <v>7372</v>
      </c>
      <c r="C87" s="10">
        <f t="shared" si="39"/>
        <v>6831</v>
      </c>
      <c r="D87" s="10">
        <v>541</v>
      </c>
      <c r="E87" s="2">
        <v>14744</v>
      </c>
      <c r="F87" s="12">
        <v>8.5000000000000006E-2</v>
      </c>
      <c r="G87" s="2">
        <f t="shared" ca="1" si="29"/>
        <v>169.73333333333332</v>
      </c>
      <c r="H87" s="2">
        <f t="shared" ca="1" si="30"/>
        <v>16235.191777777776</v>
      </c>
      <c r="I87" s="12">
        <f t="shared" ca="1" si="31"/>
        <v>1.2022777777777776</v>
      </c>
      <c r="J87" s="2">
        <f t="shared" ca="1" si="32"/>
        <v>23929.69055324858</v>
      </c>
      <c r="K87" s="12">
        <f t="shared" ca="1" si="33"/>
        <v>2.2460242204623686</v>
      </c>
      <c r="L87" s="2">
        <f t="shared" ca="1" si="40"/>
        <v>15043.759499999998</v>
      </c>
      <c r="M87" s="12">
        <f t="shared" ca="1" si="41"/>
        <v>1.2022777777777776</v>
      </c>
      <c r="N87" s="2">
        <f t="shared" ca="1" si="42"/>
        <v>22173.591449978441</v>
      </c>
      <c r="O87" s="12">
        <f t="shared" ca="1" si="43"/>
        <v>2.2460242204623686</v>
      </c>
      <c r="P87" s="2">
        <f t="shared" ca="1" si="44"/>
        <v>1191.4322777777779</v>
      </c>
      <c r="Q87" s="12">
        <f t="shared" ca="1" si="45"/>
        <v>1.202277777777778</v>
      </c>
      <c r="R87" s="2">
        <f t="shared" ca="1" si="46"/>
        <v>1756.0991032701413</v>
      </c>
      <c r="S87" s="12">
        <f t="shared" ca="1" si="47"/>
        <v>2.2460242204623686</v>
      </c>
      <c r="T87" s="2">
        <f t="shared" ca="1" si="34"/>
        <v>32470.383555555552</v>
      </c>
      <c r="U87" s="12">
        <f t="shared" ca="1" si="35"/>
        <v>1.2022777777777776</v>
      </c>
      <c r="V87" s="2">
        <f t="shared" ca="1" si="36"/>
        <v>47859.38110649716</v>
      </c>
      <c r="W87" s="12">
        <f t="shared" ca="1" si="37"/>
        <v>2.2460242204623686</v>
      </c>
      <c r="X87" s="8" t="s">
        <v>13</v>
      </c>
    </row>
    <row r="88" spans="1:24" ht="15.75" x14ac:dyDescent="0.3">
      <c r="A88" s="9">
        <v>41091</v>
      </c>
      <c r="B88" s="10">
        <f t="shared" si="38"/>
        <v>7372</v>
      </c>
      <c r="C88" s="10">
        <f t="shared" si="39"/>
        <v>6831</v>
      </c>
      <c r="D88" s="10">
        <v>541</v>
      </c>
      <c r="E88" s="2">
        <v>14744</v>
      </c>
      <c r="F88" s="12">
        <v>8.5000000000000006E-2</v>
      </c>
      <c r="G88" s="2">
        <f t="shared" ca="1" si="29"/>
        <v>168.73333333333332</v>
      </c>
      <c r="H88" s="2">
        <f t="shared" ca="1" si="30"/>
        <v>16182.973444444444</v>
      </c>
      <c r="I88" s="12">
        <f t="shared" ca="1" si="31"/>
        <v>1.1951944444444444</v>
      </c>
      <c r="J88" s="2">
        <f t="shared" ca="1" si="32"/>
        <v>23764.266021178952</v>
      </c>
      <c r="K88" s="12">
        <f t="shared" ca="1" si="33"/>
        <v>2.2235846474740848</v>
      </c>
      <c r="L88" s="2">
        <f t="shared" ca="1" si="40"/>
        <v>14995.373250000001</v>
      </c>
      <c r="M88" s="12">
        <f t="shared" ca="1" si="41"/>
        <v>1.1951944444444444</v>
      </c>
      <c r="N88" s="2">
        <f t="shared" ca="1" si="42"/>
        <v>22020.306726895473</v>
      </c>
      <c r="O88" s="12">
        <f t="shared" ca="1" si="43"/>
        <v>2.2235846474740848</v>
      </c>
      <c r="P88" s="2">
        <f t="shared" ca="1" si="44"/>
        <v>1187.6001944444445</v>
      </c>
      <c r="Q88" s="12">
        <f t="shared" ca="1" si="45"/>
        <v>1.1951944444444444</v>
      </c>
      <c r="R88" s="2">
        <f t="shared" ca="1" si="46"/>
        <v>1743.9592942834799</v>
      </c>
      <c r="S88" s="12">
        <f t="shared" ca="1" si="47"/>
        <v>2.2235846474740848</v>
      </c>
      <c r="T88" s="2">
        <f t="shared" ca="1" si="34"/>
        <v>32365.946888888888</v>
      </c>
      <c r="U88" s="12">
        <f t="shared" ca="1" si="35"/>
        <v>1.1951944444444444</v>
      </c>
      <c r="V88" s="2">
        <f t="shared" ca="1" si="36"/>
        <v>47528.532042357903</v>
      </c>
      <c r="W88" s="12">
        <f t="shared" ca="1" si="37"/>
        <v>2.2235846474740848</v>
      </c>
      <c r="X88" s="8" t="s">
        <v>13</v>
      </c>
    </row>
    <row r="89" spans="1:24" ht="15.75" x14ac:dyDescent="0.3">
      <c r="A89" s="9">
        <v>41122</v>
      </c>
      <c r="B89" s="10">
        <f t="shared" si="38"/>
        <v>8109</v>
      </c>
      <c r="C89" s="10">
        <f t="shared" si="39"/>
        <v>7568</v>
      </c>
      <c r="D89" s="10">
        <v>541</v>
      </c>
      <c r="E89" s="2">
        <v>16218</v>
      </c>
      <c r="F89" s="12">
        <v>8.5000000000000006E-2</v>
      </c>
      <c r="G89" s="2">
        <f t="shared" ca="1" si="29"/>
        <v>167.73333333333332</v>
      </c>
      <c r="H89" s="2">
        <f t="shared" ca="1" si="30"/>
        <v>17743.393000000004</v>
      </c>
      <c r="I89" s="12">
        <f t="shared" ca="1" si="31"/>
        <v>1.1881111111111116</v>
      </c>
      <c r="J89" s="2">
        <f t="shared" ca="1" si="32"/>
        <v>25959.343304961574</v>
      </c>
      <c r="K89" s="12">
        <f t="shared" ca="1" si="33"/>
        <v>2.2013001979234894</v>
      </c>
      <c r="L89" s="2">
        <f t="shared" ca="1" si="40"/>
        <v>16559.624888888888</v>
      </c>
      <c r="M89" s="12">
        <f t="shared" ca="1" si="41"/>
        <v>1.1881111111111109</v>
      </c>
      <c r="N89" s="2">
        <f t="shared" ca="1" si="42"/>
        <v>24227.439897884968</v>
      </c>
      <c r="O89" s="12">
        <f t="shared" ca="1" si="43"/>
        <v>2.2013001979234894</v>
      </c>
      <c r="P89" s="2">
        <f t="shared" ca="1" si="44"/>
        <v>1183.768111111111</v>
      </c>
      <c r="Q89" s="12">
        <f t="shared" ca="1" si="45"/>
        <v>1.1881111111111109</v>
      </c>
      <c r="R89" s="2">
        <f t="shared" ca="1" si="46"/>
        <v>1731.9034070766077</v>
      </c>
      <c r="S89" s="12">
        <f t="shared" ca="1" si="47"/>
        <v>2.2013001979234894</v>
      </c>
      <c r="T89" s="2">
        <f t="shared" ca="1" si="34"/>
        <v>35486.786000000007</v>
      </c>
      <c r="U89" s="12">
        <f t="shared" ca="1" si="35"/>
        <v>1.1881111111111116</v>
      </c>
      <c r="V89" s="2">
        <f t="shared" ca="1" si="36"/>
        <v>51918.686609923148</v>
      </c>
      <c r="W89" s="12">
        <f t="shared" ca="1" si="37"/>
        <v>2.2013001979234894</v>
      </c>
      <c r="X89" s="8" t="s">
        <v>13</v>
      </c>
    </row>
    <row r="90" spans="1:24" ht="15.75" x14ac:dyDescent="0.3">
      <c r="A90" s="9">
        <v>41153</v>
      </c>
      <c r="B90" s="10">
        <f t="shared" si="38"/>
        <v>8109</v>
      </c>
      <c r="C90" s="10">
        <f t="shared" si="39"/>
        <v>7568</v>
      </c>
      <c r="D90" s="10">
        <v>541</v>
      </c>
      <c r="E90" s="2">
        <v>16218</v>
      </c>
      <c r="F90" s="12">
        <v>8.5000000000000006E-2</v>
      </c>
      <c r="G90" s="2">
        <f t="shared" ca="1" si="29"/>
        <v>166.73333333333332</v>
      </c>
      <c r="H90" s="2">
        <f t="shared" ca="1" si="30"/>
        <v>17685.954250000003</v>
      </c>
      <c r="I90" s="12">
        <f t="shared" ca="1" si="31"/>
        <v>1.181027777777778</v>
      </c>
      <c r="J90" s="2">
        <f t="shared" ca="1" si="32"/>
        <v>25779.887903751842</v>
      </c>
      <c r="K90" s="12">
        <f t="shared" ca="1" si="33"/>
        <v>2.1791697994514543</v>
      </c>
      <c r="L90" s="2">
        <f t="shared" ca="1" si="40"/>
        <v>16506.018222222221</v>
      </c>
      <c r="M90" s="12">
        <f t="shared" ca="1" si="41"/>
        <v>1.1810277777777776</v>
      </c>
      <c r="N90" s="2">
        <f t="shared" ca="1" si="42"/>
        <v>24059.957042248607</v>
      </c>
      <c r="O90" s="12">
        <f t="shared" ca="1" si="43"/>
        <v>2.1791697994514543</v>
      </c>
      <c r="P90" s="2">
        <f t="shared" ca="1" si="44"/>
        <v>1179.9360277777778</v>
      </c>
      <c r="Q90" s="12">
        <f t="shared" ca="1" si="45"/>
        <v>1.1810277777777778</v>
      </c>
      <c r="R90" s="2">
        <f t="shared" ca="1" si="46"/>
        <v>1719.9308615032367</v>
      </c>
      <c r="S90" s="12">
        <f t="shared" ca="1" si="47"/>
        <v>2.1791697994514543</v>
      </c>
      <c r="T90" s="2">
        <f t="shared" ca="1" si="34"/>
        <v>35371.908500000005</v>
      </c>
      <c r="U90" s="12">
        <f t="shared" ca="1" si="35"/>
        <v>1.181027777777778</v>
      </c>
      <c r="V90" s="2">
        <f t="shared" ca="1" si="36"/>
        <v>51559.775807503684</v>
      </c>
      <c r="W90" s="12">
        <f t="shared" ca="1" si="37"/>
        <v>2.1791697994514543</v>
      </c>
      <c r="X90" s="8" t="s">
        <v>13</v>
      </c>
    </row>
    <row r="91" spans="1:24" ht="15.75" x14ac:dyDescent="0.3">
      <c r="A91" s="9">
        <v>41183</v>
      </c>
      <c r="B91" s="10">
        <f t="shared" si="38"/>
        <v>8109</v>
      </c>
      <c r="C91" s="10">
        <f t="shared" si="39"/>
        <v>7568</v>
      </c>
      <c r="D91" s="10">
        <v>541</v>
      </c>
      <c r="E91" s="2">
        <v>16218</v>
      </c>
      <c r="F91" s="12">
        <v>8.5000000000000006E-2</v>
      </c>
      <c r="G91" s="2">
        <f t="shared" ca="1" si="29"/>
        <v>165.73333333333332</v>
      </c>
      <c r="H91" s="2">
        <f t="shared" ca="1" si="30"/>
        <v>17628.515500000001</v>
      </c>
      <c r="I91" s="12">
        <f t="shared" ca="1" si="31"/>
        <v>1.1739444444444447</v>
      </c>
      <c r="J91" s="2">
        <f t="shared" ca="1" si="32"/>
        <v>25601.673067091255</v>
      </c>
      <c r="K91" s="12">
        <f t="shared" ca="1" si="33"/>
        <v>2.1571923871120058</v>
      </c>
      <c r="L91" s="2">
        <f t="shared" ca="1" si="40"/>
        <v>16452.411555555555</v>
      </c>
      <c r="M91" s="12">
        <f t="shared" ca="1" si="41"/>
        <v>1.1739444444444442</v>
      </c>
      <c r="N91" s="2">
        <f t="shared" ca="1" si="42"/>
        <v>23893.631985663658</v>
      </c>
      <c r="O91" s="12">
        <f t="shared" ca="1" si="43"/>
        <v>2.1571923871120058</v>
      </c>
      <c r="P91" s="2">
        <f t="shared" ca="1" si="44"/>
        <v>1176.1039444444446</v>
      </c>
      <c r="Q91" s="12">
        <f t="shared" ca="1" si="45"/>
        <v>1.1739444444444447</v>
      </c>
      <c r="R91" s="2">
        <f t="shared" ca="1" si="46"/>
        <v>1708.0410814275951</v>
      </c>
      <c r="S91" s="12">
        <f t="shared" ca="1" si="47"/>
        <v>2.1571923871120058</v>
      </c>
      <c r="T91" s="2">
        <f t="shared" ca="1" si="34"/>
        <v>35257.031000000003</v>
      </c>
      <c r="U91" s="12">
        <f t="shared" ca="1" si="35"/>
        <v>1.1739444444444447</v>
      </c>
      <c r="V91" s="2">
        <f t="shared" ca="1" si="36"/>
        <v>51203.34613418251</v>
      </c>
      <c r="W91" s="12">
        <f t="shared" ca="1" si="37"/>
        <v>2.1571923871120058</v>
      </c>
      <c r="X91" s="8" t="s">
        <v>13</v>
      </c>
    </row>
    <row r="92" spans="1:24" ht="15.75" x14ac:dyDescent="0.3">
      <c r="A92" s="9">
        <v>41214</v>
      </c>
      <c r="B92" s="10">
        <f t="shared" si="38"/>
        <v>8109</v>
      </c>
      <c r="C92" s="10">
        <f t="shared" si="39"/>
        <v>7568</v>
      </c>
      <c r="D92" s="10">
        <v>541</v>
      </c>
      <c r="E92" s="2">
        <v>16218</v>
      </c>
      <c r="F92" s="12">
        <v>8.5000000000000006E-2</v>
      </c>
      <c r="G92" s="2">
        <f t="shared" ca="1" si="29"/>
        <v>164.73333333333332</v>
      </c>
      <c r="H92" s="2">
        <f t="shared" ca="1" si="30"/>
        <v>17571.07675</v>
      </c>
      <c r="I92" s="12">
        <f t="shared" ca="1" si="31"/>
        <v>1.1668611111111111</v>
      </c>
      <c r="J92" s="2">
        <f t="shared" ca="1" si="32"/>
        <v>25424.690219030639</v>
      </c>
      <c r="K92" s="12">
        <f t="shared" ca="1" si="33"/>
        <v>2.13536690332108</v>
      </c>
      <c r="L92" s="2">
        <f t="shared" ca="1" si="40"/>
        <v>16398.804888888888</v>
      </c>
      <c r="M92" s="12">
        <f t="shared" ca="1" si="41"/>
        <v>1.1668611111111109</v>
      </c>
      <c r="N92" s="2">
        <f t="shared" ca="1" si="42"/>
        <v>23728.456724333933</v>
      </c>
      <c r="O92" s="12">
        <f t="shared" ca="1" si="43"/>
        <v>2.13536690332108</v>
      </c>
      <c r="P92" s="2">
        <f t="shared" ca="1" si="44"/>
        <v>1172.2718611111113</v>
      </c>
      <c r="Q92" s="12">
        <f t="shared" ca="1" si="45"/>
        <v>1.1668611111111116</v>
      </c>
      <c r="R92" s="2">
        <f t="shared" ca="1" si="46"/>
        <v>1696.2334946967044</v>
      </c>
      <c r="S92" s="12">
        <f t="shared" ca="1" si="47"/>
        <v>2.13536690332108</v>
      </c>
      <c r="T92" s="2">
        <f t="shared" ca="1" si="34"/>
        <v>35142.1535</v>
      </c>
      <c r="U92" s="12">
        <f t="shared" ca="1" si="35"/>
        <v>1.1668611111111111</v>
      </c>
      <c r="V92" s="2">
        <f t="shared" ca="1" si="36"/>
        <v>50849.380438061278</v>
      </c>
      <c r="W92" s="12">
        <f t="shared" ca="1" si="37"/>
        <v>2.13536690332108</v>
      </c>
      <c r="X92" s="8" t="s">
        <v>13</v>
      </c>
    </row>
    <row r="93" spans="1:24" ht="15.75" x14ac:dyDescent="0.3">
      <c r="A93" s="9">
        <v>41244</v>
      </c>
      <c r="B93" s="10">
        <f t="shared" si="38"/>
        <v>8109</v>
      </c>
      <c r="C93" s="10">
        <f t="shared" si="39"/>
        <v>7568</v>
      </c>
      <c r="D93" s="10">
        <v>541</v>
      </c>
      <c r="E93" s="2">
        <v>16218</v>
      </c>
      <c r="F93" s="12">
        <v>8.5000000000000006E-2</v>
      </c>
      <c r="G93" s="2">
        <f t="shared" ca="1" si="29"/>
        <v>163.73333333333332</v>
      </c>
      <c r="H93" s="2">
        <f t="shared" ca="1" si="30"/>
        <v>17513.637999999999</v>
      </c>
      <c r="I93" s="12">
        <f t="shared" ca="1" si="31"/>
        <v>1.1597777777777776</v>
      </c>
      <c r="J93" s="2">
        <f t="shared" ca="1" si="32"/>
        <v>25248.930842905844</v>
      </c>
      <c r="K93" s="12">
        <f t="shared" ca="1" si="33"/>
        <v>2.113692297805629</v>
      </c>
      <c r="L93" s="2">
        <f t="shared" ca="1" si="40"/>
        <v>16345.198222222223</v>
      </c>
      <c r="M93" s="12">
        <f t="shared" ca="1" si="41"/>
        <v>1.1597777777777778</v>
      </c>
      <c r="N93" s="2">
        <f t="shared" ca="1" si="42"/>
        <v>23564.423309793001</v>
      </c>
      <c r="O93" s="12">
        <f t="shared" ca="1" si="43"/>
        <v>2.113692297805629</v>
      </c>
      <c r="P93" s="2">
        <f t="shared" ca="1" si="44"/>
        <v>1168.4397777777776</v>
      </c>
      <c r="Q93" s="12">
        <f t="shared" ca="1" si="45"/>
        <v>1.1597777777777776</v>
      </c>
      <c r="R93" s="2">
        <f t="shared" ca="1" si="46"/>
        <v>1684.5075331128453</v>
      </c>
      <c r="S93" s="12">
        <f t="shared" ca="1" si="47"/>
        <v>2.113692297805629</v>
      </c>
      <c r="T93" s="2">
        <f t="shared" ca="1" si="34"/>
        <v>35027.275999999998</v>
      </c>
      <c r="U93" s="12">
        <f t="shared" ca="1" si="35"/>
        <v>1.1597777777777776</v>
      </c>
      <c r="V93" s="2">
        <f t="shared" ca="1" si="36"/>
        <v>50497.861685811687</v>
      </c>
      <c r="W93" s="12">
        <f t="shared" ca="1" si="37"/>
        <v>2.113692297805629</v>
      </c>
      <c r="X93" s="8" t="s">
        <v>13</v>
      </c>
    </row>
    <row r="94" spans="1:24" ht="15.75" x14ac:dyDescent="0.3">
      <c r="A94" s="9">
        <v>41275</v>
      </c>
      <c r="B94" s="10">
        <f t="shared" si="38"/>
        <v>8109</v>
      </c>
      <c r="C94" s="10">
        <f t="shared" si="39"/>
        <v>7568</v>
      </c>
      <c r="D94" s="10">
        <v>541</v>
      </c>
      <c r="E94" s="2">
        <v>16218</v>
      </c>
      <c r="F94" s="12">
        <v>8.5000000000000006E-2</v>
      </c>
      <c r="G94" s="2">
        <f t="shared" ca="1" si="29"/>
        <v>162.73333333333332</v>
      </c>
      <c r="H94" s="2">
        <f t="shared" ca="1" si="30"/>
        <v>17456.199249999998</v>
      </c>
      <c r="I94" s="12">
        <f t="shared" ca="1" si="31"/>
        <v>1.1526944444444442</v>
      </c>
      <c r="J94" s="2">
        <f t="shared" ca="1" si="32"/>
        <v>25074.386480927922</v>
      </c>
      <c r="K94" s="12">
        <f t="shared" ca="1" si="33"/>
        <v>2.0921675275530793</v>
      </c>
      <c r="L94" s="2">
        <f t="shared" ca="1" si="40"/>
        <v>16291.591555555557</v>
      </c>
      <c r="M94" s="12">
        <f t="shared" ca="1" si="41"/>
        <v>1.1526944444444447</v>
      </c>
      <c r="N94" s="2">
        <f t="shared" ca="1" si="42"/>
        <v>23401.523848521705</v>
      </c>
      <c r="O94" s="12">
        <f t="shared" ca="1" si="43"/>
        <v>2.0921675275530793</v>
      </c>
      <c r="P94" s="2">
        <f t="shared" ca="1" si="44"/>
        <v>1164.6076944444444</v>
      </c>
      <c r="Q94" s="12">
        <f t="shared" ca="1" si="45"/>
        <v>1.1526944444444445</v>
      </c>
      <c r="R94" s="2">
        <f t="shared" ca="1" si="46"/>
        <v>1672.8626324062159</v>
      </c>
      <c r="S94" s="12">
        <f t="shared" ca="1" si="47"/>
        <v>2.0921675275530793</v>
      </c>
      <c r="T94" s="2">
        <f t="shared" ca="1" si="34"/>
        <v>34912.398499999996</v>
      </c>
      <c r="U94" s="12">
        <f t="shared" ca="1" si="35"/>
        <v>1.1526944444444442</v>
      </c>
      <c r="V94" s="2">
        <f t="shared" ca="1" si="36"/>
        <v>50148.772961855844</v>
      </c>
      <c r="W94" s="12">
        <f t="shared" ca="1" si="37"/>
        <v>2.0921675275530793</v>
      </c>
      <c r="X94" s="8" t="s">
        <v>13</v>
      </c>
    </row>
    <row r="95" spans="1:24" ht="15.75" x14ac:dyDescent="0.3">
      <c r="A95" s="9">
        <v>41306</v>
      </c>
      <c r="B95" s="10">
        <f t="shared" si="38"/>
        <v>8109</v>
      </c>
      <c r="C95" s="10">
        <f t="shared" si="39"/>
        <v>7568</v>
      </c>
      <c r="D95" s="10">
        <v>541</v>
      </c>
      <c r="E95" s="2">
        <v>16218</v>
      </c>
      <c r="F95" s="12">
        <v>8.5000000000000006E-2</v>
      </c>
      <c r="G95" s="2">
        <f t="shared" ca="1" si="29"/>
        <v>161.73333333333332</v>
      </c>
      <c r="H95" s="2">
        <f t="shared" ca="1" si="30"/>
        <v>17398.7605</v>
      </c>
      <c r="I95" s="12">
        <f t="shared" ca="1" si="31"/>
        <v>1.1456111111111111</v>
      </c>
      <c r="J95" s="2">
        <f t="shared" ca="1" si="32"/>
        <v>24901.04873377609</v>
      </c>
      <c r="K95" s="12">
        <f t="shared" ca="1" si="33"/>
        <v>2.0707915567611406</v>
      </c>
      <c r="L95" s="2">
        <f t="shared" ca="1" si="40"/>
        <v>16237.98488888889</v>
      </c>
      <c r="M95" s="12">
        <f t="shared" ca="1" si="41"/>
        <v>1.1456111111111114</v>
      </c>
      <c r="N95" s="2">
        <f t="shared" ca="1" si="42"/>
        <v>23239.750501568313</v>
      </c>
      <c r="O95" s="12">
        <f t="shared" ca="1" si="43"/>
        <v>2.0707915567611406</v>
      </c>
      <c r="P95" s="2">
        <f t="shared" ca="1" si="44"/>
        <v>1160.7756111111112</v>
      </c>
      <c r="Q95" s="12">
        <f t="shared" ca="1" si="45"/>
        <v>1.1456111111111111</v>
      </c>
      <c r="R95" s="2">
        <f t="shared" ca="1" si="46"/>
        <v>1661.2982322077771</v>
      </c>
      <c r="S95" s="12">
        <f t="shared" ca="1" si="47"/>
        <v>2.0707915567611406</v>
      </c>
      <c r="T95" s="2">
        <f t="shared" ca="1" si="34"/>
        <v>34797.521000000001</v>
      </c>
      <c r="U95" s="12">
        <f t="shared" ca="1" si="35"/>
        <v>1.1456111111111111</v>
      </c>
      <c r="V95" s="2">
        <f t="shared" ca="1" si="36"/>
        <v>49802.097467552179</v>
      </c>
      <c r="W95" s="12">
        <f t="shared" ca="1" si="37"/>
        <v>2.0707915567611406</v>
      </c>
      <c r="X95" s="8" t="s">
        <v>13</v>
      </c>
    </row>
    <row r="96" spans="1:24" ht="15.75" x14ac:dyDescent="0.3">
      <c r="A96" s="9">
        <v>41334</v>
      </c>
      <c r="B96" s="10">
        <f t="shared" si="38"/>
        <v>8109</v>
      </c>
      <c r="C96" s="10">
        <f t="shared" si="39"/>
        <v>7568</v>
      </c>
      <c r="D96" s="10">
        <v>541</v>
      </c>
      <c r="E96" s="2">
        <v>16218</v>
      </c>
      <c r="F96" s="12">
        <v>8.5000000000000006E-2</v>
      </c>
      <c r="G96" s="2">
        <f t="shared" ca="1" si="29"/>
        <v>160.73333333333332</v>
      </c>
      <c r="H96" s="2">
        <f t="shared" ca="1" si="30"/>
        <v>17341.321750000003</v>
      </c>
      <c r="I96" s="12">
        <f t="shared" ca="1" si="31"/>
        <v>1.138527777777778</v>
      </c>
      <c r="J96" s="2">
        <f t="shared" ca="1" si="32"/>
        <v>24728.90926019361</v>
      </c>
      <c r="K96" s="12">
        <f t="shared" ca="1" si="33"/>
        <v>2.0495633567879654</v>
      </c>
      <c r="L96" s="2">
        <f t="shared" ca="1" si="40"/>
        <v>16184.378222222223</v>
      </c>
      <c r="M96" s="12">
        <f t="shared" ca="1" si="41"/>
        <v>1.138527777777778</v>
      </c>
      <c r="N96" s="2">
        <f t="shared" ca="1" si="42"/>
        <v>23079.095484171321</v>
      </c>
      <c r="O96" s="12">
        <f t="shared" ca="1" si="43"/>
        <v>2.0495633567879654</v>
      </c>
      <c r="P96" s="2">
        <f t="shared" ca="1" si="44"/>
        <v>1156.9435277777779</v>
      </c>
      <c r="Q96" s="12">
        <f t="shared" ca="1" si="45"/>
        <v>1.138527777777778</v>
      </c>
      <c r="R96" s="2">
        <f t="shared" ca="1" si="46"/>
        <v>1649.8137760222894</v>
      </c>
      <c r="S96" s="12">
        <f t="shared" ca="1" si="47"/>
        <v>2.0495633567879654</v>
      </c>
      <c r="T96" s="2">
        <f t="shared" ca="1" si="34"/>
        <v>34682.643500000006</v>
      </c>
      <c r="U96" s="12">
        <f t="shared" ca="1" si="35"/>
        <v>1.138527777777778</v>
      </c>
      <c r="V96" s="2">
        <f t="shared" ca="1" si="36"/>
        <v>49457.81852038722</v>
      </c>
      <c r="W96" s="12">
        <f t="shared" ca="1" si="37"/>
        <v>2.0495633567879654</v>
      </c>
      <c r="X96" s="8" t="s">
        <v>13</v>
      </c>
    </row>
    <row r="97" spans="1:24" ht="15.75" x14ac:dyDescent="0.3">
      <c r="A97" s="9">
        <v>41365</v>
      </c>
      <c r="B97" s="10">
        <f t="shared" si="38"/>
        <v>8109</v>
      </c>
      <c r="C97" s="10">
        <f t="shared" si="39"/>
        <v>7568</v>
      </c>
      <c r="D97" s="10">
        <v>541</v>
      </c>
      <c r="E97" s="2">
        <v>16218</v>
      </c>
      <c r="F97" s="12">
        <v>8.5000000000000006E-2</v>
      </c>
      <c r="G97" s="2">
        <f t="shared" ca="1" si="29"/>
        <v>159.73333333333332</v>
      </c>
      <c r="H97" s="2">
        <f t="shared" ca="1" si="30"/>
        <v>17283.883000000002</v>
      </c>
      <c r="I97" s="12">
        <f t="shared" ca="1" si="31"/>
        <v>1.1314444444444447</v>
      </c>
      <c r="J97" s="2">
        <f t="shared" ca="1" si="32"/>
        <v>24557.95977658634</v>
      </c>
      <c r="K97" s="12">
        <f t="shared" ca="1" si="33"/>
        <v>2.0284819061026438</v>
      </c>
      <c r="L97" s="2">
        <f t="shared" ca="1" si="40"/>
        <v>16130.771555555557</v>
      </c>
      <c r="M97" s="12">
        <f t="shared" ca="1" si="41"/>
        <v>1.1314444444444447</v>
      </c>
      <c r="N97" s="2">
        <f t="shared" ca="1" si="42"/>
        <v>22919.551065384807</v>
      </c>
      <c r="O97" s="12">
        <f t="shared" ca="1" si="43"/>
        <v>2.0284819061026438</v>
      </c>
      <c r="P97" s="2">
        <f t="shared" ca="1" si="44"/>
        <v>1153.1114444444445</v>
      </c>
      <c r="Q97" s="12">
        <f t="shared" ca="1" si="45"/>
        <v>1.1314444444444445</v>
      </c>
      <c r="R97" s="2">
        <f t="shared" ca="1" si="46"/>
        <v>1638.4087112015302</v>
      </c>
      <c r="S97" s="12">
        <f t="shared" ca="1" si="47"/>
        <v>2.0284819061026438</v>
      </c>
      <c r="T97" s="2">
        <f t="shared" ca="1" si="34"/>
        <v>34567.766000000003</v>
      </c>
      <c r="U97" s="12">
        <f t="shared" ca="1" si="35"/>
        <v>1.1314444444444447</v>
      </c>
      <c r="V97" s="2">
        <f t="shared" ca="1" si="36"/>
        <v>49115.91955317268</v>
      </c>
      <c r="W97" s="12">
        <f t="shared" ca="1" si="37"/>
        <v>2.0284819061026438</v>
      </c>
      <c r="X97" s="8" t="s">
        <v>13</v>
      </c>
    </row>
    <row r="98" spans="1:24" ht="15.75" x14ac:dyDescent="0.3">
      <c r="A98" s="9">
        <v>41395</v>
      </c>
      <c r="B98" s="10">
        <f t="shared" si="38"/>
        <v>8109</v>
      </c>
      <c r="C98" s="10">
        <f t="shared" si="39"/>
        <v>7568</v>
      </c>
      <c r="D98" s="10">
        <v>541</v>
      </c>
      <c r="E98" s="2">
        <v>16218</v>
      </c>
      <c r="F98" s="12">
        <v>8.5000000000000006E-2</v>
      </c>
      <c r="G98" s="2">
        <f t="shared" ca="1" si="29"/>
        <v>158.73333333333332</v>
      </c>
      <c r="H98" s="2">
        <f t="shared" ca="1" si="30"/>
        <v>17226.44425</v>
      </c>
      <c r="I98" s="12">
        <f t="shared" ca="1" si="31"/>
        <v>1.1243611111111111</v>
      </c>
      <c r="J98" s="2">
        <f t="shared" ca="1" si="32"/>
        <v>24388.192056624117</v>
      </c>
      <c r="K98" s="12">
        <f t="shared" ca="1" si="33"/>
        <v>2.0075461902360483</v>
      </c>
      <c r="L98" s="2">
        <f t="shared" ca="1" si="40"/>
        <v>16077.16488888889</v>
      </c>
      <c r="M98" s="12">
        <f t="shared" ca="1" si="41"/>
        <v>1.1243611111111114</v>
      </c>
      <c r="N98" s="2">
        <f t="shared" ca="1" si="42"/>
        <v>22761.109567706415</v>
      </c>
      <c r="O98" s="12">
        <f t="shared" ca="1" si="43"/>
        <v>2.0075461902360483</v>
      </c>
      <c r="P98" s="2">
        <f t="shared" ca="1" si="44"/>
        <v>1149.279361111111</v>
      </c>
      <c r="Q98" s="12">
        <f t="shared" ca="1" si="45"/>
        <v>1.1243611111111109</v>
      </c>
      <c r="R98" s="2">
        <f t="shared" ca="1" si="46"/>
        <v>1627.0824889177022</v>
      </c>
      <c r="S98" s="12">
        <f t="shared" ca="1" si="47"/>
        <v>2.0075461902360483</v>
      </c>
      <c r="T98" s="2">
        <f t="shared" ca="1" si="34"/>
        <v>34452.888500000001</v>
      </c>
      <c r="U98" s="12">
        <f t="shared" ca="1" si="35"/>
        <v>1.1243611111111111</v>
      </c>
      <c r="V98" s="2">
        <f t="shared" ca="1" si="36"/>
        <v>48776.384113248234</v>
      </c>
      <c r="W98" s="12">
        <f t="shared" ca="1" si="37"/>
        <v>2.0075461902360483</v>
      </c>
      <c r="X98" s="8" t="s">
        <v>13</v>
      </c>
    </row>
    <row r="99" spans="1:24" ht="15.75" x14ac:dyDescent="0.3">
      <c r="A99" s="9">
        <v>41426</v>
      </c>
      <c r="B99" s="10">
        <f t="shared" si="38"/>
        <v>8109</v>
      </c>
      <c r="C99" s="10">
        <f t="shared" si="39"/>
        <v>7568</v>
      </c>
      <c r="D99" s="10">
        <v>541</v>
      </c>
      <c r="E99" s="2">
        <v>16218</v>
      </c>
      <c r="F99" s="12">
        <v>8.5000000000000006E-2</v>
      </c>
      <c r="G99" s="2">
        <f t="shared" ref="G99:G129" ca="1" si="48">(DAYS360(A99,NOW(),TRUE))/30</f>
        <v>157.73333333333332</v>
      </c>
      <c r="H99" s="2">
        <f t="shared" ref="H99:H129" ca="1" si="49">SUM(B99, B99*$F99*$G99/12)</f>
        <v>17169.005499999999</v>
      </c>
      <c r="I99" s="12">
        <f t="shared" ref="I99:I129" ca="1" si="50">(H99-B99)/B99</f>
        <v>1.1172777777777776</v>
      </c>
      <c r="J99" s="2">
        <f t="shared" ref="J99:J129" ca="1" si="51">PRODUCT(B99,POWER((1+$F99/2),2*$G99/12))</f>
        <v>24219.597930844939</v>
      </c>
      <c r="K99" s="12">
        <f t="shared" ref="K99:K129" ca="1" si="52">(J99-B99)/B99</f>
        <v>1.9867552017320185</v>
      </c>
      <c r="L99" s="2">
        <f t="shared" ca="1" si="40"/>
        <v>16023.558222222224</v>
      </c>
      <c r="M99" s="12">
        <f t="shared" ca="1" si="41"/>
        <v>1.117277777777778</v>
      </c>
      <c r="N99" s="2">
        <f t="shared" ca="1" si="42"/>
        <v>22603.763366707917</v>
      </c>
      <c r="O99" s="12">
        <f t="shared" ca="1" si="43"/>
        <v>1.9867552017320187</v>
      </c>
      <c r="P99" s="2">
        <f t="shared" ca="1" si="44"/>
        <v>1145.4472777777778</v>
      </c>
      <c r="Q99" s="12">
        <f t="shared" ca="1" si="45"/>
        <v>1.1172777777777778</v>
      </c>
      <c r="R99" s="2">
        <f t="shared" ca="1" si="46"/>
        <v>1615.8345641370222</v>
      </c>
      <c r="S99" s="12">
        <f t="shared" ca="1" si="47"/>
        <v>1.9867552017320189</v>
      </c>
      <c r="T99" s="2">
        <f t="shared" ref="T99:T129" ca="1" si="53">SUM(E99, E99*$F99*$G99/12)</f>
        <v>34338.010999999999</v>
      </c>
      <c r="U99" s="12">
        <f t="shared" ref="U99:U129" ca="1" si="54">(T99-E99)/E99</f>
        <v>1.1172777777777776</v>
      </c>
      <c r="V99" s="2">
        <f t="shared" ref="V99:V129" ca="1" si="55">PRODUCT(E99,POWER((1+$F99/2),2*$G99/12))</f>
        <v>48439.195861689877</v>
      </c>
      <c r="W99" s="12">
        <f t="shared" ref="W99:W129" ca="1" si="56">(V99-E99)/E99</f>
        <v>1.9867552017320185</v>
      </c>
      <c r="X99" s="8" t="s">
        <v>13</v>
      </c>
    </row>
    <row r="100" spans="1:24" ht="15.75" x14ac:dyDescent="0.3">
      <c r="A100" s="9">
        <v>41456</v>
      </c>
      <c r="B100" s="10">
        <f t="shared" si="38"/>
        <v>8109</v>
      </c>
      <c r="C100" s="10">
        <f t="shared" si="39"/>
        <v>7568</v>
      </c>
      <c r="D100" s="10">
        <v>541</v>
      </c>
      <c r="E100" s="2">
        <v>16218</v>
      </c>
      <c r="F100" s="12">
        <v>8.5000000000000006E-2</v>
      </c>
      <c r="G100" s="2">
        <f t="shared" ca="1" si="48"/>
        <v>156.73333333333332</v>
      </c>
      <c r="H100" s="2">
        <f t="shared" ca="1" si="49"/>
        <v>17111.566749999998</v>
      </c>
      <c r="I100" s="12">
        <f t="shared" ca="1" si="50"/>
        <v>1.1101944444444443</v>
      </c>
      <c r="J100" s="2">
        <f t="shared" ca="1" si="51"/>
        <v>24052.169286261789</v>
      </c>
      <c r="K100" s="12">
        <f t="shared" ca="1" si="52"/>
        <v>1.9661079400988766</v>
      </c>
      <c r="L100" s="2">
        <f t="shared" ca="1" si="40"/>
        <v>15969.951555555555</v>
      </c>
      <c r="M100" s="12">
        <f t="shared" ca="1" si="41"/>
        <v>1.1101944444444445</v>
      </c>
      <c r="N100" s="2">
        <f t="shared" ca="1" si="42"/>
        <v>22447.504890668297</v>
      </c>
      <c r="O100" s="12">
        <f t="shared" ca="1" si="43"/>
        <v>1.9661079400988763</v>
      </c>
      <c r="P100" s="2">
        <f t="shared" ca="1" si="44"/>
        <v>1141.6151944444446</v>
      </c>
      <c r="Q100" s="12">
        <f t="shared" ca="1" si="45"/>
        <v>1.1101944444444447</v>
      </c>
      <c r="R100" s="2">
        <f t="shared" ca="1" si="46"/>
        <v>1604.6643955934921</v>
      </c>
      <c r="S100" s="12">
        <f t="shared" ca="1" si="47"/>
        <v>1.9661079400988763</v>
      </c>
      <c r="T100" s="2">
        <f t="shared" ca="1" si="53"/>
        <v>34223.133499999996</v>
      </c>
      <c r="U100" s="12">
        <f t="shared" ca="1" si="54"/>
        <v>1.1101944444444443</v>
      </c>
      <c r="V100" s="2">
        <f t="shared" ca="1" si="55"/>
        <v>48104.338572523578</v>
      </c>
      <c r="W100" s="12">
        <f t="shared" ca="1" si="56"/>
        <v>1.9661079400988766</v>
      </c>
      <c r="X100" s="8" t="s">
        <v>13</v>
      </c>
    </row>
    <row r="101" spans="1:24" ht="15.75" x14ac:dyDescent="0.3">
      <c r="A101" s="9">
        <v>41487</v>
      </c>
      <c r="B101" s="10">
        <f t="shared" si="38"/>
        <v>8595</v>
      </c>
      <c r="C101" s="10">
        <f t="shared" si="39"/>
        <v>8054</v>
      </c>
      <c r="D101" s="10">
        <v>541</v>
      </c>
      <c r="E101" s="2">
        <v>17190</v>
      </c>
      <c r="F101" s="12">
        <v>8.5000000000000006E-2</v>
      </c>
      <c r="G101" s="2">
        <f t="shared" ca="1" si="48"/>
        <v>155.73333333333332</v>
      </c>
      <c r="H101" s="2">
        <f t="shared" ca="1" si="49"/>
        <v>18076.239999999998</v>
      </c>
      <c r="I101" s="12">
        <f t="shared" ca="1" si="50"/>
        <v>1.1031111111111109</v>
      </c>
      <c r="J101" s="2">
        <f t="shared" ca="1" si="51"/>
        <v>25317.461324088257</v>
      </c>
      <c r="K101" s="12">
        <f t="shared" ca="1" si="52"/>
        <v>1.9456034117612864</v>
      </c>
      <c r="L101" s="2">
        <f t="shared" ca="1" si="40"/>
        <v>16938.45688888889</v>
      </c>
      <c r="M101" s="12">
        <f t="shared" ca="1" si="41"/>
        <v>1.1031111111111112</v>
      </c>
      <c r="N101" s="2">
        <f t="shared" ca="1" si="42"/>
        <v>23723.889878325401</v>
      </c>
      <c r="O101" s="12">
        <f t="shared" ca="1" si="43"/>
        <v>1.9456034117612864</v>
      </c>
      <c r="P101" s="2">
        <f t="shared" ca="1" si="44"/>
        <v>1137.7831111111111</v>
      </c>
      <c r="Q101" s="12">
        <f t="shared" ca="1" si="45"/>
        <v>1.1031111111111112</v>
      </c>
      <c r="R101" s="2">
        <f t="shared" ca="1" si="46"/>
        <v>1593.571445762856</v>
      </c>
      <c r="S101" s="12">
        <f t="shared" ca="1" si="47"/>
        <v>1.9456034117612866</v>
      </c>
      <c r="T101" s="2">
        <f t="shared" ca="1" si="53"/>
        <v>36152.479999999996</v>
      </c>
      <c r="U101" s="12">
        <f t="shared" ca="1" si="54"/>
        <v>1.1031111111111109</v>
      </c>
      <c r="V101" s="2">
        <f t="shared" ca="1" si="55"/>
        <v>50634.922648176514</v>
      </c>
      <c r="W101" s="12">
        <f t="shared" ca="1" si="56"/>
        <v>1.9456034117612864</v>
      </c>
      <c r="X101" s="8" t="s">
        <v>13</v>
      </c>
    </row>
    <row r="102" spans="1:24" ht="15.75" x14ac:dyDescent="0.3">
      <c r="A102" s="9">
        <v>41518</v>
      </c>
      <c r="B102" s="10">
        <f t="shared" si="38"/>
        <v>8595</v>
      </c>
      <c r="C102" s="10">
        <f t="shared" si="39"/>
        <v>8054</v>
      </c>
      <c r="D102" s="10">
        <v>541</v>
      </c>
      <c r="E102" s="2">
        <v>17190</v>
      </c>
      <c r="F102" s="12">
        <v>8.5000000000000006E-2</v>
      </c>
      <c r="G102" s="2">
        <f t="shared" ca="1" si="48"/>
        <v>154.73333333333332</v>
      </c>
      <c r="H102" s="2">
        <f t="shared" ca="1" si="49"/>
        <v>18015.358749999999</v>
      </c>
      <c r="I102" s="12">
        <f t="shared" ca="1" si="50"/>
        <v>1.0960277777777776</v>
      </c>
      <c r="J102" s="2">
        <f t="shared" ca="1" si="51"/>
        <v>25142.4432149569</v>
      </c>
      <c r="K102" s="12">
        <f t="shared" ca="1" si="52"/>
        <v>1.9252406300124374</v>
      </c>
      <c r="L102" s="2">
        <f t="shared" ca="1" si="40"/>
        <v>16881.407722222222</v>
      </c>
      <c r="M102" s="12">
        <f t="shared" ca="1" si="41"/>
        <v>1.0960277777777778</v>
      </c>
      <c r="N102" s="2">
        <f t="shared" ca="1" si="42"/>
        <v>23559.888034120169</v>
      </c>
      <c r="O102" s="12">
        <f t="shared" ca="1" si="43"/>
        <v>1.9252406300124372</v>
      </c>
      <c r="P102" s="2">
        <f t="shared" ca="1" si="44"/>
        <v>1133.9510277777777</v>
      </c>
      <c r="Q102" s="12">
        <f t="shared" ca="1" si="45"/>
        <v>1.0960277777777776</v>
      </c>
      <c r="R102" s="2">
        <f t="shared" ca="1" si="46"/>
        <v>1582.5551808367286</v>
      </c>
      <c r="S102" s="12">
        <f t="shared" ca="1" si="47"/>
        <v>1.9252406300124374</v>
      </c>
      <c r="T102" s="2">
        <f t="shared" ca="1" si="53"/>
        <v>36030.717499999999</v>
      </c>
      <c r="U102" s="12">
        <f t="shared" ca="1" si="54"/>
        <v>1.0960277777777776</v>
      </c>
      <c r="V102" s="2">
        <f t="shared" ca="1" si="55"/>
        <v>50284.8864299138</v>
      </c>
      <c r="W102" s="12">
        <f t="shared" ca="1" si="56"/>
        <v>1.9252406300124374</v>
      </c>
      <c r="X102" s="8" t="s">
        <v>13</v>
      </c>
    </row>
    <row r="103" spans="1:24" ht="15.75" x14ac:dyDescent="0.3">
      <c r="A103" s="9">
        <v>41548</v>
      </c>
      <c r="B103" s="10">
        <f t="shared" si="38"/>
        <v>8595</v>
      </c>
      <c r="C103" s="10">
        <f t="shared" si="39"/>
        <v>8054</v>
      </c>
      <c r="D103" s="10">
        <v>541</v>
      </c>
      <c r="E103" s="2">
        <v>17190</v>
      </c>
      <c r="F103" s="12">
        <v>8.5000000000000006E-2</v>
      </c>
      <c r="G103" s="2">
        <f t="shared" ca="1" si="48"/>
        <v>153.73333333333332</v>
      </c>
      <c r="H103" s="2">
        <f t="shared" ca="1" si="49"/>
        <v>17954.477500000001</v>
      </c>
      <c r="I103" s="12">
        <f t="shared" ca="1" si="50"/>
        <v>1.0889444444444445</v>
      </c>
      <c r="J103" s="2">
        <f t="shared" ca="1" si="51"/>
        <v>24968.634995637622</v>
      </c>
      <c r="K103" s="12">
        <f t="shared" ca="1" si="52"/>
        <v>1.9050186149665644</v>
      </c>
      <c r="L103" s="2">
        <f t="shared" ca="1" si="40"/>
        <v>16824.358555555555</v>
      </c>
      <c r="M103" s="12">
        <f t="shared" ca="1" si="41"/>
        <v>1.0889444444444443</v>
      </c>
      <c r="N103" s="2">
        <f t="shared" ca="1" si="42"/>
        <v>23397.019924940709</v>
      </c>
      <c r="O103" s="12">
        <f t="shared" ca="1" si="43"/>
        <v>1.9050186149665642</v>
      </c>
      <c r="P103" s="2">
        <f t="shared" ca="1" si="44"/>
        <v>1130.1189444444444</v>
      </c>
      <c r="Q103" s="12">
        <f t="shared" ca="1" si="45"/>
        <v>1.0889444444444445</v>
      </c>
      <c r="R103" s="2">
        <f t="shared" ca="1" si="46"/>
        <v>1571.6150706969113</v>
      </c>
      <c r="S103" s="12">
        <f t="shared" ca="1" si="47"/>
        <v>1.9050186149665642</v>
      </c>
      <c r="T103" s="2">
        <f t="shared" ca="1" si="53"/>
        <v>35908.955000000002</v>
      </c>
      <c r="U103" s="12">
        <f t="shared" ca="1" si="54"/>
        <v>1.0889444444444445</v>
      </c>
      <c r="V103" s="2">
        <f t="shared" ca="1" si="55"/>
        <v>49937.269991275243</v>
      </c>
      <c r="W103" s="12">
        <f t="shared" ca="1" si="56"/>
        <v>1.9050186149665644</v>
      </c>
      <c r="X103" s="8" t="s">
        <v>13</v>
      </c>
    </row>
    <row r="104" spans="1:24" ht="15.75" x14ac:dyDescent="0.3">
      <c r="A104" s="9">
        <v>41579</v>
      </c>
      <c r="B104" s="10">
        <f t="shared" si="38"/>
        <v>8595</v>
      </c>
      <c r="C104" s="10">
        <f t="shared" si="39"/>
        <v>8054</v>
      </c>
      <c r="D104" s="10">
        <v>541</v>
      </c>
      <c r="E104" s="2">
        <v>17190</v>
      </c>
      <c r="F104" s="12">
        <v>8.5000000000000006E-2</v>
      </c>
      <c r="G104" s="2">
        <f t="shared" ca="1" si="48"/>
        <v>152.73333333333332</v>
      </c>
      <c r="H104" s="2">
        <f t="shared" ca="1" si="49"/>
        <v>17893.596250000002</v>
      </c>
      <c r="I104" s="12">
        <f t="shared" ca="1" si="50"/>
        <v>1.0818611111111114</v>
      </c>
      <c r="J104" s="2">
        <f t="shared" ca="1" si="51"/>
        <v>24796.028302233892</v>
      </c>
      <c r="K104" s="12">
        <f t="shared" ca="1" si="52"/>
        <v>1.8849363935117966</v>
      </c>
      <c r="L104" s="2">
        <f t="shared" ca="1" si="40"/>
        <v>16767.309388888891</v>
      </c>
      <c r="M104" s="12">
        <f t="shared" ca="1" si="41"/>
        <v>1.0818611111111114</v>
      </c>
      <c r="N104" s="2">
        <f t="shared" ca="1" si="42"/>
        <v>23235.27771334401</v>
      </c>
      <c r="O104" s="12">
        <f t="shared" ca="1" si="43"/>
        <v>1.8849363935117966</v>
      </c>
      <c r="P104" s="2">
        <f t="shared" ca="1" si="44"/>
        <v>1126.2868611111112</v>
      </c>
      <c r="Q104" s="12">
        <f t="shared" ca="1" si="45"/>
        <v>1.0818611111111112</v>
      </c>
      <c r="R104" s="2">
        <f t="shared" ca="1" si="46"/>
        <v>1560.750588889882</v>
      </c>
      <c r="S104" s="12">
        <f t="shared" ca="1" si="47"/>
        <v>1.8849363935117966</v>
      </c>
      <c r="T104" s="2">
        <f t="shared" ca="1" si="53"/>
        <v>35787.192500000005</v>
      </c>
      <c r="U104" s="12">
        <f t="shared" ca="1" si="54"/>
        <v>1.0818611111111114</v>
      </c>
      <c r="V104" s="2">
        <f t="shared" ca="1" si="55"/>
        <v>49592.056604467783</v>
      </c>
      <c r="W104" s="12">
        <f t="shared" ca="1" si="56"/>
        <v>1.8849363935117966</v>
      </c>
      <c r="X104" s="8" t="s">
        <v>13</v>
      </c>
    </row>
    <row r="105" spans="1:24" ht="15.75" x14ac:dyDescent="0.3">
      <c r="A105" s="9">
        <v>41609</v>
      </c>
      <c r="B105" s="10">
        <f t="shared" si="38"/>
        <v>8595</v>
      </c>
      <c r="C105" s="10">
        <f t="shared" si="39"/>
        <v>8054</v>
      </c>
      <c r="D105" s="10">
        <v>541</v>
      </c>
      <c r="E105" s="2">
        <v>17190</v>
      </c>
      <c r="F105" s="12">
        <v>8.5000000000000006E-2</v>
      </c>
      <c r="G105" s="2">
        <f t="shared" ca="1" si="48"/>
        <v>151.73333333333332</v>
      </c>
      <c r="H105" s="2">
        <f t="shared" ca="1" si="49"/>
        <v>17832.715</v>
      </c>
      <c r="I105" s="12">
        <f t="shared" ca="1" si="50"/>
        <v>1.0747777777777778</v>
      </c>
      <c r="J105" s="2">
        <f t="shared" ca="1" si="51"/>
        <v>24624.614828668298</v>
      </c>
      <c r="K105" s="12">
        <f t="shared" ca="1" si="52"/>
        <v>1.8649929992633274</v>
      </c>
      <c r="L105" s="2">
        <f t="shared" ca="1" si="40"/>
        <v>16710.260222222219</v>
      </c>
      <c r="M105" s="12">
        <f t="shared" ca="1" si="41"/>
        <v>1.0747777777777774</v>
      </c>
      <c r="N105" s="2">
        <f t="shared" ca="1" si="42"/>
        <v>23074.653616066837</v>
      </c>
      <c r="O105" s="12">
        <f t="shared" ca="1" si="43"/>
        <v>1.8649929992633272</v>
      </c>
      <c r="P105" s="2">
        <f t="shared" ca="1" si="44"/>
        <v>1122.454777777778</v>
      </c>
      <c r="Q105" s="12">
        <f t="shared" ca="1" si="45"/>
        <v>1.0747777777777781</v>
      </c>
      <c r="R105" s="2">
        <f t="shared" ca="1" si="46"/>
        <v>1549.9612126014599</v>
      </c>
      <c r="S105" s="12">
        <f t="shared" ca="1" si="47"/>
        <v>1.864992999263327</v>
      </c>
      <c r="T105" s="2">
        <f t="shared" ca="1" si="53"/>
        <v>35665.43</v>
      </c>
      <c r="U105" s="12">
        <f t="shared" ca="1" si="54"/>
        <v>1.0747777777777778</v>
      </c>
      <c r="V105" s="2">
        <f t="shared" ca="1" si="55"/>
        <v>49249.229657336597</v>
      </c>
      <c r="W105" s="12">
        <f t="shared" ca="1" si="56"/>
        <v>1.8649929992633274</v>
      </c>
      <c r="X105" s="8" t="s">
        <v>13</v>
      </c>
    </row>
    <row r="106" spans="1:24" ht="15.75" x14ac:dyDescent="0.3">
      <c r="A106" s="9">
        <v>41640</v>
      </c>
      <c r="B106" s="10">
        <f t="shared" si="38"/>
        <v>8595</v>
      </c>
      <c r="C106" s="10">
        <f t="shared" si="39"/>
        <v>8054</v>
      </c>
      <c r="D106" s="10">
        <v>541</v>
      </c>
      <c r="E106" s="2">
        <v>17190</v>
      </c>
      <c r="F106" s="12">
        <v>8.5000000000000006E-2</v>
      </c>
      <c r="G106" s="2">
        <f t="shared" ca="1" si="48"/>
        <v>150.73333333333332</v>
      </c>
      <c r="H106" s="2">
        <f t="shared" ca="1" si="49"/>
        <v>17771.833749999998</v>
      </c>
      <c r="I106" s="12">
        <f t="shared" ca="1" si="50"/>
        <v>1.0676944444444443</v>
      </c>
      <c r="J106" s="2">
        <f t="shared" ca="1" si="51"/>
        <v>24454.386326282827</v>
      </c>
      <c r="K106" s="12">
        <f t="shared" ca="1" si="52"/>
        <v>1.8451874725169084</v>
      </c>
      <c r="L106" s="2">
        <f t="shared" ca="1" si="40"/>
        <v>16653.211055555556</v>
      </c>
      <c r="M106" s="12">
        <f t="shared" ca="1" si="41"/>
        <v>1.0676944444444445</v>
      </c>
      <c r="N106" s="2">
        <f t="shared" ca="1" si="42"/>
        <v>22915.139903651179</v>
      </c>
      <c r="O106" s="12">
        <f t="shared" ca="1" si="43"/>
        <v>1.8451874725169082</v>
      </c>
      <c r="P106" s="2">
        <f t="shared" ca="1" si="44"/>
        <v>1118.6226944444445</v>
      </c>
      <c r="Q106" s="12">
        <f t="shared" ca="1" si="45"/>
        <v>1.0676944444444445</v>
      </c>
      <c r="R106" s="2">
        <f t="shared" ca="1" si="46"/>
        <v>1539.2464226316474</v>
      </c>
      <c r="S106" s="12">
        <f t="shared" ca="1" si="47"/>
        <v>1.8451874725169084</v>
      </c>
      <c r="T106" s="2">
        <f t="shared" ca="1" si="53"/>
        <v>35543.667499999996</v>
      </c>
      <c r="U106" s="12">
        <f t="shared" ca="1" si="54"/>
        <v>1.0676944444444443</v>
      </c>
      <c r="V106" s="2">
        <f t="shared" ca="1" si="55"/>
        <v>48908.772652565654</v>
      </c>
      <c r="W106" s="12">
        <f t="shared" ca="1" si="56"/>
        <v>1.8451874725169084</v>
      </c>
      <c r="X106" s="8" t="s">
        <v>13</v>
      </c>
    </row>
    <row r="107" spans="1:24" ht="15.75" x14ac:dyDescent="0.3">
      <c r="A107" s="9">
        <v>41671</v>
      </c>
      <c r="B107" s="10">
        <f t="shared" si="38"/>
        <v>8595</v>
      </c>
      <c r="C107" s="10">
        <f t="shared" si="39"/>
        <v>8054</v>
      </c>
      <c r="D107" s="10">
        <v>541</v>
      </c>
      <c r="E107" s="2">
        <v>17190</v>
      </c>
      <c r="F107" s="12">
        <v>8.5000000000000006E-2</v>
      </c>
      <c r="G107" s="2">
        <f t="shared" ca="1" si="48"/>
        <v>149.73333333333332</v>
      </c>
      <c r="H107" s="2">
        <f t="shared" ca="1" si="49"/>
        <v>17710.952499999999</v>
      </c>
      <c r="I107" s="12">
        <f t="shared" ca="1" si="50"/>
        <v>1.0606111111111109</v>
      </c>
      <c r="J107" s="2">
        <f t="shared" ca="1" si="51"/>
        <v>24285.33460344197</v>
      </c>
      <c r="K107" s="12">
        <f t="shared" ca="1" si="52"/>
        <v>1.8255188602026724</v>
      </c>
      <c r="L107" s="2">
        <f t="shared" ca="1" si="40"/>
        <v>16596.161888888892</v>
      </c>
      <c r="M107" s="12">
        <f t="shared" ca="1" si="41"/>
        <v>1.0606111111111114</v>
      </c>
      <c r="N107" s="2">
        <f t="shared" ca="1" si="42"/>
        <v>22756.728900072325</v>
      </c>
      <c r="O107" s="12">
        <f t="shared" ca="1" si="43"/>
        <v>1.8255188602026726</v>
      </c>
      <c r="P107" s="2">
        <f t="shared" ca="1" si="44"/>
        <v>1114.790611111111</v>
      </c>
      <c r="Q107" s="12">
        <f t="shared" ca="1" si="45"/>
        <v>1.0606111111111109</v>
      </c>
      <c r="R107" s="2">
        <f t="shared" ca="1" si="46"/>
        <v>1528.6057033696459</v>
      </c>
      <c r="S107" s="12">
        <f t="shared" ca="1" si="47"/>
        <v>1.8255188602026726</v>
      </c>
      <c r="T107" s="2">
        <f t="shared" ca="1" si="53"/>
        <v>35421.904999999999</v>
      </c>
      <c r="U107" s="12">
        <f t="shared" ca="1" si="54"/>
        <v>1.0606111111111109</v>
      </c>
      <c r="V107" s="2">
        <f t="shared" ca="1" si="55"/>
        <v>48570.66920688394</v>
      </c>
      <c r="W107" s="12">
        <f t="shared" ca="1" si="56"/>
        <v>1.8255188602026724</v>
      </c>
      <c r="X107" s="8" t="s">
        <v>13</v>
      </c>
    </row>
    <row r="108" spans="1:24" ht="15.75" x14ac:dyDescent="0.3">
      <c r="A108" s="9">
        <v>41699</v>
      </c>
      <c r="B108" s="10">
        <f t="shared" si="38"/>
        <v>8595</v>
      </c>
      <c r="C108" s="10">
        <f t="shared" si="39"/>
        <v>8054</v>
      </c>
      <c r="D108" s="10">
        <v>541</v>
      </c>
      <c r="E108" s="2">
        <v>17190</v>
      </c>
      <c r="F108" s="12">
        <v>8.5000000000000006E-2</v>
      </c>
      <c r="G108" s="2">
        <f t="shared" ca="1" si="48"/>
        <v>148.73333333333332</v>
      </c>
      <c r="H108" s="2">
        <f t="shared" ca="1" si="49"/>
        <v>17650.071250000001</v>
      </c>
      <c r="I108" s="12">
        <f t="shared" ca="1" si="50"/>
        <v>1.0535277777777778</v>
      </c>
      <c r="J108" s="2">
        <f t="shared" ca="1" si="51"/>
        <v>24117.451525138509</v>
      </c>
      <c r="K108" s="12">
        <f t="shared" ca="1" si="52"/>
        <v>1.8059862158392681</v>
      </c>
      <c r="L108" s="2">
        <f t="shared" ca="1" si="40"/>
        <v>16539.11272222222</v>
      </c>
      <c r="M108" s="12">
        <f t="shared" ca="1" si="41"/>
        <v>1.0535277777777776</v>
      </c>
      <c r="N108" s="2">
        <f t="shared" ca="1" si="42"/>
        <v>22599.412982369464</v>
      </c>
      <c r="O108" s="12">
        <f t="shared" ca="1" si="43"/>
        <v>1.8059862158392679</v>
      </c>
      <c r="P108" s="2">
        <f t="shared" ca="1" si="44"/>
        <v>1110.9585277777778</v>
      </c>
      <c r="Q108" s="12">
        <f t="shared" ca="1" si="45"/>
        <v>1.0535277777777778</v>
      </c>
      <c r="R108" s="2">
        <f t="shared" ca="1" si="46"/>
        <v>1518.0385427690439</v>
      </c>
      <c r="S108" s="12">
        <f t="shared" ca="1" si="47"/>
        <v>1.8059862158392679</v>
      </c>
      <c r="T108" s="2">
        <f t="shared" ca="1" si="53"/>
        <v>35300.142500000002</v>
      </c>
      <c r="U108" s="12">
        <f t="shared" ca="1" si="54"/>
        <v>1.0535277777777778</v>
      </c>
      <c r="V108" s="2">
        <f t="shared" ca="1" si="55"/>
        <v>48234.903050277018</v>
      </c>
      <c r="W108" s="12">
        <f t="shared" ca="1" si="56"/>
        <v>1.8059862158392681</v>
      </c>
      <c r="X108" s="8" t="s">
        <v>13</v>
      </c>
    </row>
    <row r="109" spans="1:24" ht="15.75" x14ac:dyDescent="0.3">
      <c r="A109" s="9">
        <v>41730</v>
      </c>
      <c r="B109" s="10">
        <f t="shared" si="38"/>
        <v>8595</v>
      </c>
      <c r="C109" s="10">
        <f t="shared" si="39"/>
        <v>8054</v>
      </c>
      <c r="D109" s="10">
        <v>541</v>
      </c>
      <c r="E109" s="2">
        <v>17190</v>
      </c>
      <c r="F109" s="12">
        <v>8.5000000000000006E-2</v>
      </c>
      <c r="G109" s="2">
        <f t="shared" ca="1" si="48"/>
        <v>147.73333333333332</v>
      </c>
      <c r="H109" s="2">
        <f t="shared" ca="1" si="49"/>
        <v>17589.190000000002</v>
      </c>
      <c r="I109" s="12">
        <f t="shared" ca="1" si="50"/>
        <v>1.0464444444444447</v>
      </c>
      <c r="J109" s="2">
        <f t="shared" ca="1" si="51"/>
        <v>23950.729012602038</v>
      </c>
      <c r="K109" s="12">
        <f t="shared" ca="1" si="52"/>
        <v>1.7865885994883115</v>
      </c>
      <c r="L109" s="2">
        <f t="shared" ca="1" si="40"/>
        <v>16482.063555555556</v>
      </c>
      <c r="M109" s="12">
        <f t="shared" ca="1" si="41"/>
        <v>1.0464444444444445</v>
      </c>
      <c r="N109" s="2">
        <f t="shared" ca="1" si="42"/>
        <v>22443.184580278859</v>
      </c>
      <c r="O109" s="12">
        <f t="shared" ca="1" si="43"/>
        <v>1.7865885994883113</v>
      </c>
      <c r="P109" s="2">
        <f t="shared" ca="1" si="44"/>
        <v>1107.1264444444446</v>
      </c>
      <c r="Q109" s="12">
        <f t="shared" ca="1" si="45"/>
        <v>1.0464444444444447</v>
      </c>
      <c r="R109" s="2">
        <f t="shared" ca="1" si="46"/>
        <v>1507.5444323231766</v>
      </c>
      <c r="S109" s="12">
        <f t="shared" ca="1" si="47"/>
        <v>1.7865885994883115</v>
      </c>
      <c r="T109" s="2">
        <f t="shared" ca="1" si="53"/>
        <v>35178.380000000005</v>
      </c>
      <c r="U109" s="12">
        <f t="shared" ca="1" si="54"/>
        <v>1.0464444444444447</v>
      </c>
      <c r="V109" s="2">
        <f t="shared" ca="1" si="55"/>
        <v>47901.458025204076</v>
      </c>
      <c r="W109" s="12">
        <f t="shared" ca="1" si="56"/>
        <v>1.7865885994883115</v>
      </c>
      <c r="X109" s="8" t="s">
        <v>13</v>
      </c>
    </row>
    <row r="110" spans="1:24" ht="15.75" x14ac:dyDescent="0.3">
      <c r="A110" s="9">
        <v>41760</v>
      </c>
      <c r="B110" s="10">
        <f t="shared" si="38"/>
        <v>8595</v>
      </c>
      <c r="C110" s="10">
        <f t="shared" si="39"/>
        <v>8054</v>
      </c>
      <c r="D110" s="10">
        <v>541</v>
      </c>
      <c r="E110" s="2">
        <v>17190</v>
      </c>
      <c r="F110" s="12">
        <v>8.5000000000000006E-2</v>
      </c>
      <c r="G110" s="2">
        <f t="shared" ca="1" si="48"/>
        <v>146.73333333333332</v>
      </c>
      <c r="H110" s="2">
        <f t="shared" ca="1" si="49"/>
        <v>17528.30875</v>
      </c>
      <c r="I110" s="12">
        <f t="shared" ca="1" si="50"/>
        <v>1.0393611111111112</v>
      </c>
      <c r="J110" s="2">
        <f t="shared" ca="1" si="51"/>
        <v>23785.159042910211</v>
      </c>
      <c r="K110" s="12">
        <f t="shared" ca="1" si="52"/>
        <v>1.7673250777091578</v>
      </c>
      <c r="L110" s="2">
        <f t="shared" ca="1" si="40"/>
        <v>16425.014388888889</v>
      </c>
      <c r="M110" s="12">
        <f t="shared" ca="1" si="41"/>
        <v>1.0393611111111112</v>
      </c>
      <c r="N110" s="2">
        <f t="shared" ca="1" si="42"/>
        <v>22288.036175869558</v>
      </c>
      <c r="O110" s="12">
        <f t="shared" ca="1" si="43"/>
        <v>1.767325077709158</v>
      </c>
      <c r="P110" s="2">
        <f t="shared" ca="1" si="44"/>
        <v>1103.2943611111111</v>
      </c>
      <c r="Q110" s="12">
        <f t="shared" ca="1" si="45"/>
        <v>1.0393611111111112</v>
      </c>
      <c r="R110" s="2">
        <f t="shared" ca="1" si="46"/>
        <v>1497.1228670406545</v>
      </c>
      <c r="S110" s="12">
        <f t="shared" ca="1" si="47"/>
        <v>1.767325077709158</v>
      </c>
      <c r="T110" s="2">
        <f t="shared" ca="1" si="53"/>
        <v>35056.6175</v>
      </c>
      <c r="U110" s="12">
        <f t="shared" ca="1" si="54"/>
        <v>1.0393611111111112</v>
      </c>
      <c r="V110" s="2">
        <f t="shared" ca="1" si="55"/>
        <v>47570.318085820421</v>
      </c>
      <c r="W110" s="12">
        <f t="shared" ca="1" si="56"/>
        <v>1.7673250777091578</v>
      </c>
      <c r="X110" s="8" t="s">
        <v>13</v>
      </c>
    </row>
    <row r="111" spans="1:24" ht="15.75" x14ac:dyDescent="0.3">
      <c r="A111" s="9">
        <v>41791</v>
      </c>
      <c r="B111" s="10">
        <f t="shared" si="38"/>
        <v>8595</v>
      </c>
      <c r="C111" s="10">
        <f t="shared" si="39"/>
        <v>8054</v>
      </c>
      <c r="D111" s="10">
        <v>541</v>
      </c>
      <c r="E111" s="2">
        <v>17190</v>
      </c>
      <c r="F111" s="12">
        <v>8.5000000000000006E-2</v>
      </c>
      <c r="G111" s="2">
        <f t="shared" ca="1" si="48"/>
        <v>145.73333333333332</v>
      </c>
      <c r="H111" s="2">
        <f t="shared" ca="1" si="49"/>
        <v>17467.427499999998</v>
      </c>
      <c r="I111" s="12">
        <f t="shared" ca="1" si="50"/>
        <v>1.0322777777777776</v>
      </c>
      <c r="J111" s="2">
        <f t="shared" ca="1" si="51"/>
        <v>23620.733648602687</v>
      </c>
      <c r="K111" s="12">
        <f t="shared" ca="1" si="52"/>
        <v>1.7481947235139834</v>
      </c>
      <c r="L111" s="2">
        <f t="shared" ca="1" si="40"/>
        <v>16367.965222222223</v>
      </c>
      <c r="M111" s="12">
        <f t="shared" ca="1" si="41"/>
        <v>1.0322777777777778</v>
      </c>
      <c r="N111" s="2">
        <f t="shared" ca="1" si="42"/>
        <v>22133.960303181622</v>
      </c>
      <c r="O111" s="12">
        <f t="shared" ca="1" si="43"/>
        <v>1.7481947235139834</v>
      </c>
      <c r="P111" s="2">
        <f t="shared" ca="1" si="44"/>
        <v>1099.4622777777777</v>
      </c>
      <c r="Q111" s="12">
        <f t="shared" ca="1" si="45"/>
        <v>1.0322777777777776</v>
      </c>
      <c r="R111" s="2">
        <f t="shared" ca="1" si="46"/>
        <v>1486.773345421065</v>
      </c>
      <c r="S111" s="12">
        <f t="shared" ca="1" si="47"/>
        <v>1.7481947235139832</v>
      </c>
      <c r="T111" s="2">
        <f t="shared" ca="1" si="53"/>
        <v>34934.854999999996</v>
      </c>
      <c r="U111" s="12">
        <f t="shared" ca="1" si="54"/>
        <v>1.0322777777777776</v>
      </c>
      <c r="V111" s="2">
        <f t="shared" ca="1" si="55"/>
        <v>47241.467297205374</v>
      </c>
      <c r="W111" s="12">
        <f t="shared" ca="1" si="56"/>
        <v>1.7481947235139834</v>
      </c>
      <c r="X111" s="8" t="s">
        <v>13</v>
      </c>
    </row>
    <row r="112" spans="1:24" ht="15.75" x14ac:dyDescent="0.3">
      <c r="A112" s="9">
        <v>41821</v>
      </c>
      <c r="B112" s="10">
        <f t="shared" si="38"/>
        <v>8595</v>
      </c>
      <c r="C112" s="10">
        <f t="shared" si="39"/>
        <v>8054</v>
      </c>
      <c r="D112" s="10">
        <v>541</v>
      </c>
      <c r="E112" s="2">
        <v>17190</v>
      </c>
      <c r="F112" s="12">
        <v>8.5000000000000006E-2</v>
      </c>
      <c r="G112" s="2">
        <f t="shared" ca="1" si="48"/>
        <v>144.73333333333332</v>
      </c>
      <c r="H112" s="2">
        <f t="shared" ca="1" si="49"/>
        <v>17406.546249999999</v>
      </c>
      <c r="I112" s="12">
        <f t="shared" ca="1" si="50"/>
        <v>1.0251944444444443</v>
      </c>
      <c r="J112" s="2">
        <f t="shared" ca="1" si="51"/>
        <v>23457.444917297675</v>
      </c>
      <c r="K112" s="12">
        <f t="shared" ca="1" si="52"/>
        <v>1.7291966163231733</v>
      </c>
      <c r="L112" s="2">
        <f t="shared" ca="1" si="40"/>
        <v>16310.916055555555</v>
      </c>
      <c r="M112" s="12">
        <f t="shared" ca="1" si="41"/>
        <v>1.0251944444444445</v>
      </c>
      <c r="N112" s="2">
        <f t="shared" ca="1" si="42"/>
        <v>21980.94954786684</v>
      </c>
      <c r="O112" s="12">
        <f t="shared" ca="1" si="43"/>
        <v>1.7291966163231736</v>
      </c>
      <c r="P112" s="2">
        <f t="shared" ca="1" si="44"/>
        <v>1095.6301944444444</v>
      </c>
      <c r="Q112" s="12">
        <f t="shared" ca="1" si="45"/>
        <v>1.0251944444444445</v>
      </c>
      <c r="R112" s="2">
        <f t="shared" ca="1" si="46"/>
        <v>1476.4953694308367</v>
      </c>
      <c r="S112" s="12">
        <f t="shared" ca="1" si="47"/>
        <v>1.7291966163231733</v>
      </c>
      <c r="T112" s="2">
        <f t="shared" ca="1" si="53"/>
        <v>34813.092499999999</v>
      </c>
      <c r="U112" s="12">
        <f t="shared" ca="1" si="54"/>
        <v>1.0251944444444443</v>
      </c>
      <c r="V112" s="2">
        <f t="shared" ca="1" si="55"/>
        <v>46914.889834595349</v>
      </c>
      <c r="W112" s="12">
        <f t="shared" ca="1" si="56"/>
        <v>1.7291966163231733</v>
      </c>
      <c r="X112" s="8" t="s">
        <v>13</v>
      </c>
    </row>
    <row r="113" spans="1:24" ht="15.75" x14ac:dyDescent="0.3">
      <c r="A113" s="9">
        <v>41852</v>
      </c>
      <c r="B113" s="10">
        <f t="shared" si="38"/>
        <v>9200</v>
      </c>
      <c r="C113" s="10">
        <f t="shared" si="39"/>
        <v>8659</v>
      </c>
      <c r="D113" s="10">
        <v>541</v>
      </c>
      <c r="E113" s="2">
        <v>18400</v>
      </c>
      <c r="F113" s="12">
        <v>8.5000000000000006E-2</v>
      </c>
      <c r="G113" s="2">
        <f t="shared" ca="1" si="48"/>
        <v>143.73333333333332</v>
      </c>
      <c r="H113" s="2">
        <f t="shared" ca="1" si="49"/>
        <v>18566.62222222222</v>
      </c>
      <c r="I113" s="12">
        <f t="shared" ca="1" si="50"/>
        <v>1.018111111111111</v>
      </c>
      <c r="J113" s="2">
        <f t="shared" ca="1" si="51"/>
        <v>24935.034545673465</v>
      </c>
      <c r="K113" s="12">
        <f t="shared" ca="1" si="52"/>
        <v>1.7103298419210289</v>
      </c>
      <c r="L113" s="2">
        <f t="shared" ca="1" si="40"/>
        <v>17474.824111111113</v>
      </c>
      <c r="M113" s="12">
        <f t="shared" ca="1" si="41"/>
        <v>1.0181111111111114</v>
      </c>
      <c r="N113" s="2">
        <f t="shared" ca="1" si="42"/>
        <v>23468.746101194189</v>
      </c>
      <c r="O113" s="12">
        <f t="shared" ca="1" si="43"/>
        <v>1.7103298419210289</v>
      </c>
      <c r="P113" s="2">
        <f t="shared" ca="1" si="44"/>
        <v>1091.7981111111112</v>
      </c>
      <c r="Q113" s="12">
        <f t="shared" ca="1" si="45"/>
        <v>1.0181111111111112</v>
      </c>
      <c r="R113" s="2">
        <f t="shared" ca="1" si="46"/>
        <v>1466.2884444792764</v>
      </c>
      <c r="S113" s="12">
        <f t="shared" ca="1" si="47"/>
        <v>1.7103298419210287</v>
      </c>
      <c r="T113" s="2">
        <f t="shared" ca="1" si="53"/>
        <v>37133.244444444441</v>
      </c>
      <c r="U113" s="12">
        <f t="shared" ca="1" si="54"/>
        <v>1.018111111111111</v>
      </c>
      <c r="V113" s="2">
        <f t="shared" ca="1" si="55"/>
        <v>49870.06909134693</v>
      </c>
      <c r="W113" s="12">
        <f t="shared" ca="1" si="56"/>
        <v>1.7103298419210289</v>
      </c>
      <c r="X113" s="8" t="s">
        <v>13</v>
      </c>
    </row>
    <row r="114" spans="1:24" ht="15.75" x14ac:dyDescent="0.3">
      <c r="A114" s="9">
        <v>41883</v>
      </c>
      <c r="B114" s="10">
        <f t="shared" si="38"/>
        <v>9200</v>
      </c>
      <c r="C114" s="10">
        <f t="shared" si="39"/>
        <v>8659</v>
      </c>
      <c r="D114" s="10">
        <v>541</v>
      </c>
      <c r="E114" s="2">
        <v>18400</v>
      </c>
      <c r="F114" s="12">
        <v>8.5000000000000006E-2</v>
      </c>
      <c r="G114" s="2">
        <f t="shared" ca="1" si="48"/>
        <v>142.73333333333332</v>
      </c>
      <c r="H114" s="2">
        <f t="shared" ca="1" si="49"/>
        <v>18501.455555555556</v>
      </c>
      <c r="I114" s="12">
        <f t="shared" ca="1" si="50"/>
        <v>1.0110277777777779</v>
      </c>
      <c r="J114" s="2">
        <f t="shared" ca="1" si="51"/>
        <v>24762.660130188266</v>
      </c>
      <c r="K114" s="12">
        <f t="shared" ca="1" si="52"/>
        <v>1.6915934924117679</v>
      </c>
      <c r="L114" s="2">
        <f t="shared" ca="1" si="40"/>
        <v>17413.489527777776</v>
      </c>
      <c r="M114" s="12">
        <f t="shared" ca="1" si="41"/>
        <v>1.0110277777777776</v>
      </c>
      <c r="N114" s="2">
        <f t="shared" ca="1" si="42"/>
        <v>23306.508050793498</v>
      </c>
      <c r="O114" s="12">
        <f t="shared" ca="1" si="43"/>
        <v>1.6915934924117679</v>
      </c>
      <c r="P114" s="2">
        <f t="shared" ca="1" si="44"/>
        <v>1087.966027777778</v>
      </c>
      <c r="Q114" s="12">
        <f t="shared" ca="1" si="45"/>
        <v>1.0110277777777781</v>
      </c>
      <c r="R114" s="2">
        <f t="shared" ca="1" si="46"/>
        <v>1456.1520793947664</v>
      </c>
      <c r="S114" s="12">
        <f t="shared" ca="1" si="47"/>
        <v>1.6915934924117677</v>
      </c>
      <c r="T114" s="2">
        <f t="shared" ca="1" si="53"/>
        <v>37002.911111111112</v>
      </c>
      <c r="U114" s="12">
        <f t="shared" ca="1" si="54"/>
        <v>1.0110277777777779</v>
      </c>
      <c r="V114" s="2">
        <f t="shared" ca="1" si="55"/>
        <v>49525.320260376531</v>
      </c>
      <c r="W114" s="12">
        <f t="shared" ca="1" si="56"/>
        <v>1.6915934924117679</v>
      </c>
      <c r="X114" s="8" t="s">
        <v>13</v>
      </c>
    </row>
    <row r="115" spans="1:24" ht="15.75" x14ac:dyDescent="0.3">
      <c r="A115" s="9">
        <v>41913</v>
      </c>
      <c r="B115" s="10">
        <f t="shared" si="38"/>
        <v>9200</v>
      </c>
      <c r="C115" s="10">
        <f t="shared" si="39"/>
        <v>7950</v>
      </c>
      <c r="D115" s="10">
        <v>1250</v>
      </c>
      <c r="E115" s="2">
        <v>18400</v>
      </c>
      <c r="F115" s="12">
        <v>8.5000000000000006E-2</v>
      </c>
      <c r="G115" s="2">
        <f t="shared" ca="1" si="48"/>
        <v>141.73333333333332</v>
      </c>
      <c r="H115" s="2">
        <f t="shared" ca="1" si="49"/>
        <v>18436.288888888888</v>
      </c>
      <c r="I115" s="12">
        <f t="shared" ca="1" si="50"/>
        <v>1.0039444444444443</v>
      </c>
      <c r="J115" s="2">
        <f t="shared" ca="1" si="51"/>
        <v>24591.477328817713</v>
      </c>
      <c r="K115" s="12">
        <f t="shared" ca="1" si="52"/>
        <v>1.6729866661758384</v>
      </c>
      <c r="L115" s="2">
        <f t="shared" ca="1" si="40"/>
        <v>15931.358333333334</v>
      </c>
      <c r="M115" s="12">
        <f t="shared" ca="1" si="41"/>
        <v>1.0039444444444445</v>
      </c>
      <c r="N115" s="2">
        <f t="shared" ca="1" si="42"/>
        <v>21250.243996097914</v>
      </c>
      <c r="O115" s="12">
        <f t="shared" ca="1" si="43"/>
        <v>1.6729866661758381</v>
      </c>
      <c r="P115" s="2">
        <f t="shared" ca="1" si="44"/>
        <v>2504.9305555555557</v>
      </c>
      <c r="Q115" s="12">
        <f t="shared" ca="1" si="45"/>
        <v>1.0039444444444445</v>
      </c>
      <c r="R115" s="2">
        <f t="shared" ca="1" si="46"/>
        <v>3341.233332719798</v>
      </c>
      <c r="S115" s="12">
        <f t="shared" ca="1" si="47"/>
        <v>1.6729866661758384</v>
      </c>
      <c r="T115" s="2">
        <f t="shared" ca="1" si="53"/>
        <v>36872.577777777777</v>
      </c>
      <c r="U115" s="12">
        <f t="shared" ca="1" si="54"/>
        <v>1.0039444444444443</v>
      </c>
      <c r="V115" s="2">
        <f t="shared" ca="1" si="55"/>
        <v>49182.954657635426</v>
      </c>
      <c r="W115" s="12">
        <f t="shared" ca="1" si="56"/>
        <v>1.6729866661758384</v>
      </c>
      <c r="X115" s="8" t="s">
        <v>13</v>
      </c>
    </row>
    <row r="116" spans="1:24" ht="15.75" x14ac:dyDescent="0.3">
      <c r="A116" s="9">
        <v>41944</v>
      </c>
      <c r="B116" s="10">
        <f t="shared" si="38"/>
        <v>9200</v>
      </c>
      <c r="C116" s="10">
        <f t="shared" si="39"/>
        <v>7950</v>
      </c>
      <c r="D116" s="10">
        <v>1250</v>
      </c>
      <c r="E116" s="2">
        <v>18400</v>
      </c>
      <c r="F116" s="12">
        <v>8.5000000000000006E-2</v>
      </c>
      <c r="G116" s="2">
        <f t="shared" ca="1" si="48"/>
        <v>140.73333333333332</v>
      </c>
      <c r="H116" s="2">
        <f t="shared" ca="1" si="49"/>
        <v>18371.12222222222</v>
      </c>
      <c r="I116" s="12">
        <f t="shared" ca="1" si="50"/>
        <v>0.99686111111111086</v>
      </c>
      <c r="J116" s="2">
        <f t="shared" ca="1" si="51"/>
        <v>24421.477904004078</v>
      </c>
      <c r="K116" s="12">
        <f t="shared" ca="1" si="52"/>
        <v>1.6545084678265303</v>
      </c>
      <c r="L116" s="2">
        <f t="shared" ca="1" si="40"/>
        <v>15875.045833333334</v>
      </c>
      <c r="M116" s="12">
        <f t="shared" ca="1" si="41"/>
        <v>0.99686111111111109</v>
      </c>
      <c r="N116" s="2">
        <f t="shared" ca="1" si="42"/>
        <v>21103.342319220916</v>
      </c>
      <c r="O116" s="12">
        <f t="shared" ca="1" si="43"/>
        <v>1.6545084678265303</v>
      </c>
      <c r="P116" s="2">
        <f t="shared" ca="1" si="44"/>
        <v>2496.0763888888887</v>
      </c>
      <c r="Q116" s="12">
        <f t="shared" ca="1" si="45"/>
        <v>0.99686111111111098</v>
      </c>
      <c r="R116" s="2">
        <f t="shared" ca="1" si="46"/>
        <v>3318.1355847831628</v>
      </c>
      <c r="S116" s="12">
        <f t="shared" ca="1" si="47"/>
        <v>1.6545084678265303</v>
      </c>
      <c r="T116" s="2">
        <f t="shared" ca="1" si="53"/>
        <v>36742.244444444441</v>
      </c>
      <c r="U116" s="12">
        <f t="shared" ca="1" si="54"/>
        <v>0.99686111111111086</v>
      </c>
      <c r="V116" s="2">
        <f t="shared" ca="1" si="55"/>
        <v>48842.955808008155</v>
      </c>
      <c r="W116" s="12">
        <f t="shared" ca="1" si="56"/>
        <v>1.6545084678265303</v>
      </c>
      <c r="X116" s="8" t="s">
        <v>13</v>
      </c>
    </row>
    <row r="117" spans="1:24" ht="15.75" x14ac:dyDescent="0.3">
      <c r="A117" s="9">
        <v>41974</v>
      </c>
      <c r="B117" s="10">
        <f t="shared" si="38"/>
        <v>9200</v>
      </c>
      <c r="C117" s="10">
        <f t="shared" si="39"/>
        <v>7950</v>
      </c>
      <c r="D117" s="10">
        <v>1250</v>
      </c>
      <c r="E117" s="2">
        <v>18400</v>
      </c>
      <c r="F117" s="12">
        <v>8.5000000000000006E-2</v>
      </c>
      <c r="G117" s="2">
        <f t="shared" ca="1" si="48"/>
        <v>139.73333333333332</v>
      </c>
      <c r="H117" s="2">
        <f t="shared" ca="1" si="49"/>
        <v>18305.955555555556</v>
      </c>
      <c r="I117" s="12">
        <f t="shared" ca="1" si="50"/>
        <v>0.98977777777777787</v>
      </c>
      <c r="J117" s="2">
        <f t="shared" ca="1" si="51"/>
        <v>24252.653675135389</v>
      </c>
      <c r="K117" s="12">
        <f t="shared" ca="1" si="52"/>
        <v>1.6361580081668901</v>
      </c>
      <c r="L117" s="2">
        <f t="shared" ca="1" si="40"/>
        <v>15818.733333333334</v>
      </c>
      <c r="M117" s="12">
        <f t="shared" ca="1" si="41"/>
        <v>0.98977777777777776</v>
      </c>
      <c r="N117" s="2">
        <f t="shared" ca="1" si="42"/>
        <v>20957.456164926778</v>
      </c>
      <c r="O117" s="12">
        <f t="shared" ca="1" si="43"/>
        <v>1.6361580081668903</v>
      </c>
      <c r="P117" s="2">
        <f t="shared" ca="1" si="44"/>
        <v>2487.2222222222226</v>
      </c>
      <c r="Q117" s="12">
        <f t="shared" ca="1" si="45"/>
        <v>0.98977777777777809</v>
      </c>
      <c r="R117" s="2">
        <f t="shared" ca="1" si="46"/>
        <v>3295.197510208613</v>
      </c>
      <c r="S117" s="12">
        <f t="shared" ca="1" si="47"/>
        <v>1.6361580081668905</v>
      </c>
      <c r="T117" s="2">
        <f t="shared" ca="1" si="53"/>
        <v>36611.911111111112</v>
      </c>
      <c r="U117" s="12">
        <f t="shared" ca="1" si="54"/>
        <v>0.98977777777777787</v>
      </c>
      <c r="V117" s="2">
        <f t="shared" ca="1" si="55"/>
        <v>48505.307350270778</v>
      </c>
      <c r="W117" s="12">
        <f t="shared" ca="1" si="56"/>
        <v>1.6361580081668901</v>
      </c>
      <c r="X117" s="8" t="s">
        <v>13</v>
      </c>
    </row>
    <row r="118" spans="1:24" ht="15.75" x14ac:dyDescent="0.3">
      <c r="A118" s="9">
        <v>42005</v>
      </c>
      <c r="B118" s="10">
        <f t="shared" si="38"/>
        <v>9200</v>
      </c>
      <c r="C118" s="10">
        <f t="shared" si="39"/>
        <v>7950</v>
      </c>
      <c r="D118" s="10">
        <v>1250</v>
      </c>
      <c r="E118" s="2">
        <v>18400</v>
      </c>
      <c r="F118" s="12">
        <v>8.5000000000000006E-2</v>
      </c>
      <c r="G118" s="2">
        <f t="shared" ca="1" si="48"/>
        <v>138.73333333333332</v>
      </c>
      <c r="H118" s="2">
        <f t="shared" ca="1" si="49"/>
        <v>18240.788888888888</v>
      </c>
      <c r="I118" s="12">
        <f t="shared" ca="1" si="50"/>
        <v>0.98269444444444443</v>
      </c>
      <c r="J118" s="2">
        <f t="shared" ca="1" si="51"/>
        <v>24084.996518151747</v>
      </c>
      <c r="K118" s="12">
        <f t="shared" ca="1" si="52"/>
        <v>1.617934404146929</v>
      </c>
      <c r="L118" s="2">
        <f t="shared" ca="1" si="40"/>
        <v>15762.420833333334</v>
      </c>
      <c r="M118" s="12">
        <f t="shared" ca="1" si="41"/>
        <v>0.98269444444444443</v>
      </c>
      <c r="N118" s="2">
        <f t="shared" ca="1" si="42"/>
        <v>20812.578512968088</v>
      </c>
      <c r="O118" s="12">
        <f t="shared" ca="1" si="43"/>
        <v>1.6179344041469292</v>
      </c>
      <c r="P118" s="2">
        <f t="shared" ca="1" si="44"/>
        <v>2478.3680555555557</v>
      </c>
      <c r="Q118" s="12">
        <f t="shared" ca="1" si="45"/>
        <v>0.98269444444444454</v>
      </c>
      <c r="R118" s="2">
        <f t="shared" ca="1" si="46"/>
        <v>3272.4180051836615</v>
      </c>
      <c r="S118" s="12">
        <f t="shared" ca="1" si="47"/>
        <v>1.6179344041469292</v>
      </c>
      <c r="T118" s="2">
        <f t="shared" ca="1" si="53"/>
        <v>36481.577777777777</v>
      </c>
      <c r="U118" s="12">
        <f t="shared" ca="1" si="54"/>
        <v>0.98269444444444443</v>
      </c>
      <c r="V118" s="2">
        <f t="shared" ca="1" si="55"/>
        <v>48169.993036303495</v>
      </c>
      <c r="W118" s="12">
        <f t="shared" ca="1" si="56"/>
        <v>1.617934404146929</v>
      </c>
      <c r="X118" s="8" t="s">
        <v>13</v>
      </c>
    </row>
    <row r="119" spans="1:24" ht="15.75" x14ac:dyDescent="0.3">
      <c r="A119" s="9">
        <v>42036</v>
      </c>
      <c r="B119" s="10">
        <f t="shared" si="38"/>
        <v>9200</v>
      </c>
      <c r="C119" s="10">
        <f t="shared" si="39"/>
        <v>7950</v>
      </c>
      <c r="D119" s="10">
        <v>1250</v>
      </c>
      <c r="E119" s="2">
        <v>18400</v>
      </c>
      <c r="F119" s="12">
        <v>8.5000000000000006E-2</v>
      </c>
      <c r="G119" s="2">
        <f t="shared" ca="1" si="48"/>
        <v>137.73333333333332</v>
      </c>
      <c r="H119" s="2">
        <f t="shared" ca="1" si="49"/>
        <v>18175.62222222222</v>
      </c>
      <c r="I119" s="12">
        <f t="shared" ca="1" si="50"/>
        <v>0.97561111111111087</v>
      </c>
      <c r="J119" s="2">
        <f t="shared" ca="1" si="51"/>
        <v>23918.498365154406</v>
      </c>
      <c r="K119" s="12">
        <f t="shared" ca="1" si="52"/>
        <v>1.5998367788211312</v>
      </c>
      <c r="L119" s="2">
        <f t="shared" ca="1" si="40"/>
        <v>15706.108333333334</v>
      </c>
      <c r="M119" s="12">
        <f t="shared" ca="1" si="41"/>
        <v>0.9756111111111111</v>
      </c>
      <c r="N119" s="2">
        <f t="shared" ca="1" si="42"/>
        <v>20668.70239162799</v>
      </c>
      <c r="O119" s="12">
        <f t="shared" ca="1" si="43"/>
        <v>1.599836778821131</v>
      </c>
      <c r="P119" s="2">
        <f t="shared" ca="1" si="44"/>
        <v>2469.5138888888887</v>
      </c>
      <c r="Q119" s="12">
        <f t="shared" ca="1" si="45"/>
        <v>0.97561111111111098</v>
      </c>
      <c r="R119" s="2">
        <f t="shared" ca="1" si="46"/>
        <v>3249.7959735264135</v>
      </c>
      <c r="S119" s="12">
        <f t="shared" ca="1" si="47"/>
        <v>1.5998367788211307</v>
      </c>
      <c r="T119" s="2">
        <f t="shared" ca="1" si="53"/>
        <v>36351.244444444441</v>
      </c>
      <c r="U119" s="12">
        <f t="shared" ca="1" si="54"/>
        <v>0.97561111111111087</v>
      </c>
      <c r="V119" s="2">
        <f t="shared" ca="1" si="55"/>
        <v>47836.996730308812</v>
      </c>
      <c r="W119" s="12">
        <f t="shared" ca="1" si="56"/>
        <v>1.5998367788211312</v>
      </c>
      <c r="X119" s="8" t="s">
        <v>13</v>
      </c>
    </row>
    <row r="120" spans="1:24" ht="15.75" x14ac:dyDescent="0.3">
      <c r="A120" s="9">
        <v>42064</v>
      </c>
      <c r="B120" s="10">
        <f t="shared" si="38"/>
        <v>9200</v>
      </c>
      <c r="C120" s="10">
        <f t="shared" si="39"/>
        <v>7950</v>
      </c>
      <c r="D120" s="10">
        <v>1250</v>
      </c>
      <c r="E120" s="2">
        <v>18400</v>
      </c>
      <c r="F120" s="12">
        <v>8.5000000000000006E-2</v>
      </c>
      <c r="G120" s="2">
        <f t="shared" ca="1" si="48"/>
        <v>136.73333333333332</v>
      </c>
      <c r="H120" s="2">
        <f t="shared" ca="1" si="49"/>
        <v>18110.455555555556</v>
      </c>
      <c r="I120" s="12">
        <f t="shared" ca="1" si="50"/>
        <v>0.96852777777777788</v>
      </c>
      <c r="J120" s="2">
        <f t="shared" ca="1" si="51"/>
        <v>23753.151204017522</v>
      </c>
      <c r="K120" s="12">
        <f t="shared" ca="1" si="52"/>
        <v>1.5818642613062524</v>
      </c>
      <c r="L120" s="2">
        <f t="shared" ca="1" si="40"/>
        <v>15649.795833333334</v>
      </c>
      <c r="M120" s="12">
        <f t="shared" ca="1" si="41"/>
        <v>0.96852777777777777</v>
      </c>
      <c r="N120" s="2">
        <f t="shared" ca="1" si="42"/>
        <v>20525.820877384707</v>
      </c>
      <c r="O120" s="12">
        <f t="shared" ca="1" si="43"/>
        <v>1.5818642613062526</v>
      </c>
      <c r="P120" s="2">
        <f t="shared" ca="1" si="44"/>
        <v>2460.6597222222226</v>
      </c>
      <c r="Q120" s="12">
        <f t="shared" ca="1" si="45"/>
        <v>0.9685277777777781</v>
      </c>
      <c r="R120" s="2">
        <f t="shared" ca="1" si="46"/>
        <v>3227.3303266328157</v>
      </c>
      <c r="S120" s="12">
        <f t="shared" ca="1" si="47"/>
        <v>1.5818642613062526</v>
      </c>
      <c r="T120" s="2">
        <f t="shared" ca="1" si="53"/>
        <v>36220.911111111112</v>
      </c>
      <c r="U120" s="12">
        <f t="shared" ca="1" si="54"/>
        <v>0.96852777777777788</v>
      </c>
      <c r="V120" s="2">
        <f t="shared" ca="1" si="55"/>
        <v>47506.302408035044</v>
      </c>
      <c r="W120" s="12">
        <f t="shared" ca="1" si="56"/>
        <v>1.5818642613062524</v>
      </c>
      <c r="X120" s="8" t="s">
        <v>13</v>
      </c>
    </row>
    <row r="121" spans="1:24" ht="15.75" x14ac:dyDescent="0.3">
      <c r="A121" s="9">
        <v>42095</v>
      </c>
      <c r="B121" s="10">
        <f t="shared" si="38"/>
        <v>9200</v>
      </c>
      <c r="C121" s="10">
        <f t="shared" si="39"/>
        <v>7950</v>
      </c>
      <c r="D121" s="10">
        <v>1250</v>
      </c>
      <c r="E121" s="2">
        <v>18400</v>
      </c>
      <c r="F121" s="12">
        <v>8.5000000000000006E-2</v>
      </c>
      <c r="G121" s="2">
        <f t="shared" ca="1" si="48"/>
        <v>135.73333333333332</v>
      </c>
      <c r="H121" s="2">
        <f t="shared" ca="1" si="49"/>
        <v>18045.288888888888</v>
      </c>
      <c r="I121" s="12">
        <f t="shared" ca="1" si="50"/>
        <v>0.96144444444444443</v>
      </c>
      <c r="J121" s="2">
        <f t="shared" ca="1" si="51"/>
        <v>23588.947078002602</v>
      </c>
      <c r="K121" s="12">
        <f t="shared" ca="1" si="52"/>
        <v>1.5640159867394132</v>
      </c>
      <c r="L121" s="2">
        <f t="shared" ca="1" si="40"/>
        <v>15593.483333333334</v>
      </c>
      <c r="M121" s="12">
        <f t="shared" ca="1" si="41"/>
        <v>0.96144444444444443</v>
      </c>
      <c r="N121" s="2">
        <f t="shared" ca="1" si="42"/>
        <v>20383.927094578336</v>
      </c>
      <c r="O121" s="12">
        <f t="shared" ca="1" si="43"/>
        <v>1.5640159867394132</v>
      </c>
      <c r="P121" s="2">
        <f t="shared" ca="1" si="44"/>
        <v>2451.8055555555557</v>
      </c>
      <c r="Q121" s="12">
        <f t="shared" ca="1" si="45"/>
        <v>0.96144444444444455</v>
      </c>
      <c r="R121" s="2">
        <f t="shared" ca="1" si="46"/>
        <v>3205.0199834242667</v>
      </c>
      <c r="S121" s="12">
        <f t="shared" ca="1" si="47"/>
        <v>1.5640159867394134</v>
      </c>
      <c r="T121" s="2">
        <f t="shared" ca="1" si="53"/>
        <v>36090.577777777777</v>
      </c>
      <c r="U121" s="12">
        <f t="shared" ca="1" si="54"/>
        <v>0.96144444444444443</v>
      </c>
      <c r="V121" s="2">
        <f t="shared" ca="1" si="55"/>
        <v>47177.894156005204</v>
      </c>
      <c r="W121" s="12">
        <f t="shared" ca="1" si="56"/>
        <v>1.5640159867394132</v>
      </c>
      <c r="X121" s="8" t="s">
        <v>13</v>
      </c>
    </row>
    <row r="122" spans="1:24" ht="15.75" x14ac:dyDescent="0.3">
      <c r="A122" s="9">
        <v>42125</v>
      </c>
      <c r="B122" s="10">
        <f t="shared" si="38"/>
        <v>9200</v>
      </c>
      <c r="C122" s="10">
        <f t="shared" si="39"/>
        <v>7950</v>
      </c>
      <c r="D122" s="10">
        <v>1250</v>
      </c>
      <c r="E122" s="2">
        <v>18400</v>
      </c>
      <c r="F122" s="12">
        <v>8.5000000000000006E-2</v>
      </c>
      <c r="G122" s="2">
        <f t="shared" ca="1" si="48"/>
        <v>134.73333333333332</v>
      </c>
      <c r="H122" s="2">
        <f t="shared" ca="1" si="49"/>
        <v>17980.12222222222</v>
      </c>
      <c r="I122" s="12">
        <f t="shared" ca="1" si="50"/>
        <v>0.95436111111111088</v>
      </c>
      <c r="J122" s="2">
        <f t="shared" ca="1" si="51"/>
        <v>23425.878085375614</v>
      </c>
      <c r="K122" s="12">
        <f t="shared" ca="1" si="52"/>
        <v>1.5462910962364798</v>
      </c>
      <c r="L122" s="2">
        <f t="shared" ca="1" si="40"/>
        <v>15537.170833333334</v>
      </c>
      <c r="M122" s="12">
        <f t="shared" ca="1" si="41"/>
        <v>0.9543611111111111</v>
      </c>
      <c r="N122" s="2">
        <f t="shared" ca="1" si="42"/>
        <v>20243.014215080013</v>
      </c>
      <c r="O122" s="12">
        <f t="shared" ca="1" si="43"/>
        <v>1.5462910962364795</v>
      </c>
      <c r="P122" s="2">
        <f t="shared" ca="1" si="44"/>
        <v>2442.9513888888887</v>
      </c>
      <c r="Q122" s="12">
        <f t="shared" ca="1" si="45"/>
        <v>0.95436111111111099</v>
      </c>
      <c r="R122" s="2">
        <f t="shared" ca="1" si="46"/>
        <v>3182.8638702955996</v>
      </c>
      <c r="S122" s="12">
        <f t="shared" ca="1" si="47"/>
        <v>1.5462910962364795</v>
      </c>
      <c r="T122" s="2">
        <f t="shared" ca="1" si="53"/>
        <v>35960.244444444441</v>
      </c>
      <c r="U122" s="12">
        <f t="shared" ca="1" si="54"/>
        <v>0.95436111111111088</v>
      </c>
      <c r="V122" s="2">
        <f t="shared" ca="1" si="55"/>
        <v>46851.756170751229</v>
      </c>
      <c r="W122" s="12">
        <f t="shared" ca="1" si="56"/>
        <v>1.5462910962364798</v>
      </c>
      <c r="X122" s="8" t="s">
        <v>13</v>
      </c>
    </row>
    <row r="123" spans="1:24" ht="15.75" x14ac:dyDescent="0.3">
      <c r="A123" s="9">
        <v>42156</v>
      </c>
      <c r="B123" s="10">
        <f t="shared" si="38"/>
        <v>9200</v>
      </c>
      <c r="C123" s="10">
        <f t="shared" si="39"/>
        <v>7950</v>
      </c>
      <c r="D123" s="10">
        <v>1250</v>
      </c>
      <c r="E123" s="2">
        <v>18400</v>
      </c>
      <c r="F123" s="12">
        <v>8.5000000000000006E-2</v>
      </c>
      <c r="G123" s="2">
        <f t="shared" ca="1" si="48"/>
        <v>133.73333333333332</v>
      </c>
      <c r="H123" s="2">
        <f t="shared" ca="1" si="49"/>
        <v>17914.955555555556</v>
      </c>
      <c r="I123" s="12">
        <f t="shared" ca="1" si="50"/>
        <v>0.94727777777777789</v>
      </c>
      <c r="J123" s="2">
        <f t="shared" ca="1" si="51"/>
        <v>23263.936379026753</v>
      </c>
      <c r="K123" s="12">
        <f t="shared" ca="1" si="52"/>
        <v>1.528688736850734</v>
      </c>
      <c r="L123" s="2">
        <f t="shared" ca="1" si="40"/>
        <v>15480.858333333334</v>
      </c>
      <c r="M123" s="12">
        <f t="shared" ca="1" si="41"/>
        <v>0.94727777777777777</v>
      </c>
      <c r="N123" s="2">
        <f t="shared" ca="1" si="42"/>
        <v>20103.075457963336</v>
      </c>
      <c r="O123" s="12">
        <f t="shared" ca="1" si="43"/>
        <v>1.528688736850734</v>
      </c>
      <c r="P123" s="2">
        <f t="shared" ca="1" si="44"/>
        <v>2434.0972222222226</v>
      </c>
      <c r="Q123" s="12">
        <f t="shared" ca="1" si="45"/>
        <v>0.94727777777777811</v>
      </c>
      <c r="R123" s="2">
        <f t="shared" ca="1" si="46"/>
        <v>3160.8609210634177</v>
      </c>
      <c r="S123" s="12">
        <f t="shared" ca="1" si="47"/>
        <v>1.528688736850734</v>
      </c>
      <c r="T123" s="2">
        <f t="shared" ca="1" si="53"/>
        <v>35829.911111111112</v>
      </c>
      <c r="U123" s="12">
        <f t="shared" ca="1" si="54"/>
        <v>0.94727777777777789</v>
      </c>
      <c r="V123" s="2">
        <f t="shared" ca="1" si="55"/>
        <v>46527.872758053505</v>
      </c>
      <c r="W123" s="12">
        <f t="shared" ca="1" si="56"/>
        <v>1.528688736850734</v>
      </c>
      <c r="X123" s="8" t="s">
        <v>13</v>
      </c>
    </row>
    <row r="124" spans="1:24" ht="15.75" x14ac:dyDescent="0.3">
      <c r="A124" s="9">
        <v>42186</v>
      </c>
      <c r="B124" s="10">
        <f t="shared" si="38"/>
        <v>9200</v>
      </c>
      <c r="C124" s="10">
        <f t="shared" si="39"/>
        <v>7950</v>
      </c>
      <c r="D124" s="10">
        <v>1250</v>
      </c>
      <c r="E124" s="2">
        <v>18400</v>
      </c>
      <c r="F124" s="12">
        <v>8.5000000000000006E-2</v>
      </c>
      <c r="G124" s="2">
        <f t="shared" ca="1" si="48"/>
        <v>132.73333333333332</v>
      </c>
      <c r="H124" s="2">
        <f t="shared" ca="1" si="49"/>
        <v>17849.788888888888</v>
      </c>
      <c r="I124" s="12">
        <f t="shared" ca="1" si="50"/>
        <v>0.94019444444444433</v>
      </c>
      <c r="J124" s="2">
        <f t="shared" ca="1" si="51"/>
        <v>23103.114166092804</v>
      </c>
      <c r="K124" s="12">
        <f t="shared" ca="1" si="52"/>
        <v>1.5112080615318266</v>
      </c>
      <c r="L124" s="2">
        <f t="shared" ca="1" si="40"/>
        <v>15424.545833333334</v>
      </c>
      <c r="M124" s="12">
        <f t="shared" ca="1" si="41"/>
        <v>0.94019444444444444</v>
      </c>
      <c r="N124" s="2">
        <f t="shared" ca="1" si="42"/>
        <v>19964.104089178021</v>
      </c>
      <c r="O124" s="12">
        <f t="shared" ca="1" si="43"/>
        <v>1.5112080615318266</v>
      </c>
      <c r="P124" s="2">
        <f t="shared" ca="1" si="44"/>
        <v>2425.2430555555557</v>
      </c>
      <c r="Q124" s="12">
        <f t="shared" ca="1" si="45"/>
        <v>0.94019444444444455</v>
      </c>
      <c r="R124" s="2">
        <f t="shared" ca="1" si="46"/>
        <v>3139.0100769147834</v>
      </c>
      <c r="S124" s="12">
        <f t="shared" ca="1" si="47"/>
        <v>1.5112080615318269</v>
      </c>
      <c r="T124" s="2">
        <f t="shared" ca="1" si="53"/>
        <v>35699.577777777777</v>
      </c>
      <c r="U124" s="12">
        <f t="shared" ca="1" si="54"/>
        <v>0.94019444444444433</v>
      </c>
      <c r="V124" s="2">
        <f t="shared" ca="1" si="55"/>
        <v>46206.228332185608</v>
      </c>
      <c r="W124" s="12">
        <f t="shared" ca="1" si="56"/>
        <v>1.5112080615318266</v>
      </c>
      <c r="X124" s="8" t="s">
        <v>13</v>
      </c>
    </row>
    <row r="125" spans="1:24" ht="15.75" x14ac:dyDescent="0.3">
      <c r="A125" s="9">
        <v>42217</v>
      </c>
      <c r="B125" s="10">
        <f t="shared" si="38"/>
        <v>10029</v>
      </c>
      <c r="C125" s="10">
        <f t="shared" si="39"/>
        <v>8779</v>
      </c>
      <c r="D125" s="10">
        <v>1250</v>
      </c>
      <c r="E125" s="2">
        <v>20058</v>
      </c>
      <c r="F125" s="12">
        <v>8.5000000000000006E-2</v>
      </c>
      <c r="G125" s="2">
        <f t="shared" ca="1" si="48"/>
        <v>131.73333333333332</v>
      </c>
      <c r="H125" s="2">
        <f t="shared" ca="1" si="49"/>
        <v>19387.171333333332</v>
      </c>
      <c r="I125" s="12">
        <f t="shared" ca="1" si="50"/>
        <v>0.933111111111111</v>
      </c>
      <c r="J125" s="2">
        <f t="shared" ca="1" si="51"/>
        <v>25010.803889493644</v>
      </c>
      <c r="K125" s="12">
        <f t="shared" ca="1" si="52"/>
        <v>1.4938482290850179</v>
      </c>
      <c r="L125" s="2">
        <f t="shared" ca="1" si="40"/>
        <v>16970.782444444445</v>
      </c>
      <c r="M125" s="12">
        <f t="shared" ca="1" si="41"/>
        <v>0.93311111111111122</v>
      </c>
      <c r="N125" s="2">
        <f t="shared" ca="1" si="42"/>
        <v>21893.493603137373</v>
      </c>
      <c r="O125" s="12">
        <f t="shared" ca="1" si="43"/>
        <v>1.4938482290850179</v>
      </c>
      <c r="P125" s="2">
        <f t="shared" ca="1" si="44"/>
        <v>2416.3888888888887</v>
      </c>
      <c r="Q125" s="12">
        <f t="shared" ca="1" si="45"/>
        <v>0.933111111111111</v>
      </c>
      <c r="R125" s="2">
        <f t="shared" ca="1" si="46"/>
        <v>3117.3102863562722</v>
      </c>
      <c r="S125" s="12">
        <f t="shared" ca="1" si="47"/>
        <v>1.4938482290850177</v>
      </c>
      <c r="T125" s="2">
        <f t="shared" ca="1" si="53"/>
        <v>38774.342666666664</v>
      </c>
      <c r="U125" s="12">
        <f t="shared" ca="1" si="54"/>
        <v>0.933111111111111</v>
      </c>
      <c r="V125" s="2">
        <f t="shared" ca="1" si="55"/>
        <v>50021.607778987287</v>
      </c>
      <c r="W125" s="12">
        <f t="shared" ca="1" si="56"/>
        <v>1.4938482290850179</v>
      </c>
      <c r="X125" s="8" t="s">
        <v>13</v>
      </c>
    </row>
    <row r="126" spans="1:24" ht="15.75" x14ac:dyDescent="0.3">
      <c r="A126" s="9">
        <v>42248</v>
      </c>
      <c r="B126" s="10">
        <f t="shared" si="38"/>
        <v>10029</v>
      </c>
      <c r="C126" s="10">
        <f t="shared" si="39"/>
        <v>8779</v>
      </c>
      <c r="D126" s="10">
        <v>1250</v>
      </c>
      <c r="E126" s="2">
        <v>20058</v>
      </c>
      <c r="F126" s="12">
        <v>8.5000000000000006E-2</v>
      </c>
      <c r="G126" s="2">
        <f t="shared" ca="1" si="48"/>
        <v>130.73333333333332</v>
      </c>
      <c r="H126" s="2">
        <f t="shared" ca="1" si="49"/>
        <v>19316.132583333332</v>
      </c>
      <c r="I126" s="12">
        <f t="shared" ca="1" si="50"/>
        <v>0.92602777777777767</v>
      </c>
      <c r="J126" s="2">
        <f t="shared" ca="1" si="51"/>
        <v>24837.90568502677</v>
      </c>
      <c r="K126" s="12">
        <f t="shared" ca="1" si="52"/>
        <v>1.4766084041306979</v>
      </c>
      <c r="L126" s="2">
        <f t="shared" ca="1" si="40"/>
        <v>16908.59786111111</v>
      </c>
      <c r="M126" s="12">
        <f t="shared" ca="1" si="41"/>
        <v>0.92602777777777756</v>
      </c>
      <c r="N126" s="2">
        <f t="shared" ca="1" si="42"/>
        <v>21742.145179863397</v>
      </c>
      <c r="O126" s="12">
        <f t="shared" ca="1" si="43"/>
        <v>1.4766084041306979</v>
      </c>
      <c r="P126" s="2">
        <f t="shared" ca="1" si="44"/>
        <v>2407.5347222222226</v>
      </c>
      <c r="Q126" s="12">
        <f t="shared" ca="1" si="45"/>
        <v>0.92602777777777812</v>
      </c>
      <c r="R126" s="2">
        <f t="shared" ca="1" si="46"/>
        <v>3095.7605051633723</v>
      </c>
      <c r="S126" s="12">
        <f t="shared" ca="1" si="47"/>
        <v>1.4766084041306977</v>
      </c>
      <c r="T126" s="2">
        <f t="shared" ca="1" si="53"/>
        <v>38632.265166666664</v>
      </c>
      <c r="U126" s="12">
        <f t="shared" ca="1" si="54"/>
        <v>0.92602777777777767</v>
      </c>
      <c r="V126" s="2">
        <f t="shared" ca="1" si="55"/>
        <v>49675.81137005354</v>
      </c>
      <c r="W126" s="12">
        <f t="shared" ca="1" si="56"/>
        <v>1.4766084041306979</v>
      </c>
      <c r="X126" s="8" t="s">
        <v>13</v>
      </c>
    </row>
    <row r="127" spans="1:24" ht="15.75" x14ac:dyDescent="0.3">
      <c r="A127" s="9">
        <v>42278</v>
      </c>
      <c r="B127" s="10">
        <f t="shared" si="38"/>
        <v>10029</v>
      </c>
      <c r="C127" s="10">
        <f t="shared" si="39"/>
        <v>8779</v>
      </c>
      <c r="D127" s="10">
        <v>1250</v>
      </c>
      <c r="E127" s="2">
        <v>20058</v>
      </c>
      <c r="F127" s="12">
        <v>8.5000000000000006E-2</v>
      </c>
      <c r="G127" s="2">
        <f t="shared" ca="1" si="48"/>
        <v>129.73333333333332</v>
      </c>
      <c r="H127" s="2">
        <f t="shared" ca="1" si="49"/>
        <v>19245.093833333332</v>
      </c>
      <c r="I127" s="12">
        <f t="shared" ca="1" si="50"/>
        <v>0.91894444444444434</v>
      </c>
      <c r="J127" s="2">
        <f t="shared" ca="1" si="51"/>
        <v>24666.202715596715</v>
      </c>
      <c r="K127" s="12">
        <f t="shared" ca="1" si="52"/>
        <v>1.4594877570641853</v>
      </c>
      <c r="L127" s="2">
        <f t="shared" ca="1" si="40"/>
        <v>16846.413277777778</v>
      </c>
      <c r="M127" s="12">
        <f t="shared" ca="1" si="41"/>
        <v>0.91894444444444445</v>
      </c>
      <c r="N127" s="2">
        <f t="shared" ca="1" si="42"/>
        <v>21591.843019266482</v>
      </c>
      <c r="O127" s="12">
        <f t="shared" ca="1" si="43"/>
        <v>1.4594877570641851</v>
      </c>
      <c r="P127" s="2">
        <f t="shared" ca="1" si="44"/>
        <v>2398.6805555555557</v>
      </c>
      <c r="Q127" s="12">
        <f t="shared" ca="1" si="45"/>
        <v>0.91894444444444456</v>
      </c>
      <c r="R127" s="2">
        <f t="shared" ca="1" si="46"/>
        <v>3074.3596963302316</v>
      </c>
      <c r="S127" s="12">
        <f t="shared" ca="1" si="47"/>
        <v>1.4594877570641853</v>
      </c>
      <c r="T127" s="2">
        <f t="shared" ca="1" si="53"/>
        <v>38490.187666666665</v>
      </c>
      <c r="U127" s="12">
        <f t="shared" ca="1" si="54"/>
        <v>0.91894444444444434</v>
      </c>
      <c r="V127" s="2">
        <f t="shared" ca="1" si="55"/>
        <v>49332.405431193431</v>
      </c>
      <c r="W127" s="12">
        <f t="shared" ca="1" si="56"/>
        <v>1.4594877570641853</v>
      </c>
      <c r="X127" s="8" t="s">
        <v>13</v>
      </c>
    </row>
    <row r="128" spans="1:24" ht="15.75" x14ac:dyDescent="0.3">
      <c r="A128" s="9">
        <v>42309</v>
      </c>
      <c r="B128" s="10">
        <f t="shared" si="38"/>
        <v>10029</v>
      </c>
      <c r="C128" s="10">
        <f t="shared" si="39"/>
        <v>8779</v>
      </c>
      <c r="D128" s="10">
        <v>1250</v>
      </c>
      <c r="E128" s="2">
        <v>20058</v>
      </c>
      <c r="F128" s="12">
        <v>8.5000000000000006E-2</v>
      </c>
      <c r="G128" s="2">
        <f t="shared" ca="1" si="48"/>
        <v>128.73333333333332</v>
      </c>
      <c r="H128" s="2">
        <f t="shared" ca="1" si="49"/>
        <v>19174.055083333333</v>
      </c>
      <c r="I128" s="12">
        <f t="shared" ca="1" si="50"/>
        <v>0.91186111111111101</v>
      </c>
      <c r="J128" s="2">
        <f t="shared" ca="1" si="51"/>
        <v>24495.686718614539</v>
      </c>
      <c r="K128" s="12">
        <f t="shared" ca="1" si="52"/>
        <v>1.442485464015808</v>
      </c>
      <c r="L128" s="2">
        <f t="shared" ca="1" si="40"/>
        <v>16784.228694444442</v>
      </c>
      <c r="M128" s="12">
        <f t="shared" ca="1" si="41"/>
        <v>0.9118611111111109</v>
      </c>
      <c r="N128" s="2">
        <f t="shared" ca="1" si="42"/>
        <v>21442.579888594777</v>
      </c>
      <c r="O128" s="12">
        <f t="shared" ca="1" si="43"/>
        <v>1.4424854640158078</v>
      </c>
      <c r="P128" s="2">
        <f t="shared" ca="1" si="44"/>
        <v>2389.8263888888887</v>
      </c>
      <c r="Q128" s="12">
        <f t="shared" ca="1" si="45"/>
        <v>0.9118611111111109</v>
      </c>
      <c r="R128" s="2">
        <f t="shared" ca="1" si="46"/>
        <v>3053.1068300197599</v>
      </c>
      <c r="S128" s="12">
        <f t="shared" ca="1" si="47"/>
        <v>1.4424854640158078</v>
      </c>
      <c r="T128" s="2">
        <f t="shared" ca="1" si="53"/>
        <v>38348.110166666665</v>
      </c>
      <c r="U128" s="12">
        <f t="shared" ca="1" si="54"/>
        <v>0.91186111111111101</v>
      </c>
      <c r="V128" s="2">
        <f t="shared" ca="1" si="55"/>
        <v>48991.373437229078</v>
      </c>
      <c r="W128" s="12">
        <f t="shared" ca="1" si="56"/>
        <v>1.442485464015808</v>
      </c>
      <c r="X128" s="8" t="s">
        <v>13</v>
      </c>
    </row>
    <row r="129" spans="1:24" ht="15.75" x14ac:dyDescent="0.3">
      <c r="A129" s="9">
        <v>42339</v>
      </c>
      <c r="B129" s="10">
        <f t="shared" si="38"/>
        <v>10029</v>
      </c>
      <c r="C129" s="10">
        <f t="shared" si="39"/>
        <v>8779</v>
      </c>
      <c r="D129" s="10">
        <v>1250</v>
      </c>
      <c r="E129" s="2">
        <v>20058</v>
      </c>
      <c r="F129" s="12">
        <v>8.5000000000000006E-2</v>
      </c>
      <c r="G129" s="2">
        <f t="shared" ca="1" si="48"/>
        <v>127.73333333333333</v>
      </c>
      <c r="H129" s="2">
        <f t="shared" ca="1" si="49"/>
        <v>19103.016333333333</v>
      </c>
      <c r="I129" s="12">
        <f t="shared" ca="1" si="50"/>
        <v>0.90477777777777779</v>
      </c>
      <c r="J129" s="2">
        <f t="shared" ca="1" si="51"/>
        <v>24326.349488610082</v>
      </c>
      <c r="K129" s="12">
        <f t="shared" ca="1" si="52"/>
        <v>1.4256007068112555</v>
      </c>
      <c r="L129" s="2">
        <f t="shared" ca="1" si="40"/>
        <v>16722.04411111111</v>
      </c>
      <c r="M129" s="12">
        <f t="shared" ca="1" si="41"/>
        <v>0.90477777777777768</v>
      </c>
      <c r="N129" s="2">
        <f t="shared" ca="1" si="42"/>
        <v>21294.348605096013</v>
      </c>
      <c r="O129" s="12">
        <f t="shared" ca="1" si="43"/>
        <v>1.4256007068112555</v>
      </c>
      <c r="P129" s="2">
        <f t="shared" ca="1" si="44"/>
        <v>2380.9722222222226</v>
      </c>
      <c r="Q129" s="12">
        <f t="shared" ca="1" si="45"/>
        <v>0.90477777777777812</v>
      </c>
      <c r="R129" s="2">
        <f t="shared" ca="1" si="46"/>
        <v>3032.0008835140693</v>
      </c>
      <c r="S129" s="12">
        <f t="shared" ca="1" si="47"/>
        <v>1.4256007068112555</v>
      </c>
      <c r="T129" s="2">
        <f t="shared" ca="1" si="53"/>
        <v>38206.032666666666</v>
      </c>
      <c r="U129" s="12">
        <f t="shared" ca="1" si="54"/>
        <v>0.90477777777777779</v>
      </c>
      <c r="V129" s="2">
        <f t="shared" ca="1" si="55"/>
        <v>48652.698977220163</v>
      </c>
      <c r="W129" s="12">
        <f t="shared" ca="1" si="56"/>
        <v>1.4256007068112555</v>
      </c>
      <c r="X129" s="8" t="s">
        <v>13</v>
      </c>
    </row>
    <row r="130" spans="1:24" ht="15.75" x14ac:dyDescent="0.3">
      <c r="A130" s="9">
        <v>42370</v>
      </c>
      <c r="B130" s="10">
        <f t="shared" ref="B130:B193" si="57">E130/2</f>
        <v>10029</v>
      </c>
      <c r="C130" s="10">
        <f t="shared" ref="C130:C193" si="58">E130/2-D130</f>
        <v>8779</v>
      </c>
      <c r="D130" s="10">
        <v>1250</v>
      </c>
      <c r="E130" s="2">
        <v>20058</v>
      </c>
      <c r="F130" s="12">
        <v>8.5000000000000006E-2</v>
      </c>
      <c r="G130" s="2">
        <f t="shared" ref="G130:G193" ca="1" si="59">(DAYS360(A130,NOW(),TRUE))/30</f>
        <v>126.73333333333333</v>
      </c>
      <c r="H130" s="2">
        <f t="shared" ref="H130:H193" ca="1" si="60">SUM(B130, B130*$F130*$G130/12)</f>
        <v>19031.977583333333</v>
      </c>
      <c r="I130" s="12">
        <f t="shared" ref="I130:I193" ca="1" si="61">(H130-B130)/B130</f>
        <v>0.89769444444444446</v>
      </c>
      <c r="J130" s="2">
        <f t="shared" ref="J130:J193" ca="1" si="62">PRODUCT(B130,POWER((1+$F130/2),2*$G130/12))</f>
        <v>24158.182876837116</v>
      </c>
      <c r="K130" s="12">
        <f t="shared" ref="K130:K193" ca="1" si="63">(J130-B130)/B130</f>
        <v>1.4088326729322083</v>
      </c>
      <c r="L130" s="2">
        <f t="shared" ref="L130:L193" ca="1" si="64">SUM(C130, C130*$F130*$G130/12)</f>
        <v>16659.859527777779</v>
      </c>
      <c r="M130" s="12">
        <f t="shared" ref="M130:M193" ca="1" si="65">(L130-C130)/C130</f>
        <v>0.89769444444444457</v>
      </c>
      <c r="N130" s="2">
        <f t="shared" ref="N130:N193" ca="1" si="66">PRODUCT(C130,POWER((1+$F130/2),2*$G130/12))</f>
        <v>21147.142035671855</v>
      </c>
      <c r="O130" s="12">
        <f t="shared" ref="O130:O193" ca="1" si="67">(N130-C130)/C130</f>
        <v>1.4088326729322083</v>
      </c>
      <c r="P130" s="2">
        <f t="shared" ref="P130:P193" ca="1" si="68">SUM(D130, D130*$F130*$G130/12)</f>
        <v>2372.1180555555557</v>
      </c>
      <c r="Q130" s="12">
        <f t="shared" ref="Q130:Q193" ca="1" si="69">(P130-D130)/D130</f>
        <v>0.89769444444444457</v>
      </c>
      <c r="R130" s="2">
        <f t="shared" ref="R130:R193" ca="1" si="70">PRODUCT(D130,POWER((1+$F130/2),2*$G130/12))</f>
        <v>3011.0408411652602</v>
      </c>
      <c r="S130" s="12">
        <f t="shared" ref="S130:S193" ca="1" si="71">(R130-D130)/D130</f>
        <v>1.408832672932208</v>
      </c>
      <c r="T130" s="2">
        <f t="shared" ref="T130:T193" ca="1" si="72">SUM(E130, E130*$F130*$G130/12)</f>
        <v>38063.955166666667</v>
      </c>
      <c r="U130" s="12">
        <f t="shared" ref="U130:U193" ca="1" si="73">(T130-E130)/E130</f>
        <v>0.89769444444444446</v>
      </c>
      <c r="V130" s="2">
        <f t="shared" ref="V130:V193" ca="1" si="74">PRODUCT(E130,POWER((1+$F130/2),2*$G130/12))</f>
        <v>48316.365753674232</v>
      </c>
      <c r="W130" s="12">
        <f t="shared" ref="W130:W193" ca="1" si="75">(V130-E130)/E130</f>
        <v>1.4088326729322083</v>
      </c>
      <c r="X130" s="8" t="s">
        <v>13</v>
      </c>
    </row>
    <row r="131" spans="1:24" ht="15.75" x14ac:dyDescent="0.3">
      <c r="A131" s="9">
        <v>42401</v>
      </c>
      <c r="B131" s="10">
        <f t="shared" si="57"/>
        <v>10029</v>
      </c>
      <c r="C131" s="10">
        <f t="shared" si="58"/>
        <v>8779</v>
      </c>
      <c r="D131" s="10">
        <v>1250</v>
      </c>
      <c r="E131" s="2">
        <v>20058</v>
      </c>
      <c r="F131" s="12">
        <v>8.5000000000000006E-2</v>
      </c>
      <c r="G131" s="2">
        <f t="shared" ca="1" si="59"/>
        <v>125.73333333333333</v>
      </c>
      <c r="H131" s="2">
        <f t="shared" ca="1" si="60"/>
        <v>18960.938833333334</v>
      </c>
      <c r="I131" s="12">
        <f t="shared" ca="1" si="61"/>
        <v>0.89061111111111113</v>
      </c>
      <c r="J131" s="2">
        <f t="shared" ca="1" si="62"/>
        <v>23991.178790881197</v>
      </c>
      <c r="K131" s="12">
        <f t="shared" ca="1" si="63"/>
        <v>1.3921805554772357</v>
      </c>
      <c r="L131" s="2">
        <f t="shared" ca="1" si="64"/>
        <v>16597.674944444443</v>
      </c>
      <c r="M131" s="12">
        <f t="shared" ca="1" si="65"/>
        <v>0.89061111111111091</v>
      </c>
      <c r="N131" s="2">
        <f t="shared" ca="1" si="66"/>
        <v>21000.953096534649</v>
      </c>
      <c r="O131" s="12">
        <f t="shared" ca="1" si="67"/>
        <v>1.3921805554772353</v>
      </c>
      <c r="P131" s="2">
        <f t="shared" ca="1" si="68"/>
        <v>2363.2638888888887</v>
      </c>
      <c r="Q131" s="12">
        <f t="shared" ca="1" si="69"/>
        <v>0.89061111111111091</v>
      </c>
      <c r="R131" s="2">
        <f t="shared" ca="1" si="70"/>
        <v>2990.2256943465445</v>
      </c>
      <c r="S131" s="12">
        <f t="shared" ca="1" si="71"/>
        <v>1.3921805554772355</v>
      </c>
      <c r="T131" s="2">
        <f t="shared" ca="1" si="72"/>
        <v>37921.877666666667</v>
      </c>
      <c r="U131" s="12">
        <f t="shared" ca="1" si="73"/>
        <v>0.89061111111111113</v>
      </c>
      <c r="V131" s="2">
        <f t="shared" ca="1" si="74"/>
        <v>47982.357581762393</v>
      </c>
      <c r="W131" s="12">
        <f t="shared" ca="1" si="75"/>
        <v>1.3921805554772357</v>
      </c>
      <c r="X131" s="8" t="s">
        <v>13</v>
      </c>
    </row>
    <row r="132" spans="1:24" ht="15.75" x14ac:dyDescent="0.3">
      <c r="A132" s="9">
        <v>42430</v>
      </c>
      <c r="B132" s="10">
        <f t="shared" si="57"/>
        <v>10029</v>
      </c>
      <c r="C132" s="10">
        <f t="shared" si="58"/>
        <v>8779</v>
      </c>
      <c r="D132" s="10">
        <v>1250</v>
      </c>
      <c r="E132" s="2">
        <v>20058</v>
      </c>
      <c r="F132" s="12">
        <v>8.5000000000000006E-2</v>
      </c>
      <c r="G132" s="2">
        <f t="shared" ca="1" si="59"/>
        <v>124.73333333333333</v>
      </c>
      <c r="H132" s="2">
        <f t="shared" ca="1" si="60"/>
        <v>18889.900083333334</v>
      </c>
      <c r="I132" s="12">
        <f t="shared" ca="1" si="61"/>
        <v>0.8835277777777778</v>
      </c>
      <c r="J132" s="2">
        <f t="shared" ca="1" si="62"/>
        <v>23825.329194270282</v>
      </c>
      <c r="K132" s="12">
        <f t="shared" ca="1" si="63"/>
        <v>1.3756435531229716</v>
      </c>
      <c r="L132" s="2">
        <f t="shared" ca="1" si="64"/>
        <v>16535.490361111111</v>
      </c>
      <c r="M132" s="12">
        <f t="shared" ca="1" si="65"/>
        <v>0.8835277777777778</v>
      </c>
      <c r="N132" s="2">
        <f t="shared" ca="1" si="66"/>
        <v>20855.774752866568</v>
      </c>
      <c r="O132" s="12">
        <f t="shared" ca="1" si="67"/>
        <v>1.3756435531229716</v>
      </c>
      <c r="P132" s="2">
        <f t="shared" ca="1" si="68"/>
        <v>2354.4097222222226</v>
      </c>
      <c r="Q132" s="12">
        <f t="shared" ca="1" si="69"/>
        <v>0.88352777777777813</v>
      </c>
      <c r="R132" s="2">
        <f t="shared" ca="1" si="70"/>
        <v>2969.5544414037145</v>
      </c>
      <c r="S132" s="12">
        <f t="shared" ca="1" si="71"/>
        <v>1.3756435531229716</v>
      </c>
      <c r="T132" s="2">
        <f t="shared" ca="1" si="72"/>
        <v>37779.800166666668</v>
      </c>
      <c r="U132" s="12">
        <f t="shared" ca="1" si="73"/>
        <v>0.8835277777777778</v>
      </c>
      <c r="V132" s="2">
        <f t="shared" ca="1" si="74"/>
        <v>47650.658388540563</v>
      </c>
      <c r="W132" s="12">
        <f t="shared" ca="1" si="75"/>
        <v>1.3756435531229716</v>
      </c>
      <c r="X132" s="8" t="s">
        <v>13</v>
      </c>
    </row>
    <row r="133" spans="1:24" ht="15.75" x14ac:dyDescent="0.3">
      <c r="A133" s="9">
        <v>42461</v>
      </c>
      <c r="B133" s="10">
        <f t="shared" si="57"/>
        <v>10029</v>
      </c>
      <c r="C133" s="10">
        <f t="shared" si="58"/>
        <v>8779</v>
      </c>
      <c r="D133" s="10">
        <v>1250</v>
      </c>
      <c r="E133" s="2">
        <v>20058</v>
      </c>
      <c r="F133" s="12">
        <v>8.5000000000000006E-2</v>
      </c>
      <c r="G133" s="2">
        <f t="shared" ca="1" si="59"/>
        <v>123.73333333333333</v>
      </c>
      <c r="H133" s="2">
        <f t="shared" ca="1" si="60"/>
        <v>18818.861333333334</v>
      </c>
      <c r="I133" s="12">
        <f t="shared" ca="1" si="61"/>
        <v>0.87644444444444458</v>
      </c>
      <c r="J133" s="2">
        <f t="shared" ca="1" si="62"/>
        <v>23660.626106087981</v>
      </c>
      <c r="K133" s="12">
        <f t="shared" ca="1" si="63"/>
        <v>1.3592208700855499</v>
      </c>
      <c r="L133" s="2">
        <f t="shared" ca="1" si="64"/>
        <v>16473.305777777779</v>
      </c>
      <c r="M133" s="12">
        <f t="shared" ca="1" si="65"/>
        <v>0.87644444444444458</v>
      </c>
      <c r="N133" s="2">
        <f t="shared" ca="1" si="66"/>
        <v>20711.600018481044</v>
      </c>
      <c r="O133" s="12">
        <f t="shared" ca="1" si="67"/>
        <v>1.3592208700855499</v>
      </c>
      <c r="P133" s="2">
        <f t="shared" ca="1" si="68"/>
        <v>2345.5555555555557</v>
      </c>
      <c r="Q133" s="12">
        <f t="shared" ca="1" si="69"/>
        <v>0.87644444444444447</v>
      </c>
      <c r="R133" s="2">
        <f t="shared" ca="1" si="70"/>
        <v>2949.0260876069374</v>
      </c>
      <c r="S133" s="12">
        <f t="shared" ca="1" si="71"/>
        <v>1.3592208700855499</v>
      </c>
      <c r="T133" s="2">
        <f t="shared" ca="1" si="72"/>
        <v>37637.722666666668</v>
      </c>
      <c r="U133" s="12">
        <f t="shared" ca="1" si="73"/>
        <v>0.87644444444444458</v>
      </c>
      <c r="V133" s="2">
        <f t="shared" ca="1" si="74"/>
        <v>47321.252212175961</v>
      </c>
      <c r="W133" s="12">
        <f t="shared" ca="1" si="75"/>
        <v>1.3592208700855499</v>
      </c>
      <c r="X133" s="8" t="s">
        <v>13</v>
      </c>
    </row>
    <row r="134" spans="1:24" ht="15.75" x14ac:dyDescent="0.3">
      <c r="A134" s="9">
        <v>42491</v>
      </c>
      <c r="B134" s="10">
        <f t="shared" si="57"/>
        <v>10029</v>
      </c>
      <c r="C134" s="10">
        <f t="shared" si="58"/>
        <v>8779</v>
      </c>
      <c r="D134" s="10">
        <v>1250</v>
      </c>
      <c r="E134" s="2">
        <v>20058</v>
      </c>
      <c r="F134" s="12">
        <v>8.5000000000000006E-2</v>
      </c>
      <c r="G134" s="2">
        <f t="shared" ca="1" si="59"/>
        <v>122.73333333333333</v>
      </c>
      <c r="H134" s="2">
        <f t="shared" ca="1" si="60"/>
        <v>18747.822583333334</v>
      </c>
      <c r="I134" s="12">
        <f t="shared" ca="1" si="61"/>
        <v>0.86936111111111125</v>
      </c>
      <c r="J134" s="2">
        <f t="shared" ca="1" si="62"/>
        <v>23497.061600589492</v>
      </c>
      <c r="K134" s="12">
        <f t="shared" ca="1" si="63"/>
        <v>1.3429117160823105</v>
      </c>
      <c r="L134" s="2">
        <f t="shared" ca="1" si="64"/>
        <v>16411.121194444444</v>
      </c>
      <c r="M134" s="12">
        <f t="shared" ca="1" si="65"/>
        <v>0.86936111111111103</v>
      </c>
      <c r="N134" s="2">
        <f t="shared" ca="1" si="66"/>
        <v>20568.421955486603</v>
      </c>
      <c r="O134" s="12">
        <f t="shared" ca="1" si="67"/>
        <v>1.3429117160823103</v>
      </c>
      <c r="P134" s="2">
        <f t="shared" ca="1" si="68"/>
        <v>2336.7013888888887</v>
      </c>
      <c r="Q134" s="12">
        <f t="shared" ca="1" si="69"/>
        <v>0.86936111111111092</v>
      </c>
      <c r="R134" s="2">
        <f t="shared" ca="1" si="70"/>
        <v>2928.6396451028877</v>
      </c>
      <c r="S134" s="12">
        <f t="shared" ca="1" si="71"/>
        <v>1.3429117160823101</v>
      </c>
      <c r="T134" s="2">
        <f t="shared" ca="1" si="72"/>
        <v>37495.645166666669</v>
      </c>
      <c r="U134" s="12">
        <f t="shared" ca="1" si="73"/>
        <v>0.86936111111111125</v>
      </c>
      <c r="V134" s="2">
        <f t="shared" ca="1" si="74"/>
        <v>46994.123201178983</v>
      </c>
      <c r="W134" s="12">
        <f t="shared" ca="1" si="75"/>
        <v>1.3429117160823105</v>
      </c>
      <c r="X134" s="8" t="s">
        <v>13</v>
      </c>
    </row>
    <row r="135" spans="1:24" ht="15.75" x14ac:dyDescent="0.3">
      <c r="A135" s="9">
        <v>42522</v>
      </c>
      <c r="B135" s="10">
        <f t="shared" si="57"/>
        <v>10029</v>
      </c>
      <c r="C135" s="10">
        <f t="shared" si="58"/>
        <v>8779</v>
      </c>
      <c r="D135" s="10">
        <v>1250</v>
      </c>
      <c r="E135" s="2">
        <v>20058</v>
      </c>
      <c r="F135" s="12">
        <v>8.5000000000000006E-2</v>
      </c>
      <c r="G135" s="2">
        <f t="shared" ca="1" si="59"/>
        <v>121.73333333333333</v>
      </c>
      <c r="H135" s="2">
        <f t="shared" ca="1" si="60"/>
        <v>18676.783833333335</v>
      </c>
      <c r="I135" s="12">
        <f t="shared" ca="1" si="61"/>
        <v>0.86227777777777792</v>
      </c>
      <c r="J135" s="2">
        <f t="shared" ca="1" si="62"/>
        <v>23334.627806820223</v>
      </c>
      <c r="K135" s="12">
        <f t="shared" ca="1" si="63"/>
        <v>1.3267153062937704</v>
      </c>
      <c r="L135" s="2">
        <f t="shared" ca="1" si="64"/>
        <v>16348.936611111112</v>
      </c>
      <c r="M135" s="12">
        <f t="shared" ca="1" si="65"/>
        <v>0.86227777777777792</v>
      </c>
      <c r="N135" s="2">
        <f t="shared" ca="1" si="66"/>
        <v>20426.233673953011</v>
      </c>
      <c r="O135" s="12">
        <f t="shared" ca="1" si="67"/>
        <v>1.3267153062937704</v>
      </c>
      <c r="P135" s="2">
        <f t="shared" ca="1" si="68"/>
        <v>2327.8472222222226</v>
      </c>
      <c r="Q135" s="12">
        <f t="shared" ca="1" si="69"/>
        <v>0.86227777777777814</v>
      </c>
      <c r="R135" s="2">
        <f t="shared" ca="1" si="70"/>
        <v>2908.3941328672131</v>
      </c>
      <c r="S135" s="12">
        <f t="shared" ca="1" si="71"/>
        <v>1.3267153062937704</v>
      </c>
      <c r="T135" s="2">
        <f t="shared" ca="1" si="72"/>
        <v>37353.56766666667</v>
      </c>
      <c r="U135" s="12">
        <f t="shared" ca="1" si="73"/>
        <v>0.86227777777777792</v>
      </c>
      <c r="V135" s="2">
        <f t="shared" ca="1" si="74"/>
        <v>46669.255613640446</v>
      </c>
      <c r="W135" s="12">
        <f t="shared" ca="1" si="75"/>
        <v>1.3267153062937704</v>
      </c>
      <c r="X135" s="8" t="s">
        <v>13</v>
      </c>
    </row>
    <row r="136" spans="1:24" ht="15.75" x14ac:dyDescent="0.3">
      <c r="A136" s="9">
        <v>42552</v>
      </c>
      <c r="B136" s="10">
        <f t="shared" si="57"/>
        <v>10029</v>
      </c>
      <c r="C136" s="10">
        <f t="shared" si="58"/>
        <v>8779</v>
      </c>
      <c r="D136" s="10">
        <v>1250</v>
      </c>
      <c r="E136" s="2">
        <v>20058</v>
      </c>
      <c r="F136" s="12">
        <v>8.5000000000000006E-2</v>
      </c>
      <c r="G136" s="2">
        <f t="shared" ca="1" si="59"/>
        <v>120.73333333333333</v>
      </c>
      <c r="H136" s="2">
        <f t="shared" ca="1" si="60"/>
        <v>18605.745083333335</v>
      </c>
      <c r="I136" s="12">
        <f t="shared" ca="1" si="61"/>
        <v>0.85519444444444459</v>
      </c>
      <c r="J136" s="2">
        <f t="shared" ca="1" si="62"/>
        <v>23173.316908237037</v>
      </c>
      <c r="K136" s="12">
        <f t="shared" ca="1" si="63"/>
        <v>1.3106308613258586</v>
      </c>
      <c r="L136" s="2">
        <f t="shared" ca="1" si="64"/>
        <v>16286.752027777777</v>
      </c>
      <c r="M136" s="12">
        <f t="shared" ca="1" si="65"/>
        <v>0.85519444444444437</v>
      </c>
      <c r="N136" s="2">
        <f t="shared" ca="1" si="66"/>
        <v>20285.028331579713</v>
      </c>
      <c r="O136" s="12">
        <f t="shared" ca="1" si="67"/>
        <v>1.3106308613258586</v>
      </c>
      <c r="P136" s="2">
        <f t="shared" ca="1" si="68"/>
        <v>2318.9930555555557</v>
      </c>
      <c r="Q136" s="12">
        <f t="shared" ca="1" si="69"/>
        <v>0.85519444444444448</v>
      </c>
      <c r="R136" s="2">
        <f t="shared" ca="1" si="70"/>
        <v>2888.2885766573236</v>
      </c>
      <c r="S136" s="12">
        <f t="shared" ca="1" si="71"/>
        <v>1.3106308613258588</v>
      </c>
      <c r="T136" s="2">
        <f t="shared" ca="1" si="72"/>
        <v>37211.49016666667</v>
      </c>
      <c r="U136" s="12">
        <f t="shared" ca="1" si="73"/>
        <v>0.85519444444444459</v>
      </c>
      <c r="V136" s="2">
        <f t="shared" ca="1" si="74"/>
        <v>46346.633816474074</v>
      </c>
      <c r="W136" s="12">
        <f t="shared" ca="1" si="75"/>
        <v>1.3106308613258586</v>
      </c>
      <c r="X136" s="8" t="s">
        <v>13</v>
      </c>
    </row>
    <row r="137" spans="1:24" ht="15.75" x14ac:dyDescent="0.3">
      <c r="A137" s="9">
        <v>42583</v>
      </c>
      <c r="B137" s="10">
        <f t="shared" si="57"/>
        <v>11131.7</v>
      </c>
      <c r="C137" s="10">
        <f t="shared" si="58"/>
        <v>9881.7000000000007</v>
      </c>
      <c r="D137" s="10">
        <v>1250</v>
      </c>
      <c r="E137" s="2">
        <f t="shared" ref="E137:E148" si="76">11131.7*2</f>
        <v>22263.4</v>
      </c>
      <c r="F137" s="12">
        <v>8.5000000000000006E-2</v>
      </c>
      <c r="G137" s="2">
        <f t="shared" ca="1" si="59"/>
        <v>119.73333333333333</v>
      </c>
      <c r="H137" s="2">
        <f t="shared" ca="1" si="60"/>
        <v>20572.618455555559</v>
      </c>
      <c r="I137" s="12">
        <f t="shared" ca="1" si="61"/>
        <v>0.84811111111111137</v>
      </c>
      <c r="J137" s="2">
        <f t="shared" ca="1" si="62"/>
        <v>25543.4400857611</v>
      </c>
      <c r="K137" s="12">
        <f t="shared" ca="1" si="63"/>
        <v>1.2946576071724083</v>
      </c>
      <c r="L137" s="2">
        <f t="shared" ca="1" si="64"/>
        <v>18262.479566666669</v>
      </c>
      <c r="M137" s="12">
        <f t="shared" ca="1" si="65"/>
        <v>0.84811111111111115</v>
      </c>
      <c r="N137" s="2">
        <f t="shared" ca="1" si="66"/>
        <v>22675.118076795588</v>
      </c>
      <c r="O137" s="12">
        <f t="shared" ca="1" si="67"/>
        <v>1.2946576071724083</v>
      </c>
      <c r="P137" s="2">
        <f t="shared" ca="1" si="68"/>
        <v>2310.1388888888887</v>
      </c>
      <c r="Q137" s="12">
        <f t="shared" ca="1" si="69"/>
        <v>0.84811111111111093</v>
      </c>
      <c r="R137" s="2">
        <f t="shared" ca="1" si="70"/>
        <v>2868.3220089655106</v>
      </c>
      <c r="S137" s="12">
        <f t="shared" ca="1" si="71"/>
        <v>1.2946576071724085</v>
      </c>
      <c r="T137" s="2">
        <f t="shared" ca="1" si="72"/>
        <v>41145.236911111118</v>
      </c>
      <c r="U137" s="12">
        <f t="shared" ca="1" si="73"/>
        <v>0.84811111111111137</v>
      </c>
      <c r="V137" s="2">
        <f t="shared" ca="1" si="74"/>
        <v>51086.8801715222</v>
      </c>
      <c r="W137" s="12">
        <f t="shared" ca="1" si="75"/>
        <v>1.2946576071724083</v>
      </c>
      <c r="X137" s="8" t="s">
        <v>13</v>
      </c>
    </row>
    <row r="138" spans="1:24" ht="15.75" x14ac:dyDescent="0.3">
      <c r="A138" s="9">
        <v>42614</v>
      </c>
      <c r="B138" s="10">
        <f t="shared" si="57"/>
        <v>11131.7</v>
      </c>
      <c r="C138" s="10">
        <f t="shared" si="58"/>
        <v>9881.7000000000007</v>
      </c>
      <c r="D138" s="10">
        <v>1250</v>
      </c>
      <c r="E138" s="2">
        <f t="shared" si="76"/>
        <v>22263.4</v>
      </c>
      <c r="F138" s="12">
        <v>8.5000000000000006E-2</v>
      </c>
      <c r="G138" s="2">
        <f t="shared" ca="1" si="59"/>
        <v>118.73333333333333</v>
      </c>
      <c r="H138" s="2">
        <f t="shared" ca="1" si="60"/>
        <v>20493.768913888889</v>
      </c>
      <c r="I138" s="12">
        <f t="shared" ca="1" si="61"/>
        <v>0.84102777777777771</v>
      </c>
      <c r="J138" s="2">
        <f t="shared" ca="1" si="62"/>
        <v>25366.859798847945</v>
      </c>
      <c r="K138" s="12">
        <f t="shared" ca="1" si="63"/>
        <v>1.2787947751779103</v>
      </c>
      <c r="L138" s="2">
        <f t="shared" ca="1" si="64"/>
        <v>18192.48419166667</v>
      </c>
      <c r="M138" s="12">
        <f t="shared" ca="1" si="65"/>
        <v>0.84102777777777804</v>
      </c>
      <c r="N138" s="2">
        <f t="shared" ca="1" si="66"/>
        <v>22518.366329875556</v>
      </c>
      <c r="O138" s="12">
        <f t="shared" ca="1" si="67"/>
        <v>1.2787947751779101</v>
      </c>
      <c r="P138" s="2">
        <f t="shared" ca="1" si="68"/>
        <v>2301.2847222222226</v>
      </c>
      <c r="Q138" s="12">
        <f t="shared" ca="1" si="69"/>
        <v>0.84102777777777815</v>
      </c>
      <c r="R138" s="2">
        <f t="shared" ca="1" si="70"/>
        <v>2848.4934689723877</v>
      </c>
      <c r="S138" s="12">
        <f t="shared" ca="1" si="71"/>
        <v>1.2787947751779103</v>
      </c>
      <c r="T138" s="2">
        <f t="shared" ca="1" si="72"/>
        <v>40987.537827777778</v>
      </c>
      <c r="U138" s="12">
        <f t="shared" ca="1" si="73"/>
        <v>0.84102777777777771</v>
      </c>
      <c r="V138" s="2">
        <f t="shared" ca="1" si="74"/>
        <v>50733.71959769589</v>
      </c>
      <c r="W138" s="12">
        <f t="shared" ca="1" si="75"/>
        <v>1.2787947751779103</v>
      </c>
      <c r="X138" s="8" t="s">
        <v>13</v>
      </c>
    </row>
    <row r="139" spans="1:24" ht="15.75" x14ac:dyDescent="0.3">
      <c r="A139" s="9">
        <v>42644</v>
      </c>
      <c r="B139" s="10">
        <f t="shared" si="57"/>
        <v>11131.7</v>
      </c>
      <c r="C139" s="10">
        <f t="shared" si="58"/>
        <v>9881.7000000000007</v>
      </c>
      <c r="D139" s="10">
        <v>1250</v>
      </c>
      <c r="E139" s="2">
        <f t="shared" si="76"/>
        <v>22263.4</v>
      </c>
      <c r="F139" s="12">
        <v>8.5000000000000006E-2</v>
      </c>
      <c r="G139" s="2">
        <f t="shared" ca="1" si="59"/>
        <v>117.73333333333333</v>
      </c>
      <c r="H139" s="2">
        <f t="shared" ca="1" si="60"/>
        <v>20414.919372222226</v>
      </c>
      <c r="I139" s="12">
        <f t="shared" ca="1" si="61"/>
        <v>0.83394444444444471</v>
      </c>
      <c r="J139" s="2">
        <f t="shared" ca="1" si="62"/>
        <v>25191.500200989274</v>
      </c>
      <c r="K139" s="12">
        <f t="shared" ca="1" si="63"/>
        <v>1.2630416020005275</v>
      </c>
      <c r="L139" s="2">
        <f t="shared" ca="1" si="64"/>
        <v>18122.488816666671</v>
      </c>
      <c r="M139" s="12">
        <f t="shared" ca="1" si="65"/>
        <v>0.83394444444444482</v>
      </c>
      <c r="N139" s="2">
        <f t="shared" ca="1" si="66"/>
        <v>22362.698198488615</v>
      </c>
      <c r="O139" s="12">
        <f t="shared" ca="1" si="67"/>
        <v>1.2630416020005275</v>
      </c>
      <c r="P139" s="2">
        <f t="shared" ca="1" si="68"/>
        <v>2292.4305555555557</v>
      </c>
      <c r="Q139" s="12">
        <f t="shared" ca="1" si="69"/>
        <v>0.83394444444444449</v>
      </c>
      <c r="R139" s="2">
        <f t="shared" ca="1" si="70"/>
        <v>2828.8020025006595</v>
      </c>
      <c r="S139" s="12">
        <f t="shared" ca="1" si="71"/>
        <v>1.2630416020005275</v>
      </c>
      <c r="T139" s="2">
        <f t="shared" ca="1" si="72"/>
        <v>40829.838744444452</v>
      </c>
      <c r="U139" s="12">
        <f t="shared" ca="1" si="73"/>
        <v>0.83394444444444471</v>
      </c>
      <c r="V139" s="2">
        <f t="shared" ca="1" si="74"/>
        <v>50383.000401978548</v>
      </c>
      <c r="W139" s="12">
        <f t="shared" ca="1" si="75"/>
        <v>1.2630416020005275</v>
      </c>
      <c r="X139" s="8" t="s">
        <v>13</v>
      </c>
    </row>
    <row r="140" spans="1:24" ht="15.75" x14ac:dyDescent="0.3">
      <c r="A140" s="9">
        <v>42675</v>
      </c>
      <c r="B140" s="10">
        <f t="shared" si="57"/>
        <v>11131.7</v>
      </c>
      <c r="C140" s="10">
        <f t="shared" si="58"/>
        <v>9881.7000000000007</v>
      </c>
      <c r="D140" s="10">
        <v>1250</v>
      </c>
      <c r="E140" s="2">
        <f t="shared" si="76"/>
        <v>22263.4</v>
      </c>
      <c r="F140" s="12">
        <v>8.5000000000000006E-2</v>
      </c>
      <c r="G140" s="2">
        <f t="shared" ca="1" si="59"/>
        <v>116.73333333333333</v>
      </c>
      <c r="H140" s="2">
        <f t="shared" ca="1" si="60"/>
        <v>20336.069830555556</v>
      </c>
      <c r="I140" s="12">
        <f t="shared" ca="1" si="61"/>
        <v>0.82686111111111105</v>
      </c>
      <c r="J140" s="2">
        <f t="shared" ca="1" si="62"/>
        <v>25017.352853634009</v>
      </c>
      <c r="K140" s="12">
        <f t="shared" ca="1" si="63"/>
        <v>1.2473973295753575</v>
      </c>
      <c r="L140" s="2">
        <f t="shared" ca="1" si="64"/>
        <v>18052.493441666669</v>
      </c>
      <c r="M140" s="12">
        <f t="shared" ca="1" si="65"/>
        <v>0.82686111111111127</v>
      </c>
      <c r="N140" s="2">
        <f t="shared" ca="1" si="66"/>
        <v>22208.10619166481</v>
      </c>
      <c r="O140" s="12">
        <f t="shared" ca="1" si="67"/>
        <v>1.2473973295753573</v>
      </c>
      <c r="P140" s="2">
        <f t="shared" ca="1" si="68"/>
        <v>2283.5763888888887</v>
      </c>
      <c r="Q140" s="12">
        <f t="shared" ca="1" si="69"/>
        <v>0.82686111111111094</v>
      </c>
      <c r="R140" s="2">
        <f t="shared" ca="1" si="70"/>
        <v>2809.2466619691968</v>
      </c>
      <c r="S140" s="12">
        <f t="shared" ca="1" si="71"/>
        <v>1.2473973295753575</v>
      </c>
      <c r="T140" s="2">
        <f t="shared" ca="1" si="72"/>
        <v>40672.139661111112</v>
      </c>
      <c r="U140" s="12">
        <f t="shared" ca="1" si="73"/>
        <v>0.82686111111111105</v>
      </c>
      <c r="V140" s="2">
        <f t="shared" ca="1" si="74"/>
        <v>50034.705707268018</v>
      </c>
      <c r="W140" s="12">
        <f t="shared" ca="1" si="75"/>
        <v>1.2473973295753575</v>
      </c>
      <c r="X140" s="8" t="s">
        <v>13</v>
      </c>
    </row>
    <row r="141" spans="1:24" ht="15.75" x14ac:dyDescent="0.3">
      <c r="A141" s="9">
        <v>42705</v>
      </c>
      <c r="B141" s="10">
        <f t="shared" si="57"/>
        <v>11131.7</v>
      </c>
      <c r="C141" s="10">
        <f t="shared" si="58"/>
        <v>9881.7000000000007</v>
      </c>
      <c r="D141" s="10">
        <v>1250</v>
      </c>
      <c r="E141" s="2">
        <f t="shared" si="76"/>
        <v>22263.4</v>
      </c>
      <c r="F141" s="12">
        <v>8.5000000000000006E-2</v>
      </c>
      <c r="G141" s="2">
        <f t="shared" ca="1" si="59"/>
        <v>115.73333333333333</v>
      </c>
      <c r="H141" s="2">
        <f t="shared" ca="1" si="60"/>
        <v>20257.220288888893</v>
      </c>
      <c r="I141" s="12">
        <f t="shared" ca="1" si="61"/>
        <v>0.81977777777777805</v>
      </c>
      <c r="J141" s="2">
        <f t="shared" ca="1" si="62"/>
        <v>24844.409376566298</v>
      </c>
      <c r="K141" s="12">
        <f t="shared" ca="1" si="63"/>
        <v>1.2318612050779572</v>
      </c>
      <c r="L141" s="2">
        <f t="shared" ca="1" si="64"/>
        <v>17982.498066666671</v>
      </c>
      <c r="M141" s="12">
        <f t="shared" ca="1" si="65"/>
        <v>0.81977777777777805</v>
      </c>
      <c r="N141" s="2">
        <f t="shared" ca="1" si="66"/>
        <v>22054.582870218852</v>
      </c>
      <c r="O141" s="12">
        <f t="shared" ca="1" si="67"/>
        <v>1.2318612050779572</v>
      </c>
      <c r="P141" s="2">
        <f t="shared" ca="1" si="68"/>
        <v>2274.7222222222226</v>
      </c>
      <c r="Q141" s="12">
        <f t="shared" ca="1" si="69"/>
        <v>0.81977777777777805</v>
      </c>
      <c r="R141" s="2">
        <f t="shared" ca="1" si="70"/>
        <v>2789.8265063474464</v>
      </c>
      <c r="S141" s="12">
        <f t="shared" ca="1" si="71"/>
        <v>1.2318612050779572</v>
      </c>
      <c r="T141" s="2">
        <f t="shared" ca="1" si="72"/>
        <v>40514.440577777787</v>
      </c>
      <c r="U141" s="12">
        <f t="shared" ca="1" si="73"/>
        <v>0.81977777777777805</v>
      </c>
      <c r="V141" s="2">
        <f t="shared" ca="1" si="74"/>
        <v>49688.818753132597</v>
      </c>
      <c r="W141" s="12">
        <f t="shared" ca="1" si="75"/>
        <v>1.2318612050779572</v>
      </c>
      <c r="X141" s="8" t="s">
        <v>13</v>
      </c>
    </row>
    <row r="142" spans="1:24" ht="15.75" x14ac:dyDescent="0.3">
      <c r="A142" s="9">
        <v>42736</v>
      </c>
      <c r="B142" s="10">
        <f t="shared" si="57"/>
        <v>11131.7</v>
      </c>
      <c r="C142" s="10">
        <f t="shared" si="58"/>
        <v>9881.7000000000007</v>
      </c>
      <c r="D142" s="10">
        <v>1250</v>
      </c>
      <c r="E142" s="2">
        <f t="shared" si="76"/>
        <v>22263.4</v>
      </c>
      <c r="F142" s="12">
        <v>8.5000000000000006E-2</v>
      </c>
      <c r="G142" s="2">
        <f t="shared" ca="1" si="59"/>
        <v>114.73333333333333</v>
      </c>
      <c r="H142" s="2">
        <f t="shared" ca="1" si="60"/>
        <v>20178.370747222223</v>
      </c>
      <c r="I142" s="12">
        <f t="shared" ca="1" si="61"/>
        <v>0.81269444444444439</v>
      </c>
      <c r="J142" s="2">
        <f t="shared" ca="1" si="62"/>
        <v>24672.661447502218</v>
      </c>
      <c r="K142" s="12">
        <f t="shared" ca="1" si="63"/>
        <v>1.2164324808881137</v>
      </c>
      <c r="L142" s="2">
        <f t="shared" ca="1" si="64"/>
        <v>17912.502691666668</v>
      </c>
      <c r="M142" s="12">
        <f t="shared" ca="1" si="65"/>
        <v>0.8126944444444445</v>
      </c>
      <c r="N142" s="2">
        <f t="shared" ca="1" si="66"/>
        <v>21902.120846392078</v>
      </c>
      <c r="O142" s="12">
        <f t="shared" ca="1" si="67"/>
        <v>1.216432480888114</v>
      </c>
      <c r="P142" s="2">
        <f t="shared" ca="1" si="68"/>
        <v>2265.8680555555557</v>
      </c>
      <c r="Q142" s="12">
        <f t="shared" ca="1" si="69"/>
        <v>0.8126944444444445</v>
      </c>
      <c r="R142" s="2">
        <f t="shared" ca="1" si="70"/>
        <v>2770.5406011101422</v>
      </c>
      <c r="S142" s="12">
        <f t="shared" ca="1" si="71"/>
        <v>1.2164324808881137</v>
      </c>
      <c r="T142" s="2">
        <f t="shared" ca="1" si="72"/>
        <v>40356.741494444446</v>
      </c>
      <c r="U142" s="12">
        <f t="shared" ca="1" si="73"/>
        <v>0.81269444444444439</v>
      </c>
      <c r="V142" s="2">
        <f t="shared" ca="1" si="74"/>
        <v>49345.322895004436</v>
      </c>
      <c r="W142" s="12">
        <f t="shared" ca="1" si="75"/>
        <v>1.2164324808881137</v>
      </c>
      <c r="X142" s="8" t="s">
        <v>13</v>
      </c>
    </row>
    <row r="143" spans="1:24" ht="15.75" x14ac:dyDescent="0.3">
      <c r="A143" s="9">
        <v>42767</v>
      </c>
      <c r="B143" s="10">
        <f t="shared" si="57"/>
        <v>11131.7</v>
      </c>
      <c r="C143" s="10">
        <f t="shared" si="58"/>
        <v>9881.7000000000007</v>
      </c>
      <c r="D143" s="10">
        <v>1250</v>
      </c>
      <c r="E143" s="2">
        <f t="shared" si="76"/>
        <v>22263.4</v>
      </c>
      <c r="F143" s="12">
        <v>8.5000000000000006E-2</v>
      </c>
      <c r="G143" s="2">
        <f t="shared" ca="1" si="59"/>
        <v>113.73333333333333</v>
      </c>
      <c r="H143" s="2">
        <f t="shared" ca="1" si="60"/>
        <v>20099.52120555556</v>
      </c>
      <c r="I143" s="12">
        <f t="shared" ca="1" si="61"/>
        <v>0.80561111111111139</v>
      </c>
      <c r="J143" s="2">
        <f t="shared" ca="1" si="62"/>
        <v>24502.100801689303</v>
      </c>
      <c r="K143" s="12">
        <f t="shared" ca="1" si="63"/>
        <v>1.2011104145538687</v>
      </c>
      <c r="L143" s="2">
        <f t="shared" ca="1" si="64"/>
        <v>17842.50731666667</v>
      </c>
      <c r="M143" s="12">
        <f t="shared" ca="1" si="65"/>
        <v>0.80561111111111128</v>
      </c>
      <c r="N143" s="2">
        <f t="shared" ca="1" si="66"/>
        <v>21750.712783496969</v>
      </c>
      <c r="O143" s="12">
        <f t="shared" ca="1" si="67"/>
        <v>1.2011104145538689</v>
      </c>
      <c r="P143" s="2">
        <f t="shared" ca="1" si="68"/>
        <v>2257.0138888888891</v>
      </c>
      <c r="Q143" s="12">
        <f t="shared" ca="1" si="69"/>
        <v>0.80561111111111128</v>
      </c>
      <c r="R143" s="2">
        <f t="shared" ca="1" si="70"/>
        <v>2751.3880181923359</v>
      </c>
      <c r="S143" s="12">
        <f t="shared" ca="1" si="71"/>
        <v>1.2011104145538687</v>
      </c>
      <c r="T143" s="2">
        <f t="shared" ca="1" si="72"/>
        <v>40199.042411111121</v>
      </c>
      <c r="U143" s="12">
        <f t="shared" ca="1" si="73"/>
        <v>0.80561111111111139</v>
      </c>
      <c r="V143" s="2">
        <f t="shared" ca="1" si="74"/>
        <v>49004.201603378606</v>
      </c>
      <c r="W143" s="12">
        <f t="shared" ca="1" si="75"/>
        <v>1.2011104145538687</v>
      </c>
      <c r="X143" s="8" t="s">
        <v>13</v>
      </c>
    </row>
    <row r="144" spans="1:24" ht="15.75" x14ac:dyDescent="0.3">
      <c r="A144" s="9">
        <v>42795</v>
      </c>
      <c r="B144" s="10">
        <f t="shared" si="57"/>
        <v>11131.7</v>
      </c>
      <c r="C144" s="10">
        <f t="shared" si="58"/>
        <v>9881.7000000000007</v>
      </c>
      <c r="D144" s="10">
        <v>1250</v>
      </c>
      <c r="E144" s="2">
        <f t="shared" si="76"/>
        <v>22263.4</v>
      </c>
      <c r="F144" s="12">
        <v>8.5000000000000006E-2</v>
      </c>
      <c r="G144" s="2">
        <f t="shared" ca="1" si="59"/>
        <v>112.73333333333333</v>
      </c>
      <c r="H144" s="2">
        <f t="shared" ca="1" si="60"/>
        <v>20020.67166388889</v>
      </c>
      <c r="I144" s="12">
        <f t="shared" ca="1" si="61"/>
        <v>0.79852777777777773</v>
      </c>
      <c r="J144" s="2">
        <f t="shared" ca="1" si="62"/>
        <v>24332.719231508821</v>
      </c>
      <c r="K144" s="12">
        <f t="shared" ca="1" si="63"/>
        <v>1.1858942687557894</v>
      </c>
      <c r="L144" s="2">
        <f t="shared" ca="1" si="64"/>
        <v>17772.511941666668</v>
      </c>
      <c r="M144" s="12">
        <f t="shared" ca="1" si="65"/>
        <v>0.79852777777777773</v>
      </c>
      <c r="N144" s="2">
        <f t="shared" ca="1" si="66"/>
        <v>21600.351395564085</v>
      </c>
      <c r="O144" s="12">
        <f t="shared" ca="1" si="67"/>
        <v>1.1858942687557894</v>
      </c>
      <c r="P144" s="2">
        <f t="shared" ca="1" si="68"/>
        <v>2248.1597222222222</v>
      </c>
      <c r="Q144" s="12">
        <f t="shared" ca="1" si="69"/>
        <v>0.79852777777777773</v>
      </c>
      <c r="R144" s="2">
        <f t="shared" ca="1" si="70"/>
        <v>2732.3678359447367</v>
      </c>
      <c r="S144" s="12">
        <f t="shared" ca="1" si="71"/>
        <v>1.1858942687557894</v>
      </c>
      <c r="T144" s="2">
        <f t="shared" ca="1" si="72"/>
        <v>40041.34332777778</v>
      </c>
      <c r="U144" s="12">
        <f t="shared" ca="1" si="73"/>
        <v>0.79852777777777773</v>
      </c>
      <c r="V144" s="2">
        <f t="shared" ca="1" si="74"/>
        <v>48665.438463017643</v>
      </c>
      <c r="W144" s="12">
        <f t="shared" ca="1" si="75"/>
        <v>1.1858942687557894</v>
      </c>
      <c r="X144" s="8" t="s">
        <v>13</v>
      </c>
    </row>
    <row r="145" spans="1:24" ht="15.75" x14ac:dyDescent="0.3">
      <c r="A145" s="9">
        <v>42826</v>
      </c>
      <c r="B145" s="10">
        <f t="shared" si="57"/>
        <v>11131.7</v>
      </c>
      <c r="C145" s="10">
        <f t="shared" si="58"/>
        <v>9881.7000000000007</v>
      </c>
      <c r="D145" s="10">
        <v>1250</v>
      </c>
      <c r="E145" s="2">
        <f t="shared" si="76"/>
        <v>22263.4</v>
      </c>
      <c r="F145" s="12">
        <v>8.5000000000000006E-2</v>
      </c>
      <c r="G145" s="2">
        <f t="shared" ca="1" si="59"/>
        <v>111.73333333333333</v>
      </c>
      <c r="H145" s="2">
        <f t="shared" ca="1" si="60"/>
        <v>19941.822122222227</v>
      </c>
      <c r="I145" s="12">
        <f t="shared" ca="1" si="61"/>
        <v>0.79144444444444484</v>
      </c>
      <c r="J145" s="2">
        <f t="shared" ca="1" si="62"/>
        <v>24164.508586080836</v>
      </c>
      <c r="K145" s="12">
        <f t="shared" ca="1" si="63"/>
        <v>1.1707833112714889</v>
      </c>
      <c r="L145" s="2">
        <f t="shared" ca="1" si="64"/>
        <v>17702.516566666669</v>
      </c>
      <c r="M145" s="12">
        <f t="shared" ca="1" si="65"/>
        <v>0.79144444444444451</v>
      </c>
      <c r="N145" s="2">
        <f t="shared" ca="1" si="66"/>
        <v>21451.029446991477</v>
      </c>
      <c r="O145" s="12">
        <f t="shared" ca="1" si="67"/>
        <v>1.1707833112714892</v>
      </c>
      <c r="P145" s="2">
        <f t="shared" ca="1" si="68"/>
        <v>2239.3055555555557</v>
      </c>
      <c r="Q145" s="12">
        <f t="shared" ca="1" si="69"/>
        <v>0.79144444444444451</v>
      </c>
      <c r="R145" s="2">
        <f t="shared" ca="1" si="70"/>
        <v>2713.4791390893615</v>
      </c>
      <c r="S145" s="12">
        <f t="shared" ca="1" si="71"/>
        <v>1.1707833112714892</v>
      </c>
      <c r="T145" s="2">
        <f t="shared" ca="1" si="72"/>
        <v>39883.644244444455</v>
      </c>
      <c r="U145" s="12">
        <f t="shared" ca="1" si="73"/>
        <v>0.79144444444444484</v>
      </c>
      <c r="V145" s="2">
        <f t="shared" ca="1" si="74"/>
        <v>48329.017172161672</v>
      </c>
      <c r="W145" s="12">
        <f t="shared" ca="1" si="75"/>
        <v>1.1707833112714889</v>
      </c>
      <c r="X145" s="8" t="s">
        <v>13</v>
      </c>
    </row>
    <row r="146" spans="1:24" ht="15.75" x14ac:dyDescent="0.3">
      <c r="A146" s="9">
        <v>42856</v>
      </c>
      <c r="B146" s="10">
        <f t="shared" si="57"/>
        <v>11131.7</v>
      </c>
      <c r="C146" s="10">
        <f t="shared" si="58"/>
        <v>9881.7000000000007</v>
      </c>
      <c r="D146" s="10">
        <v>1250</v>
      </c>
      <c r="E146" s="2">
        <f t="shared" si="76"/>
        <v>22263.4</v>
      </c>
      <c r="F146" s="12">
        <v>8.5000000000000006E-2</v>
      </c>
      <c r="G146" s="2">
        <f t="shared" ca="1" si="59"/>
        <v>110.73333333333333</v>
      </c>
      <c r="H146" s="2">
        <f t="shared" ca="1" si="60"/>
        <v>19862.972580555557</v>
      </c>
      <c r="I146" s="12">
        <f t="shared" ca="1" si="61"/>
        <v>0.78436111111111118</v>
      </c>
      <c r="J146" s="2">
        <f t="shared" ca="1" si="62"/>
        <v>23997.460770871952</v>
      </c>
      <c r="K146" s="12">
        <f t="shared" ca="1" si="63"/>
        <v>1.1557768149403911</v>
      </c>
      <c r="L146" s="2">
        <f t="shared" ca="1" si="64"/>
        <v>17632.52119166667</v>
      </c>
      <c r="M146" s="12">
        <f t="shared" ca="1" si="65"/>
        <v>0.7843611111111114</v>
      </c>
      <c r="N146" s="2">
        <f t="shared" ca="1" si="66"/>
        <v>21302.739752196463</v>
      </c>
      <c r="O146" s="12">
        <f t="shared" ca="1" si="67"/>
        <v>1.1557768149403911</v>
      </c>
      <c r="P146" s="2">
        <f t="shared" ca="1" si="68"/>
        <v>2230.4513888888891</v>
      </c>
      <c r="Q146" s="12">
        <f t="shared" ca="1" si="69"/>
        <v>0.78436111111111129</v>
      </c>
      <c r="R146" s="2">
        <f t="shared" ca="1" si="70"/>
        <v>2694.7210186754887</v>
      </c>
      <c r="S146" s="12">
        <f t="shared" ca="1" si="71"/>
        <v>1.1557768149403911</v>
      </c>
      <c r="T146" s="2">
        <f t="shared" ca="1" si="72"/>
        <v>39725.945161111114</v>
      </c>
      <c r="U146" s="12">
        <f t="shared" ca="1" si="73"/>
        <v>0.78436111111111118</v>
      </c>
      <c r="V146" s="2">
        <f t="shared" ca="1" si="74"/>
        <v>47994.921541743905</v>
      </c>
      <c r="W146" s="12">
        <f t="shared" ca="1" si="75"/>
        <v>1.1557768149403911</v>
      </c>
      <c r="X146" s="8" t="s">
        <v>13</v>
      </c>
    </row>
    <row r="147" spans="1:24" ht="15.75" x14ac:dyDescent="0.3">
      <c r="A147" s="9">
        <v>42887</v>
      </c>
      <c r="B147" s="10">
        <f t="shared" si="57"/>
        <v>11131.7</v>
      </c>
      <c r="C147" s="10">
        <f t="shared" si="58"/>
        <v>9881.7000000000007</v>
      </c>
      <c r="D147" s="10">
        <v>1250</v>
      </c>
      <c r="E147" s="2">
        <f t="shared" si="76"/>
        <v>22263.4</v>
      </c>
      <c r="F147" s="12">
        <v>8.5000000000000006E-2</v>
      </c>
      <c r="G147" s="2">
        <f t="shared" ca="1" si="59"/>
        <v>109.73333333333333</v>
      </c>
      <c r="H147" s="2">
        <f t="shared" ca="1" si="60"/>
        <v>19784.123038888891</v>
      </c>
      <c r="I147" s="12">
        <f t="shared" ca="1" si="61"/>
        <v>0.77727777777777785</v>
      </c>
      <c r="J147" s="2">
        <f t="shared" ca="1" si="62"/>
        <v>23831.567747305802</v>
      </c>
      <c r="K147" s="12">
        <f t="shared" ca="1" si="63"/>
        <v>1.1408740576287359</v>
      </c>
      <c r="L147" s="2">
        <f t="shared" ca="1" si="64"/>
        <v>17562.525816666668</v>
      </c>
      <c r="M147" s="12">
        <f t="shared" ca="1" si="65"/>
        <v>0.77727777777777785</v>
      </c>
      <c r="N147" s="2">
        <f t="shared" ca="1" si="66"/>
        <v>21155.475175269883</v>
      </c>
      <c r="O147" s="12">
        <f t="shared" ca="1" si="67"/>
        <v>1.1408740576287362</v>
      </c>
      <c r="P147" s="2">
        <f t="shared" ca="1" si="68"/>
        <v>2221.5972222222222</v>
      </c>
      <c r="Q147" s="12">
        <f t="shared" ca="1" si="69"/>
        <v>0.77727777777777773</v>
      </c>
      <c r="R147" s="2">
        <f t="shared" ca="1" si="70"/>
        <v>2676.0925720359201</v>
      </c>
      <c r="S147" s="12">
        <f t="shared" ca="1" si="71"/>
        <v>1.1408740576287359</v>
      </c>
      <c r="T147" s="2">
        <f t="shared" ca="1" si="72"/>
        <v>39568.246077777781</v>
      </c>
      <c r="U147" s="12">
        <f t="shared" ca="1" si="73"/>
        <v>0.77727777777777785</v>
      </c>
      <c r="V147" s="2">
        <f t="shared" ca="1" si="74"/>
        <v>47663.135494611604</v>
      </c>
      <c r="W147" s="12">
        <f t="shared" ca="1" si="75"/>
        <v>1.1408740576287359</v>
      </c>
      <c r="X147" s="8" t="s">
        <v>13</v>
      </c>
    </row>
    <row r="148" spans="1:24" ht="15.75" x14ac:dyDescent="0.3">
      <c r="A148" s="9">
        <v>42917</v>
      </c>
      <c r="B148" s="10">
        <f t="shared" si="57"/>
        <v>11131.7</v>
      </c>
      <c r="C148" s="10">
        <f t="shared" si="58"/>
        <v>9881.7000000000007</v>
      </c>
      <c r="D148" s="10">
        <v>1250</v>
      </c>
      <c r="E148" s="2">
        <f t="shared" si="76"/>
        <v>22263.4</v>
      </c>
      <c r="F148" s="12">
        <v>8.5000000000000006E-2</v>
      </c>
      <c r="G148" s="2">
        <f t="shared" ca="1" si="59"/>
        <v>108.73333333333333</v>
      </c>
      <c r="H148" s="2">
        <f t="shared" ca="1" si="60"/>
        <v>19705.273497222224</v>
      </c>
      <c r="I148" s="12">
        <f t="shared" ca="1" si="61"/>
        <v>0.77019444444444451</v>
      </c>
      <c r="J148" s="2">
        <f t="shared" ca="1" si="62"/>
        <v>23666.821532376234</v>
      </c>
      <c r="K148" s="12">
        <f t="shared" ca="1" si="63"/>
        <v>1.1260743221948339</v>
      </c>
      <c r="L148" s="2">
        <f t="shared" ca="1" si="64"/>
        <v>17492.53044166667</v>
      </c>
      <c r="M148" s="12">
        <f t="shared" ca="1" si="65"/>
        <v>0.77019444444444463</v>
      </c>
      <c r="N148" s="2">
        <f t="shared" ca="1" si="66"/>
        <v>21009.228629632693</v>
      </c>
      <c r="O148" s="12">
        <f t="shared" ca="1" si="67"/>
        <v>1.1260743221948339</v>
      </c>
      <c r="P148" s="2">
        <f t="shared" ca="1" si="68"/>
        <v>2212.7430555555557</v>
      </c>
      <c r="Q148" s="12">
        <f t="shared" ca="1" si="69"/>
        <v>0.77019444444444451</v>
      </c>
      <c r="R148" s="2">
        <f t="shared" ca="1" si="70"/>
        <v>2657.5929027435423</v>
      </c>
      <c r="S148" s="12">
        <f t="shared" ca="1" si="71"/>
        <v>1.1260743221948337</v>
      </c>
      <c r="T148" s="2">
        <f t="shared" ca="1" si="72"/>
        <v>39410.546994444449</v>
      </c>
      <c r="U148" s="12">
        <f t="shared" ca="1" si="73"/>
        <v>0.77019444444444451</v>
      </c>
      <c r="V148" s="2">
        <f t="shared" ca="1" si="74"/>
        <v>47333.643064752468</v>
      </c>
      <c r="W148" s="12">
        <f t="shared" ca="1" si="75"/>
        <v>1.1260743221948339</v>
      </c>
      <c r="X148" s="8" t="s">
        <v>13</v>
      </c>
    </row>
    <row r="149" spans="1:24" ht="15.75" x14ac:dyDescent="0.3">
      <c r="A149" s="9">
        <v>42948</v>
      </c>
      <c r="B149" s="10">
        <f t="shared" si="57"/>
        <v>11799.17</v>
      </c>
      <c r="C149" s="10">
        <f t="shared" si="58"/>
        <v>10549.17</v>
      </c>
      <c r="D149" s="10">
        <v>1250</v>
      </c>
      <c r="E149" s="2">
        <f t="shared" ref="E149:E160" si="77">11799.17*2</f>
        <v>23598.34</v>
      </c>
      <c r="F149" s="12">
        <v>8.5000000000000006E-2</v>
      </c>
      <c r="G149" s="2">
        <f t="shared" ca="1" si="59"/>
        <v>107.73333333333333</v>
      </c>
      <c r="H149" s="2">
        <f t="shared" ca="1" si="60"/>
        <v>20803.247728888891</v>
      </c>
      <c r="I149" s="12">
        <f t="shared" ca="1" si="61"/>
        <v>0.7631111111111113</v>
      </c>
      <c r="J149" s="2">
        <f t="shared" ca="1" si="62"/>
        <v>24912.494935339641</v>
      </c>
      <c r="K149" s="12">
        <f t="shared" ca="1" si="63"/>
        <v>1.1113768964545507</v>
      </c>
      <c r="L149" s="2">
        <f t="shared" ca="1" si="64"/>
        <v>18599.358840000001</v>
      </c>
      <c r="M149" s="12">
        <f t="shared" ca="1" si="65"/>
        <v>0.76311111111111118</v>
      </c>
      <c r="N149" s="2">
        <f t="shared" ca="1" si="66"/>
        <v>22273.273814771452</v>
      </c>
      <c r="O149" s="12">
        <f t="shared" ca="1" si="67"/>
        <v>1.1113768964545505</v>
      </c>
      <c r="P149" s="2">
        <f t="shared" ca="1" si="68"/>
        <v>2203.8888888888891</v>
      </c>
      <c r="Q149" s="12">
        <f t="shared" ca="1" si="69"/>
        <v>0.7631111111111113</v>
      </c>
      <c r="R149" s="2">
        <f t="shared" ca="1" si="70"/>
        <v>2639.2211205681883</v>
      </c>
      <c r="S149" s="12">
        <f t="shared" ca="1" si="71"/>
        <v>1.1113768964545507</v>
      </c>
      <c r="T149" s="2">
        <f t="shared" ca="1" si="72"/>
        <v>41606.495457777783</v>
      </c>
      <c r="U149" s="12">
        <f t="shared" ca="1" si="73"/>
        <v>0.7631111111111113</v>
      </c>
      <c r="V149" s="2">
        <f t="shared" ca="1" si="74"/>
        <v>49824.989870679281</v>
      </c>
      <c r="W149" s="12">
        <f t="shared" ca="1" si="75"/>
        <v>1.1113768964545507</v>
      </c>
      <c r="X149" s="8" t="s">
        <v>13</v>
      </c>
    </row>
    <row r="150" spans="1:24" ht="15.75" x14ac:dyDescent="0.3">
      <c r="A150" s="9">
        <v>42979</v>
      </c>
      <c r="B150" s="10">
        <f t="shared" si="57"/>
        <v>11799.17</v>
      </c>
      <c r="C150" s="10">
        <f t="shared" si="58"/>
        <v>10549.17</v>
      </c>
      <c r="D150" s="10">
        <v>1250</v>
      </c>
      <c r="E150" s="2">
        <f t="shared" si="77"/>
        <v>23598.34</v>
      </c>
      <c r="F150" s="12">
        <v>8.5000000000000006E-2</v>
      </c>
      <c r="G150" s="2">
        <f t="shared" ca="1" si="59"/>
        <v>106.73333333333333</v>
      </c>
      <c r="H150" s="2">
        <f t="shared" ca="1" si="60"/>
        <v>20719.670274722223</v>
      </c>
      <c r="I150" s="12">
        <f t="shared" ca="1" si="61"/>
        <v>0.75602777777777774</v>
      </c>
      <c r="J150" s="2">
        <f t="shared" ca="1" si="62"/>
        <v>24740.276334844366</v>
      </c>
      <c r="K150" s="12">
        <f t="shared" ca="1" si="63"/>
        <v>1.0967810731470404</v>
      </c>
      <c r="L150" s="2">
        <f t="shared" ca="1" si="64"/>
        <v>18524.6355525</v>
      </c>
      <c r="M150" s="12">
        <f t="shared" ca="1" si="65"/>
        <v>0.75602777777777774</v>
      </c>
      <c r="N150" s="2">
        <f t="shared" ca="1" si="66"/>
        <v>22119.299993410565</v>
      </c>
      <c r="O150" s="12">
        <f t="shared" ca="1" si="67"/>
        <v>1.0967810731470404</v>
      </c>
      <c r="P150" s="2">
        <f t="shared" ca="1" si="68"/>
        <v>2195.0347222222222</v>
      </c>
      <c r="Q150" s="12">
        <f t="shared" ca="1" si="69"/>
        <v>0.75602777777777774</v>
      </c>
      <c r="R150" s="2">
        <f t="shared" ca="1" si="70"/>
        <v>2620.9763414338004</v>
      </c>
      <c r="S150" s="12">
        <f t="shared" ca="1" si="71"/>
        <v>1.0967810731470402</v>
      </c>
      <c r="T150" s="2">
        <f t="shared" ca="1" si="72"/>
        <v>41439.340549444445</v>
      </c>
      <c r="U150" s="12">
        <f t="shared" ca="1" si="73"/>
        <v>0.75602777777777774</v>
      </c>
      <c r="V150" s="2">
        <f t="shared" ca="1" si="74"/>
        <v>49480.552669688732</v>
      </c>
      <c r="W150" s="12">
        <f t="shared" ca="1" si="75"/>
        <v>1.0967810731470404</v>
      </c>
      <c r="X150" s="8" t="s">
        <v>13</v>
      </c>
    </row>
    <row r="151" spans="1:24" ht="15.75" x14ac:dyDescent="0.3">
      <c r="A151" s="9">
        <v>43009</v>
      </c>
      <c r="B151" s="10">
        <f t="shared" si="57"/>
        <v>11799.17</v>
      </c>
      <c r="C151" s="10">
        <f t="shared" si="58"/>
        <v>10549.17</v>
      </c>
      <c r="D151" s="10">
        <v>1250</v>
      </c>
      <c r="E151" s="2">
        <f t="shared" si="77"/>
        <v>23598.34</v>
      </c>
      <c r="F151" s="12">
        <v>8.5000000000000006E-2</v>
      </c>
      <c r="G151" s="2">
        <f t="shared" ca="1" si="59"/>
        <v>105.73333333333333</v>
      </c>
      <c r="H151" s="2">
        <f t="shared" ca="1" si="60"/>
        <v>20636.092820555557</v>
      </c>
      <c r="I151" s="12">
        <f t="shared" ca="1" si="61"/>
        <v>0.74894444444444463</v>
      </c>
      <c r="J151" s="2">
        <f t="shared" ca="1" si="62"/>
        <v>24569.248271323948</v>
      </c>
      <c r="K151" s="12">
        <f t="shared" ca="1" si="63"/>
        <v>1.0822861499007088</v>
      </c>
      <c r="L151" s="2">
        <f t="shared" ca="1" si="64"/>
        <v>18449.912264999999</v>
      </c>
      <c r="M151" s="12">
        <f t="shared" ca="1" si="65"/>
        <v>0.7489444444444443</v>
      </c>
      <c r="N151" s="2">
        <f t="shared" ca="1" si="66"/>
        <v>21966.390583948061</v>
      </c>
      <c r="O151" s="12">
        <f t="shared" ca="1" si="67"/>
        <v>1.0822861499007088</v>
      </c>
      <c r="P151" s="2">
        <f t="shared" ca="1" si="68"/>
        <v>2186.1805555555557</v>
      </c>
      <c r="Q151" s="12">
        <f t="shared" ca="1" si="69"/>
        <v>0.74894444444444452</v>
      </c>
      <c r="R151" s="2">
        <f t="shared" ca="1" si="70"/>
        <v>2602.8576873758861</v>
      </c>
      <c r="S151" s="12">
        <f t="shared" ca="1" si="71"/>
        <v>1.0822861499007088</v>
      </c>
      <c r="T151" s="2">
        <f t="shared" ca="1" si="72"/>
        <v>41272.185641111115</v>
      </c>
      <c r="U151" s="12">
        <f t="shared" ca="1" si="73"/>
        <v>0.74894444444444463</v>
      </c>
      <c r="V151" s="2">
        <f t="shared" ca="1" si="74"/>
        <v>49138.496542647896</v>
      </c>
      <c r="W151" s="12">
        <f t="shared" ca="1" si="75"/>
        <v>1.0822861499007088</v>
      </c>
      <c r="X151" s="8" t="s">
        <v>13</v>
      </c>
    </row>
    <row r="152" spans="1:24" ht="15.75" x14ac:dyDescent="0.3">
      <c r="A152" s="9">
        <v>43040</v>
      </c>
      <c r="B152" s="10">
        <f t="shared" si="57"/>
        <v>11799.17</v>
      </c>
      <c r="C152" s="10">
        <f t="shared" si="58"/>
        <v>10549.17</v>
      </c>
      <c r="D152" s="10">
        <v>1250</v>
      </c>
      <c r="E152" s="2">
        <f t="shared" si="77"/>
        <v>23598.34</v>
      </c>
      <c r="F152" s="12">
        <v>8.5000000000000006E-2</v>
      </c>
      <c r="G152" s="2">
        <f t="shared" ca="1" si="59"/>
        <v>104.73333333333333</v>
      </c>
      <c r="H152" s="2">
        <f t="shared" ca="1" si="60"/>
        <v>20552.515366388889</v>
      </c>
      <c r="I152" s="12">
        <f t="shared" ca="1" si="61"/>
        <v>0.74186111111111108</v>
      </c>
      <c r="J152" s="2">
        <f t="shared" ca="1" si="62"/>
        <v>24399.402514666872</v>
      </c>
      <c r="K152" s="12">
        <f t="shared" ca="1" si="63"/>
        <v>1.0678914291994159</v>
      </c>
      <c r="L152" s="2">
        <f t="shared" ca="1" si="64"/>
        <v>18375.188977500002</v>
      </c>
      <c r="M152" s="12">
        <f t="shared" ca="1" si="65"/>
        <v>0.7418611111111113</v>
      </c>
      <c r="N152" s="2">
        <f t="shared" ca="1" si="66"/>
        <v>21814.538228167603</v>
      </c>
      <c r="O152" s="12">
        <f t="shared" ca="1" si="67"/>
        <v>1.0678914291994159</v>
      </c>
      <c r="P152" s="2">
        <f t="shared" ca="1" si="68"/>
        <v>2177.3263888888891</v>
      </c>
      <c r="Q152" s="12">
        <f t="shared" ca="1" si="69"/>
        <v>0.7418611111111113</v>
      </c>
      <c r="R152" s="2">
        <f t="shared" ca="1" si="70"/>
        <v>2584.8642864992698</v>
      </c>
      <c r="S152" s="12">
        <f t="shared" ca="1" si="71"/>
        <v>1.0678914291994159</v>
      </c>
      <c r="T152" s="2">
        <f t="shared" ca="1" si="72"/>
        <v>41105.030732777777</v>
      </c>
      <c r="U152" s="12">
        <f t="shared" ca="1" si="73"/>
        <v>0.74186111111111108</v>
      </c>
      <c r="V152" s="2">
        <f t="shared" ca="1" si="74"/>
        <v>48798.805029333744</v>
      </c>
      <c r="W152" s="12">
        <f t="shared" ca="1" si="75"/>
        <v>1.0678914291994159</v>
      </c>
      <c r="X152" s="8" t="s">
        <v>13</v>
      </c>
    </row>
    <row r="153" spans="1:24" ht="15.75" x14ac:dyDescent="0.3">
      <c r="A153" s="9">
        <v>43070</v>
      </c>
      <c r="B153" s="10">
        <f t="shared" si="57"/>
        <v>11799.17</v>
      </c>
      <c r="C153" s="10">
        <f t="shared" si="58"/>
        <v>10549.17</v>
      </c>
      <c r="D153" s="10">
        <v>1250</v>
      </c>
      <c r="E153" s="2">
        <f t="shared" si="77"/>
        <v>23598.34</v>
      </c>
      <c r="F153" s="12">
        <v>8.5000000000000006E-2</v>
      </c>
      <c r="G153" s="2">
        <f t="shared" ca="1" si="59"/>
        <v>103.73333333333333</v>
      </c>
      <c r="H153" s="2">
        <f t="shared" ca="1" si="60"/>
        <v>20468.937912222224</v>
      </c>
      <c r="I153" s="12">
        <f t="shared" ca="1" si="61"/>
        <v>0.73477777777777786</v>
      </c>
      <c r="J153" s="2">
        <f t="shared" ca="1" si="62"/>
        <v>24230.73089165588</v>
      </c>
      <c r="K153" s="12">
        <f t="shared" ca="1" si="63"/>
        <v>1.0535962183489076</v>
      </c>
      <c r="L153" s="2">
        <f t="shared" ca="1" si="64"/>
        <v>18300.465690000001</v>
      </c>
      <c r="M153" s="12">
        <f t="shared" ca="1" si="65"/>
        <v>0.73477777777777786</v>
      </c>
      <c r="N153" s="2">
        <f t="shared" ca="1" si="66"/>
        <v>21663.735618719747</v>
      </c>
      <c r="O153" s="12">
        <f t="shared" ca="1" si="67"/>
        <v>1.0535962183489078</v>
      </c>
      <c r="P153" s="2">
        <f t="shared" ca="1" si="68"/>
        <v>2168.4722222222222</v>
      </c>
      <c r="Q153" s="12">
        <f t="shared" ca="1" si="69"/>
        <v>0.73477777777777775</v>
      </c>
      <c r="R153" s="2">
        <f t="shared" ca="1" si="70"/>
        <v>2566.9952729361344</v>
      </c>
      <c r="S153" s="12">
        <f t="shared" ca="1" si="71"/>
        <v>1.0535962183489076</v>
      </c>
      <c r="T153" s="2">
        <f t="shared" ca="1" si="72"/>
        <v>40937.875824444447</v>
      </c>
      <c r="U153" s="12">
        <f t="shared" ca="1" si="73"/>
        <v>0.73477777777777786</v>
      </c>
      <c r="V153" s="2">
        <f t="shared" ca="1" si="74"/>
        <v>48461.461783311759</v>
      </c>
      <c r="W153" s="12">
        <f t="shared" ca="1" si="75"/>
        <v>1.0535962183489076</v>
      </c>
      <c r="X153" s="8" t="s">
        <v>13</v>
      </c>
    </row>
    <row r="154" spans="1:24" ht="15.75" x14ac:dyDescent="0.3">
      <c r="A154" s="9">
        <v>43101</v>
      </c>
      <c r="B154" s="10">
        <f t="shared" si="57"/>
        <v>11799.17</v>
      </c>
      <c r="C154" s="10">
        <f t="shared" si="58"/>
        <v>10549.17</v>
      </c>
      <c r="D154" s="10">
        <v>1250</v>
      </c>
      <c r="E154" s="2">
        <f t="shared" si="77"/>
        <v>23598.34</v>
      </c>
      <c r="F154" s="12">
        <v>8.5000000000000006E-2</v>
      </c>
      <c r="G154" s="2">
        <f t="shared" ca="1" si="59"/>
        <v>102.73333333333333</v>
      </c>
      <c r="H154" s="2">
        <f t="shared" ca="1" si="60"/>
        <v>20385.360458055555</v>
      </c>
      <c r="I154" s="12">
        <f t="shared" ca="1" si="61"/>
        <v>0.72769444444444442</v>
      </c>
      <c r="J154" s="2">
        <f t="shared" ca="1" si="62"/>
        <v>24063.225285574688</v>
      </c>
      <c r="K154" s="12">
        <f t="shared" ca="1" si="63"/>
        <v>1.0393998294434852</v>
      </c>
      <c r="L154" s="2">
        <f t="shared" ca="1" si="64"/>
        <v>18225.7424025</v>
      </c>
      <c r="M154" s="12">
        <f t="shared" ca="1" si="65"/>
        <v>0.72769444444444442</v>
      </c>
      <c r="N154" s="2">
        <f t="shared" ca="1" si="66"/>
        <v>21513.975498770335</v>
      </c>
      <c r="O154" s="12">
        <f t="shared" ca="1" si="67"/>
        <v>1.0393998294434856</v>
      </c>
      <c r="P154" s="2">
        <f t="shared" ca="1" si="68"/>
        <v>2159.6180555555557</v>
      </c>
      <c r="Q154" s="12">
        <f t="shared" ca="1" si="69"/>
        <v>0.72769444444444453</v>
      </c>
      <c r="R154" s="2">
        <f t="shared" ca="1" si="70"/>
        <v>2549.249786804357</v>
      </c>
      <c r="S154" s="12">
        <f t="shared" ca="1" si="71"/>
        <v>1.0393998294434856</v>
      </c>
      <c r="T154" s="2">
        <f t="shared" ca="1" si="72"/>
        <v>40770.72091611111</v>
      </c>
      <c r="U154" s="12">
        <f t="shared" ca="1" si="73"/>
        <v>0.72769444444444442</v>
      </c>
      <c r="V154" s="2">
        <f t="shared" ca="1" si="74"/>
        <v>48126.450571149377</v>
      </c>
      <c r="W154" s="12">
        <f t="shared" ca="1" si="75"/>
        <v>1.0393998294434852</v>
      </c>
      <c r="X154" s="8" t="s">
        <v>13</v>
      </c>
    </row>
    <row r="155" spans="1:24" ht="15.75" x14ac:dyDescent="0.3">
      <c r="A155" s="9">
        <v>43132</v>
      </c>
      <c r="B155" s="10">
        <f t="shared" si="57"/>
        <v>11799.17</v>
      </c>
      <c r="C155" s="10">
        <f t="shared" si="58"/>
        <v>10549.17</v>
      </c>
      <c r="D155" s="10">
        <v>1250</v>
      </c>
      <c r="E155" s="2">
        <f t="shared" si="77"/>
        <v>23598.34</v>
      </c>
      <c r="F155" s="12">
        <v>8.5000000000000006E-2</v>
      </c>
      <c r="G155" s="2">
        <f t="shared" ca="1" si="59"/>
        <v>101.73333333333333</v>
      </c>
      <c r="H155" s="2">
        <f t="shared" ca="1" si="60"/>
        <v>20301.78300388889</v>
      </c>
      <c r="I155" s="12">
        <f t="shared" ca="1" si="61"/>
        <v>0.7206111111111112</v>
      </c>
      <c r="J155" s="2">
        <f t="shared" ca="1" si="62"/>
        <v>23896.8776358174</v>
      </c>
      <c r="K155" s="12">
        <f t="shared" ca="1" si="63"/>
        <v>1.0253015793329021</v>
      </c>
      <c r="L155" s="2">
        <f t="shared" ca="1" si="64"/>
        <v>18151.019115000003</v>
      </c>
      <c r="M155" s="12">
        <f t="shared" ca="1" si="65"/>
        <v>0.72061111111111131</v>
      </c>
      <c r="N155" s="2">
        <f t="shared" ca="1" si="66"/>
        <v>21365.250661651273</v>
      </c>
      <c r="O155" s="12">
        <f t="shared" ca="1" si="67"/>
        <v>1.0253015793329023</v>
      </c>
      <c r="P155" s="2">
        <f t="shared" ca="1" si="68"/>
        <v>2150.7638888888891</v>
      </c>
      <c r="Q155" s="12">
        <f t="shared" ca="1" si="69"/>
        <v>0.72061111111111131</v>
      </c>
      <c r="R155" s="2">
        <f t="shared" ca="1" si="70"/>
        <v>2531.6269741661281</v>
      </c>
      <c r="S155" s="12">
        <f t="shared" ca="1" si="71"/>
        <v>1.0253015793329026</v>
      </c>
      <c r="T155" s="2">
        <f t="shared" ca="1" si="72"/>
        <v>40603.566007777779</v>
      </c>
      <c r="U155" s="12">
        <f t="shared" ca="1" si="73"/>
        <v>0.7206111111111112</v>
      </c>
      <c r="V155" s="2">
        <f t="shared" ca="1" si="74"/>
        <v>47793.7552716348</v>
      </c>
      <c r="W155" s="12">
        <f t="shared" ca="1" si="75"/>
        <v>1.0253015793329021</v>
      </c>
      <c r="X155" s="8" t="s">
        <v>13</v>
      </c>
    </row>
    <row r="156" spans="1:24" ht="15.75" x14ac:dyDescent="0.3">
      <c r="A156" s="9">
        <v>43160</v>
      </c>
      <c r="B156" s="10">
        <f t="shared" si="57"/>
        <v>11799.17</v>
      </c>
      <c r="C156" s="10">
        <f t="shared" si="58"/>
        <v>10549.17</v>
      </c>
      <c r="D156" s="10">
        <v>1250</v>
      </c>
      <c r="E156" s="2">
        <f t="shared" si="77"/>
        <v>23598.34</v>
      </c>
      <c r="F156" s="12">
        <v>8.5000000000000006E-2</v>
      </c>
      <c r="G156" s="2">
        <f t="shared" ca="1" si="59"/>
        <v>100.73333333333333</v>
      </c>
      <c r="H156" s="2">
        <f t="shared" ca="1" si="60"/>
        <v>20218.205549722225</v>
      </c>
      <c r="I156" s="12">
        <f t="shared" ca="1" si="61"/>
        <v>0.71352777777777798</v>
      </c>
      <c r="J156" s="2">
        <f t="shared" ca="1" si="62"/>
        <v>23731.679937500587</v>
      </c>
      <c r="K156" s="12">
        <f t="shared" ca="1" si="63"/>
        <v>1.011300789589487</v>
      </c>
      <c r="L156" s="2">
        <f t="shared" ca="1" si="64"/>
        <v>18076.295827500002</v>
      </c>
      <c r="M156" s="12">
        <f t="shared" ca="1" si="65"/>
        <v>0.71352777777777798</v>
      </c>
      <c r="N156" s="2">
        <f t="shared" ca="1" si="66"/>
        <v>21217.553950513728</v>
      </c>
      <c r="O156" s="12">
        <f t="shared" ca="1" si="67"/>
        <v>1.011300789589487</v>
      </c>
      <c r="P156" s="2">
        <f t="shared" ca="1" si="68"/>
        <v>2141.9097222222222</v>
      </c>
      <c r="Q156" s="12">
        <f t="shared" ca="1" si="69"/>
        <v>0.71352777777777776</v>
      </c>
      <c r="R156" s="2">
        <f t="shared" ca="1" si="70"/>
        <v>2514.1259869868586</v>
      </c>
      <c r="S156" s="12">
        <f t="shared" ca="1" si="71"/>
        <v>1.011300789589487</v>
      </c>
      <c r="T156" s="2">
        <f t="shared" ca="1" si="72"/>
        <v>40436.411099444449</v>
      </c>
      <c r="U156" s="12">
        <f t="shared" ca="1" si="73"/>
        <v>0.71352777777777798</v>
      </c>
      <c r="V156" s="2">
        <f t="shared" ca="1" si="74"/>
        <v>47463.359875001173</v>
      </c>
      <c r="W156" s="12">
        <f t="shared" ca="1" si="75"/>
        <v>1.011300789589487</v>
      </c>
      <c r="X156" s="8" t="s">
        <v>13</v>
      </c>
    </row>
    <row r="157" spans="1:24" ht="15.75" x14ac:dyDescent="0.3">
      <c r="A157" s="9">
        <v>43191</v>
      </c>
      <c r="B157" s="10">
        <f t="shared" si="57"/>
        <v>11799.17</v>
      </c>
      <c r="C157" s="10">
        <f t="shared" si="58"/>
        <v>10549.17</v>
      </c>
      <c r="D157" s="10">
        <v>1250</v>
      </c>
      <c r="E157" s="2">
        <f t="shared" si="77"/>
        <v>23598.34</v>
      </c>
      <c r="F157" s="12">
        <v>8.5000000000000006E-2</v>
      </c>
      <c r="G157" s="2">
        <f t="shared" ca="1" si="59"/>
        <v>99.733333333333334</v>
      </c>
      <c r="H157" s="2">
        <f t="shared" ca="1" si="60"/>
        <v>20134.628095555556</v>
      </c>
      <c r="I157" s="12">
        <f t="shared" ca="1" si="61"/>
        <v>0.70644444444444443</v>
      </c>
      <c r="J157" s="2">
        <f t="shared" ca="1" si="62"/>
        <v>23567.624241078131</v>
      </c>
      <c r="K157" s="12">
        <f t="shared" ca="1" si="63"/>
        <v>0.99739678647550045</v>
      </c>
      <c r="L157" s="2">
        <f t="shared" ca="1" si="64"/>
        <v>18001.572540000001</v>
      </c>
      <c r="M157" s="12">
        <f t="shared" ca="1" si="65"/>
        <v>0.70644444444444454</v>
      </c>
      <c r="N157" s="2">
        <f t="shared" ca="1" si="66"/>
        <v>21070.878257983757</v>
      </c>
      <c r="O157" s="12">
        <f t="shared" ca="1" si="67"/>
        <v>0.99739678647550067</v>
      </c>
      <c r="P157" s="2">
        <f t="shared" ca="1" si="68"/>
        <v>2133.0555555555557</v>
      </c>
      <c r="Q157" s="12">
        <f t="shared" ca="1" si="69"/>
        <v>0.70644444444444454</v>
      </c>
      <c r="R157" s="2">
        <f t="shared" ca="1" si="70"/>
        <v>2496.7459830943758</v>
      </c>
      <c r="S157" s="12">
        <f t="shared" ca="1" si="71"/>
        <v>0.99739678647550067</v>
      </c>
      <c r="T157" s="2">
        <f t="shared" ca="1" si="72"/>
        <v>40269.256191111112</v>
      </c>
      <c r="U157" s="12">
        <f t="shared" ca="1" si="73"/>
        <v>0.70644444444444443</v>
      </c>
      <c r="V157" s="2">
        <f t="shared" ca="1" si="74"/>
        <v>47135.248482156261</v>
      </c>
      <c r="W157" s="12">
        <f t="shared" ca="1" si="75"/>
        <v>0.99739678647550045</v>
      </c>
      <c r="X157" s="8" t="s">
        <v>13</v>
      </c>
    </row>
    <row r="158" spans="1:24" ht="15.75" x14ac:dyDescent="0.3">
      <c r="A158" s="9">
        <v>43221</v>
      </c>
      <c r="B158" s="10">
        <f t="shared" si="57"/>
        <v>11799.17</v>
      </c>
      <c r="C158" s="10">
        <f t="shared" si="58"/>
        <v>10549.17</v>
      </c>
      <c r="D158" s="10">
        <v>1250</v>
      </c>
      <c r="E158" s="2">
        <f t="shared" si="77"/>
        <v>23598.34</v>
      </c>
      <c r="F158" s="12">
        <v>8.5000000000000006E-2</v>
      </c>
      <c r="G158" s="2">
        <f t="shared" ca="1" si="59"/>
        <v>98.733333333333334</v>
      </c>
      <c r="H158" s="2">
        <f t="shared" ca="1" si="60"/>
        <v>20051.050641388891</v>
      </c>
      <c r="I158" s="12">
        <f t="shared" ca="1" si="61"/>
        <v>0.69936111111111121</v>
      </c>
      <c r="J158" s="2">
        <f t="shared" ca="1" si="62"/>
        <v>23404.702651958632</v>
      </c>
      <c r="K158" s="12">
        <f t="shared" ca="1" si="63"/>
        <v>0.98358890091071083</v>
      </c>
      <c r="L158" s="2">
        <f t="shared" ca="1" si="64"/>
        <v>17926.8492525</v>
      </c>
      <c r="M158" s="12">
        <f t="shared" ca="1" si="65"/>
        <v>0.6993611111111111</v>
      </c>
      <c r="N158" s="2">
        <f t="shared" ca="1" si="66"/>
        <v>20925.216525820244</v>
      </c>
      <c r="O158" s="12">
        <f t="shared" ca="1" si="67"/>
        <v>0.98358890091071083</v>
      </c>
      <c r="P158" s="2">
        <f t="shared" ca="1" si="68"/>
        <v>2124.2013888888891</v>
      </c>
      <c r="Q158" s="12">
        <f t="shared" ca="1" si="69"/>
        <v>0.69936111111111132</v>
      </c>
      <c r="R158" s="2">
        <f t="shared" ca="1" si="70"/>
        <v>2479.4861261383885</v>
      </c>
      <c r="S158" s="12">
        <f t="shared" ca="1" si="71"/>
        <v>0.98358890091071083</v>
      </c>
      <c r="T158" s="2">
        <f t="shared" ca="1" si="72"/>
        <v>40102.101282777781</v>
      </c>
      <c r="U158" s="12">
        <f t="shared" ca="1" si="73"/>
        <v>0.69936111111111121</v>
      </c>
      <c r="V158" s="2">
        <f t="shared" ca="1" si="74"/>
        <v>46809.405303917265</v>
      </c>
      <c r="W158" s="12">
        <f t="shared" ca="1" si="75"/>
        <v>0.98358890091071083</v>
      </c>
      <c r="X158" s="8" t="s">
        <v>13</v>
      </c>
    </row>
    <row r="159" spans="1:24" ht="15.75" x14ac:dyDescent="0.3">
      <c r="A159" s="9">
        <v>43252</v>
      </c>
      <c r="B159" s="10">
        <f t="shared" si="57"/>
        <v>11799.17</v>
      </c>
      <c r="C159" s="10">
        <f t="shared" si="58"/>
        <v>10549.17</v>
      </c>
      <c r="D159" s="10">
        <v>1250</v>
      </c>
      <c r="E159" s="2">
        <f t="shared" si="77"/>
        <v>23598.34</v>
      </c>
      <c r="F159" s="12">
        <v>8.5000000000000006E-2</v>
      </c>
      <c r="G159" s="2">
        <f t="shared" ca="1" si="59"/>
        <v>97.733333333333334</v>
      </c>
      <c r="H159" s="2">
        <f t="shared" ca="1" si="60"/>
        <v>19967.473187222222</v>
      </c>
      <c r="I159" s="12">
        <f t="shared" ca="1" si="61"/>
        <v>0.69227777777777777</v>
      </c>
      <c r="J159" s="2">
        <f t="shared" ca="1" si="62"/>
        <v>23242.907330125545</v>
      </c>
      <c r="K159" s="12">
        <f t="shared" ca="1" si="63"/>
        <v>0.96987646844019915</v>
      </c>
      <c r="L159" s="2">
        <f t="shared" ca="1" si="64"/>
        <v>17852.125964999999</v>
      </c>
      <c r="M159" s="12">
        <f t="shared" ca="1" si="65"/>
        <v>0.69227777777777766</v>
      </c>
      <c r="N159" s="2">
        <f t="shared" ca="1" si="66"/>
        <v>20780.561744575294</v>
      </c>
      <c r="O159" s="12">
        <f t="shared" ca="1" si="67"/>
        <v>0.96987646844019904</v>
      </c>
      <c r="P159" s="2">
        <f t="shared" ca="1" si="68"/>
        <v>2115.3472222222222</v>
      </c>
      <c r="Q159" s="12">
        <f t="shared" ca="1" si="69"/>
        <v>0.69227777777777777</v>
      </c>
      <c r="R159" s="2">
        <f t="shared" ca="1" si="70"/>
        <v>2462.3455855502489</v>
      </c>
      <c r="S159" s="12">
        <f t="shared" ca="1" si="71"/>
        <v>0.96987646844019915</v>
      </c>
      <c r="T159" s="2">
        <f t="shared" ca="1" si="72"/>
        <v>39934.946374444444</v>
      </c>
      <c r="U159" s="12">
        <f t="shared" ca="1" si="73"/>
        <v>0.69227777777777777</v>
      </c>
      <c r="V159" s="2">
        <f t="shared" ca="1" si="74"/>
        <v>46485.81466025109</v>
      </c>
      <c r="W159" s="12">
        <f t="shared" ca="1" si="75"/>
        <v>0.96987646844019915</v>
      </c>
      <c r="X159" s="8" t="s">
        <v>13</v>
      </c>
    </row>
    <row r="160" spans="1:24" ht="15.75" x14ac:dyDescent="0.3">
      <c r="A160" s="9">
        <v>43282</v>
      </c>
      <c r="B160" s="10">
        <f t="shared" si="57"/>
        <v>11799.17</v>
      </c>
      <c r="C160" s="10">
        <f t="shared" si="58"/>
        <v>10549.17</v>
      </c>
      <c r="D160" s="10">
        <v>1250</v>
      </c>
      <c r="E160" s="2">
        <f t="shared" si="77"/>
        <v>23598.34</v>
      </c>
      <c r="F160" s="12">
        <v>8.5000000000000006E-2</v>
      </c>
      <c r="G160" s="2">
        <f t="shared" ca="1" si="59"/>
        <v>96.733333333333334</v>
      </c>
      <c r="H160" s="2">
        <f t="shared" ca="1" si="60"/>
        <v>19883.895733055557</v>
      </c>
      <c r="I160" s="12">
        <f t="shared" ca="1" si="61"/>
        <v>0.68519444444444455</v>
      </c>
      <c r="J160" s="2">
        <f t="shared" ca="1" si="62"/>
        <v>23082.230489759899</v>
      </c>
      <c r="K160" s="12">
        <f t="shared" ca="1" si="63"/>
        <v>0.95625882920238447</v>
      </c>
      <c r="L160" s="2">
        <f t="shared" ca="1" si="64"/>
        <v>17777.402677500002</v>
      </c>
      <c r="M160" s="12">
        <f t="shared" ca="1" si="65"/>
        <v>0.68519444444444466</v>
      </c>
      <c r="N160" s="2">
        <f t="shared" ca="1" si="66"/>
        <v>20636.906953256919</v>
      </c>
      <c r="O160" s="12">
        <f t="shared" ca="1" si="67"/>
        <v>0.95625882920238459</v>
      </c>
      <c r="P160" s="2">
        <f t="shared" ca="1" si="68"/>
        <v>2106.4930555555557</v>
      </c>
      <c r="Q160" s="12">
        <f t="shared" ca="1" si="69"/>
        <v>0.68519444444444455</v>
      </c>
      <c r="R160" s="2">
        <f t="shared" ca="1" si="70"/>
        <v>2445.3235365029809</v>
      </c>
      <c r="S160" s="12">
        <f t="shared" ca="1" si="71"/>
        <v>0.9562588292023847</v>
      </c>
      <c r="T160" s="2">
        <f t="shared" ca="1" si="72"/>
        <v>39767.791466111114</v>
      </c>
      <c r="U160" s="12">
        <f t="shared" ca="1" si="73"/>
        <v>0.68519444444444455</v>
      </c>
      <c r="V160" s="2">
        <f t="shared" ca="1" si="74"/>
        <v>46164.460979519798</v>
      </c>
      <c r="W160" s="12">
        <f t="shared" ca="1" si="75"/>
        <v>0.95625882920238447</v>
      </c>
      <c r="X160" s="8" t="s">
        <v>13</v>
      </c>
    </row>
    <row r="161" spans="1:24" ht="15.75" x14ac:dyDescent="0.3">
      <c r="A161" s="9">
        <v>43313</v>
      </c>
      <c r="B161" s="10">
        <f t="shared" si="57"/>
        <v>12507</v>
      </c>
      <c r="C161" s="10">
        <f t="shared" si="58"/>
        <v>11257</v>
      </c>
      <c r="D161" s="10">
        <v>1250</v>
      </c>
      <c r="E161" s="2">
        <f t="shared" ref="E161:E172" si="78">12507*2</f>
        <v>25014</v>
      </c>
      <c r="F161" s="12">
        <v>8.5000000000000006E-2</v>
      </c>
      <c r="G161" s="2">
        <f t="shared" ca="1" si="59"/>
        <v>95.733333333333334</v>
      </c>
      <c r="H161" s="2">
        <f t="shared" ca="1" si="60"/>
        <v>20988.135666666669</v>
      </c>
      <c r="I161" s="12">
        <f t="shared" ca="1" si="61"/>
        <v>0.67811111111111133</v>
      </c>
      <c r="J161" s="2">
        <f t="shared" ca="1" si="62"/>
        <v>24297.790746011135</v>
      </c>
      <c r="K161" s="12">
        <f t="shared" ca="1" si="63"/>
        <v>0.94273532789726833</v>
      </c>
      <c r="L161" s="2">
        <f t="shared" ca="1" si="64"/>
        <v>18890.496777777778</v>
      </c>
      <c r="M161" s="12">
        <f t="shared" ca="1" si="65"/>
        <v>0.67811111111111111</v>
      </c>
      <c r="N161" s="2">
        <f t="shared" ca="1" si="66"/>
        <v>21869.37158613955</v>
      </c>
      <c r="O161" s="12">
        <f t="shared" ca="1" si="67"/>
        <v>0.94273532789726844</v>
      </c>
      <c r="P161" s="2">
        <f t="shared" ca="1" si="68"/>
        <v>2097.6388888888891</v>
      </c>
      <c r="Q161" s="12">
        <f t="shared" ca="1" si="69"/>
        <v>0.67811111111111133</v>
      </c>
      <c r="R161" s="2">
        <f t="shared" ca="1" si="70"/>
        <v>2428.4191598715856</v>
      </c>
      <c r="S161" s="12">
        <f t="shared" ca="1" si="71"/>
        <v>0.94273532789726855</v>
      </c>
      <c r="T161" s="2">
        <f t="shared" ca="1" si="72"/>
        <v>41976.271333333338</v>
      </c>
      <c r="U161" s="12">
        <f t="shared" ca="1" si="73"/>
        <v>0.67811111111111133</v>
      </c>
      <c r="V161" s="2">
        <f t="shared" ca="1" si="74"/>
        <v>48595.581492022269</v>
      </c>
      <c r="W161" s="12">
        <f t="shared" ca="1" si="75"/>
        <v>0.94273532789726833</v>
      </c>
      <c r="X161" s="8" t="s">
        <v>13</v>
      </c>
    </row>
    <row r="162" spans="1:24" ht="15.75" x14ac:dyDescent="0.3">
      <c r="A162" s="9">
        <v>43344</v>
      </c>
      <c r="B162" s="10">
        <f t="shared" si="57"/>
        <v>12507</v>
      </c>
      <c r="C162" s="10">
        <f t="shared" si="58"/>
        <v>11257</v>
      </c>
      <c r="D162" s="10">
        <v>1250</v>
      </c>
      <c r="E162" s="2">
        <f t="shared" si="78"/>
        <v>25014</v>
      </c>
      <c r="F162" s="12">
        <v>8.5000000000000006E-2</v>
      </c>
      <c r="G162" s="2">
        <f t="shared" ca="1" si="59"/>
        <v>94.733333333333334</v>
      </c>
      <c r="H162" s="2">
        <f t="shared" ca="1" si="60"/>
        <v>20899.544416666668</v>
      </c>
      <c r="I162" s="12">
        <f t="shared" ca="1" si="61"/>
        <v>0.67102777777777789</v>
      </c>
      <c r="J162" s="2">
        <f t="shared" ca="1" si="62"/>
        <v>24129.821559132582</v>
      </c>
      <c r="K162" s="12">
        <f t="shared" ca="1" si="63"/>
        <v>0.92930531375490388</v>
      </c>
      <c r="L162" s="2">
        <f t="shared" ca="1" si="64"/>
        <v>18810.759694444445</v>
      </c>
      <c r="M162" s="12">
        <f t="shared" ca="1" si="65"/>
        <v>0.67102777777777778</v>
      </c>
      <c r="N162" s="2">
        <f t="shared" ca="1" si="66"/>
        <v>21718.189916938954</v>
      </c>
      <c r="O162" s="12">
        <f t="shared" ca="1" si="67"/>
        <v>0.92930531375490399</v>
      </c>
      <c r="P162" s="2">
        <f t="shared" ca="1" si="68"/>
        <v>2088.7847222222222</v>
      </c>
      <c r="Q162" s="12">
        <f t="shared" ca="1" si="69"/>
        <v>0.67102777777777778</v>
      </c>
      <c r="R162" s="2">
        <f t="shared" ca="1" si="70"/>
        <v>2411.6316421936299</v>
      </c>
      <c r="S162" s="12">
        <f t="shared" ca="1" si="71"/>
        <v>0.92930531375490388</v>
      </c>
      <c r="T162" s="2">
        <f t="shared" ca="1" si="72"/>
        <v>41799.088833333335</v>
      </c>
      <c r="U162" s="12">
        <f t="shared" ca="1" si="73"/>
        <v>0.67102777777777789</v>
      </c>
      <c r="V162" s="2">
        <f t="shared" ca="1" si="74"/>
        <v>48259.643118265165</v>
      </c>
      <c r="W162" s="12">
        <f t="shared" ca="1" si="75"/>
        <v>0.92930531375490388</v>
      </c>
      <c r="X162" s="8" t="s">
        <v>13</v>
      </c>
    </row>
    <row r="163" spans="1:24" ht="15.75" x14ac:dyDescent="0.3">
      <c r="A163" s="9">
        <v>43374</v>
      </c>
      <c r="B163" s="10">
        <f t="shared" si="57"/>
        <v>12507</v>
      </c>
      <c r="C163" s="10">
        <f t="shared" si="58"/>
        <v>11257</v>
      </c>
      <c r="D163" s="10">
        <v>1250</v>
      </c>
      <c r="E163" s="2">
        <f t="shared" si="78"/>
        <v>25014</v>
      </c>
      <c r="F163" s="12">
        <v>8.5000000000000006E-2</v>
      </c>
      <c r="G163" s="2">
        <f t="shared" ca="1" si="59"/>
        <v>93.733333333333334</v>
      </c>
      <c r="H163" s="2">
        <f t="shared" ca="1" si="60"/>
        <v>20810.953166666666</v>
      </c>
      <c r="I163" s="12">
        <f t="shared" ca="1" si="61"/>
        <v>0.66394444444444445</v>
      </c>
      <c r="J163" s="2">
        <f t="shared" ca="1" si="62"/>
        <v>23963.013533284491</v>
      </c>
      <c r="K163" s="12">
        <f t="shared" ca="1" si="63"/>
        <v>0.91596814050407704</v>
      </c>
      <c r="L163" s="2">
        <f t="shared" ca="1" si="64"/>
        <v>18731.022611111111</v>
      </c>
      <c r="M163" s="12">
        <f t="shared" ca="1" si="65"/>
        <v>0.66394444444444445</v>
      </c>
      <c r="N163" s="2">
        <f t="shared" ca="1" si="66"/>
        <v>21568.053357654393</v>
      </c>
      <c r="O163" s="12">
        <f t="shared" ca="1" si="67"/>
        <v>0.91596814050407682</v>
      </c>
      <c r="P163" s="2">
        <f t="shared" ca="1" si="68"/>
        <v>2079.9305555555557</v>
      </c>
      <c r="Q163" s="12">
        <f t="shared" ca="1" si="69"/>
        <v>0.66394444444444456</v>
      </c>
      <c r="R163" s="2">
        <f t="shared" ca="1" si="70"/>
        <v>2394.9601756300963</v>
      </c>
      <c r="S163" s="12">
        <f t="shared" ca="1" si="71"/>
        <v>0.91596814050407704</v>
      </c>
      <c r="T163" s="2">
        <f t="shared" ca="1" si="72"/>
        <v>41621.906333333332</v>
      </c>
      <c r="U163" s="12">
        <f t="shared" ca="1" si="73"/>
        <v>0.66394444444444445</v>
      </c>
      <c r="V163" s="2">
        <f t="shared" ca="1" si="74"/>
        <v>47926.027066568982</v>
      </c>
      <c r="W163" s="12">
        <f t="shared" ca="1" si="75"/>
        <v>0.91596814050407704</v>
      </c>
      <c r="X163" s="8" t="s">
        <v>13</v>
      </c>
    </row>
    <row r="164" spans="1:24" ht="15.75" x14ac:dyDescent="0.3">
      <c r="A164" s="9">
        <v>43405</v>
      </c>
      <c r="B164" s="10">
        <f t="shared" si="57"/>
        <v>12507</v>
      </c>
      <c r="C164" s="10">
        <f t="shared" si="58"/>
        <v>11257</v>
      </c>
      <c r="D164" s="10">
        <v>1250</v>
      </c>
      <c r="E164" s="2">
        <f t="shared" si="78"/>
        <v>25014</v>
      </c>
      <c r="F164" s="12">
        <v>8.5000000000000006E-2</v>
      </c>
      <c r="G164" s="2">
        <f t="shared" ca="1" si="59"/>
        <v>92.733333333333334</v>
      </c>
      <c r="H164" s="2">
        <f t="shared" ca="1" si="60"/>
        <v>20722.361916666669</v>
      </c>
      <c r="I164" s="12">
        <f t="shared" ca="1" si="61"/>
        <v>0.65686111111111123</v>
      </c>
      <c r="J164" s="2">
        <f t="shared" ca="1" si="62"/>
        <v>23797.358641429506</v>
      </c>
      <c r="K164" s="12">
        <f t="shared" ca="1" si="63"/>
        <v>0.90272316634120942</v>
      </c>
      <c r="L164" s="2">
        <f t="shared" ca="1" si="64"/>
        <v>18651.285527777778</v>
      </c>
      <c r="M164" s="12">
        <f t="shared" ca="1" si="65"/>
        <v>0.65686111111111112</v>
      </c>
      <c r="N164" s="2">
        <f t="shared" ca="1" si="66"/>
        <v>21418.954683502994</v>
      </c>
      <c r="O164" s="12">
        <f t="shared" ca="1" si="67"/>
        <v>0.90272316634120942</v>
      </c>
      <c r="P164" s="2">
        <f t="shared" ca="1" si="68"/>
        <v>2071.0763888888891</v>
      </c>
      <c r="Q164" s="12">
        <f t="shared" ca="1" si="69"/>
        <v>0.65686111111111134</v>
      </c>
      <c r="R164" s="2">
        <f t="shared" ca="1" si="70"/>
        <v>2378.4039579265118</v>
      </c>
      <c r="S164" s="12">
        <f t="shared" ca="1" si="71"/>
        <v>0.90272316634120942</v>
      </c>
      <c r="T164" s="2">
        <f t="shared" ca="1" si="72"/>
        <v>41444.723833333337</v>
      </c>
      <c r="U164" s="12">
        <f t="shared" ca="1" si="73"/>
        <v>0.65686111111111123</v>
      </c>
      <c r="V164" s="2">
        <f t="shared" ca="1" si="74"/>
        <v>47594.717282859012</v>
      </c>
      <c r="W164" s="12">
        <f t="shared" ca="1" si="75"/>
        <v>0.90272316634120942</v>
      </c>
      <c r="X164" s="8" t="s">
        <v>13</v>
      </c>
    </row>
    <row r="165" spans="1:24" ht="15.75" x14ac:dyDescent="0.3">
      <c r="A165" s="9">
        <v>43435</v>
      </c>
      <c r="B165" s="10">
        <f t="shared" si="57"/>
        <v>12507</v>
      </c>
      <c r="C165" s="10">
        <f t="shared" si="58"/>
        <v>11257</v>
      </c>
      <c r="D165" s="10">
        <v>1250</v>
      </c>
      <c r="E165" s="2">
        <f t="shared" si="78"/>
        <v>25014</v>
      </c>
      <c r="F165" s="12">
        <v>8.5000000000000006E-2</v>
      </c>
      <c r="G165" s="2">
        <f t="shared" ca="1" si="59"/>
        <v>91.733333333333334</v>
      </c>
      <c r="H165" s="2">
        <f t="shared" ca="1" si="60"/>
        <v>20633.770666666667</v>
      </c>
      <c r="I165" s="12">
        <f t="shared" ca="1" si="61"/>
        <v>0.64977777777777779</v>
      </c>
      <c r="J165" s="2">
        <f t="shared" ca="1" si="62"/>
        <v>23632.848912020694</v>
      </c>
      <c r="K165" s="12">
        <f t="shared" ca="1" si="63"/>
        <v>0.88956975389947179</v>
      </c>
      <c r="L165" s="2">
        <f t="shared" ca="1" si="64"/>
        <v>18571.548444444445</v>
      </c>
      <c r="M165" s="12">
        <f t="shared" ca="1" si="65"/>
        <v>0.64977777777777779</v>
      </c>
      <c r="N165" s="2">
        <f t="shared" ca="1" si="66"/>
        <v>21270.886719646354</v>
      </c>
      <c r="O165" s="12">
        <f t="shared" ca="1" si="67"/>
        <v>0.88956975389947179</v>
      </c>
      <c r="P165" s="2">
        <f t="shared" ca="1" si="68"/>
        <v>2062.2222222222222</v>
      </c>
      <c r="Q165" s="12">
        <f t="shared" ca="1" si="69"/>
        <v>0.64977777777777779</v>
      </c>
      <c r="R165" s="2">
        <f t="shared" ca="1" si="70"/>
        <v>2361.9621923743398</v>
      </c>
      <c r="S165" s="12">
        <f t="shared" ca="1" si="71"/>
        <v>0.88956975389947179</v>
      </c>
      <c r="T165" s="2">
        <f t="shared" ca="1" si="72"/>
        <v>41267.541333333334</v>
      </c>
      <c r="U165" s="12">
        <f t="shared" ca="1" si="73"/>
        <v>0.64977777777777779</v>
      </c>
      <c r="V165" s="2">
        <f t="shared" ca="1" si="74"/>
        <v>47265.697824041388</v>
      </c>
      <c r="W165" s="12">
        <f t="shared" ca="1" si="75"/>
        <v>0.88956975389947179</v>
      </c>
      <c r="X165" s="8" t="s">
        <v>13</v>
      </c>
    </row>
    <row r="166" spans="1:24" ht="15.75" x14ac:dyDescent="0.3">
      <c r="A166" s="9">
        <v>43466</v>
      </c>
      <c r="B166" s="10">
        <f t="shared" si="57"/>
        <v>12507</v>
      </c>
      <c r="C166" s="10">
        <f t="shared" si="58"/>
        <v>11257</v>
      </c>
      <c r="D166" s="10">
        <v>1250</v>
      </c>
      <c r="E166" s="2">
        <f t="shared" si="78"/>
        <v>25014</v>
      </c>
      <c r="F166" s="12">
        <v>8.5000000000000006E-2</v>
      </c>
      <c r="G166" s="2">
        <f t="shared" ca="1" si="59"/>
        <v>90.733333333333334</v>
      </c>
      <c r="H166" s="2">
        <f t="shared" ca="1" si="60"/>
        <v>20545.179416666666</v>
      </c>
      <c r="I166" s="12">
        <f t="shared" ca="1" si="61"/>
        <v>0.64269444444444435</v>
      </c>
      <c r="J166" s="2">
        <f t="shared" ca="1" si="62"/>
        <v>23469.476428617956</v>
      </c>
      <c r="K166" s="12">
        <f t="shared" ca="1" si="63"/>
        <v>0.87650727021811436</v>
      </c>
      <c r="L166" s="2">
        <f t="shared" ca="1" si="64"/>
        <v>18491.811361111111</v>
      </c>
      <c r="M166" s="12">
        <f t="shared" ca="1" si="65"/>
        <v>0.64269444444444446</v>
      </c>
      <c r="N166" s="2">
        <f t="shared" ca="1" si="66"/>
        <v>21123.842340845316</v>
      </c>
      <c r="O166" s="12">
        <f t="shared" ca="1" si="67"/>
        <v>0.87650727021811459</v>
      </c>
      <c r="P166" s="2">
        <f t="shared" ca="1" si="68"/>
        <v>2053.3680555555557</v>
      </c>
      <c r="Q166" s="12">
        <f t="shared" ca="1" si="69"/>
        <v>0.64269444444444457</v>
      </c>
      <c r="R166" s="2">
        <f t="shared" ca="1" si="70"/>
        <v>2345.6340877726429</v>
      </c>
      <c r="S166" s="12">
        <f t="shared" ca="1" si="71"/>
        <v>0.87650727021811436</v>
      </c>
      <c r="T166" s="2">
        <f t="shared" ca="1" si="72"/>
        <v>41090.358833333332</v>
      </c>
      <c r="U166" s="12">
        <f t="shared" ca="1" si="73"/>
        <v>0.64269444444444435</v>
      </c>
      <c r="V166" s="2">
        <f t="shared" ca="1" si="74"/>
        <v>46938.952857235912</v>
      </c>
      <c r="W166" s="12">
        <f t="shared" ca="1" si="75"/>
        <v>0.87650727021811436</v>
      </c>
      <c r="X166" s="8" t="s">
        <v>13</v>
      </c>
    </row>
    <row r="167" spans="1:24" ht="15.75" x14ac:dyDescent="0.3">
      <c r="A167" s="9">
        <v>43497</v>
      </c>
      <c r="B167" s="10">
        <f t="shared" si="57"/>
        <v>12507</v>
      </c>
      <c r="C167" s="10">
        <f t="shared" si="58"/>
        <v>11257</v>
      </c>
      <c r="D167" s="10">
        <v>1250</v>
      </c>
      <c r="E167" s="2">
        <f t="shared" si="78"/>
        <v>25014</v>
      </c>
      <c r="F167" s="12">
        <v>8.5000000000000006E-2</v>
      </c>
      <c r="G167" s="2">
        <f t="shared" ca="1" si="59"/>
        <v>89.733333333333334</v>
      </c>
      <c r="H167" s="2">
        <f t="shared" ca="1" si="60"/>
        <v>20456.588166666668</v>
      </c>
      <c r="I167" s="12">
        <f t="shared" ca="1" si="61"/>
        <v>0.63561111111111124</v>
      </c>
      <c r="J167" s="2">
        <f t="shared" ca="1" si="62"/>
        <v>23307.233329507082</v>
      </c>
      <c r="K167" s="12">
        <f t="shared" ca="1" si="63"/>
        <v>0.86353508671200785</v>
      </c>
      <c r="L167" s="2">
        <f t="shared" ca="1" si="64"/>
        <v>18412.074277777778</v>
      </c>
      <c r="M167" s="12">
        <f t="shared" ca="1" si="65"/>
        <v>0.63561111111111113</v>
      </c>
      <c r="N167" s="2">
        <f t="shared" ca="1" si="66"/>
        <v>20977.814471117075</v>
      </c>
      <c r="O167" s="12">
        <f t="shared" ca="1" si="67"/>
        <v>0.86353508671200807</v>
      </c>
      <c r="P167" s="2">
        <f t="shared" ca="1" si="68"/>
        <v>2044.5138888888891</v>
      </c>
      <c r="Q167" s="12">
        <f t="shared" ca="1" si="69"/>
        <v>0.63561111111111135</v>
      </c>
      <c r="R167" s="2">
        <f t="shared" ca="1" si="70"/>
        <v>2329.41885839001</v>
      </c>
      <c r="S167" s="12">
        <f t="shared" ca="1" si="71"/>
        <v>0.86353508671200796</v>
      </c>
      <c r="T167" s="2">
        <f t="shared" ca="1" si="72"/>
        <v>40913.176333333337</v>
      </c>
      <c r="U167" s="12">
        <f t="shared" ca="1" si="73"/>
        <v>0.63561111111111124</v>
      </c>
      <c r="V167" s="2">
        <f t="shared" ca="1" si="74"/>
        <v>46614.466659014164</v>
      </c>
      <c r="W167" s="12">
        <f t="shared" ca="1" si="75"/>
        <v>0.86353508671200785</v>
      </c>
      <c r="X167" s="8" t="s">
        <v>13</v>
      </c>
    </row>
    <row r="168" spans="1:24" ht="15.75" x14ac:dyDescent="0.3">
      <c r="A168" s="9">
        <v>43525</v>
      </c>
      <c r="B168" s="10">
        <f t="shared" si="57"/>
        <v>12507</v>
      </c>
      <c r="C168" s="10">
        <f t="shared" si="58"/>
        <v>11257</v>
      </c>
      <c r="D168" s="10">
        <v>1250</v>
      </c>
      <c r="E168" s="2">
        <f t="shared" si="78"/>
        <v>25014</v>
      </c>
      <c r="F168" s="12">
        <v>8.5000000000000006E-2</v>
      </c>
      <c r="G168" s="2">
        <f t="shared" ca="1" si="59"/>
        <v>88.733333333333334</v>
      </c>
      <c r="H168" s="2">
        <f t="shared" ca="1" si="60"/>
        <v>20367.996916666667</v>
      </c>
      <c r="I168" s="12">
        <f t="shared" ca="1" si="61"/>
        <v>0.6285277777777778</v>
      </c>
      <c r="J168" s="2">
        <f t="shared" ca="1" si="62"/>
        <v>23146.111807321424</v>
      </c>
      <c r="K168" s="12">
        <f t="shared" ca="1" si="63"/>
        <v>0.85065257914139469</v>
      </c>
      <c r="L168" s="2">
        <f t="shared" ca="1" si="64"/>
        <v>18332.337194444444</v>
      </c>
      <c r="M168" s="12">
        <f t="shared" ca="1" si="65"/>
        <v>0.6285277777777778</v>
      </c>
      <c r="N168" s="2">
        <f t="shared" ca="1" si="66"/>
        <v>20832.796083394678</v>
      </c>
      <c r="O168" s="12">
        <f t="shared" ca="1" si="67"/>
        <v>0.85065257914139447</v>
      </c>
      <c r="P168" s="2">
        <f t="shared" ca="1" si="68"/>
        <v>2035.6597222222222</v>
      </c>
      <c r="Q168" s="12">
        <f t="shared" ca="1" si="69"/>
        <v>0.62852777777777769</v>
      </c>
      <c r="R168" s="2">
        <f t="shared" ca="1" si="70"/>
        <v>2313.3157239267434</v>
      </c>
      <c r="S168" s="12">
        <f t="shared" ca="1" si="71"/>
        <v>0.85065257914139469</v>
      </c>
      <c r="T168" s="2">
        <f t="shared" ca="1" si="72"/>
        <v>40735.993833333334</v>
      </c>
      <c r="U168" s="12">
        <f t="shared" ca="1" si="73"/>
        <v>0.6285277777777778</v>
      </c>
      <c r="V168" s="2">
        <f t="shared" ca="1" si="74"/>
        <v>46292.223614642848</v>
      </c>
      <c r="W168" s="12">
        <f t="shared" ca="1" si="75"/>
        <v>0.85065257914139469</v>
      </c>
      <c r="X168" s="8" t="s">
        <v>13</v>
      </c>
    </row>
    <row r="169" spans="1:24" ht="15.75" x14ac:dyDescent="0.3">
      <c r="A169" s="9">
        <v>43556</v>
      </c>
      <c r="B169" s="10">
        <f t="shared" si="57"/>
        <v>12507</v>
      </c>
      <c r="C169" s="10">
        <f t="shared" si="58"/>
        <v>11257</v>
      </c>
      <c r="D169" s="10">
        <v>1250</v>
      </c>
      <c r="E169" s="2">
        <f t="shared" si="78"/>
        <v>25014</v>
      </c>
      <c r="F169" s="12">
        <v>8.5000000000000006E-2</v>
      </c>
      <c r="G169" s="2">
        <f t="shared" ca="1" si="59"/>
        <v>87.733333333333334</v>
      </c>
      <c r="H169" s="2">
        <f t="shared" ca="1" si="60"/>
        <v>20279.405666666666</v>
      </c>
      <c r="I169" s="12">
        <f t="shared" ca="1" si="61"/>
        <v>0.62144444444444435</v>
      </c>
      <c r="J169" s="2">
        <f t="shared" ca="1" si="62"/>
        <v>22986.104108666175</v>
      </c>
      <c r="K169" s="12">
        <f t="shared" ca="1" si="63"/>
        <v>0.83785912758184822</v>
      </c>
      <c r="L169" s="2">
        <f t="shared" ca="1" si="64"/>
        <v>18252.600111111111</v>
      </c>
      <c r="M169" s="12">
        <f t="shared" ca="1" si="65"/>
        <v>0.62144444444444447</v>
      </c>
      <c r="N169" s="2">
        <f t="shared" ca="1" si="66"/>
        <v>20688.780199188866</v>
      </c>
      <c r="O169" s="12">
        <f t="shared" ca="1" si="67"/>
        <v>0.83785912758184833</v>
      </c>
      <c r="P169" s="2">
        <f t="shared" ca="1" si="68"/>
        <v>2026.8055555555557</v>
      </c>
      <c r="Q169" s="12">
        <f t="shared" ca="1" si="69"/>
        <v>0.62144444444444458</v>
      </c>
      <c r="R169" s="2">
        <f t="shared" ca="1" si="70"/>
        <v>2297.3239094773103</v>
      </c>
      <c r="S169" s="12">
        <f t="shared" ca="1" si="71"/>
        <v>0.83785912758184822</v>
      </c>
      <c r="T169" s="2">
        <f t="shared" ca="1" si="72"/>
        <v>40558.811333333331</v>
      </c>
      <c r="U169" s="12">
        <f t="shared" ca="1" si="73"/>
        <v>0.62144444444444435</v>
      </c>
      <c r="V169" s="2">
        <f t="shared" ca="1" si="74"/>
        <v>45972.208217332351</v>
      </c>
      <c r="W169" s="12">
        <f t="shared" ca="1" si="75"/>
        <v>0.83785912758184822</v>
      </c>
      <c r="X169" s="8" t="s">
        <v>13</v>
      </c>
    </row>
    <row r="170" spans="1:24" ht="15.75" x14ac:dyDescent="0.3">
      <c r="A170" s="9">
        <v>43586</v>
      </c>
      <c r="B170" s="10">
        <f t="shared" si="57"/>
        <v>12507</v>
      </c>
      <c r="C170" s="10">
        <f t="shared" si="58"/>
        <v>11257</v>
      </c>
      <c r="D170" s="10">
        <v>1250</v>
      </c>
      <c r="E170" s="2">
        <f t="shared" si="78"/>
        <v>25014</v>
      </c>
      <c r="F170" s="12">
        <v>8.5000000000000006E-2</v>
      </c>
      <c r="G170" s="2">
        <f t="shared" ca="1" si="59"/>
        <v>86.733333333333334</v>
      </c>
      <c r="H170" s="2">
        <f t="shared" ca="1" si="60"/>
        <v>20190.814416666668</v>
      </c>
      <c r="I170" s="12">
        <f t="shared" ca="1" si="61"/>
        <v>0.61436111111111125</v>
      </c>
      <c r="J170" s="2">
        <f t="shared" ca="1" si="62"/>
        <v>22827.202533745327</v>
      </c>
      <c r="K170" s="12">
        <f t="shared" ca="1" si="63"/>
        <v>0.82515411639444525</v>
      </c>
      <c r="L170" s="2">
        <f t="shared" ca="1" si="64"/>
        <v>18172.863027777777</v>
      </c>
      <c r="M170" s="12">
        <f t="shared" ca="1" si="65"/>
        <v>0.61436111111111114</v>
      </c>
      <c r="N170" s="2">
        <f t="shared" ca="1" si="66"/>
        <v>20545.759888252273</v>
      </c>
      <c r="O170" s="12">
        <f t="shared" ca="1" si="67"/>
        <v>0.82515411639444547</v>
      </c>
      <c r="P170" s="2">
        <f t="shared" ca="1" si="68"/>
        <v>2017.9513888888891</v>
      </c>
      <c r="Q170" s="12">
        <f t="shared" ca="1" si="69"/>
        <v>0.61436111111111136</v>
      </c>
      <c r="R170" s="2">
        <f t="shared" ca="1" si="70"/>
        <v>2281.4426454930567</v>
      </c>
      <c r="S170" s="12">
        <f t="shared" ca="1" si="71"/>
        <v>0.82515411639444536</v>
      </c>
      <c r="T170" s="2">
        <f t="shared" ca="1" si="72"/>
        <v>40381.628833333336</v>
      </c>
      <c r="U170" s="12">
        <f t="shared" ca="1" si="73"/>
        <v>0.61436111111111125</v>
      </c>
      <c r="V170" s="2">
        <f t="shared" ca="1" si="74"/>
        <v>45654.405067490654</v>
      </c>
      <c r="W170" s="12">
        <f t="shared" ca="1" si="75"/>
        <v>0.82515411639444525</v>
      </c>
      <c r="X170" s="8" t="s">
        <v>13</v>
      </c>
    </row>
    <row r="171" spans="1:24" ht="15.75" x14ac:dyDescent="0.3">
      <c r="A171" s="9">
        <v>43617</v>
      </c>
      <c r="B171" s="10">
        <f t="shared" si="57"/>
        <v>12507</v>
      </c>
      <c r="C171" s="10">
        <f t="shared" si="58"/>
        <v>11257</v>
      </c>
      <c r="D171" s="10">
        <v>1250</v>
      </c>
      <c r="E171" s="2">
        <f t="shared" si="78"/>
        <v>25014</v>
      </c>
      <c r="F171" s="12">
        <v>8.5000000000000006E-2</v>
      </c>
      <c r="G171" s="2">
        <f t="shared" ca="1" si="59"/>
        <v>85.733333333333334</v>
      </c>
      <c r="H171" s="2">
        <f t="shared" ca="1" si="60"/>
        <v>20102.223166666667</v>
      </c>
      <c r="I171" s="12">
        <f t="shared" ca="1" si="61"/>
        <v>0.60727777777777781</v>
      </c>
      <c r="J171" s="2">
        <f t="shared" ca="1" si="62"/>
        <v>22669.399435991072</v>
      </c>
      <c r="K171" s="12">
        <f t="shared" ca="1" si="63"/>
        <v>0.81253693419613593</v>
      </c>
      <c r="L171" s="2">
        <f t="shared" ca="1" si="64"/>
        <v>18093.125944444444</v>
      </c>
      <c r="M171" s="12">
        <f t="shared" ca="1" si="65"/>
        <v>0.60727777777777769</v>
      </c>
      <c r="N171" s="2">
        <f t="shared" ca="1" si="66"/>
        <v>20403.728268245901</v>
      </c>
      <c r="O171" s="12">
        <f t="shared" ca="1" si="67"/>
        <v>0.81253693419613582</v>
      </c>
      <c r="P171" s="2">
        <f t="shared" ca="1" si="68"/>
        <v>2009.0972222222222</v>
      </c>
      <c r="Q171" s="12">
        <f t="shared" ca="1" si="69"/>
        <v>0.60727777777777769</v>
      </c>
      <c r="R171" s="2">
        <f t="shared" ca="1" si="70"/>
        <v>2265.6711677451699</v>
      </c>
      <c r="S171" s="12">
        <f t="shared" ca="1" si="71"/>
        <v>0.81253693419613593</v>
      </c>
      <c r="T171" s="2">
        <f t="shared" ca="1" si="72"/>
        <v>40204.446333333333</v>
      </c>
      <c r="U171" s="12">
        <f t="shared" ca="1" si="73"/>
        <v>0.60727777777777781</v>
      </c>
      <c r="V171" s="2">
        <f t="shared" ca="1" si="74"/>
        <v>45338.798871982144</v>
      </c>
      <c r="W171" s="12">
        <f t="shared" ca="1" si="75"/>
        <v>0.81253693419613593</v>
      </c>
      <c r="X171" s="8" t="s">
        <v>13</v>
      </c>
    </row>
    <row r="172" spans="1:24" ht="15.75" x14ac:dyDescent="0.3">
      <c r="A172" s="9">
        <v>43647</v>
      </c>
      <c r="B172" s="10">
        <f t="shared" si="57"/>
        <v>12507</v>
      </c>
      <c r="C172" s="10">
        <f t="shared" si="58"/>
        <v>11257</v>
      </c>
      <c r="D172" s="10">
        <v>1250</v>
      </c>
      <c r="E172" s="2">
        <f t="shared" si="78"/>
        <v>25014</v>
      </c>
      <c r="F172" s="12">
        <v>8.5000000000000006E-2</v>
      </c>
      <c r="G172" s="2">
        <f t="shared" ca="1" si="59"/>
        <v>84.733333333333334</v>
      </c>
      <c r="H172" s="2">
        <f t="shared" ca="1" si="60"/>
        <v>20013.631916666665</v>
      </c>
      <c r="I172" s="12">
        <f t="shared" ca="1" si="61"/>
        <v>0.60019444444444436</v>
      </c>
      <c r="J172" s="2">
        <f t="shared" ca="1" si="62"/>
        <v>22512.687221695884</v>
      </c>
      <c r="K172" s="12">
        <f t="shared" ca="1" si="63"/>
        <v>0.80000697383032571</v>
      </c>
      <c r="L172" s="2">
        <f t="shared" ca="1" si="64"/>
        <v>18013.388861111111</v>
      </c>
      <c r="M172" s="12">
        <f t="shared" ca="1" si="65"/>
        <v>0.60019444444444436</v>
      </c>
      <c r="N172" s="2">
        <f t="shared" ca="1" si="66"/>
        <v>20262.678504407977</v>
      </c>
      <c r="O172" s="12">
        <f t="shared" ca="1" si="67"/>
        <v>0.80000697383032571</v>
      </c>
      <c r="P172" s="2">
        <f t="shared" ca="1" si="68"/>
        <v>2000.2430555555557</v>
      </c>
      <c r="Q172" s="12">
        <f t="shared" ca="1" si="69"/>
        <v>0.60019444444444447</v>
      </c>
      <c r="R172" s="2">
        <f t="shared" ca="1" si="70"/>
        <v>2250.0087172879071</v>
      </c>
      <c r="S172" s="12">
        <f t="shared" ca="1" si="71"/>
        <v>0.80000697383032571</v>
      </c>
      <c r="T172" s="2">
        <f t="shared" ca="1" si="72"/>
        <v>40027.263833333331</v>
      </c>
      <c r="U172" s="12">
        <f t="shared" ca="1" si="73"/>
        <v>0.60019444444444436</v>
      </c>
      <c r="V172" s="2">
        <f t="shared" ca="1" si="74"/>
        <v>45025.374443391767</v>
      </c>
      <c r="W172" s="12">
        <f t="shared" ca="1" si="75"/>
        <v>0.80000697383032571</v>
      </c>
      <c r="X172" s="8" t="s">
        <v>13</v>
      </c>
    </row>
    <row r="173" spans="1:24" ht="15.75" x14ac:dyDescent="0.3">
      <c r="A173" s="9">
        <v>43678</v>
      </c>
      <c r="B173" s="10">
        <f t="shared" si="57"/>
        <v>13883</v>
      </c>
      <c r="C173" s="10">
        <f t="shared" si="58"/>
        <v>12633</v>
      </c>
      <c r="D173" s="10">
        <v>1250</v>
      </c>
      <c r="E173" s="2">
        <f t="shared" ref="E173:E182" si="79">13883*2</f>
        <v>27766</v>
      </c>
      <c r="F173" s="12">
        <v>8.5000000000000006E-2</v>
      </c>
      <c r="G173" s="2">
        <f t="shared" ca="1" si="59"/>
        <v>83.733333333333334</v>
      </c>
      <c r="H173" s="2">
        <f t="shared" ca="1" si="60"/>
        <v>22117.161555555555</v>
      </c>
      <c r="I173" s="12">
        <f t="shared" ca="1" si="61"/>
        <v>0.59311111111111103</v>
      </c>
      <c r="J173" s="2">
        <f t="shared" ca="1" si="62"/>
        <v>24816.745907743702</v>
      </c>
      <c r="K173" s="12">
        <f t="shared" ca="1" si="63"/>
        <v>0.78756363233765769</v>
      </c>
      <c r="L173" s="2">
        <f t="shared" ca="1" si="64"/>
        <v>20125.772666666668</v>
      </c>
      <c r="M173" s="12">
        <f t="shared" ca="1" si="65"/>
        <v>0.59311111111111114</v>
      </c>
      <c r="N173" s="2">
        <f t="shared" ca="1" si="66"/>
        <v>22582.291367321628</v>
      </c>
      <c r="O173" s="12">
        <f t="shared" ca="1" si="67"/>
        <v>0.78756363233765758</v>
      </c>
      <c r="P173" s="2">
        <f t="shared" ca="1" si="68"/>
        <v>1991.3888888888891</v>
      </c>
      <c r="Q173" s="12">
        <f t="shared" ca="1" si="69"/>
        <v>0.59311111111111137</v>
      </c>
      <c r="R173" s="2">
        <f t="shared" ca="1" si="70"/>
        <v>2234.4545404220721</v>
      </c>
      <c r="S173" s="12">
        <f t="shared" ca="1" si="71"/>
        <v>0.78756363233765769</v>
      </c>
      <c r="T173" s="2">
        <f t="shared" ca="1" si="72"/>
        <v>44234.323111111109</v>
      </c>
      <c r="U173" s="12">
        <f t="shared" ca="1" si="73"/>
        <v>0.59311111111111103</v>
      </c>
      <c r="V173" s="2">
        <f t="shared" ca="1" si="74"/>
        <v>49633.491815487403</v>
      </c>
      <c r="W173" s="12">
        <f t="shared" ca="1" si="75"/>
        <v>0.78756363233765769</v>
      </c>
      <c r="X173" s="8" t="s">
        <v>13</v>
      </c>
    </row>
    <row r="174" spans="1:24" ht="15.75" x14ac:dyDescent="0.3">
      <c r="A174" s="9">
        <v>43709</v>
      </c>
      <c r="B174" s="10">
        <f t="shared" si="57"/>
        <v>13883</v>
      </c>
      <c r="C174" s="10">
        <f t="shared" si="58"/>
        <v>12633</v>
      </c>
      <c r="D174" s="10">
        <v>1250</v>
      </c>
      <c r="E174" s="2">
        <f t="shared" si="79"/>
        <v>27766</v>
      </c>
      <c r="F174" s="12">
        <v>8.5000000000000006E-2</v>
      </c>
      <c r="G174" s="2">
        <f t="shared" ca="1" si="59"/>
        <v>82.733333333333334</v>
      </c>
      <c r="H174" s="2">
        <f t="shared" ca="1" si="60"/>
        <v>22018.823638888891</v>
      </c>
      <c r="I174" s="12">
        <f t="shared" ca="1" si="61"/>
        <v>0.58602777777777793</v>
      </c>
      <c r="J174" s="2">
        <f t="shared" ca="1" si="62"/>
        <v>24645.189214599504</v>
      </c>
      <c r="K174" s="12">
        <f t="shared" ca="1" si="63"/>
        <v>0.77520631092699732</v>
      </c>
      <c r="L174" s="2">
        <f t="shared" ca="1" si="64"/>
        <v>20036.288916666668</v>
      </c>
      <c r="M174" s="12">
        <f t="shared" ca="1" si="65"/>
        <v>0.58602777777777793</v>
      </c>
      <c r="N174" s="2">
        <f t="shared" ca="1" si="66"/>
        <v>22426.181325940757</v>
      </c>
      <c r="O174" s="12">
        <f t="shared" ca="1" si="67"/>
        <v>0.77520631092699732</v>
      </c>
      <c r="P174" s="2">
        <f t="shared" ca="1" si="68"/>
        <v>1982.5347222222222</v>
      </c>
      <c r="Q174" s="12">
        <f t="shared" ca="1" si="69"/>
        <v>0.5860277777777777</v>
      </c>
      <c r="R174" s="2">
        <f t="shared" ca="1" si="70"/>
        <v>2219.0078886587467</v>
      </c>
      <c r="S174" s="12">
        <f t="shared" ca="1" si="71"/>
        <v>0.77520631092699732</v>
      </c>
      <c r="T174" s="2">
        <f t="shared" ca="1" si="72"/>
        <v>44037.647277777782</v>
      </c>
      <c r="U174" s="12">
        <f t="shared" ca="1" si="73"/>
        <v>0.58602777777777793</v>
      </c>
      <c r="V174" s="2">
        <f t="shared" ca="1" si="74"/>
        <v>49290.378429199009</v>
      </c>
      <c r="W174" s="12">
        <f t="shared" ca="1" si="75"/>
        <v>0.77520631092699732</v>
      </c>
      <c r="X174" s="8" t="s">
        <v>13</v>
      </c>
    </row>
    <row r="175" spans="1:24" ht="15.75" x14ac:dyDescent="0.3">
      <c r="A175" s="9">
        <v>43739</v>
      </c>
      <c r="B175" s="10">
        <f t="shared" si="57"/>
        <v>13883</v>
      </c>
      <c r="C175" s="10">
        <f t="shared" si="58"/>
        <v>12633</v>
      </c>
      <c r="D175" s="10">
        <v>1250</v>
      </c>
      <c r="E175" s="2">
        <f t="shared" si="79"/>
        <v>27766</v>
      </c>
      <c r="F175" s="12">
        <v>8.5000000000000006E-2</v>
      </c>
      <c r="G175" s="2">
        <f t="shared" ca="1" si="59"/>
        <v>81.733333333333334</v>
      </c>
      <c r="H175" s="2">
        <f t="shared" ca="1" si="60"/>
        <v>21920.485722222224</v>
      </c>
      <c r="I175" s="12">
        <f t="shared" ca="1" si="61"/>
        <v>0.57894444444444459</v>
      </c>
      <c r="J175" s="2">
        <f t="shared" ca="1" si="62"/>
        <v>24474.818482703889</v>
      </c>
      <c r="K175" s="12">
        <f t="shared" ca="1" si="63"/>
        <v>0.7629344149466174</v>
      </c>
      <c r="L175" s="2">
        <f t="shared" ca="1" si="64"/>
        <v>19946.805166666669</v>
      </c>
      <c r="M175" s="12">
        <f t="shared" ca="1" si="65"/>
        <v>0.57894444444444459</v>
      </c>
      <c r="N175" s="2">
        <f t="shared" ca="1" si="66"/>
        <v>22271.150464020615</v>
      </c>
      <c r="O175" s="12">
        <f t="shared" ca="1" si="67"/>
        <v>0.76293441494661718</v>
      </c>
      <c r="P175" s="2">
        <f t="shared" ca="1" si="68"/>
        <v>1973.6805555555557</v>
      </c>
      <c r="Q175" s="12">
        <f t="shared" ca="1" si="69"/>
        <v>0.57894444444444448</v>
      </c>
      <c r="R175" s="2">
        <f t="shared" ca="1" si="70"/>
        <v>2203.6680186832718</v>
      </c>
      <c r="S175" s="12">
        <f t="shared" ca="1" si="71"/>
        <v>0.76293441494661751</v>
      </c>
      <c r="T175" s="2">
        <f t="shared" ca="1" si="72"/>
        <v>43840.971444444447</v>
      </c>
      <c r="U175" s="12">
        <f t="shared" ca="1" si="73"/>
        <v>0.57894444444444459</v>
      </c>
      <c r="V175" s="2">
        <f t="shared" ca="1" si="74"/>
        <v>48949.636965407779</v>
      </c>
      <c r="W175" s="12">
        <f t="shared" ca="1" si="75"/>
        <v>0.7629344149466174</v>
      </c>
      <c r="X175" s="8" t="s">
        <v>13</v>
      </c>
    </row>
    <row r="176" spans="1:24" ht="15.75" x14ac:dyDescent="0.3">
      <c r="A176" s="9">
        <v>43770</v>
      </c>
      <c r="B176" s="10">
        <f t="shared" si="57"/>
        <v>13883</v>
      </c>
      <c r="C176" s="10">
        <f t="shared" si="58"/>
        <v>12633</v>
      </c>
      <c r="D176" s="10">
        <v>1250</v>
      </c>
      <c r="E176" s="2">
        <f t="shared" si="79"/>
        <v>27766</v>
      </c>
      <c r="F176" s="12">
        <v>8.5000000000000006E-2</v>
      </c>
      <c r="G176" s="2">
        <f t="shared" ca="1" si="59"/>
        <v>80.733333333333334</v>
      </c>
      <c r="H176" s="2">
        <f t="shared" ca="1" si="60"/>
        <v>21822.147805555556</v>
      </c>
      <c r="I176" s="12">
        <f t="shared" ca="1" si="61"/>
        <v>0.57186111111111115</v>
      </c>
      <c r="J176" s="2">
        <f t="shared" ca="1" si="62"/>
        <v>24305.625513577059</v>
      </c>
      <c r="K176" s="12">
        <f t="shared" ca="1" si="63"/>
        <v>0.750747353855583</v>
      </c>
      <c r="L176" s="2">
        <f t="shared" ca="1" si="64"/>
        <v>19857.321416666666</v>
      </c>
      <c r="M176" s="12">
        <f t="shared" ca="1" si="65"/>
        <v>0.57186111111111104</v>
      </c>
      <c r="N176" s="2">
        <f t="shared" ca="1" si="66"/>
        <v>22117.191321257582</v>
      </c>
      <c r="O176" s="12">
        <f t="shared" ca="1" si="67"/>
        <v>0.75074735385558311</v>
      </c>
      <c r="P176" s="2">
        <f t="shared" ca="1" si="68"/>
        <v>1964.8263888888891</v>
      </c>
      <c r="Q176" s="12">
        <f t="shared" ca="1" si="69"/>
        <v>0.57186111111111126</v>
      </c>
      <c r="R176" s="2">
        <f t="shared" ca="1" si="70"/>
        <v>2188.4341923194788</v>
      </c>
      <c r="S176" s="12">
        <f t="shared" ca="1" si="71"/>
        <v>0.75074735385558311</v>
      </c>
      <c r="T176" s="2">
        <f t="shared" ca="1" si="72"/>
        <v>43644.295611111113</v>
      </c>
      <c r="U176" s="12">
        <f t="shared" ca="1" si="73"/>
        <v>0.57186111111111115</v>
      </c>
      <c r="V176" s="2">
        <f t="shared" ca="1" si="74"/>
        <v>48611.251027154118</v>
      </c>
      <c r="W176" s="12">
        <f t="shared" ca="1" si="75"/>
        <v>0.750747353855583</v>
      </c>
      <c r="X176" s="8" t="s">
        <v>13</v>
      </c>
    </row>
    <row r="177" spans="1:24" ht="15.75" x14ac:dyDescent="0.3">
      <c r="A177" s="9">
        <v>43800</v>
      </c>
      <c r="B177" s="10">
        <f t="shared" si="57"/>
        <v>13883</v>
      </c>
      <c r="C177" s="10">
        <f t="shared" si="58"/>
        <v>12633</v>
      </c>
      <c r="D177" s="10">
        <v>1250</v>
      </c>
      <c r="E177" s="2">
        <f t="shared" si="79"/>
        <v>27766</v>
      </c>
      <c r="F177" s="12">
        <v>8.5000000000000006E-2</v>
      </c>
      <c r="G177" s="2">
        <f t="shared" ca="1" si="59"/>
        <v>79.733333333333334</v>
      </c>
      <c r="H177" s="2">
        <f t="shared" ca="1" si="60"/>
        <v>21723.809888888889</v>
      </c>
      <c r="I177" s="12">
        <f t="shared" ca="1" si="61"/>
        <v>0.56477777777777782</v>
      </c>
      <c r="J177" s="2">
        <f t="shared" ca="1" si="62"/>
        <v>24137.602165414824</v>
      </c>
      <c r="K177" s="12">
        <f t="shared" ca="1" si="63"/>
        <v>0.73864454119533418</v>
      </c>
      <c r="L177" s="2">
        <f t="shared" ca="1" si="64"/>
        <v>19767.837666666666</v>
      </c>
      <c r="M177" s="12">
        <f t="shared" ca="1" si="65"/>
        <v>0.56477777777777771</v>
      </c>
      <c r="N177" s="2">
        <f t="shared" ca="1" si="66"/>
        <v>21964.296488920656</v>
      </c>
      <c r="O177" s="12">
        <f t="shared" ca="1" si="67"/>
        <v>0.73864454119533407</v>
      </c>
      <c r="P177" s="2">
        <f t="shared" ca="1" si="68"/>
        <v>1955.9722222222222</v>
      </c>
      <c r="Q177" s="12">
        <f t="shared" ca="1" si="69"/>
        <v>0.56477777777777771</v>
      </c>
      <c r="R177" s="2">
        <f t="shared" ca="1" si="70"/>
        <v>2173.3056764941675</v>
      </c>
      <c r="S177" s="12">
        <f t="shared" ca="1" si="71"/>
        <v>0.73864454119533407</v>
      </c>
      <c r="T177" s="2">
        <f t="shared" ca="1" si="72"/>
        <v>43447.619777777778</v>
      </c>
      <c r="U177" s="12">
        <f t="shared" ca="1" si="73"/>
        <v>0.56477777777777782</v>
      </c>
      <c r="V177" s="2">
        <f t="shared" ca="1" si="74"/>
        <v>48275.204330829649</v>
      </c>
      <c r="W177" s="12">
        <f t="shared" ca="1" si="75"/>
        <v>0.73864454119533418</v>
      </c>
      <c r="X177" s="8" t="s">
        <v>13</v>
      </c>
    </row>
    <row r="178" spans="1:24" ht="15.75" x14ac:dyDescent="0.3">
      <c r="A178" s="9">
        <v>43831</v>
      </c>
      <c r="B178" s="10">
        <f t="shared" si="57"/>
        <v>13883</v>
      </c>
      <c r="C178" s="10">
        <f t="shared" si="58"/>
        <v>12633</v>
      </c>
      <c r="D178" s="10">
        <v>1250</v>
      </c>
      <c r="E178" s="2">
        <f t="shared" si="79"/>
        <v>27766</v>
      </c>
      <c r="F178" s="12">
        <v>8.5000000000000006E-2</v>
      </c>
      <c r="G178" s="2">
        <f t="shared" ca="1" si="59"/>
        <v>78.733333333333334</v>
      </c>
      <c r="H178" s="2">
        <f t="shared" ca="1" si="60"/>
        <v>21625.471972222222</v>
      </c>
      <c r="I178" s="12">
        <f t="shared" ca="1" si="61"/>
        <v>0.55769444444444438</v>
      </c>
      <c r="J178" s="2">
        <f t="shared" ca="1" si="62"/>
        <v>23970.740352696797</v>
      </c>
      <c r="K178" s="12">
        <f t="shared" ca="1" si="63"/>
        <v>0.72662539456146347</v>
      </c>
      <c r="L178" s="2">
        <f t="shared" ca="1" si="64"/>
        <v>19678.353916666667</v>
      </c>
      <c r="M178" s="12">
        <f t="shared" ca="1" si="65"/>
        <v>0.55769444444444449</v>
      </c>
      <c r="N178" s="2">
        <f t="shared" ca="1" si="66"/>
        <v>21812.458609494966</v>
      </c>
      <c r="O178" s="12">
        <f t="shared" ca="1" si="67"/>
        <v>0.72662539456146336</v>
      </c>
      <c r="P178" s="2">
        <f t="shared" ca="1" si="68"/>
        <v>1947.1180555555557</v>
      </c>
      <c r="Q178" s="12">
        <f t="shared" ca="1" si="69"/>
        <v>0.55769444444444449</v>
      </c>
      <c r="R178" s="2">
        <f t="shared" ca="1" si="70"/>
        <v>2158.2817432018292</v>
      </c>
      <c r="S178" s="12">
        <f t="shared" ca="1" si="71"/>
        <v>0.72662539456146336</v>
      </c>
      <c r="T178" s="2">
        <f t="shared" ca="1" si="72"/>
        <v>43250.943944444443</v>
      </c>
      <c r="U178" s="12">
        <f t="shared" ca="1" si="73"/>
        <v>0.55769444444444438</v>
      </c>
      <c r="V178" s="2">
        <f t="shared" ca="1" si="74"/>
        <v>47941.480705393595</v>
      </c>
      <c r="W178" s="12">
        <f t="shared" ca="1" si="75"/>
        <v>0.72662539456146347</v>
      </c>
      <c r="X178" s="8" t="s">
        <v>13</v>
      </c>
    </row>
    <row r="179" spans="1:24" ht="15.75" x14ac:dyDescent="0.3">
      <c r="A179" s="9">
        <v>43862</v>
      </c>
      <c r="B179" s="10">
        <f t="shared" si="57"/>
        <v>13883</v>
      </c>
      <c r="C179" s="10">
        <f t="shared" si="58"/>
        <v>12633</v>
      </c>
      <c r="D179" s="10">
        <v>1250</v>
      </c>
      <c r="E179" s="2">
        <f t="shared" si="79"/>
        <v>27766</v>
      </c>
      <c r="F179" s="12">
        <v>8.5000000000000006E-2</v>
      </c>
      <c r="G179" s="2">
        <f t="shared" ca="1" si="59"/>
        <v>77.733333333333334</v>
      </c>
      <c r="H179" s="2">
        <f t="shared" ca="1" si="60"/>
        <v>21527.134055555554</v>
      </c>
      <c r="I179" s="12">
        <f t="shared" ca="1" si="61"/>
        <v>0.55061111111111105</v>
      </c>
      <c r="J179" s="2">
        <f t="shared" ca="1" si="62"/>
        <v>23805.032045797314</v>
      </c>
      <c r="K179" s="12">
        <f t="shared" ca="1" si="63"/>
        <v>0.7146893355756907</v>
      </c>
      <c r="L179" s="2">
        <f t="shared" ca="1" si="64"/>
        <v>19588.870166666668</v>
      </c>
      <c r="M179" s="12">
        <f t="shared" ca="1" si="65"/>
        <v>0.55061111111111116</v>
      </c>
      <c r="N179" s="2">
        <f t="shared" ca="1" si="66"/>
        <v>21661.6703763277</v>
      </c>
      <c r="O179" s="12">
        <f t="shared" ca="1" si="67"/>
        <v>0.7146893355756907</v>
      </c>
      <c r="P179" s="2">
        <f t="shared" ca="1" si="68"/>
        <v>1938.2638888888891</v>
      </c>
      <c r="Q179" s="12">
        <f t="shared" ca="1" si="69"/>
        <v>0.55061111111111127</v>
      </c>
      <c r="R179" s="2">
        <f t="shared" ca="1" si="70"/>
        <v>2143.3616694696134</v>
      </c>
      <c r="S179" s="12">
        <f t="shared" ca="1" si="71"/>
        <v>0.7146893355756907</v>
      </c>
      <c r="T179" s="2">
        <f t="shared" ca="1" si="72"/>
        <v>43054.268111111109</v>
      </c>
      <c r="U179" s="12">
        <f t="shared" ca="1" si="73"/>
        <v>0.55061111111111105</v>
      </c>
      <c r="V179" s="2">
        <f t="shared" ca="1" si="74"/>
        <v>47610.064091594628</v>
      </c>
      <c r="W179" s="12">
        <f t="shared" ca="1" si="75"/>
        <v>0.7146893355756907</v>
      </c>
      <c r="X179" s="8" t="s">
        <v>13</v>
      </c>
    </row>
    <row r="180" spans="1:24" ht="15.75" x14ac:dyDescent="0.3">
      <c r="A180" s="9">
        <v>43891</v>
      </c>
      <c r="B180" s="10">
        <f t="shared" si="57"/>
        <v>13883</v>
      </c>
      <c r="C180" s="10">
        <f t="shared" si="58"/>
        <v>12633</v>
      </c>
      <c r="D180" s="10">
        <v>1250</v>
      </c>
      <c r="E180" s="2">
        <f t="shared" si="79"/>
        <v>27766</v>
      </c>
      <c r="F180" s="12">
        <v>8.5000000000000006E-2</v>
      </c>
      <c r="G180" s="2">
        <f t="shared" ca="1" si="59"/>
        <v>76.733333333333334</v>
      </c>
      <c r="H180" s="2">
        <f t="shared" ca="1" si="60"/>
        <v>21428.796138888891</v>
      </c>
      <c r="I180" s="12">
        <f t="shared" ca="1" si="61"/>
        <v>0.54352777777777794</v>
      </c>
      <c r="J180" s="2">
        <f t="shared" ca="1" si="62"/>
        <v>23640.469270599042</v>
      </c>
      <c r="K180" s="12">
        <f t="shared" ca="1" si="63"/>
        <v>0.70283578985803086</v>
      </c>
      <c r="L180" s="2">
        <f t="shared" ca="1" si="64"/>
        <v>19499.386416666668</v>
      </c>
      <c r="M180" s="12">
        <f t="shared" ca="1" si="65"/>
        <v>0.54352777777777794</v>
      </c>
      <c r="N180" s="2">
        <f t="shared" ca="1" si="66"/>
        <v>21511.924533276502</v>
      </c>
      <c r="O180" s="12">
        <f t="shared" ca="1" si="67"/>
        <v>0.70283578985803075</v>
      </c>
      <c r="P180" s="2">
        <f t="shared" ca="1" si="68"/>
        <v>1929.4097222222222</v>
      </c>
      <c r="Q180" s="12">
        <f t="shared" ca="1" si="69"/>
        <v>0.54352777777777772</v>
      </c>
      <c r="R180" s="2">
        <f t="shared" ca="1" si="70"/>
        <v>2128.5447373225384</v>
      </c>
      <c r="S180" s="12">
        <f t="shared" ca="1" si="71"/>
        <v>0.70283578985803075</v>
      </c>
      <c r="T180" s="2">
        <f t="shared" ca="1" si="72"/>
        <v>42857.592277777781</v>
      </c>
      <c r="U180" s="12">
        <f t="shared" ca="1" si="73"/>
        <v>0.54352777777777794</v>
      </c>
      <c r="V180" s="2">
        <f t="shared" ca="1" si="74"/>
        <v>47280.938541198084</v>
      </c>
      <c r="W180" s="12">
        <f t="shared" ca="1" si="75"/>
        <v>0.70283578985803086</v>
      </c>
      <c r="X180" s="8" t="s">
        <v>13</v>
      </c>
    </row>
    <row r="181" spans="1:24" ht="15.75" x14ac:dyDescent="0.3">
      <c r="A181" s="9">
        <v>43922</v>
      </c>
      <c r="B181" s="10">
        <f t="shared" si="57"/>
        <v>13883</v>
      </c>
      <c r="C181" s="10">
        <f t="shared" si="58"/>
        <v>12633</v>
      </c>
      <c r="D181" s="10">
        <v>1250</v>
      </c>
      <c r="E181" s="2">
        <f t="shared" si="79"/>
        <v>27766</v>
      </c>
      <c r="F181" s="12">
        <v>8.5000000000000006E-2</v>
      </c>
      <c r="G181" s="2">
        <f t="shared" ca="1" si="59"/>
        <v>75.733333333333334</v>
      </c>
      <c r="H181" s="2">
        <f t="shared" ca="1" si="60"/>
        <v>21330.458222222223</v>
      </c>
      <c r="I181" s="12">
        <f t="shared" ca="1" si="61"/>
        <v>0.5364444444444445</v>
      </c>
      <c r="J181" s="2">
        <f t="shared" ca="1" si="62"/>
        <v>23477.044108109247</v>
      </c>
      <c r="K181" s="12">
        <f t="shared" ca="1" si="63"/>
        <v>0.6910641869991534</v>
      </c>
      <c r="L181" s="2">
        <f t="shared" ca="1" si="64"/>
        <v>19409.902666666669</v>
      </c>
      <c r="M181" s="12">
        <f t="shared" ca="1" si="65"/>
        <v>0.53644444444444461</v>
      </c>
      <c r="N181" s="2">
        <f t="shared" ca="1" si="66"/>
        <v>21363.213874360306</v>
      </c>
      <c r="O181" s="12">
        <f t="shared" ca="1" si="67"/>
        <v>0.69106418699915351</v>
      </c>
      <c r="P181" s="2">
        <f t="shared" ca="1" si="68"/>
        <v>1920.5555555555557</v>
      </c>
      <c r="Q181" s="12">
        <f t="shared" ca="1" si="69"/>
        <v>0.5364444444444445</v>
      </c>
      <c r="R181" s="2">
        <f t="shared" ca="1" si="70"/>
        <v>2113.8302337489417</v>
      </c>
      <c r="S181" s="12">
        <f t="shared" ca="1" si="71"/>
        <v>0.6910641869991534</v>
      </c>
      <c r="T181" s="2">
        <f t="shared" ca="1" si="72"/>
        <v>42660.916444444447</v>
      </c>
      <c r="U181" s="12">
        <f t="shared" ca="1" si="73"/>
        <v>0.5364444444444445</v>
      </c>
      <c r="V181" s="2">
        <f t="shared" ca="1" si="74"/>
        <v>46954.088216218493</v>
      </c>
      <c r="W181" s="12">
        <f t="shared" ca="1" si="75"/>
        <v>0.6910641869991534</v>
      </c>
      <c r="X181" s="8" t="s">
        <v>13</v>
      </c>
    </row>
    <row r="182" spans="1:24" ht="15.75" x14ac:dyDescent="0.3">
      <c r="A182" s="9">
        <v>43952</v>
      </c>
      <c r="B182" s="10">
        <f t="shared" si="57"/>
        <v>13883</v>
      </c>
      <c r="C182" s="10">
        <f t="shared" si="58"/>
        <v>12633</v>
      </c>
      <c r="D182" s="10">
        <v>1250</v>
      </c>
      <c r="E182" s="2">
        <f t="shared" si="79"/>
        <v>27766</v>
      </c>
      <c r="F182" s="12">
        <v>8.5000000000000006E-2</v>
      </c>
      <c r="G182" s="2">
        <f t="shared" ca="1" si="59"/>
        <v>74.733333333333334</v>
      </c>
      <c r="H182" s="2">
        <f t="shared" ca="1" si="60"/>
        <v>21232.120305555556</v>
      </c>
      <c r="I182" s="12">
        <f t="shared" ca="1" si="61"/>
        <v>0.52936111111111117</v>
      </c>
      <c r="J182" s="2">
        <f t="shared" ca="1" si="62"/>
        <v>23314.748694078713</v>
      </c>
      <c r="K182" s="12">
        <f t="shared" ca="1" si="63"/>
        <v>0.67937396053293331</v>
      </c>
      <c r="L182" s="2">
        <f t="shared" ca="1" si="64"/>
        <v>19320.418916666666</v>
      </c>
      <c r="M182" s="12">
        <f t="shared" ca="1" si="65"/>
        <v>0.52936111111111106</v>
      </c>
      <c r="N182" s="2">
        <f t="shared" ca="1" si="66"/>
        <v>21215.531243412548</v>
      </c>
      <c r="O182" s="12">
        <f t="shared" ca="1" si="67"/>
        <v>0.67937396053293342</v>
      </c>
      <c r="P182" s="2">
        <f t="shared" ca="1" si="68"/>
        <v>1911.7013888888891</v>
      </c>
      <c r="Q182" s="12">
        <f t="shared" ca="1" si="69"/>
        <v>0.52936111111111128</v>
      </c>
      <c r="R182" s="2">
        <f t="shared" ca="1" si="70"/>
        <v>2099.2174506661668</v>
      </c>
      <c r="S182" s="12">
        <f t="shared" ca="1" si="71"/>
        <v>0.67937396053293342</v>
      </c>
      <c r="T182" s="2">
        <f t="shared" ca="1" si="72"/>
        <v>42464.240611111112</v>
      </c>
      <c r="U182" s="12">
        <f t="shared" ca="1" si="73"/>
        <v>0.52936111111111117</v>
      </c>
      <c r="V182" s="2">
        <f t="shared" ca="1" si="74"/>
        <v>46629.497388157426</v>
      </c>
      <c r="W182" s="12">
        <f t="shared" ca="1" si="75"/>
        <v>0.67937396053293331</v>
      </c>
      <c r="X182" s="8" t="s">
        <v>13</v>
      </c>
    </row>
    <row r="183" spans="1:24" ht="15.75" x14ac:dyDescent="0.3">
      <c r="A183" s="9">
        <v>43983</v>
      </c>
      <c r="B183" s="10">
        <f t="shared" si="57"/>
        <v>11569</v>
      </c>
      <c r="C183" s="10">
        <f t="shared" si="58"/>
        <v>10319</v>
      </c>
      <c r="D183" s="10">
        <v>1250</v>
      </c>
      <c r="E183" s="2">
        <f>11569*2</f>
        <v>23138</v>
      </c>
      <c r="F183" s="12">
        <v>8.5000000000000006E-2</v>
      </c>
      <c r="G183" s="2">
        <f t="shared" ca="1" si="59"/>
        <v>73.733333333333334</v>
      </c>
      <c r="H183" s="2">
        <f t="shared" ca="1" si="60"/>
        <v>17611.23161111111</v>
      </c>
      <c r="I183" s="12">
        <f t="shared" ca="1" si="61"/>
        <v>0.52227777777777773</v>
      </c>
      <c r="J183" s="2">
        <f t="shared" ca="1" si="62"/>
        <v>19294.36805476146</v>
      </c>
      <c r="K183" s="12">
        <f t="shared" ca="1" si="63"/>
        <v>0.6677645479091936</v>
      </c>
      <c r="L183" s="2">
        <f t="shared" ca="1" si="64"/>
        <v>15708.384388888888</v>
      </c>
      <c r="M183" s="12">
        <f t="shared" ca="1" si="65"/>
        <v>0.52227777777777762</v>
      </c>
      <c r="N183" s="2">
        <f t="shared" ca="1" si="66"/>
        <v>17209.662369874968</v>
      </c>
      <c r="O183" s="12">
        <f t="shared" ca="1" si="67"/>
        <v>0.66776454790919348</v>
      </c>
      <c r="P183" s="2">
        <f t="shared" ca="1" si="68"/>
        <v>1902.8472222222222</v>
      </c>
      <c r="Q183" s="12">
        <f t="shared" ca="1" si="69"/>
        <v>0.52227777777777773</v>
      </c>
      <c r="R183" s="2">
        <f t="shared" ca="1" si="70"/>
        <v>2084.7056848864918</v>
      </c>
      <c r="S183" s="12">
        <f t="shared" ca="1" si="71"/>
        <v>0.66776454790919337</v>
      </c>
      <c r="T183" s="2">
        <f t="shared" ca="1" si="72"/>
        <v>35222.463222222221</v>
      </c>
      <c r="U183" s="12">
        <f t="shared" ca="1" si="73"/>
        <v>0.52227777777777773</v>
      </c>
      <c r="V183" s="2">
        <f t="shared" ca="1" si="74"/>
        <v>38588.736109522921</v>
      </c>
      <c r="W183" s="12">
        <f t="shared" ca="1" si="75"/>
        <v>0.6677645479091936</v>
      </c>
      <c r="X183" s="8" t="s">
        <v>13</v>
      </c>
    </row>
    <row r="184" spans="1:24" ht="15.75" x14ac:dyDescent="0.3">
      <c r="A184" s="9">
        <v>44013</v>
      </c>
      <c r="B184" s="10">
        <f t="shared" si="57"/>
        <v>11569</v>
      </c>
      <c r="C184" s="10">
        <f t="shared" si="58"/>
        <v>10319</v>
      </c>
      <c r="D184" s="10">
        <v>1250</v>
      </c>
      <c r="E184" s="2">
        <f>11569*2</f>
        <v>23138</v>
      </c>
      <c r="F184" s="12">
        <v>8.5000000000000006E-2</v>
      </c>
      <c r="G184" s="2">
        <f t="shared" ca="1" si="59"/>
        <v>72.733333333333334</v>
      </c>
      <c r="H184" s="2">
        <f t="shared" ca="1" si="60"/>
        <v>17529.284527777778</v>
      </c>
      <c r="I184" s="12">
        <f t="shared" ca="1" si="61"/>
        <v>0.5151944444444444</v>
      </c>
      <c r="J184" s="2">
        <f t="shared" ca="1" si="62"/>
        <v>19160.98723230846</v>
      </c>
      <c r="K184" s="12">
        <f t="shared" ca="1" si="63"/>
        <v>0.65623539046663149</v>
      </c>
      <c r="L184" s="2">
        <f t="shared" ca="1" si="64"/>
        <v>15635.291472222223</v>
      </c>
      <c r="M184" s="12">
        <f t="shared" ca="1" si="65"/>
        <v>0.51519444444444451</v>
      </c>
      <c r="N184" s="2">
        <f t="shared" ca="1" si="66"/>
        <v>17090.69299422517</v>
      </c>
      <c r="O184" s="12">
        <f t="shared" ca="1" si="67"/>
        <v>0.65623539046663149</v>
      </c>
      <c r="P184" s="2">
        <f t="shared" ca="1" si="68"/>
        <v>1893.9930555555557</v>
      </c>
      <c r="Q184" s="12">
        <f t="shared" ca="1" si="69"/>
        <v>0.51519444444444451</v>
      </c>
      <c r="R184" s="2">
        <f t="shared" ca="1" si="70"/>
        <v>2070.2942380832897</v>
      </c>
      <c r="S184" s="12">
        <f t="shared" ca="1" si="71"/>
        <v>0.65623539046663171</v>
      </c>
      <c r="T184" s="2">
        <f t="shared" ca="1" si="72"/>
        <v>35058.569055555556</v>
      </c>
      <c r="U184" s="12">
        <f t="shared" ca="1" si="73"/>
        <v>0.5151944444444444</v>
      </c>
      <c r="V184" s="2">
        <f t="shared" ca="1" si="74"/>
        <v>38321.97446461692</v>
      </c>
      <c r="W184" s="12">
        <f t="shared" ca="1" si="75"/>
        <v>0.65623539046663149</v>
      </c>
      <c r="X184" s="8" t="s">
        <v>13</v>
      </c>
    </row>
    <row r="185" spans="1:24" ht="15.75" x14ac:dyDescent="0.3">
      <c r="A185" s="9">
        <v>44044</v>
      </c>
      <c r="B185" s="10">
        <f t="shared" si="57"/>
        <v>11569</v>
      </c>
      <c r="C185" s="10">
        <f t="shared" si="58"/>
        <v>10319</v>
      </c>
      <c r="D185" s="10">
        <v>1250</v>
      </c>
      <c r="E185" s="2">
        <f>11569*2</f>
        <v>23138</v>
      </c>
      <c r="F185" s="12">
        <v>8.5000000000000006E-2</v>
      </c>
      <c r="G185" s="2">
        <f t="shared" ca="1" si="59"/>
        <v>71.733333333333334</v>
      </c>
      <c r="H185" s="2">
        <f t="shared" ca="1" si="60"/>
        <v>17447.337444444445</v>
      </c>
      <c r="I185" s="12">
        <f t="shared" ca="1" si="61"/>
        <v>0.50811111111111118</v>
      </c>
      <c r="J185" s="2">
        <f t="shared" ca="1" si="62"/>
        <v>19028.528463573301</v>
      </c>
      <c r="K185" s="12">
        <f t="shared" ca="1" si="63"/>
        <v>0.64478593340593837</v>
      </c>
      <c r="L185" s="2">
        <f t="shared" ca="1" si="64"/>
        <v>15562.198555555555</v>
      </c>
      <c r="M185" s="12">
        <f t="shared" ca="1" si="65"/>
        <v>0.50811111111111107</v>
      </c>
      <c r="N185" s="2">
        <f t="shared" ca="1" si="66"/>
        <v>16972.546046815878</v>
      </c>
      <c r="O185" s="12">
        <f t="shared" ca="1" si="67"/>
        <v>0.64478593340593837</v>
      </c>
      <c r="P185" s="2">
        <f t="shared" ca="1" si="68"/>
        <v>1885.1388888888891</v>
      </c>
      <c r="Q185" s="12">
        <f t="shared" ca="1" si="69"/>
        <v>0.50811111111111129</v>
      </c>
      <c r="R185" s="2">
        <f t="shared" ca="1" si="70"/>
        <v>2055.9824167574229</v>
      </c>
      <c r="S185" s="12">
        <f t="shared" ca="1" si="71"/>
        <v>0.64478593340593837</v>
      </c>
      <c r="T185" s="2">
        <f t="shared" ca="1" si="72"/>
        <v>34894.674888888891</v>
      </c>
      <c r="U185" s="12">
        <f t="shared" ca="1" si="73"/>
        <v>0.50811111111111118</v>
      </c>
      <c r="V185" s="2">
        <f t="shared" ca="1" si="74"/>
        <v>38057.056927146601</v>
      </c>
      <c r="W185" s="12">
        <f t="shared" ca="1" si="75"/>
        <v>0.64478593340593837</v>
      </c>
      <c r="X185" s="8" t="s">
        <v>13</v>
      </c>
    </row>
    <row r="186" spans="1:24" ht="15.75" x14ac:dyDescent="0.3">
      <c r="A186" s="9">
        <v>44075</v>
      </c>
      <c r="B186" s="10">
        <f t="shared" si="57"/>
        <v>13883</v>
      </c>
      <c r="C186" s="10">
        <f t="shared" si="58"/>
        <v>12633</v>
      </c>
      <c r="D186" s="10">
        <v>1250</v>
      </c>
      <c r="E186" s="2">
        <f t="shared" ref="E186:E193" si="80">13883*2</f>
        <v>27766</v>
      </c>
      <c r="F186" s="12">
        <v>8.5000000000000006E-2</v>
      </c>
      <c r="G186" s="2">
        <f t="shared" ca="1" si="59"/>
        <v>70.733333333333334</v>
      </c>
      <c r="H186" s="2">
        <f t="shared" ca="1" si="60"/>
        <v>20838.768638888891</v>
      </c>
      <c r="I186" s="12">
        <f t="shared" ca="1" si="61"/>
        <v>0.50102777777777785</v>
      </c>
      <c r="J186" s="2">
        <f t="shared" ca="1" si="62"/>
        <v>22676.709132469106</v>
      </c>
      <c r="K186" s="12">
        <f t="shared" ca="1" si="63"/>
        <v>0.63341562576309918</v>
      </c>
      <c r="L186" s="2">
        <f t="shared" ca="1" si="64"/>
        <v>18962.483916666668</v>
      </c>
      <c r="M186" s="12">
        <f t="shared" ca="1" si="65"/>
        <v>0.50102777777777785</v>
      </c>
      <c r="N186" s="2">
        <f t="shared" ca="1" si="66"/>
        <v>20634.939600265232</v>
      </c>
      <c r="O186" s="12">
        <f t="shared" ca="1" si="67"/>
        <v>0.63341562576309918</v>
      </c>
      <c r="P186" s="2">
        <f t="shared" ca="1" si="68"/>
        <v>1876.2847222222222</v>
      </c>
      <c r="Q186" s="12">
        <f t="shared" ca="1" si="69"/>
        <v>0.50102777777777774</v>
      </c>
      <c r="R186" s="2">
        <f t="shared" ca="1" si="70"/>
        <v>2041.769532203874</v>
      </c>
      <c r="S186" s="12">
        <f t="shared" ca="1" si="71"/>
        <v>0.63341562576309918</v>
      </c>
      <c r="T186" s="2">
        <f t="shared" ca="1" si="72"/>
        <v>41677.537277777781</v>
      </c>
      <c r="U186" s="12">
        <f t="shared" ca="1" si="73"/>
        <v>0.50102777777777785</v>
      </c>
      <c r="V186" s="2">
        <f t="shared" ca="1" si="74"/>
        <v>45353.418264938213</v>
      </c>
      <c r="W186" s="12">
        <f t="shared" ca="1" si="75"/>
        <v>0.63341562576309918</v>
      </c>
      <c r="X186" s="8" t="s">
        <v>13</v>
      </c>
    </row>
    <row r="187" spans="1:24" ht="15.75" x14ac:dyDescent="0.3">
      <c r="A187" s="9">
        <v>44105</v>
      </c>
      <c r="B187" s="10">
        <f t="shared" si="57"/>
        <v>13883</v>
      </c>
      <c r="C187" s="10">
        <f t="shared" si="58"/>
        <v>12633</v>
      </c>
      <c r="D187" s="10">
        <v>1250</v>
      </c>
      <c r="E187" s="2">
        <f t="shared" si="80"/>
        <v>27766</v>
      </c>
      <c r="F187" s="12">
        <v>8.5000000000000006E-2</v>
      </c>
      <c r="G187" s="2">
        <f t="shared" ca="1" si="59"/>
        <v>69.733333333333334</v>
      </c>
      <c r="H187" s="2">
        <f t="shared" ca="1" si="60"/>
        <v>20740.430722222223</v>
      </c>
      <c r="I187" s="12">
        <f t="shared" ca="1" si="61"/>
        <v>0.49394444444444452</v>
      </c>
      <c r="J187" s="2">
        <f t="shared" ca="1" si="62"/>
        <v>22519.946386675532</v>
      </c>
      <c r="K187" s="12">
        <f t="shared" ca="1" si="63"/>
        <v>0.62212392038288067</v>
      </c>
      <c r="L187" s="2">
        <f t="shared" ca="1" si="64"/>
        <v>18873.000166666669</v>
      </c>
      <c r="M187" s="12">
        <f t="shared" ca="1" si="65"/>
        <v>0.49394444444444457</v>
      </c>
      <c r="N187" s="2">
        <f t="shared" ca="1" si="66"/>
        <v>20492.291486196933</v>
      </c>
      <c r="O187" s="12">
        <f t="shared" ca="1" si="67"/>
        <v>0.62212392038288078</v>
      </c>
      <c r="P187" s="2">
        <f t="shared" ca="1" si="68"/>
        <v>1867.4305555555557</v>
      </c>
      <c r="Q187" s="12">
        <f t="shared" ca="1" si="69"/>
        <v>0.49394444444444452</v>
      </c>
      <c r="R187" s="2">
        <f t="shared" ca="1" si="70"/>
        <v>2027.6549004786009</v>
      </c>
      <c r="S187" s="12">
        <f t="shared" ca="1" si="71"/>
        <v>0.62212392038288067</v>
      </c>
      <c r="T187" s="2">
        <f t="shared" ca="1" si="72"/>
        <v>41480.861444444447</v>
      </c>
      <c r="U187" s="12">
        <f t="shared" ca="1" si="73"/>
        <v>0.49394444444444452</v>
      </c>
      <c r="V187" s="2">
        <f t="shared" ca="1" si="74"/>
        <v>45039.892773351065</v>
      </c>
      <c r="W187" s="12">
        <f t="shared" ca="1" si="75"/>
        <v>0.62212392038288067</v>
      </c>
      <c r="X187" s="8" t="s">
        <v>13</v>
      </c>
    </row>
    <row r="188" spans="1:24" ht="15.75" x14ac:dyDescent="0.3">
      <c r="A188" s="9">
        <v>44136</v>
      </c>
      <c r="B188" s="10">
        <f t="shared" si="57"/>
        <v>13883</v>
      </c>
      <c r="C188" s="10">
        <f t="shared" si="58"/>
        <v>12633</v>
      </c>
      <c r="D188" s="10">
        <v>1250</v>
      </c>
      <c r="E188" s="2">
        <f t="shared" si="80"/>
        <v>27766</v>
      </c>
      <c r="F188" s="12">
        <v>8.5000000000000006E-2</v>
      </c>
      <c r="G188" s="2">
        <f t="shared" ca="1" si="59"/>
        <v>68.733333333333334</v>
      </c>
      <c r="H188" s="2">
        <f t="shared" ca="1" si="60"/>
        <v>20642.092805555556</v>
      </c>
      <c r="I188" s="12">
        <f t="shared" ca="1" si="61"/>
        <v>0.48686111111111113</v>
      </c>
      <c r="J188" s="2">
        <f t="shared" ca="1" si="62"/>
        <v>22364.267332449606</v>
      </c>
      <c r="K188" s="12">
        <f t="shared" ca="1" si="63"/>
        <v>0.61091027389250208</v>
      </c>
      <c r="L188" s="2">
        <f t="shared" ca="1" si="64"/>
        <v>18783.516416666665</v>
      </c>
      <c r="M188" s="12">
        <f t="shared" ca="1" si="65"/>
        <v>0.48686111111111102</v>
      </c>
      <c r="N188" s="2">
        <f t="shared" ca="1" si="66"/>
        <v>20350.629490083978</v>
      </c>
      <c r="O188" s="12">
        <f t="shared" ca="1" si="67"/>
        <v>0.61091027389250208</v>
      </c>
      <c r="P188" s="2">
        <f t="shared" ca="1" si="68"/>
        <v>1858.5763888888891</v>
      </c>
      <c r="Q188" s="12">
        <f t="shared" ca="1" si="69"/>
        <v>0.4868611111111113</v>
      </c>
      <c r="R188" s="2">
        <f t="shared" ca="1" si="70"/>
        <v>2013.6378423656276</v>
      </c>
      <c r="S188" s="12">
        <f t="shared" ca="1" si="71"/>
        <v>0.61091027389250208</v>
      </c>
      <c r="T188" s="2">
        <f t="shared" ca="1" si="72"/>
        <v>41284.185611111112</v>
      </c>
      <c r="U188" s="12">
        <f t="shared" ca="1" si="73"/>
        <v>0.48686111111111113</v>
      </c>
      <c r="V188" s="2">
        <f t="shared" ca="1" si="74"/>
        <v>44728.534664899213</v>
      </c>
      <c r="W188" s="12">
        <f t="shared" ca="1" si="75"/>
        <v>0.61091027389250208</v>
      </c>
      <c r="X188" s="8" t="s">
        <v>13</v>
      </c>
    </row>
    <row r="189" spans="1:24" ht="15.75" x14ac:dyDescent="0.3">
      <c r="A189" s="9">
        <v>44166</v>
      </c>
      <c r="B189" s="10">
        <f t="shared" si="57"/>
        <v>13883</v>
      </c>
      <c r="C189" s="10">
        <f t="shared" si="58"/>
        <v>12633</v>
      </c>
      <c r="D189" s="10">
        <v>1250</v>
      </c>
      <c r="E189" s="2">
        <f t="shared" si="80"/>
        <v>27766</v>
      </c>
      <c r="F189" s="12">
        <v>8.5000000000000006E-2</v>
      </c>
      <c r="G189" s="2">
        <f t="shared" ca="1" si="59"/>
        <v>67.733333333333334</v>
      </c>
      <c r="H189" s="2">
        <f t="shared" ca="1" si="60"/>
        <v>20543.754888888889</v>
      </c>
      <c r="I189" s="12">
        <f t="shared" ca="1" si="61"/>
        <v>0.47977777777777775</v>
      </c>
      <c r="J189" s="2">
        <f t="shared" ca="1" si="62"/>
        <v>22209.664478295766</v>
      </c>
      <c r="K189" s="12">
        <f t="shared" ca="1" si="63"/>
        <v>0.59977414667548556</v>
      </c>
      <c r="L189" s="2">
        <f t="shared" ca="1" si="64"/>
        <v>18694.032666666666</v>
      </c>
      <c r="M189" s="12">
        <f t="shared" ca="1" si="65"/>
        <v>0.47977777777777775</v>
      </c>
      <c r="N189" s="2">
        <f t="shared" ca="1" si="66"/>
        <v>20209.946794951407</v>
      </c>
      <c r="O189" s="12">
        <f t="shared" ca="1" si="67"/>
        <v>0.59977414667548545</v>
      </c>
      <c r="P189" s="2">
        <f t="shared" ca="1" si="68"/>
        <v>1849.7222222222222</v>
      </c>
      <c r="Q189" s="12">
        <f t="shared" ca="1" si="69"/>
        <v>0.47977777777777775</v>
      </c>
      <c r="R189" s="2">
        <f t="shared" ca="1" si="70"/>
        <v>1999.7176833443571</v>
      </c>
      <c r="S189" s="12">
        <f t="shared" ca="1" si="71"/>
        <v>0.59977414667548568</v>
      </c>
      <c r="T189" s="2">
        <f t="shared" ca="1" si="72"/>
        <v>41087.509777777777</v>
      </c>
      <c r="U189" s="12">
        <f t="shared" ca="1" si="73"/>
        <v>0.47977777777777775</v>
      </c>
      <c r="V189" s="2">
        <f t="shared" ca="1" si="74"/>
        <v>44419.328956591533</v>
      </c>
      <c r="W189" s="12">
        <f t="shared" ca="1" si="75"/>
        <v>0.59977414667548556</v>
      </c>
      <c r="X189" s="8" t="s">
        <v>13</v>
      </c>
    </row>
    <row r="190" spans="1:24" ht="15.75" x14ac:dyDescent="0.3">
      <c r="A190" s="9">
        <v>44197</v>
      </c>
      <c r="B190" s="10">
        <f t="shared" si="57"/>
        <v>13883</v>
      </c>
      <c r="C190" s="10">
        <f t="shared" si="58"/>
        <v>12633</v>
      </c>
      <c r="D190" s="10">
        <v>1250</v>
      </c>
      <c r="E190" s="2">
        <f t="shared" si="80"/>
        <v>27766</v>
      </c>
      <c r="F190" s="12">
        <v>8.5000000000000006E-2</v>
      </c>
      <c r="G190" s="2">
        <f t="shared" ca="1" si="59"/>
        <v>66.733333333333334</v>
      </c>
      <c r="H190" s="2">
        <f t="shared" ca="1" si="60"/>
        <v>20445.416972222221</v>
      </c>
      <c r="I190" s="12">
        <f t="shared" ca="1" si="61"/>
        <v>0.47269444444444436</v>
      </c>
      <c r="J190" s="2">
        <f t="shared" ca="1" si="62"/>
        <v>22056.130384506712</v>
      </c>
      <c r="K190" s="12">
        <f t="shared" ca="1" si="63"/>
        <v>0.58871500284568989</v>
      </c>
      <c r="L190" s="2">
        <f t="shared" ca="1" si="64"/>
        <v>18604.548916666667</v>
      </c>
      <c r="M190" s="12">
        <f t="shared" ca="1" si="65"/>
        <v>0.47269444444444442</v>
      </c>
      <c r="N190" s="2">
        <f t="shared" ca="1" si="66"/>
        <v>20070.236630949599</v>
      </c>
      <c r="O190" s="12">
        <f t="shared" ca="1" si="67"/>
        <v>0.58871500284568978</v>
      </c>
      <c r="P190" s="2">
        <f t="shared" ca="1" si="68"/>
        <v>1840.8680555555557</v>
      </c>
      <c r="Q190" s="12">
        <f t="shared" ca="1" si="69"/>
        <v>0.47269444444444453</v>
      </c>
      <c r="R190" s="2">
        <f t="shared" ca="1" si="70"/>
        <v>1985.8937535571122</v>
      </c>
      <c r="S190" s="12">
        <f t="shared" ca="1" si="71"/>
        <v>0.58871500284568978</v>
      </c>
      <c r="T190" s="2">
        <f t="shared" ca="1" si="72"/>
        <v>40890.833944444443</v>
      </c>
      <c r="U190" s="12">
        <f t="shared" ca="1" si="73"/>
        <v>0.47269444444444436</v>
      </c>
      <c r="V190" s="2">
        <f t="shared" ca="1" si="74"/>
        <v>44112.260769013425</v>
      </c>
      <c r="W190" s="12">
        <f t="shared" ca="1" si="75"/>
        <v>0.58871500284568989</v>
      </c>
      <c r="X190" s="8" t="s">
        <v>13</v>
      </c>
    </row>
    <row r="191" spans="1:24" ht="15.75" x14ac:dyDescent="0.3">
      <c r="A191" s="9">
        <v>44228</v>
      </c>
      <c r="B191" s="10">
        <f t="shared" si="57"/>
        <v>13883</v>
      </c>
      <c r="C191" s="10">
        <f t="shared" si="58"/>
        <v>12633</v>
      </c>
      <c r="D191" s="10">
        <v>1250</v>
      </c>
      <c r="E191" s="2">
        <f t="shared" si="80"/>
        <v>27766</v>
      </c>
      <c r="F191" s="12">
        <v>8.5000000000000006E-2</v>
      </c>
      <c r="G191" s="2">
        <f t="shared" ca="1" si="59"/>
        <v>65.733333333333334</v>
      </c>
      <c r="H191" s="2">
        <f t="shared" ca="1" si="60"/>
        <v>20347.079055555558</v>
      </c>
      <c r="I191" s="12">
        <f t="shared" ca="1" si="61"/>
        <v>0.46561111111111125</v>
      </c>
      <c r="J191" s="2">
        <f t="shared" ca="1" si="62"/>
        <v>21903.657662805414</v>
      </c>
      <c r="K191" s="12">
        <f t="shared" ca="1" si="63"/>
        <v>0.57773231022152371</v>
      </c>
      <c r="L191" s="2">
        <f t="shared" ca="1" si="64"/>
        <v>18515.065166666667</v>
      </c>
      <c r="M191" s="12">
        <f t="shared" ca="1" si="65"/>
        <v>0.46561111111111114</v>
      </c>
      <c r="N191" s="2">
        <f t="shared" ca="1" si="66"/>
        <v>19931.492275028508</v>
      </c>
      <c r="O191" s="12">
        <f t="shared" ca="1" si="67"/>
        <v>0.5777323102215236</v>
      </c>
      <c r="P191" s="2">
        <f t="shared" ca="1" si="68"/>
        <v>1832.0138888888891</v>
      </c>
      <c r="Q191" s="12">
        <f t="shared" ca="1" si="69"/>
        <v>0.46561111111111131</v>
      </c>
      <c r="R191" s="2">
        <f t="shared" ca="1" si="70"/>
        <v>1972.1653877769047</v>
      </c>
      <c r="S191" s="12">
        <f t="shared" ca="1" si="71"/>
        <v>0.57773231022152371</v>
      </c>
      <c r="T191" s="2">
        <f t="shared" ca="1" si="72"/>
        <v>40694.158111111115</v>
      </c>
      <c r="U191" s="12">
        <f t="shared" ca="1" si="73"/>
        <v>0.46561111111111125</v>
      </c>
      <c r="V191" s="2">
        <f t="shared" ca="1" si="74"/>
        <v>43807.315325610827</v>
      </c>
      <c r="W191" s="12">
        <f t="shared" ca="1" si="75"/>
        <v>0.57773231022152371</v>
      </c>
      <c r="X191" s="8" t="s">
        <v>13</v>
      </c>
    </row>
    <row r="192" spans="1:24" ht="15.75" x14ac:dyDescent="0.3">
      <c r="A192" s="9">
        <v>44256</v>
      </c>
      <c r="B192" s="10">
        <f t="shared" si="57"/>
        <v>13883</v>
      </c>
      <c r="C192" s="10">
        <f t="shared" si="58"/>
        <v>12633</v>
      </c>
      <c r="D192" s="10">
        <v>1250</v>
      </c>
      <c r="E192" s="2">
        <f t="shared" si="80"/>
        <v>27766</v>
      </c>
      <c r="F192" s="12">
        <v>8.5000000000000006E-2</v>
      </c>
      <c r="G192" s="2">
        <f t="shared" ca="1" si="59"/>
        <v>64.733333333333334</v>
      </c>
      <c r="H192" s="2">
        <f t="shared" ca="1" si="60"/>
        <v>20248.74113888889</v>
      </c>
      <c r="I192" s="12">
        <f t="shared" ca="1" si="61"/>
        <v>0.45852777777777787</v>
      </c>
      <c r="J192" s="2">
        <f t="shared" ca="1" si="62"/>
        <v>21752.238975989552</v>
      </c>
      <c r="K192" s="12">
        <f t="shared" ca="1" si="63"/>
        <v>0.56682554030033505</v>
      </c>
      <c r="L192" s="2">
        <f t="shared" ca="1" si="64"/>
        <v>18425.581416666668</v>
      </c>
      <c r="M192" s="12">
        <f t="shared" ca="1" si="65"/>
        <v>0.45852777777777787</v>
      </c>
      <c r="N192" s="2">
        <f t="shared" ca="1" si="66"/>
        <v>19793.707050614132</v>
      </c>
      <c r="O192" s="12">
        <f t="shared" ca="1" si="67"/>
        <v>0.56682554030033494</v>
      </c>
      <c r="P192" s="2">
        <f t="shared" ca="1" si="68"/>
        <v>1823.1597222222222</v>
      </c>
      <c r="Q192" s="12">
        <f t="shared" ca="1" si="69"/>
        <v>0.45852777777777776</v>
      </c>
      <c r="R192" s="2">
        <f t="shared" ca="1" si="70"/>
        <v>1958.5319253754187</v>
      </c>
      <c r="S192" s="12">
        <f t="shared" ca="1" si="71"/>
        <v>0.56682554030033494</v>
      </c>
      <c r="T192" s="2">
        <f t="shared" ca="1" si="72"/>
        <v>40497.482277777781</v>
      </c>
      <c r="U192" s="12">
        <f t="shared" ca="1" si="73"/>
        <v>0.45852777777777787</v>
      </c>
      <c r="V192" s="2">
        <f t="shared" ca="1" si="74"/>
        <v>43504.477951979105</v>
      </c>
      <c r="W192" s="12">
        <f t="shared" ca="1" si="75"/>
        <v>0.56682554030033505</v>
      </c>
      <c r="X192" s="8" t="s">
        <v>13</v>
      </c>
    </row>
    <row r="193" spans="1:24" ht="15.75" x14ac:dyDescent="0.3">
      <c r="A193" s="9">
        <v>44287</v>
      </c>
      <c r="B193" s="10">
        <f t="shared" si="57"/>
        <v>13883</v>
      </c>
      <c r="C193" s="10">
        <f t="shared" si="58"/>
        <v>12633</v>
      </c>
      <c r="D193" s="10">
        <v>1250</v>
      </c>
      <c r="E193" s="2">
        <f t="shared" si="80"/>
        <v>27766</v>
      </c>
      <c r="F193" s="12">
        <v>8.5000000000000006E-2</v>
      </c>
      <c r="G193" s="2">
        <f t="shared" ca="1" si="59"/>
        <v>63.733333333333334</v>
      </c>
      <c r="H193" s="2">
        <f t="shared" ca="1" si="60"/>
        <v>20150.403222222223</v>
      </c>
      <c r="I193" s="12">
        <f t="shared" ca="1" si="61"/>
        <v>0.45144444444444448</v>
      </c>
      <c r="J193" s="2">
        <f t="shared" ca="1" si="62"/>
        <v>21601.86703757845</v>
      </c>
      <c r="K193" s="12">
        <f t="shared" ca="1" si="63"/>
        <v>0.5559941682329792</v>
      </c>
      <c r="L193" s="2">
        <f t="shared" ca="1" si="64"/>
        <v>18336.097666666668</v>
      </c>
      <c r="M193" s="12">
        <f t="shared" ca="1" si="65"/>
        <v>0.45144444444444459</v>
      </c>
      <c r="N193" s="2">
        <f t="shared" ca="1" si="66"/>
        <v>19656.874327287227</v>
      </c>
      <c r="O193" s="12">
        <f t="shared" ca="1" si="67"/>
        <v>0.55599416823297931</v>
      </c>
      <c r="P193" s="2">
        <f t="shared" ca="1" si="68"/>
        <v>1814.3055555555557</v>
      </c>
      <c r="Q193" s="12">
        <f t="shared" ca="1" si="69"/>
        <v>0.45144444444444454</v>
      </c>
      <c r="R193" s="2">
        <f t="shared" ca="1" si="70"/>
        <v>1944.9927102912241</v>
      </c>
      <c r="S193" s="12">
        <f t="shared" ca="1" si="71"/>
        <v>0.5559941682329792</v>
      </c>
      <c r="T193" s="2">
        <f t="shared" ca="1" si="72"/>
        <v>40300.806444444446</v>
      </c>
      <c r="U193" s="12">
        <f t="shared" ca="1" si="73"/>
        <v>0.45144444444444448</v>
      </c>
      <c r="V193" s="2">
        <f t="shared" ca="1" si="74"/>
        <v>43203.734075156899</v>
      </c>
      <c r="W193" s="12">
        <f t="shared" ca="1" si="75"/>
        <v>0.5559941682329792</v>
      </c>
      <c r="X193" s="8" t="s">
        <v>13</v>
      </c>
    </row>
    <row r="194" spans="1:24" ht="15.75" x14ac:dyDescent="0.3">
      <c r="A194" s="9">
        <v>44317</v>
      </c>
      <c r="B194" s="10">
        <f t="shared" ref="B194:B255" si="81">E194/2</f>
        <v>14577</v>
      </c>
      <c r="C194" s="10">
        <f t="shared" ref="C194:C255" si="82">E194/2-D194</f>
        <v>13327</v>
      </c>
      <c r="D194" s="10">
        <v>1250</v>
      </c>
      <c r="E194" s="2">
        <f t="shared" ref="E194:E209" si="83">14577*2</f>
        <v>29154</v>
      </c>
      <c r="F194" s="12">
        <v>8.5000000000000006E-2</v>
      </c>
      <c r="G194" s="2">
        <f t="shared" ref="G194:G255" ca="1" si="84">(DAYS360(A194,NOW(),TRUE))/30</f>
        <v>62.733333333333334</v>
      </c>
      <c r="H194" s="2">
        <f t="shared" ref="H194:H255" ca="1" si="85">SUM(B194, B194*$F194*$G194/12)</f>
        <v>21054.451916666669</v>
      </c>
      <c r="I194" s="12">
        <f t="shared" ref="I194:I255" ca="1" si="86">(H194-B194)/B194</f>
        <v>0.44436111111111126</v>
      </c>
      <c r="J194" s="2">
        <f t="shared" ref="J194:J255" ca="1" si="87">PRODUCT(B194,POWER((1+$F194/2),2*$G194/12))</f>
        <v>22524.929556384657</v>
      </c>
      <c r="K194" s="12">
        <f t="shared" ref="K194:K255" ca="1" si="88">(J194-B194)/B194</f>
        <v>0.54523767279856328</v>
      </c>
      <c r="L194" s="2">
        <f t="shared" ref="L194:L255" ca="1" si="89">SUM(C194, C194*$F194*$G194/12)</f>
        <v>19249.000527777778</v>
      </c>
      <c r="M194" s="12">
        <f t="shared" ref="M194:M255" ca="1" si="90">(L194-C194)/C194</f>
        <v>0.44436111111111115</v>
      </c>
      <c r="N194" s="2">
        <f t="shared" ref="N194:N255" ca="1" si="91">PRODUCT(C194,POWER((1+$F194/2),2*$G194/12))</f>
        <v>20593.382465386454</v>
      </c>
      <c r="O194" s="12">
        <f t="shared" ref="O194:O255" ca="1" si="92">(N194-C194)/C194</f>
        <v>0.54523767279856339</v>
      </c>
      <c r="P194" s="2">
        <f t="shared" ref="P194:P255" ca="1" si="93">SUM(D194, D194*$F194*$G194/12)</f>
        <v>1805.4513888888891</v>
      </c>
      <c r="Q194" s="12">
        <f t="shared" ref="Q194:Q255" ca="1" si="94">(P194-D194)/D194</f>
        <v>0.44436111111111132</v>
      </c>
      <c r="R194" s="2">
        <f t="shared" ref="R194:R255" ca="1" si="95">PRODUCT(D194,POWER((1+$F194/2),2*$G194/12))</f>
        <v>1931.5470909982041</v>
      </c>
      <c r="S194" s="12">
        <f t="shared" ref="S194:S255" ca="1" si="96">(R194-D194)/D194</f>
        <v>0.54523767279856328</v>
      </c>
      <c r="T194" s="2">
        <f t="shared" ref="T194:T255" ca="1" si="97">SUM(E194, E194*$F194*$G194/12)</f>
        <v>42108.903833333337</v>
      </c>
      <c r="U194" s="12">
        <f t="shared" ref="U194:U255" ca="1" si="98">(T194-E194)/E194</f>
        <v>0.44436111111111126</v>
      </c>
      <c r="V194" s="2">
        <f t="shared" ref="V194:V255" ca="1" si="99">PRODUCT(E194,POWER((1+$F194/2),2*$G194/12))</f>
        <v>45049.859112769314</v>
      </c>
      <c r="W194" s="12">
        <f t="shared" ref="W194:W255" ca="1" si="100">(V194-E194)/E194</f>
        <v>0.54523767279856328</v>
      </c>
      <c r="X194" s="8" t="s">
        <v>13</v>
      </c>
    </row>
    <row r="195" spans="1:24" ht="15.75" x14ac:dyDescent="0.3">
      <c r="A195" s="9">
        <v>44348</v>
      </c>
      <c r="B195" s="10">
        <f t="shared" si="81"/>
        <v>14577</v>
      </c>
      <c r="C195" s="10">
        <f t="shared" si="82"/>
        <v>13327</v>
      </c>
      <c r="D195" s="10">
        <v>1250</v>
      </c>
      <c r="E195" s="2">
        <f t="shared" si="83"/>
        <v>29154</v>
      </c>
      <c r="F195" s="12">
        <v>8.5000000000000006E-2</v>
      </c>
      <c r="G195" s="2">
        <f t="shared" ca="1" si="84"/>
        <v>61.733333333333334</v>
      </c>
      <c r="H195" s="2">
        <f t="shared" ca="1" si="85"/>
        <v>20951.198166666669</v>
      </c>
      <c r="I195" s="12">
        <f t="shared" ca="1" si="86"/>
        <v>0.43727777777777793</v>
      </c>
      <c r="J195" s="2">
        <f t="shared" ca="1" si="87"/>
        <v>22369.216053801967</v>
      </c>
      <c r="K195" s="12">
        <f t="shared" ca="1" si="88"/>
        <v>0.53455553637936248</v>
      </c>
      <c r="L195" s="2">
        <f t="shared" ca="1" si="89"/>
        <v>19154.600944444446</v>
      </c>
      <c r="M195" s="12">
        <f t="shared" ca="1" si="90"/>
        <v>0.43727777777777793</v>
      </c>
      <c r="N195" s="2">
        <f t="shared" ca="1" si="91"/>
        <v>20451.021633327764</v>
      </c>
      <c r="O195" s="12">
        <f t="shared" ca="1" si="92"/>
        <v>0.53455553637936248</v>
      </c>
      <c r="P195" s="2">
        <f t="shared" ca="1" si="93"/>
        <v>1796.5972222222222</v>
      </c>
      <c r="Q195" s="12">
        <f t="shared" ca="1" si="94"/>
        <v>0.43727777777777771</v>
      </c>
      <c r="R195" s="2">
        <f t="shared" ca="1" si="95"/>
        <v>1918.1944204742033</v>
      </c>
      <c r="S195" s="12">
        <f t="shared" ca="1" si="96"/>
        <v>0.53455553637936259</v>
      </c>
      <c r="T195" s="2">
        <f t="shared" ca="1" si="97"/>
        <v>41902.396333333338</v>
      </c>
      <c r="U195" s="12">
        <f t="shared" ca="1" si="98"/>
        <v>0.43727777777777793</v>
      </c>
      <c r="V195" s="2">
        <f t="shared" ca="1" si="99"/>
        <v>44738.432107603934</v>
      </c>
      <c r="W195" s="12">
        <f t="shared" ca="1" si="100"/>
        <v>0.53455553637936248</v>
      </c>
      <c r="X195" s="8" t="s">
        <v>13</v>
      </c>
    </row>
    <row r="196" spans="1:24" ht="15.75" x14ac:dyDescent="0.3">
      <c r="A196" s="9">
        <v>44378</v>
      </c>
      <c r="B196" s="10">
        <f t="shared" si="81"/>
        <v>14577</v>
      </c>
      <c r="C196" s="10">
        <f t="shared" si="82"/>
        <v>13327</v>
      </c>
      <c r="D196" s="10">
        <v>1250</v>
      </c>
      <c r="E196" s="2">
        <f t="shared" si="83"/>
        <v>29154</v>
      </c>
      <c r="F196" s="12">
        <v>8.5000000000000006E-2</v>
      </c>
      <c r="G196" s="2">
        <f t="shared" ca="1" si="84"/>
        <v>60.733333333333334</v>
      </c>
      <c r="H196" s="2">
        <f t="shared" ca="1" si="85"/>
        <v>20847.944416666665</v>
      </c>
      <c r="I196" s="12">
        <f t="shared" ca="1" si="86"/>
        <v>0.43019444444444438</v>
      </c>
      <c r="J196" s="2">
        <f t="shared" ca="1" si="87"/>
        <v>22214.578989430811</v>
      </c>
      <c r="K196" s="12">
        <f t="shared" ca="1" si="88"/>
        <v>0.52394724493591349</v>
      </c>
      <c r="L196" s="2">
        <f t="shared" ca="1" si="89"/>
        <v>19060.201361111111</v>
      </c>
      <c r="M196" s="12">
        <f t="shared" ca="1" si="90"/>
        <v>0.43019444444444438</v>
      </c>
      <c r="N196" s="2">
        <f t="shared" ca="1" si="91"/>
        <v>20309.644933260919</v>
      </c>
      <c r="O196" s="12">
        <f t="shared" ca="1" si="92"/>
        <v>0.52394724493591349</v>
      </c>
      <c r="P196" s="2">
        <f t="shared" ca="1" si="93"/>
        <v>1787.7430555555557</v>
      </c>
      <c r="Q196" s="12">
        <f t="shared" ca="1" si="94"/>
        <v>0.43019444444444455</v>
      </c>
      <c r="R196" s="2">
        <f t="shared" ca="1" si="95"/>
        <v>1904.9340561698918</v>
      </c>
      <c r="S196" s="12">
        <f t="shared" ca="1" si="96"/>
        <v>0.52394724493591349</v>
      </c>
      <c r="T196" s="2">
        <f t="shared" ca="1" si="97"/>
        <v>41695.888833333331</v>
      </c>
      <c r="U196" s="12">
        <f t="shared" ca="1" si="98"/>
        <v>0.43019444444444438</v>
      </c>
      <c r="V196" s="2">
        <f t="shared" ca="1" si="99"/>
        <v>44429.157978861622</v>
      </c>
      <c r="W196" s="12">
        <f t="shared" ca="1" si="100"/>
        <v>0.52394724493591349</v>
      </c>
      <c r="X196" s="8" t="s">
        <v>13</v>
      </c>
    </row>
    <row r="197" spans="1:24" ht="15.75" x14ac:dyDescent="0.3">
      <c r="A197" s="9">
        <v>44409</v>
      </c>
      <c r="B197" s="10">
        <f t="shared" si="81"/>
        <v>14577</v>
      </c>
      <c r="C197" s="10">
        <f t="shared" si="82"/>
        <v>13327</v>
      </c>
      <c r="D197" s="10">
        <v>1250</v>
      </c>
      <c r="E197" s="2">
        <f t="shared" si="83"/>
        <v>29154</v>
      </c>
      <c r="F197" s="12">
        <v>8.5000000000000006E-2</v>
      </c>
      <c r="G197" s="2">
        <f t="shared" ca="1" si="84"/>
        <v>59.733333333333334</v>
      </c>
      <c r="H197" s="2">
        <f t="shared" ca="1" si="85"/>
        <v>20744.690666666665</v>
      </c>
      <c r="I197" s="12">
        <f t="shared" ca="1" si="86"/>
        <v>0.42311111111111105</v>
      </c>
      <c r="J197" s="2">
        <f t="shared" ca="1" si="87"/>
        <v>22061.010921917652</v>
      </c>
      <c r="K197" s="12">
        <f t="shared" ca="1" si="88"/>
        <v>0.513412287982277</v>
      </c>
      <c r="L197" s="2">
        <f t="shared" ca="1" si="89"/>
        <v>18965.801777777779</v>
      </c>
      <c r="M197" s="12">
        <f t="shared" ca="1" si="90"/>
        <v>0.42311111111111116</v>
      </c>
      <c r="N197" s="2">
        <f t="shared" ca="1" si="91"/>
        <v>20169.245561939802</v>
      </c>
      <c r="O197" s="12">
        <f t="shared" ca="1" si="92"/>
        <v>0.51341228798227678</v>
      </c>
      <c r="P197" s="2">
        <f t="shared" ca="1" si="93"/>
        <v>1778.8888888888891</v>
      </c>
      <c r="Q197" s="12">
        <f t="shared" ca="1" si="94"/>
        <v>0.42311111111111133</v>
      </c>
      <c r="R197" s="2">
        <f t="shared" ca="1" si="95"/>
        <v>1891.7653599778462</v>
      </c>
      <c r="S197" s="12">
        <f t="shared" ca="1" si="96"/>
        <v>0.51341228798227689</v>
      </c>
      <c r="T197" s="2">
        <f t="shared" ca="1" si="97"/>
        <v>41489.381333333331</v>
      </c>
      <c r="U197" s="12">
        <f t="shared" ca="1" si="98"/>
        <v>0.42311111111111105</v>
      </c>
      <c r="V197" s="2">
        <f t="shared" ca="1" si="99"/>
        <v>44122.021843835304</v>
      </c>
      <c r="W197" s="12">
        <f t="shared" ca="1" si="100"/>
        <v>0.513412287982277</v>
      </c>
      <c r="X197" s="8" t="s">
        <v>13</v>
      </c>
    </row>
    <row r="198" spans="1:24" ht="15.75" x14ac:dyDescent="0.3">
      <c r="A198" s="9">
        <v>44440</v>
      </c>
      <c r="B198" s="10">
        <f t="shared" si="81"/>
        <v>14577</v>
      </c>
      <c r="C198" s="10">
        <f t="shared" si="82"/>
        <v>13327</v>
      </c>
      <c r="D198" s="10">
        <v>1250</v>
      </c>
      <c r="E198" s="2">
        <f t="shared" si="83"/>
        <v>29154</v>
      </c>
      <c r="F198" s="12">
        <v>8.5000000000000006E-2</v>
      </c>
      <c r="G198" s="2">
        <f t="shared" ca="1" si="84"/>
        <v>58.733333333333334</v>
      </c>
      <c r="H198" s="2">
        <f t="shared" ca="1" si="85"/>
        <v>20641.436916666666</v>
      </c>
      <c r="I198" s="12">
        <f t="shared" ca="1" si="86"/>
        <v>0.41602777777777772</v>
      </c>
      <c r="J198" s="2">
        <f t="shared" ca="1" si="87"/>
        <v>21908.504461350582</v>
      </c>
      <c r="K198" s="12">
        <f t="shared" ca="1" si="88"/>
        <v>0.50295015856147229</v>
      </c>
      <c r="L198" s="2">
        <f t="shared" ca="1" si="89"/>
        <v>18871.402194444447</v>
      </c>
      <c r="M198" s="12">
        <f t="shared" ca="1" si="90"/>
        <v>0.41602777777777794</v>
      </c>
      <c r="N198" s="2">
        <f t="shared" ca="1" si="91"/>
        <v>20029.816763148741</v>
      </c>
      <c r="O198" s="12">
        <f t="shared" ca="1" si="92"/>
        <v>0.50295015856147229</v>
      </c>
      <c r="P198" s="2">
        <f t="shared" ca="1" si="93"/>
        <v>1770.0347222222222</v>
      </c>
      <c r="Q198" s="12">
        <f t="shared" ca="1" si="94"/>
        <v>0.41602777777777772</v>
      </c>
      <c r="R198" s="2">
        <f t="shared" ca="1" si="95"/>
        <v>1878.6876982018405</v>
      </c>
      <c r="S198" s="12">
        <f t="shared" ca="1" si="96"/>
        <v>0.5029501585614724</v>
      </c>
      <c r="T198" s="2">
        <f t="shared" ca="1" si="97"/>
        <v>41282.873833333331</v>
      </c>
      <c r="U198" s="12">
        <f t="shared" ca="1" si="98"/>
        <v>0.41602777777777772</v>
      </c>
      <c r="V198" s="2">
        <f t="shared" ca="1" si="99"/>
        <v>43817.008922701163</v>
      </c>
      <c r="W198" s="12">
        <f t="shared" ca="1" si="100"/>
        <v>0.50295015856147229</v>
      </c>
      <c r="X198" s="8" t="s">
        <v>13</v>
      </c>
    </row>
    <row r="199" spans="1:24" ht="15.75" x14ac:dyDescent="0.3">
      <c r="A199" s="9">
        <v>44470</v>
      </c>
      <c r="B199" s="10">
        <f t="shared" si="81"/>
        <v>14577</v>
      </c>
      <c r="C199" s="10">
        <f t="shared" si="82"/>
        <v>13327</v>
      </c>
      <c r="D199" s="10">
        <v>1250</v>
      </c>
      <c r="E199" s="2">
        <f t="shared" si="83"/>
        <v>29154</v>
      </c>
      <c r="F199" s="12">
        <v>8.5000000000000006E-2</v>
      </c>
      <c r="G199" s="2">
        <f t="shared" ca="1" si="84"/>
        <v>57.733333333333334</v>
      </c>
      <c r="H199" s="2">
        <f t="shared" ca="1" si="85"/>
        <v>20538.183166666666</v>
      </c>
      <c r="I199" s="12">
        <f t="shared" ca="1" si="86"/>
        <v>0.40894444444444439</v>
      </c>
      <c r="J199" s="2">
        <f t="shared" ca="1" si="87"/>
        <v>21757.052268903728</v>
      </c>
      <c r="K199" s="12">
        <f t="shared" ca="1" si="88"/>
        <v>0.49256035322108305</v>
      </c>
      <c r="L199" s="2">
        <f t="shared" ca="1" si="89"/>
        <v>18777.002611111111</v>
      </c>
      <c r="M199" s="12">
        <f t="shared" ca="1" si="90"/>
        <v>0.40894444444444444</v>
      </c>
      <c r="N199" s="2">
        <f t="shared" ca="1" si="91"/>
        <v>19891.351827377377</v>
      </c>
      <c r="O199" s="12">
        <f t="shared" ca="1" si="92"/>
        <v>0.49256035322108327</v>
      </c>
      <c r="P199" s="2">
        <f t="shared" ca="1" si="93"/>
        <v>1761.1805555555557</v>
      </c>
      <c r="Q199" s="12">
        <f t="shared" ca="1" si="94"/>
        <v>0.4089444444444445</v>
      </c>
      <c r="R199" s="2">
        <f t="shared" ca="1" si="95"/>
        <v>1865.7004415263539</v>
      </c>
      <c r="S199" s="12">
        <f t="shared" ca="1" si="96"/>
        <v>0.4925603532210831</v>
      </c>
      <c r="T199" s="2">
        <f t="shared" ca="1" si="97"/>
        <v>41076.366333333332</v>
      </c>
      <c r="U199" s="12">
        <f t="shared" ca="1" si="98"/>
        <v>0.40894444444444439</v>
      </c>
      <c r="V199" s="2">
        <f t="shared" ca="1" si="99"/>
        <v>43514.104537807456</v>
      </c>
      <c r="W199" s="12">
        <f t="shared" ca="1" si="100"/>
        <v>0.49256035322108305</v>
      </c>
      <c r="X199" s="8" t="s">
        <v>13</v>
      </c>
    </row>
    <row r="200" spans="1:24" ht="15.75" x14ac:dyDescent="0.3">
      <c r="A200" s="9">
        <v>44501</v>
      </c>
      <c r="B200" s="10">
        <f t="shared" si="81"/>
        <v>14577</v>
      </c>
      <c r="C200" s="10">
        <f t="shared" si="82"/>
        <v>13327</v>
      </c>
      <c r="D200" s="10">
        <v>1250</v>
      </c>
      <c r="E200" s="2">
        <f t="shared" si="83"/>
        <v>29154</v>
      </c>
      <c r="F200" s="12">
        <v>8.5000000000000006E-2</v>
      </c>
      <c r="G200" s="2">
        <f t="shared" ca="1" si="84"/>
        <v>56.733333333333334</v>
      </c>
      <c r="H200" s="2">
        <f t="shared" ca="1" si="85"/>
        <v>20434.929416666666</v>
      </c>
      <c r="I200" s="12">
        <f t="shared" ca="1" si="86"/>
        <v>0.40186111111111106</v>
      </c>
      <c r="J200" s="2">
        <f t="shared" ca="1" si="87"/>
        <v>21606.647056484082</v>
      </c>
      <c r="K200" s="12">
        <f t="shared" ca="1" si="88"/>
        <v>0.48224237198902942</v>
      </c>
      <c r="L200" s="2">
        <f t="shared" ca="1" si="89"/>
        <v>18682.603027777779</v>
      </c>
      <c r="M200" s="12">
        <f t="shared" ca="1" si="90"/>
        <v>0.40186111111111122</v>
      </c>
      <c r="N200" s="2">
        <f t="shared" ca="1" si="91"/>
        <v>19753.844091497795</v>
      </c>
      <c r="O200" s="12">
        <f t="shared" ca="1" si="92"/>
        <v>0.48224237198902936</v>
      </c>
      <c r="P200" s="2">
        <f t="shared" ca="1" si="93"/>
        <v>1752.3263888888889</v>
      </c>
      <c r="Q200" s="12">
        <f t="shared" ca="1" si="94"/>
        <v>0.40186111111111111</v>
      </c>
      <c r="R200" s="2">
        <f t="shared" ca="1" si="95"/>
        <v>1852.8029649862867</v>
      </c>
      <c r="S200" s="12">
        <f t="shared" ca="1" si="96"/>
        <v>0.48224237198902936</v>
      </c>
      <c r="T200" s="2">
        <f t="shared" ca="1" si="97"/>
        <v>40869.858833333332</v>
      </c>
      <c r="U200" s="12">
        <f t="shared" ca="1" si="98"/>
        <v>0.40186111111111106</v>
      </c>
      <c r="V200" s="2">
        <f t="shared" ca="1" si="99"/>
        <v>43213.294112968164</v>
      </c>
      <c r="W200" s="12">
        <f t="shared" ca="1" si="100"/>
        <v>0.48224237198902942</v>
      </c>
      <c r="X200" s="8" t="s">
        <v>13</v>
      </c>
    </row>
    <row r="201" spans="1:24" ht="15.75" x14ac:dyDescent="0.3">
      <c r="A201" s="9">
        <v>44531</v>
      </c>
      <c r="B201" s="10">
        <f t="shared" si="81"/>
        <v>14577</v>
      </c>
      <c r="C201" s="10">
        <f t="shared" si="82"/>
        <v>13327</v>
      </c>
      <c r="D201" s="10">
        <v>1250</v>
      </c>
      <c r="E201" s="2">
        <f t="shared" si="83"/>
        <v>29154</v>
      </c>
      <c r="F201" s="12">
        <v>8.5000000000000006E-2</v>
      </c>
      <c r="G201" s="2">
        <f t="shared" ca="1" si="84"/>
        <v>55.733333333333334</v>
      </c>
      <c r="H201" s="2">
        <f t="shared" ca="1" si="85"/>
        <v>20331.675666666666</v>
      </c>
      <c r="I201" s="12">
        <f t="shared" ca="1" si="86"/>
        <v>0.39477777777777773</v>
      </c>
      <c r="J201" s="2">
        <f t="shared" ca="1" si="87"/>
        <v>21457.281586380785</v>
      </c>
      <c r="K201" s="12">
        <f t="shared" ca="1" si="88"/>
        <v>0.47199571834950843</v>
      </c>
      <c r="L201" s="2">
        <f t="shared" ca="1" si="89"/>
        <v>18588.203444444443</v>
      </c>
      <c r="M201" s="12">
        <f t="shared" ca="1" si="90"/>
        <v>0.39477777777777773</v>
      </c>
      <c r="N201" s="2">
        <f t="shared" ca="1" si="91"/>
        <v>19617.2869384439</v>
      </c>
      <c r="O201" s="12">
        <f t="shared" ca="1" si="92"/>
        <v>0.47199571834950854</v>
      </c>
      <c r="P201" s="2">
        <f t="shared" ca="1" si="93"/>
        <v>1743.4722222222224</v>
      </c>
      <c r="Q201" s="12">
        <f t="shared" ca="1" si="94"/>
        <v>0.39477777777777789</v>
      </c>
      <c r="R201" s="2">
        <f t="shared" ca="1" si="95"/>
        <v>1839.9946479368857</v>
      </c>
      <c r="S201" s="12">
        <f t="shared" ca="1" si="96"/>
        <v>0.4719957183495086</v>
      </c>
      <c r="T201" s="2">
        <f t="shared" ca="1" si="97"/>
        <v>40663.351333333332</v>
      </c>
      <c r="U201" s="12">
        <f t="shared" ca="1" si="98"/>
        <v>0.39477777777777773</v>
      </c>
      <c r="V201" s="2">
        <f t="shared" ca="1" si="99"/>
        <v>42914.563172761569</v>
      </c>
      <c r="W201" s="12">
        <f t="shared" ca="1" si="100"/>
        <v>0.47199571834950843</v>
      </c>
      <c r="X201" s="8" t="s">
        <v>13</v>
      </c>
    </row>
    <row r="202" spans="1:24" ht="15.75" x14ac:dyDescent="0.3">
      <c r="A202" s="9">
        <v>44562</v>
      </c>
      <c r="B202" s="10">
        <f t="shared" si="81"/>
        <v>14577</v>
      </c>
      <c r="C202" s="10">
        <f t="shared" si="82"/>
        <v>13327</v>
      </c>
      <c r="D202" s="10">
        <v>1250</v>
      </c>
      <c r="E202" s="2">
        <f t="shared" si="83"/>
        <v>29154</v>
      </c>
      <c r="F202" s="12">
        <v>8.5000000000000006E-2</v>
      </c>
      <c r="G202" s="2">
        <f t="shared" ca="1" si="84"/>
        <v>54.733333333333334</v>
      </c>
      <c r="H202" s="2">
        <f t="shared" ca="1" si="85"/>
        <v>20228.421916666666</v>
      </c>
      <c r="I202" s="12">
        <f t="shared" ca="1" si="86"/>
        <v>0.3876944444444444</v>
      </c>
      <c r="J202" s="2">
        <f t="shared" ca="1" si="87"/>
        <v>21308.948670916849</v>
      </c>
      <c r="K202" s="12">
        <f t="shared" ca="1" si="88"/>
        <v>0.46181989921910194</v>
      </c>
      <c r="L202" s="2">
        <f t="shared" ca="1" si="89"/>
        <v>18493.803861111111</v>
      </c>
      <c r="M202" s="12">
        <f t="shared" ca="1" si="90"/>
        <v>0.38769444444444445</v>
      </c>
      <c r="N202" s="2">
        <f t="shared" ca="1" si="91"/>
        <v>19481.67379689297</v>
      </c>
      <c r="O202" s="12">
        <f t="shared" ca="1" si="92"/>
        <v>0.46181989921910183</v>
      </c>
      <c r="P202" s="2">
        <f t="shared" ca="1" si="93"/>
        <v>1734.6180555555557</v>
      </c>
      <c r="Q202" s="12">
        <f t="shared" ca="1" si="94"/>
        <v>0.38769444444444451</v>
      </c>
      <c r="R202" s="2">
        <f t="shared" ca="1" si="95"/>
        <v>1827.2748740238774</v>
      </c>
      <c r="S202" s="12">
        <f t="shared" ca="1" si="96"/>
        <v>0.46181989921910188</v>
      </c>
      <c r="T202" s="2">
        <f t="shared" ca="1" si="97"/>
        <v>40456.843833333332</v>
      </c>
      <c r="U202" s="12">
        <f t="shared" ca="1" si="98"/>
        <v>0.3876944444444444</v>
      </c>
      <c r="V202" s="2">
        <f t="shared" ca="1" si="99"/>
        <v>42617.897341833697</v>
      </c>
      <c r="W202" s="12">
        <f t="shared" ca="1" si="100"/>
        <v>0.46181989921910194</v>
      </c>
      <c r="X202" s="8" t="s">
        <v>13</v>
      </c>
    </row>
    <row r="203" spans="1:24" ht="15.75" x14ac:dyDescent="0.3">
      <c r="A203" s="9">
        <v>44593</v>
      </c>
      <c r="B203" s="10">
        <f t="shared" si="81"/>
        <v>14577</v>
      </c>
      <c r="C203" s="10">
        <f t="shared" si="82"/>
        <v>13327</v>
      </c>
      <c r="D203" s="10">
        <v>1250</v>
      </c>
      <c r="E203" s="2">
        <f t="shared" si="83"/>
        <v>29154</v>
      </c>
      <c r="F203" s="12">
        <v>8.5000000000000006E-2</v>
      </c>
      <c r="G203" s="2">
        <f t="shared" ca="1" si="84"/>
        <v>53.733333333333334</v>
      </c>
      <c r="H203" s="2">
        <f t="shared" ca="1" si="85"/>
        <v>20125.168166666666</v>
      </c>
      <c r="I203" s="12">
        <f t="shared" ca="1" si="86"/>
        <v>0.38061111111111107</v>
      </c>
      <c r="J203" s="2">
        <f t="shared" ca="1" si="87"/>
        <v>21161.64117210326</v>
      </c>
      <c r="K203" s="12">
        <f t="shared" ca="1" si="88"/>
        <v>0.45171442492304725</v>
      </c>
      <c r="L203" s="2">
        <f t="shared" ca="1" si="89"/>
        <v>18399.404277777779</v>
      </c>
      <c r="M203" s="12">
        <f t="shared" ca="1" si="90"/>
        <v>0.38061111111111123</v>
      </c>
      <c r="N203" s="2">
        <f t="shared" ca="1" si="91"/>
        <v>19346.998140949454</v>
      </c>
      <c r="O203" s="12">
        <f t="shared" ca="1" si="92"/>
        <v>0.45171442492304748</v>
      </c>
      <c r="P203" s="2">
        <f t="shared" ca="1" si="93"/>
        <v>1725.7638888888889</v>
      </c>
      <c r="Q203" s="12">
        <f t="shared" ca="1" si="94"/>
        <v>0.38061111111111112</v>
      </c>
      <c r="R203" s="2">
        <f t="shared" ca="1" si="95"/>
        <v>1814.6430311538093</v>
      </c>
      <c r="S203" s="12">
        <f t="shared" ca="1" si="96"/>
        <v>0.45171442492304742</v>
      </c>
      <c r="T203" s="2">
        <f t="shared" ca="1" si="97"/>
        <v>40250.336333333333</v>
      </c>
      <c r="U203" s="12">
        <f t="shared" ca="1" si="98"/>
        <v>0.38061111111111107</v>
      </c>
      <c r="V203" s="2">
        <f t="shared" ca="1" si="99"/>
        <v>42323.28234420652</v>
      </c>
      <c r="W203" s="12">
        <f t="shared" ca="1" si="100"/>
        <v>0.45171442492304725</v>
      </c>
      <c r="X203" s="8" t="s">
        <v>13</v>
      </c>
    </row>
    <row r="204" spans="1:24" ht="15.75" x14ac:dyDescent="0.3">
      <c r="A204" s="9">
        <v>44621</v>
      </c>
      <c r="B204" s="10">
        <f t="shared" si="81"/>
        <v>14577</v>
      </c>
      <c r="C204" s="10">
        <f t="shared" si="82"/>
        <v>13327</v>
      </c>
      <c r="D204" s="10">
        <v>1250</v>
      </c>
      <c r="E204" s="2">
        <f t="shared" si="83"/>
        <v>29154</v>
      </c>
      <c r="F204" s="12">
        <v>8.5000000000000006E-2</v>
      </c>
      <c r="G204" s="2">
        <f t="shared" ca="1" si="84"/>
        <v>52.733333333333334</v>
      </c>
      <c r="H204" s="2">
        <f t="shared" ca="1" si="85"/>
        <v>20021.914416666667</v>
      </c>
      <c r="I204" s="12">
        <f t="shared" ca="1" si="86"/>
        <v>0.37352777777777779</v>
      </c>
      <c r="J204" s="2">
        <f t="shared" ca="1" si="87"/>
        <v>21015.352001295523</v>
      </c>
      <c r="K204" s="12">
        <f t="shared" ca="1" si="88"/>
        <v>0.44167880917167612</v>
      </c>
      <c r="L204" s="2">
        <f t="shared" ca="1" si="89"/>
        <v>18305.004694444444</v>
      </c>
      <c r="M204" s="12">
        <f t="shared" ca="1" si="90"/>
        <v>0.37352777777777774</v>
      </c>
      <c r="N204" s="2">
        <f t="shared" ca="1" si="91"/>
        <v>19213.253489830928</v>
      </c>
      <c r="O204" s="12">
        <f t="shared" ca="1" si="92"/>
        <v>0.44167880917167612</v>
      </c>
      <c r="P204" s="2">
        <f t="shared" ca="1" si="93"/>
        <v>1716.9097222222224</v>
      </c>
      <c r="Q204" s="12">
        <f t="shared" ca="1" si="94"/>
        <v>0.3735277777777779</v>
      </c>
      <c r="R204" s="2">
        <f t="shared" ca="1" si="95"/>
        <v>1802.098511464595</v>
      </c>
      <c r="S204" s="12">
        <f t="shared" ca="1" si="96"/>
        <v>0.44167880917167601</v>
      </c>
      <c r="T204" s="2">
        <f t="shared" ca="1" si="97"/>
        <v>40043.828833333333</v>
      </c>
      <c r="U204" s="12">
        <f t="shared" ca="1" si="98"/>
        <v>0.37352777777777779</v>
      </c>
      <c r="V204" s="2">
        <f t="shared" ca="1" si="99"/>
        <v>42030.704002591046</v>
      </c>
      <c r="W204" s="12">
        <f t="shared" ca="1" si="100"/>
        <v>0.44167880917167612</v>
      </c>
      <c r="X204" s="8" t="s">
        <v>13</v>
      </c>
    </row>
    <row r="205" spans="1:24" ht="15.75" x14ac:dyDescent="0.3">
      <c r="A205" s="9">
        <v>44652</v>
      </c>
      <c r="B205" s="10">
        <f t="shared" si="81"/>
        <v>14577</v>
      </c>
      <c r="C205" s="10">
        <f t="shared" si="82"/>
        <v>13327</v>
      </c>
      <c r="D205" s="10">
        <v>1250</v>
      </c>
      <c r="E205" s="2">
        <f t="shared" si="83"/>
        <v>29154</v>
      </c>
      <c r="F205" s="12">
        <v>8.5000000000000006E-2</v>
      </c>
      <c r="G205" s="2">
        <f t="shared" ca="1" si="84"/>
        <v>51.733333333333334</v>
      </c>
      <c r="H205" s="2">
        <f t="shared" ca="1" si="85"/>
        <v>19918.660666666667</v>
      </c>
      <c r="I205" s="12">
        <f t="shared" ca="1" si="86"/>
        <v>0.36644444444444446</v>
      </c>
      <c r="J205" s="2">
        <f t="shared" ca="1" si="87"/>
        <v>20870.074118852499</v>
      </c>
      <c r="K205" s="12">
        <f t="shared" ca="1" si="88"/>
        <v>0.43171256903701027</v>
      </c>
      <c r="L205" s="2">
        <f t="shared" ca="1" si="89"/>
        <v>18210.605111111112</v>
      </c>
      <c r="M205" s="12">
        <f t="shared" ca="1" si="90"/>
        <v>0.36644444444444452</v>
      </c>
      <c r="N205" s="2">
        <f t="shared" ca="1" si="91"/>
        <v>19080.433407556236</v>
      </c>
      <c r="O205" s="12">
        <f t="shared" ca="1" si="92"/>
        <v>0.43171256903701033</v>
      </c>
      <c r="P205" s="2">
        <f t="shared" ca="1" si="93"/>
        <v>1708.0555555555557</v>
      </c>
      <c r="Q205" s="12">
        <f t="shared" ca="1" si="94"/>
        <v>0.36644444444444452</v>
      </c>
      <c r="R205" s="2">
        <f t="shared" ca="1" si="95"/>
        <v>1789.6407112962629</v>
      </c>
      <c r="S205" s="12">
        <f t="shared" ca="1" si="96"/>
        <v>0.43171256903701033</v>
      </c>
      <c r="T205" s="2">
        <f t="shared" ca="1" si="97"/>
        <v>39837.321333333333</v>
      </c>
      <c r="U205" s="12">
        <f t="shared" ca="1" si="98"/>
        <v>0.36644444444444446</v>
      </c>
      <c r="V205" s="2">
        <f t="shared" ca="1" si="99"/>
        <v>41740.148237704998</v>
      </c>
      <c r="W205" s="12">
        <f t="shared" ca="1" si="100"/>
        <v>0.43171256903701027</v>
      </c>
      <c r="X205" s="8" t="s">
        <v>13</v>
      </c>
    </row>
    <row r="206" spans="1:24" ht="15.75" x14ac:dyDescent="0.3">
      <c r="A206" s="9">
        <v>44682</v>
      </c>
      <c r="B206" s="10">
        <f t="shared" si="81"/>
        <v>14577</v>
      </c>
      <c r="C206" s="10">
        <f t="shared" si="82"/>
        <v>13327</v>
      </c>
      <c r="D206" s="10">
        <v>1250</v>
      </c>
      <c r="E206" s="2">
        <f t="shared" si="83"/>
        <v>29154</v>
      </c>
      <c r="F206" s="12">
        <v>8.5000000000000006E-2</v>
      </c>
      <c r="G206" s="2">
        <f t="shared" ca="1" si="84"/>
        <v>50.733333333333334</v>
      </c>
      <c r="H206" s="2">
        <f t="shared" ca="1" si="85"/>
        <v>19815.406916666667</v>
      </c>
      <c r="I206" s="12">
        <f t="shared" ca="1" si="86"/>
        <v>0.35936111111111113</v>
      </c>
      <c r="J206" s="2">
        <f t="shared" ca="1" si="87"/>
        <v>20725.800533797683</v>
      </c>
      <c r="K206" s="12">
        <f t="shared" ca="1" si="88"/>
        <v>0.42181522492952478</v>
      </c>
      <c r="L206" s="2">
        <f t="shared" ca="1" si="89"/>
        <v>18116.205527777776</v>
      </c>
      <c r="M206" s="12">
        <f t="shared" ca="1" si="90"/>
        <v>0.35936111111111102</v>
      </c>
      <c r="N206" s="2">
        <f t="shared" ca="1" si="91"/>
        <v>18948.531502635778</v>
      </c>
      <c r="O206" s="12">
        <f t="shared" ca="1" si="92"/>
        <v>0.42181522492952489</v>
      </c>
      <c r="P206" s="2">
        <f t="shared" ca="1" si="93"/>
        <v>1699.2013888888889</v>
      </c>
      <c r="Q206" s="12">
        <f t="shared" ca="1" si="94"/>
        <v>0.35936111111111113</v>
      </c>
      <c r="R206" s="2">
        <f t="shared" ca="1" si="95"/>
        <v>1777.269031161906</v>
      </c>
      <c r="S206" s="12">
        <f t="shared" ca="1" si="96"/>
        <v>0.42181522492952483</v>
      </c>
      <c r="T206" s="2">
        <f t="shared" ca="1" si="97"/>
        <v>39630.813833333334</v>
      </c>
      <c r="U206" s="12">
        <f t="shared" ca="1" si="98"/>
        <v>0.35936111111111113</v>
      </c>
      <c r="V206" s="2">
        <f t="shared" ca="1" si="99"/>
        <v>41451.601067595366</v>
      </c>
      <c r="W206" s="12">
        <f t="shared" ca="1" si="100"/>
        <v>0.42181522492952478</v>
      </c>
      <c r="X206" s="8" t="s">
        <v>13</v>
      </c>
    </row>
    <row r="207" spans="1:24" ht="15.75" x14ac:dyDescent="0.3">
      <c r="A207" s="9">
        <v>44713</v>
      </c>
      <c r="B207" s="10">
        <f t="shared" si="81"/>
        <v>14577</v>
      </c>
      <c r="C207" s="10">
        <f t="shared" si="82"/>
        <v>13327</v>
      </c>
      <c r="D207" s="10">
        <v>1250</v>
      </c>
      <c r="E207" s="2">
        <f t="shared" si="83"/>
        <v>29154</v>
      </c>
      <c r="F207" s="12">
        <v>8.5000000000000006E-2</v>
      </c>
      <c r="G207" s="2">
        <f t="shared" ca="1" si="84"/>
        <v>49.733333333333334</v>
      </c>
      <c r="H207" s="2">
        <f t="shared" ca="1" si="85"/>
        <v>19712.153166666667</v>
      </c>
      <c r="I207" s="12">
        <f t="shared" ca="1" si="86"/>
        <v>0.3522777777777778</v>
      </c>
      <c r="J207" s="2">
        <f t="shared" ca="1" si="87"/>
        <v>20582.524303482769</v>
      </c>
      <c r="K207" s="12">
        <f t="shared" ca="1" si="88"/>
        <v>0.41198630057506819</v>
      </c>
      <c r="L207" s="2">
        <f t="shared" ca="1" si="89"/>
        <v>18021.805944444444</v>
      </c>
      <c r="M207" s="12">
        <f t="shared" ca="1" si="90"/>
        <v>0.35227777777777775</v>
      </c>
      <c r="N207" s="2">
        <f t="shared" ca="1" si="91"/>
        <v>18817.541427763932</v>
      </c>
      <c r="O207" s="12">
        <f t="shared" ca="1" si="92"/>
        <v>0.41198630057506808</v>
      </c>
      <c r="P207" s="2">
        <f t="shared" ca="1" si="93"/>
        <v>1690.3472222222224</v>
      </c>
      <c r="Q207" s="12">
        <f t="shared" ca="1" si="94"/>
        <v>0.35227777777777791</v>
      </c>
      <c r="R207" s="2">
        <f t="shared" ca="1" si="95"/>
        <v>1764.9828757188352</v>
      </c>
      <c r="S207" s="12">
        <f t="shared" ca="1" si="96"/>
        <v>0.41198630057506819</v>
      </c>
      <c r="T207" s="2">
        <f t="shared" ca="1" si="97"/>
        <v>39424.306333333334</v>
      </c>
      <c r="U207" s="12">
        <f t="shared" ca="1" si="98"/>
        <v>0.3522777777777778</v>
      </c>
      <c r="V207" s="2">
        <f t="shared" ca="1" si="99"/>
        <v>41165.048606965538</v>
      </c>
      <c r="W207" s="12">
        <f t="shared" ca="1" si="100"/>
        <v>0.41198630057506819</v>
      </c>
      <c r="X207" s="8" t="s">
        <v>13</v>
      </c>
    </row>
    <row r="208" spans="1:24" ht="15.75" x14ac:dyDescent="0.3">
      <c r="A208" s="9">
        <v>44743</v>
      </c>
      <c r="B208" s="10">
        <f t="shared" si="81"/>
        <v>14577</v>
      </c>
      <c r="C208" s="10">
        <f t="shared" si="82"/>
        <v>13327</v>
      </c>
      <c r="D208" s="10">
        <v>1250</v>
      </c>
      <c r="E208" s="2">
        <f t="shared" si="83"/>
        <v>29154</v>
      </c>
      <c r="F208" s="12">
        <v>8.5000000000000006E-2</v>
      </c>
      <c r="G208" s="2">
        <f t="shared" ca="1" si="84"/>
        <v>48.733333333333334</v>
      </c>
      <c r="H208" s="2">
        <f t="shared" ca="1" si="85"/>
        <v>19608.899416666667</v>
      </c>
      <c r="I208" s="12">
        <f t="shared" ca="1" si="86"/>
        <v>0.34519444444444447</v>
      </c>
      <c r="J208" s="2">
        <f t="shared" ca="1" si="87"/>
        <v>20440.23853325357</v>
      </c>
      <c r="K208" s="12">
        <f t="shared" ca="1" si="88"/>
        <v>0.40222532299194419</v>
      </c>
      <c r="L208" s="2">
        <f t="shared" ca="1" si="89"/>
        <v>17927.406361111112</v>
      </c>
      <c r="M208" s="12">
        <f t="shared" ca="1" si="90"/>
        <v>0.34519444444444453</v>
      </c>
      <c r="N208" s="2">
        <f t="shared" ca="1" si="91"/>
        <v>18687.45687951364</v>
      </c>
      <c r="O208" s="12">
        <f t="shared" ca="1" si="92"/>
        <v>0.40222532299194419</v>
      </c>
      <c r="P208" s="2">
        <f t="shared" ca="1" si="93"/>
        <v>1681.4930555555557</v>
      </c>
      <c r="Q208" s="12">
        <f t="shared" ca="1" si="94"/>
        <v>0.34519444444444453</v>
      </c>
      <c r="R208" s="2">
        <f t="shared" ca="1" si="95"/>
        <v>1752.7816537399301</v>
      </c>
      <c r="S208" s="12">
        <f t="shared" ca="1" si="96"/>
        <v>0.40222532299194408</v>
      </c>
      <c r="T208" s="2">
        <f t="shared" ca="1" si="97"/>
        <v>39217.798833333334</v>
      </c>
      <c r="U208" s="12">
        <f t="shared" ca="1" si="98"/>
        <v>0.34519444444444447</v>
      </c>
      <c r="V208" s="2">
        <f t="shared" ca="1" si="99"/>
        <v>40880.477066507141</v>
      </c>
      <c r="W208" s="12">
        <f t="shared" ca="1" si="100"/>
        <v>0.40222532299194419</v>
      </c>
      <c r="X208" s="8" t="s">
        <v>13</v>
      </c>
    </row>
    <row r="209" spans="1:24" ht="15.75" x14ac:dyDescent="0.3">
      <c r="A209" s="9">
        <v>44774</v>
      </c>
      <c r="B209" s="10">
        <f t="shared" si="81"/>
        <v>14577</v>
      </c>
      <c r="C209" s="10">
        <f t="shared" si="82"/>
        <v>13327</v>
      </c>
      <c r="D209" s="10">
        <v>1250</v>
      </c>
      <c r="E209" s="2">
        <f t="shared" si="83"/>
        <v>29154</v>
      </c>
      <c r="F209" s="12">
        <v>8.5000000000000006E-2</v>
      </c>
      <c r="G209" s="2">
        <f t="shared" ca="1" si="84"/>
        <v>47.733333333333334</v>
      </c>
      <c r="H209" s="2">
        <f t="shared" ca="1" si="85"/>
        <v>19505.645666666667</v>
      </c>
      <c r="I209" s="12">
        <f t="shared" ca="1" si="86"/>
        <v>0.33811111111111114</v>
      </c>
      <c r="J209" s="2">
        <f t="shared" ca="1" si="87"/>
        <v>20298.936376118239</v>
      </c>
      <c r="K209" s="12">
        <f t="shared" ca="1" si="88"/>
        <v>0.39253182246815116</v>
      </c>
      <c r="L209" s="2">
        <f t="shared" ca="1" si="89"/>
        <v>17833.006777777777</v>
      </c>
      <c r="M209" s="12">
        <f t="shared" ca="1" si="90"/>
        <v>0.33811111111111103</v>
      </c>
      <c r="N209" s="2">
        <f t="shared" ca="1" si="91"/>
        <v>18558.27159803305</v>
      </c>
      <c r="O209" s="12">
        <f t="shared" ca="1" si="92"/>
        <v>0.39253182246815116</v>
      </c>
      <c r="P209" s="2">
        <f t="shared" ca="1" si="93"/>
        <v>1672.6388888888889</v>
      </c>
      <c r="Q209" s="12">
        <f t="shared" ca="1" si="94"/>
        <v>0.33811111111111114</v>
      </c>
      <c r="R209" s="2">
        <f t="shared" ca="1" si="95"/>
        <v>1740.6647780851888</v>
      </c>
      <c r="S209" s="12">
        <f t="shared" ca="1" si="96"/>
        <v>0.39253182246815105</v>
      </c>
      <c r="T209" s="2">
        <f t="shared" ca="1" si="97"/>
        <v>39011.291333333334</v>
      </c>
      <c r="U209" s="12">
        <f t="shared" ca="1" si="98"/>
        <v>0.33811111111111114</v>
      </c>
      <c r="V209" s="2">
        <f t="shared" ca="1" si="99"/>
        <v>40597.872752236479</v>
      </c>
      <c r="W209" s="12">
        <f t="shared" ca="1" si="100"/>
        <v>0.39253182246815116</v>
      </c>
      <c r="X209" s="8" t="s">
        <v>13</v>
      </c>
    </row>
    <row r="210" spans="1:24" ht="15.75" x14ac:dyDescent="0.3">
      <c r="A210" s="9">
        <v>44805</v>
      </c>
      <c r="B210" s="10">
        <f t="shared" si="81"/>
        <v>18739</v>
      </c>
      <c r="C210" s="10">
        <f t="shared" si="82"/>
        <v>17489</v>
      </c>
      <c r="D210" s="10">
        <v>1250</v>
      </c>
      <c r="E210" s="2">
        <f>18739*2</f>
        <v>37478</v>
      </c>
      <c r="F210" s="12">
        <v>8.5000000000000006E-2</v>
      </c>
      <c r="G210" s="2">
        <f t="shared" ca="1" si="84"/>
        <v>46.733333333333334</v>
      </c>
      <c r="H210" s="2">
        <f t="shared" ca="1" si="85"/>
        <v>24942.129527777779</v>
      </c>
      <c r="I210" s="12">
        <f t="shared" ca="1" si="86"/>
        <v>0.33102777777777787</v>
      </c>
      <c r="J210" s="2">
        <f t="shared" ca="1" si="87"/>
        <v>25914.263026444165</v>
      </c>
      <c r="K210" s="12">
        <f t="shared" ca="1" si="88"/>
        <v>0.38290533253877823</v>
      </c>
      <c r="L210" s="2">
        <f t="shared" ca="1" si="89"/>
        <v>23278.344805555556</v>
      </c>
      <c r="M210" s="12">
        <f t="shared" ca="1" si="90"/>
        <v>0.33102777777777781</v>
      </c>
      <c r="N210" s="2">
        <f t="shared" ca="1" si="91"/>
        <v>24185.631360770691</v>
      </c>
      <c r="O210" s="12">
        <f t="shared" ca="1" si="92"/>
        <v>0.38290533253877812</v>
      </c>
      <c r="P210" s="2">
        <f t="shared" ca="1" si="93"/>
        <v>1663.7847222222224</v>
      </c>
      <c r="Q210" s="12">
        <f t="shared" ca="1" si="94"/>
        <v>0.33102777777777792</v>
      </c>
      <c r="R210" s="2">
        <f t="shared" ca="1" si="95"/>
        <v>1728.6316656734728</v>
      </c>
      <c r="S210" s="12">
        <f t="shared" ca="1" si="96"/>
        <v>0.38290533253877818</v>
      </c>
      <c r="T210" s="2">
        <f t="shared" ca="1" si="97"/>
        <v>49884.259055555558</v>
      </c>
      <c r="U210" s="12">
        <f t="shared" ca="1" si="98"/>
        <v>0.33102777777777787</v>
      </c>
      <c r="V210" s="2">
        <f t="shared" ca="1" si="99"/>
        <v>51828.52605288833</v>
      </c>
      <c r="W210" s="12">
        <f t="shared" ca="1" si="100"/>
        <v>0.38290533253877823</v>
      </c>
      <c r="X210" s="8" t="s">
        <v>13</v>
      </c>
    </row>
    <row r="211" spans="1:24" ht="15.75" x14ac:dyDescent="0.3">
      <c r="A211" s="9">
        <v>44835</v>
      </c>
      <c r="B211" s="10">
        <f t="shared" si="81"/>
        <v>16764</v>
      </c>
      <c r="C211" s="10">
        <f t="shared" si="82"/>
        <v>15514</v>
      </c>
      <c r="D211" s="10">
        <v>1250</v>
      </c>
      <c r="E211" s="2">
        <f t="shared" ref="E211:E220" si="101">16764*2</f>
        <v>33528</v>
      </c>
      <c r="F211" s="12">
        <v>8.5000000000000006E-2</v>
      </c>
      <c r="G211" s="2">
        <f t="shared" ca="1" si="84"/>
        <v>45.733333333333334</v>
      </c>
      <c r="H211" s="2">
        <f t="shared" ca="1" si="85"/>
        <v>22194.604666666666</v>
      </c>
      <c r="I211" s="12">
        <f t="shared" ca="1" si="86"/>
        <v>0.32394444444444442</v>
      </c>
      <c r="J211" s="2">
        <f t="shared" ca="1" si="87"/>
        <v>23022.762117349102</v>
      </c>
      <c r="K211" s="12">
        <f t="shared" ca="1" si="88"/>
        <v>0.37334538996355898</v>
      </c>
      <c r="L211" s="2">
        <f t="shared" ca="1" si="89"/>
        <v>20539.674111111111</v>
      </c>
      <c r="M211" s="12">
        <f t="shared" ca="1" si="90"/>
        <v>0.32394444444444448</v>
      </c>
      <c r="N211" s="2">
        <f t="shared" ca="1" si="91"/>
        <v>21306.080379894654</v>
      </c>
      <c r="O211" s="12">
        <f t="shared" ca="1" si="92"/>
        <v>0.37334538996355898</v>
      </c>
      <c r="P211" s="2">
        <f t="shared" ca="1" si="93"/>
        <v>1654.9305555555557</v>
      </c>
      <c r="Q211" s="12">
        <f t="shared" ca="1" si="94"/>
        <v>0.32394444444444453</v>
      </c>
      <c r="R211" s="2">
        <f t="shared" ca="1" si="95"/>
        <v>1716.6817374544487</v>
      </c>
      <c r="S211" s="12">
        <f t="shared" ca="1" si="96"/>
        <v>0.37334538996355898</v>
      </c>
      <c r="T211" s="2">
        <f t="shared" ca="1" si="97"/>
        <v>44389.209333333332</v>
      </c>
      <c r="U211" s="12">
        <f t="shared" ca="1" si="98"/>
        <v>0.32394444444444442</v>
      </c>
      <c r="V211" s="2">
        <f t="shared" ca="1" si="99"/>
        <v>46045.524234698205</v>
      </c>
      <c r="W211" s="12">
        <f t="shared" ca="1" si="100"/>
        <v>0.37334538996355898</v>
      </c>
      <c r="X211" s="8" t="s">
        <v>13</v>
      </c>
    </row>
    <row r="212" spans="1:24" ht="15.75" x14ac:dyDescent="0.3">
      <c r="A212" s="9">
        <v>44866</v>
      </c>
      <c r="B212" s="10">
        <f t="shared" si="81"/>
        <v>16764</v>
      </c>
      <c r="C212" s="10">
        <f t="shared" si="82"/>
        <v>15514</v>
      </c>
      <c r="D212" s="10">
        <v>1250</v>
      </c>
      <c r="E212" s="2">
        <f t="shared" si="101"/>
        <v>33528</v>
      </c>
      <c r="F212" s="12">
        <v>8.5000000000000006E-2</v>
      </c>
      <c r="G212" s="2">
        <f t="shared" ca="1" si="84"/>
        <v>44.733333333333334</v>
      </c>
      <c r="H212" s="2">
        <f t="shared" ca="1" si="85"/>
        <v>22075.859666666667</v>
      </c>
      <c r="I212" s="12">
        <f t="shared" ca="1" si="86"/>
        <v>0.31686111111111115</v>
      </c>
      <c r="J212" s="2">
        <f t="shared" ca="1" si="87"/>
        <v>22863.607127787582</v>
      </c>
      <c r="K212" s="12">
        <f t="shared" ca="1" si="88"/>
        <v>0.36385153470458015</v>
      </c>
      <c r="L212" s="2">
        <f t="shared" ca="1" si="89"/>
        <v>20429.783277777777</v>
      </c>
      <c r="M212" s="12">
        <f t="shared" ca="1" si="90"/>
        <v>0.31686111111111104</v>
      </c>
      <c r="N212" s="2">
        <f t="shared" ca="1" si="91"/>
        <v>21158.792709406855</v>
      </c>
      <c r="O212" s="12">
        <f t="shared" ca="1" si="92"/>
        <v>0.36385153470458004</v>
      </c>
      <c r="P212" s="2">
        <f t="shared" ca="1" si="93"/>
        <v>1646.0763888888889</v>
      </c>
      <c r="Q212" s="12">
        <f t="shared" ca="1" si="94"/>
        <v>0.31686111111111115</v>
      </c>
      <c r="R212" s="2">
        <f t="shared" ca="1" si="95"/>
        <v>1704.8144183807251</v>
      </c>
      <c r="S212" s="12">
        <f t="shared" ca="1" si="96"/>
        <v>0.36385153470458009</v>
      </c>
      <c r="T212" s="2">
        <f t="shared" ca="1" si="97"/>
        <v>44151.719333333334</v>
      </c>
      <c r="U212" s="12">
        <f t="shared" ca="1" si="98"/>
        <v>0.31686111111111115</v>
      </c>
      <c r="V212" s="2">
        <f t="shared" ca="1" si="99"/>
        <v>45727.214255575163</v>
      </c>
      <c r="W212" s="12">
        <f t="shared" ca="1" si="100"/>
        <v>0.36385153470458015</v>
      </c>
      <c r="X212" s="8" t="s">
        <v>13</v>
      </c>
    </row>
    <row r="213" spans="1:24" ht="15.75" x14ac:dyDescent="0.3">
      <c r="A213" s="9">
        <v>44896</v>
      </c>
      <c r="B213" s="10">
        <f t="shared" si="81"/>
        <v>16764</v>
      </c>
      <c r="C213" s="10">
        <f t="shared" si="82"/>
        <v>15514</v>
      </c>
      <c r="D213" s="10">
        <v>1250</v>
      </c>
      <c r="E213" s="2">
        <f t="shared" si="101"/>
        <v>33528</v>
      </c>
      <c r="F213" s="12">
        <v>8.5000000000000006E-2</v>
      </c>
      <c r="G213" s="2">
        <f t="shared" ca="1" si="84"/>
        <v>43.733333333333334</v>
      </c>
      <c r="H213" s="2">
        <f t="shared" ca="1" si="85"/>
        <v>21957.114666666668</v>
      </c>
      <c r="I213" s="12">
        <f t="shared" ca="1" si="86"/>
        <v>0.30977777777777787</v>
      </c>
      <c r="J213" s="2">
        <f t="shared" ca="1" si="87"/>
        <v>22705.552367233038</v>
      </c>
      <c r="K213" s="12">
        <f t="shared" ca="1" si="88"/>
        <v>0.35442330990414211</v>
      </c>
      <c r="L213" s="2">
        <f t="shared" ca="1" si="89"/>
        <v>20319.892444444446</v>
      </c>
      <c r="M213" s="12">
        <f t="shared" ca="1" si="90"/>
        <v>0.30977777777777787</v>
      </c>
      <c r="N213" s="2">
        <f t="shared" ca="1" si="91"/>
        <v>21012.523229852861</v>
      </c>
      <c r="O213" s="12">
        <f t="shared" ca="1" si="92"/>
        <v>0.35442330990414211</v>
      </c>
      <c r="P213" s="2">
        <f t="shared" ca="1" si="93"/>
        <v>1637.2222222222222</v>
      </c>
      <c r="Q213" s="12">
        <f t="shared" ca="1" si="94"/>
        <v>0.30977777777777776</v>
      </c>
      <c r="R213" s="2">
        <f t="shared" ca="1" si="95"/>
        <v>1693.0291373801776</v>
      </c>
      <c r="S213" s="12">
        <f t="shared" ca="1" si="96"/>
        <v>0.35442330990414211</v>
      </c>
      <c r="T213" s="2">
        <f t="shared" ca="1" si="97"/>
        <v>43914.229333333336</v>
      </c>
      <c r="U213" s="12">
        <f t="shared" ca="1" si="98"/>
        <v>0.30977777777777787</v>
      </c>
      <c r="V213" s="2">
        <f t="shared" ca="1" si="99"/>
        <v>45411.104734466076</v>
      </c>
      <c r="W213" s="12">
        <f t="shared" ca="1" si="100"/>
        <v>0.35442330990414211</v>
      </c>
      <c r="X213" s="8" t="s">
        <v>13</v>
      </c>
    </row>
    <row r="214" spans="1:24" ht="15.75" x14ac:dyDescent="0.3">
      <c r="A214" s="9">
        <v>44927</v>
      </c>
      <c r="B214" s="10">
        <f t="shared" si="81"/>
        <v>16764</v>
      </c>
      <c r="C214" s="10">
        <f t="shared" si="82"/>
        <v>15514</v>
      </c>
      <c r="D214" s="10">
        <v>1250</v>
      </c>
      <c r="E214" s="2">
        <f t="shared" si="101"/>
        <v>33528</v>
      </c>
      <c r="F214" s="12">
        <v>8.5000000000000006E-2</v>
      </c>
      <c r="G214" s="2">
        <f t="shared" ca="1" si="84"/>
        <v>42.733333333333334</v>
      </c>
      <c r="H214" s="2">
        <f t="shared" ca="1" si="85"/>
        <v>21838.369666666666</v>
      </c>
      <c r="I214" s="12">
        <f t="shared" ca="1" si="86"/>
        <v>0.30269444444444438</v>
      </c>
      <c r="J214" s="2">
        <f t="shared" ca="1" si="87"/>
        <v>22548.590229867579</v>
      </c>
      <c r="K214" s="12">
        <f t="shared" ca="1" si="88"/>
        <v>0.34506026186277616</v>
      </c>
      <c r="L214" s="2">
        <f t="shared" ca="1" si="89"/>
        <v>20210.001611111111</v>
      </c>
      <c r="M214" s="12">
        <f t="shared" ca="1" si="90"/>
        <v>0.30269444444444443</v>
      </c>
      <c r="N214" s="2">
        <f t="shared" ca="1" si="91"/>
        <v>20867.264902539107</v>
      </c>
      <c r="O214" s="12">
        <f t="shared" ca="1" si="92"/>
        <v>0.34506026186277605</v>
      </c>
      <c r="P214" s="2">
        <f t="shared" ca="1" si="93"/>
        <v>1628.3680555555557</v>
      </c>
      <c r="Q214" s="12">
        <f t="shared" ca="1" si="94"/>
        <v>0.30269444444444454</v>
      </c>
      <c r="R214" s="2">
        <f t="shared" ca="1" si="95"/>
        <v>1681.3253273284702</v>
      </c>
      <c r="S214" s="12">
        <f t="shared" ca="1" si="96"/>
        <v>0.34506026186277611</v>
      </c>
      <c r="T214" s="2">
        <f t="shared" ca="1" si="97"/>
        <v>43676.739333333331</v>
      </c>
      <c r="U214" s="12">
        <f t="shared" ca="1" si="98"/>
        <v>0.30269444444444438</v>
      </c>
      <c r="V214" s="2">
        <f t="shared" ca="1" si="99"/>
        <v>45097.180459735158</v>
      </c>
      <c r="W214" s="12">
        <f t="shared" ca="1" si="100"/>
        <v>0.34506026186277616</v>
      </c>
      <c r="X214" s="8" t="s">
        <v>13</v>
      </c>
    </row>
    <row r="215" spans="1:24" ht="15.75" x14ac:dyDescent="0.3">
      <c r="A215" s="9">
        <v>44958</v>
      </c>
      <c r="B215" s="10">
        <f t="shared" si="81"/>
        <v>16764</v>
      </c>
      <c r="C215" s="10">
        <f t="shared" si="82"/>
        <v>15514</v>
      </c>
      <c r="D215" s="10">
        <v>1250</v>
      </c>
      <c r="E215" s="2">
        <f t="shared" si="101"/>
        <v>33528</v>
      </c>
      <c r="F215" s="12">
        <v>8.5000000000000006E-2</v>
      </c>
      <c r="G215" s="2">
        <f t="shared" ca="1" si="84"/>
        <v>41.733333333333334</v>
      </c>
      <c r="H215" s="2">
        <f t="shared" ca="1" si="85"/>
        <v>21719.624666666667</v>
      </c>
      <c r="I215" s="12">
        <f t="shared" ca="1" si="86"/>
        <v>0.2956111111111111</v>
      </c>
      <c r="J215" s="2">
        <f t="shared" ca="1" si="87"/>
        <v>22392.713162451881</v>
      </c>
      <c r="K215" s="12">
        <f t="shared" ca="1" si="88"/>
        <v>0.33576194001741116</v>
      </c>
      <c r="L215" s="2">
        <f t="shared" ca="1" si="89"/>
        <v>20100.11077777778</v>
      </c>
      <c r="M215" s="12">
        <f t="shared" ca="1" si="90"/>
        <v>0.29561111111111121</v>
      </c>
      <c r="N215" s="2">
        <f t="shared" ca="1" si="91"/>
        <v>20723.010737430119</v>
      </c>
      <c r="O215" s="12">
        <f t="shared" ca="1" si="92"/>
        <v>0.33576194001741128</v>
      </c>
      <c r="P215" s="2">
        <f t="shared" ca="1" si="93"/>
        <v>1619.5138888888889</v>
      </c>
      <c r="Q215" s="12">
        <f t="shared" ca="1" si="94"/>
        <v>0.29561111111111116</v>
      </c>
      <c r="R215" s="2">
        <f t="shared" ca="1" si="95"/>
        <v>1669.7024250217639</v>
      </c>
      <c r="S215" s="12">
        <f t="shared" ca="1" si="96"/>
        <v>0.33576194001741116</v>
      </c>
      <c r="T215" s="2">
        <f t="shared" ca="1" si="97"/>
        <v>43439.249333333333</v>
      </c>
      <c r="U215" s="12">
        <f t="shared" ca="1" si="98"/>
        <v>0.2956111111111111</v>
      </c>
      <c r="V215" s="2">
        <f t="shared" ca="1" si="99"/>
        <v>44785.426324903761</v>
      </c>
      <c r="W215" s="12">
        <f t="shared" ca="1" si="100"/>
        <v>0.33576194001741116</v>
      </c>
      <c r="X215" s="8" t="s">
        <v>13</v>
      </c>
    </row>
    <row r="216" spans="1:24" ht="15.75" x14ac:dyDescent="0.3">
      <c r="A216" s="9">
        <v>44986</v>
      </c>
      <c r="B216" s="10">
        <f t="shared" si="81"/>
        <v>16764</v>
      </c>
      <c r="C216" s="10">
        <f t="shared" si="82"/>
        <v>15514</v>
      </c>
      <c r="D216" s="10">
        <v>1250</v>
      </c>
      <c r="E216" s="2">
        <f t="shared" si="101"/>
        <v>33528</v>
      </c>
      <c r="F216" s="12">
        <v>8.5000000000000006E-2</v>
      </c>
      <c r="G216" s="2">
        <f t="shared" ca="1" si="84"/>
        <v>40.733333333333334</v>
      </c>
      <c r="H216" s="2">
        <f t="shared" ca="1" si="85"/>
        <v>21600.879666666668</v>
      </c>
      <c r="I216" s="12">
        <f t="shared" ca="1" si="86"/>
        <v>0.28852777777777783</v>
      </c>
      <c r="J216" s="2">
        <f t="shared" ca="1" si="87"/>
        <v>22237.913663961703</v>
      </c>
      <c r="K216" s="12">
        <f t="shared" ca="1" si="88"/>
        <v>0.32652789691969114</v>
      </c>
      <c r="L216" s="2">
        <f t="shared" ca="1" si="89"/>
        <v>19990.219944444445</v>
      </c>
      <c r="M216" s="12">
        <f t="shared" ca="1" si="90"/>
        <v>0.28852777777777783</v>
      </c>
      <c r="N216" s="2">
        <f t="shared" ca="1" si="91"/>
        <v>20579.753792812091</v>
      </c>
      <c r="O216" s="12">
        <f t="shared" ca="1" si="92"/>
        <v>0.32652789691969131</v>
      </c>
      <c r="P216" s="2">
        <f t="shared" ca="1" si="93"/>
        <v>1610.6597222222222</v>
      </c>
      <c r="Q216" s="12">
        <f t="shared" ca="1" si="94"/>
        <v>0.28852777777777772</v>
      </c>
      <c r="R216" s="2">
        <f t="shared" ca="1" si="95"/>
        <v>1658.159871149614</v>
      </c>
      <c r="S216" s="12">
        <f t="shared" ca="1" si="96"/>
        <v>0.3265278969196912</v>
      </c>
      <c r="T216" s="2">
        <f t="shared" ca="1" si="97"/>
        <v>43201.759333333335</v>
      </c>
      <c r="U216" s="12">
        <f t="shared" ca="1" si="98"/>
        <v>0.28852777777777783</v>
      </c>
      <c r="V216" s="2">
        <f t="shared" ca="1" si="99"/>
        <v>44475.827327923405</v>
      </c>
      <c r="W216" s="12">
        <f t="shared" ca="1" si="100"/>
        <v>0.32652789691969114</v>
      </c>
      <c r="X216" s="8" t="s">
        <v>13</v>
      </c>
    </row>
    <row r="217" spans="1:24" ht="15.75" x14ac:dyDescent="0.3">
      <c r="A217" s="9">
        <v>45017</v>
      </c>
      <c r="B217" s="10">
        <f t="shared" si="81"/>
        <v>16764</v>
      </c>
      <c r="C217" s="10">
        <f t="shared" si="82"/>
        <v>15514</v>
      </c>
      <c r="D217" s="10">
        <v>1250</v>
      </c>
      <c r="E217" s="2">
        <f t="shared" si="101"/>
        <v>33528</v>
      </c>
      <c r="F217" s="12">
        <v>8.5000000000000006E-2</v>
      </c>
      <c r="G217" s="2">
        <f t="shared" ca="1" si="84"/>
        <v>39.733333333333334</v>
      </c>
      <c r="H217" s="2">
        <f t="shared" ca="1" si="85"/>
        <v>21482.134666666665</v>
      </c>
      <c r="I217" s="12">
        <f t="shared" ca="1" si="86"/>
        <v>0.28144444444444433</v>
      </c>
      <c r="J217" s="2">
        <f t="shared" ca="1" si="87"/>
        <v>22084.184285226962</v>
      </c>
      <c r="K217" s="12">
        <f t="shared" ca="1" si="88"/>
        <v>0.31735768821444538</v>
      </c>
      <c r="L217" s="2">
        <f t="shared" ca="1" si="89"/>
        <v>19880.32911111111</v>
      </c>
      <c r="M217" s="12">
        <f t="shared" ca="1" si="90"/>
        <v>0.28144444444444439</v>
      </c>
      <c r="N217" s="2">
        <f t="shared" ca="1" si="91"/>
        <v>20437.487174958904</v>
      </c>
      <c r="O217" s="12">
        <f t="shared" ca="1" si="92"/>
        <v>0.31735768821444527</v>
      </c>
      <c r="P217" s="2">
        <f t="shared" ca="1" si="93"/>
        <v>1601.8055555555557</v>
      </c>
      <c r="Q217" s="12">
        <f t="shared" ca="1" si="94"/>
        <v>0.28144444444444455</v>
      </c>
      <c r="R217" s="2">
        <f t="shared" ca="1" si="95"/>
        <v>1646.6971102680566</v>
      </c>
      <c r="S217" s="12">
        <f t="shared" ca="1" si="96"/>
        <v>0.31735768821444527</v>
      </c>
      <c r="T217" s="2">
        <f t="shared" ca="1" si="97"/>
        <v>42964.26933333333</v>
      </c>
      <c r="U217" s="12">
        <f t="shared" ca="1" si="98"/>
        <v>0.28144444444444433</v>
      </c>
      <c r="V217" s="2">
        <f t="shared" ca="1" si="99"/>
        <v>44168.368570453924</v>
      </c>
      <c r="W217" s="12">
        <f t="shared" ca="1" si="100"/>
        <v>0.31735768821444538</v>
      </c>
      <c r="X217" s="8" t="s">
        <v>13</v>
      </c>
    </row>
    <row r="218" spans="1:24" ht="15.75" x14ac:dyDescent="0.3">
      <c r="A218" s="9">
        <v>45047</v>
      </c>
      <c r="B218" s="10">
        <f t="shared" si="81"/>
        <v>16764</v>
      </c>
      <c r="C218" s="10">
        <f t="shared" si="82"/>
        <v>15514</v>
      </c>
      <c r="D218" s="10">
        <v>1250</v>
      </c>
      <c r="E218" s="2">
        <f t="shared" si="101"/>
        <v>33528</v>
      </c>
      <c r="F218" s="12">
        <v>8.5000000000000006E-2</v>
      </c>
      <c r="G218" s="2">
        <f t="shared" ca="1" si="84"/>
        <v>38.733333333333334</v>
      </c>
      <c r="H218" s="2">
        <f t="shared" ca="1" si="85"/>
        <v>21363.389666666666</v>
      </c>
      <c r="I218" s="12">
        <f t="shared" ca="1" si="86"/>
        <v>0.27436111111111106</v>
      </c>
      <c r="J218" s="2">
        <f t="shared" ca="1" si="87"/>
        <v>21931.517628573223</v>
      </c>
      <c r="K218" s="12">
        <f t="shared" ca="1" si="88"/>
        <v>0.30825087261830253</v>
      </c>
      <c r="L218" s="2">
        <f t="shared" ca="1" si="89"/>
        <v>19770.438277777779</v>
      </c>
      <c r="M218" s="12">
        <f t="shared" ca="1" si="90"/>
        <v>0.27436111111111122</v>
      </c>
      <c r="N218" s="2">
        <f t="shared" ca="1" si="91"/>
        <v>20296.204037800344</v>
      </c>
      <c r="O218" s="12">
        <f t="shared" ca="1" si="92"/>
        <v>0.30825087261830242</v>
      </c>
      <c r="P218" s="2">
        <f t="shared" ca="1" si="93"/>
        <v>1592.9513888888889</v>
      </c>
      <c r="Q218" s="12">
        <f t="shared" ca="1" si="94"/>
        <v>0.27436111111111111</v>
      </c>
      <c r="R218" s="2">
        <f t="shared" ca="1" si="95"/>
        <v>1635.3135907728781</v>
      </c>
      <c r="S218" s="12">
        <f t="shared" ca="1" si="96"/>
        <v>0.30825087261830247</v>
      </c>
      <c r="T218" s="2">
        <f t="shared" ca="1" si="97"/>
        <v>42726.779333333332</v>
      </c>
      <c r="U218" s="12">
        <f t="shared" ca="1" si="98"/>
        <v>0.27436111111111106</v>
      </c>
      <c r="V218" s="2">
        <f t="shared" ca="1" si="99"/>
        <v>43863.035257146446</v>
      </c>
      <c r="W218" s="12">
        <f t="shared" ca="1" si="100"/>
        <v>0.30825087261830253</v>
      </c>
      <c r="X218" s="8" t="s">
        <v>13</v>
      </c>
    </row>
    <row r="219" spans="1:24" ht="15.75" x14ac:dyDescent="0.3">
      <c r="A219" s="9">
        <v>45078</v>
      </c>
      <c r="B219" s="10">
        <f t="shared" si="81"/>
        <v>16764</v>
      </c>
      <c r="C219" s="10">
        <f t="shared" si="82"/>
        <v>15514</v>
      </c>
      <c r="D219" s="10">
        <v>1250</v>
      </c>
      <c r="E219" s="2">
        <f t="shared" si="101"/>
        <v>33528</v>
      </c>
      <c r="F219" s="12">
        <v>8.5000000000000006E-2</v>
      </c>
      <c r="G219" s="2">
        <f t="shared" ca="1" si="84"/>
        <v>37.733333333333334</v>
      </c>
      <c r="H219" s="2">
        <f t="shared" ca="1" si="85"/>
        <v>21244.644666666667</v>
      </c>
      <c r="I219" s="12">
        <f t="shared" ca="1" si="86"/>
        <v>0.26727777777777778</v>
      </c>
      <c r="J219" s="2">
        <f t="shared" ca="1" si="87"/>
        <v>21779.906347465741</v>
      </c>
      <c r="K219" s="12">
        <f t="shared" ca="1" si="88"/>
        <v>0.2992070118984575</v>
      </c>
      <c r="L219" s="2">
        <f t="shared" ca="1" si="89"/>
        <v>19660.547444444444</v>
      </c>
      <c r="M219" s="12">
        <f t="shared" ca="1" si="90"/>
        <v>0.26727777777777778</v>
      </c>
      <c r="N219" s="2">
        <f t="shared" ca="1" si="91"/>
        <v>20155.897582592672</v>
      </c>
      <c r="O219" s="12">
        <f t="shared" ca="1" si="92"/>
        <v>0.29920701189845766</v>
      </c>
      <c r="P219" s="2">
        <f t="shared" ca="1" si="93"/>
        <v>1584.0972222222222</v>
      </c>
      <c r="Q219" s="12">
        <f t="shared" ca="1" si="94"/>
        <v>0.26727777777777773</v>
      </c>
      <c r="R219" s="2">
        <f t="shared" ca="1" si="95"/>
        <v>1624.0087648730719</v>
      </c>
      <c r="S219" s="12">
        <f t="shared" ca="1" si="96"/>
        <v>0.2992070118984575</v>
      </c>
      <c r="T219" s="2">
        <f t="shared" ca="1" si="97"/>
        <v>42489.289333333334</v>
      </c>
      <c r="U219" s="12">
        <f t="shared" ca="1" si="98"/>
        <v>0.26727777777777778</v>
      </c>
      <c r="V219" s="2">
        <f t="shared" ca="1" si="99"/>
        <v>43559.812694931483</v>
      </c>
      <c r="W219" s="12">
        <f t="shared" ca="1" si="100"/>
        <v>0.2992070118984575</v>
      </c>
      <c r="X219" s="8" t="s">
        <v>13</v>
      </c>
    </row>
    <row r="220" spans="1:24" ht="15.75" x14ac:dyDescent="0.3">
      <c r="A220" s="9">
        <v>45108</v>
      </c>
      <c r="B220" s="10">
        <f t="shared" si="81"/>
        <v>16764</v>
      </c>
      <c r="C220" s="10">
        <f t="shared" si="82"/>
        <v>15514</v>
      </c>
      <c r="D220" s="10">
        <v>1250</v>
      </c>
      <c r="E220" s="2">
        <f t="shared" si="101"/>
        <v>33528</v>
      </c>
      <c r="F220" s="12">
        <v>8.5000000000000006E-2</v>
      </c>
      <c r="G220" s="2">
        <f t="shared" ca="1" si="84"/>
        <v>36.733333333333334</v>
      </c>
      <c r="H220" s="2">
        <f t="shared" ca="1" si="85"/>
        <v>21125.899666666668</v>
      </c>
      <c r="I220" s="12">
        <f t="shared" ca="1" si="86"/>
        <v>0.26019444444444451</v>
      </c>
      <c r="J220" s="2">
        <f t="shared" ca="1" si="87"/>
        <v>21629.343146155956</v>
      </c>
      <c r="K220" s="12">
        <f t="shared" ca="1" si="88"/>
        <v>0.29022567085158407</v>
      </c>
      <c r="L220" s="2">
        <f t="shared" ca="1" si="89"/>
        <v>19550.65661111111</v>
      </c>
      <c r="M220" s="12">
        <f t="shared" ca="1" si="90"/>
        <v>0.26019444444444434</v>
      </c>
      <c r="N220" s="2">
        <f t="shared" ca="1" si="91"/>
        <v>20016.561057591476</v>
      </c>
      <c r="O220" s="12">
        <f t="shared" ca="1" si="92"/>
        <v>0.29022567085158413</v>
      </c>
      <c r="P220" s="2">
        <f t="shared" ca="1" si="93"/>
        <v>1575.2430555555557</v>
      </c>
      <c r="Q220" s="12">
        <f t="shared" ca="1" si="94"/>
        <v>0.26019444444444451</v>
      </c>
      <c r="R220" s="2">
        <f t="shared" ca="1" si="95"/>
        <v>1612.7820885644801</v>
      </c>
      <c r="S220" s="12">
        <f t="shared" ca="1" si="96"/>
        <v>0.29022567085158407</v>
      </c>
      <c r="T220" s="2">
        <f t="shared" ca="1" si="97"/>
        <v>42251.799333333336</v>
      </c>
      <c r="U220" s="12">
        <f t="shared" ca="1" si="98"/>
        <v>0.26019444444444451</v>
      </c>
      <c r="V220" s="2">
        <f t="shared" ca="1" si="99"/>
        <v>43258.686292311912</v>
      </c>
      <c r="W220" s="12">
        <f t="shared" ca="1" si="100"/>
        <v>0.29022567085158407</v>
      </c>
      <c r="X220" s="8" t="s">
        <v>13</v>
      </c>
    </row>
    <row r="221" spans="1:24" ht="15.75" x14ac:dyDescent="0.3">
      <c r="A221" s="9">
        <v>45139</v>
      </c>
      <c r="B221" s="10">
        <f t="shared" si="81"/>
        <v>17937</v>
      </c>
      <c r="C221" s="10">
        <f t="shared" si="82"/>
        <v>16687</v>
      </c>
      <c r="D221" s="10">
        <v>1250</v>
      </c>
      <c r="E221" s="2">
        <f t="shared" ref="E221:E239" si="102">17937*2</f>
        <v>35874</v>
      </c>
      <c r="F221" s="12">
        <v>8.5000000000000006E-2</v>
      </c>
      <c r="G221" s="2">
        <f t="shared" ca="1" si="84"/>
        <v>35.733333333333334</v>
      </c>
      <c r="H221" s="2">
        <f t="shared" ca="1" si="85"/>
        <v>22477.054</v>
      </c>
      <c r="I221" s="12">
        <f t="shared" ca="1" si="86"/>
        <v>0.25311111111111112</v>
      </c>
      <c r="J221" s="2">
        <f t="shared" ca="1" si="87"/>
        <v>22982.793206803166</v>
      </c>
      <c r="K221" s="12">
        <f t="shared" ca="1" si="88"/>
        <v>0.28130641728288824</v>
      </c>
      <c r="L221" s="2">
        <f t="shared" ca="1" si="89"/>
        <v>20910.665111111113</v>
      </c>
      <c r="M221" s="12">
        <f t="shared" ca="1" si="90"/>
        <v>0.25311111111111123</v>
      </c>
      <c r="N221" s="2">
        <f t="shared" ca="1" si="91"/>
        <v>21381.160185199558</v>
      </c>
      <c r="O221" s="12">
        <f t="shared" ca="1" si="92"/>
        <v>0.28130641728288835</v>
      </c>
      <c r="P221" s="2">
        <f t="shared" ca="1" si="93"/>
        <v>1566.3888888888889</v>
      </c>
      <c r="Q221" s="12">
        <f t="shared" ca="1" si="94"/>
        <v>0.25311111111111112</v>
      </c>
      <c r="R221" s="2">
        <f t="shared" ca="1" si="95"/>
        <v>1601.6330216036104</v>
      </c>
      <c r="S221" s="12">
        <f t="shared" ca="1" si="96"/>
        <v>0.2813064172828883</v>
      </c>
      <c r="T221" s="2">
        <f t="shared" ca="1" si="97"/>
        <v>44954.108</v>
      </c>
      <c r="U221" s="12">
        <f t="shared" ca="1" si="98"/>
        <v>0.25311111111111112</v>
      </c>
      <c r="V221" s="2">
        <f t="shared" ca="1" si="99"/>
        <v>45965.586413606332</v>
      </c>
      <c r="W221" s="12">
        <f t="shared" ca="1" si="100"/>
        <v>0.28130641728288824</v>
      </c>
      <c r="X221" s="8" t="s">
        <v>13</v>
      </c>
    </row>
    <row r="222" spans="1:24" ht="15.75" x14ac:dyDescent="0.3">
      <c r="A222" s="9">
        <v>45170</v>
      </c>
      <c r="B222" s="10">
        <f t="shared" si="81"/>
        <v>17937</v>
      </c>
      <c r="C222" s="10">
        <f t="shared" si="82"/>
        <v>16687</v>
      </c>
      <c r="D222" s="10">
        <v>1250</v>
      </c>
      <c r="E222" s="2">
        <f t="shared" si="102"/>
        <v>35874</v>
      </c>
      <c r="F222" s="12">
        <v>8.5000000000000006E-2</v>
      </c>
      <c r="G222" s="2">
        <f t="shared" ca="1" si="84"/>
        <v>34.733333333333334</v>
      </c>
      <c r="H222" s="2">
        <f t="shared" ca="1" si="85"/>
        <v>22350.000250000001</v>
      </c>
      <c r="I222" s="12">
        <f t="shared" ca="1" si="86"/>
        <v>0.24602777777777785</v>
      </c>
      <c r="J222" s="2">
        <f t="shared" ca="1" si="87"/>
        <v>22823.914519950602</v>
      </c>
      <c r="K222" s="12">
        <f t="shared" ca="1" si="88"/>
        <v>0.27244882198531539</v>
      </c>
      <c r="L222" s="2">
        <f t="shared" ca="1" si="89"/>
        <v>20792.465527777778</v>
      </c>
      <c r="M222" s="12">
        <f t="shared" ca="1" si="90"/>
        <v>0.24602777777777782</v>
      </c>
      <c r="N222" s="2">
        <f t="shared" ca="1" si="91"/>
        <v>21233.353492468959</v>
      </c>
      <c r="O222" s="12">
        <f t="shared" ca="1" si="92"/>
        <v>0.27244882198531545</v>
      </c>
      <c r="P222" s="2">
        <f t="shared" ca="1" si="93"/>
        <v>1557.5347222222222</v>
      </c>
      <c r="Q222" s="12">
        <f t="shared" ca="1" si="94"/>
        <v>0.24602777777777773</v>
      </c>
      <c r="R222" s="2">
        <f t="shared" ca="1" si="95"/>
        <v>1590.5610274816443</v>
      </c>
      <c r="S222" s="12">
        <f t="shared" ca="1" si="96"/>
        <v>0.27244882198531539</v>
      </c>
      <c r="T222" s="2">
        <f t="shared" ca="1" si="97"/>
        <v>44700.000500000002</v>
      </c>
      <c r="U222" s="12">
        <f t="shared" ca="1" si="98"/>
        <v>0.24602777777777785</v>
      </c>
      <c r="V222" s="2">
        <f t="shared" ca="1" si="99"/>
        <v>45647.829039901204</v>
      </c>
      <c r="W222" s="12">
        <f t="shared" ca="1" si="100"/>
        <v>0.27244882198531539</v>
      </c>
      <c r="X222" s="8" t="s">
        <v>13</v>
      </c>
    </row>
    <row r="223" spans="1:24" ht="15.75" x14ac:dyDescent="0.3">
      <c r="A223" s="9">
        <v>45200</v>
      </c>
      <c r="B223" s="10">
        <f t="shared" si="81"/>
        <v>17937</v>
      </c>
      <c r="C223" s="10">
        <f t="shared" si="82"/>
        <v>16687</v>
      </c>
      <c r="D223" s="10">
        <v>1250</v>
      </c>
      <c r="E223" s="2">
        <f t="shared" si="102"/>
        <v>35874</v>
      </c>
      <c r="F223" s="12">
        <v>8.5000000000000006E-2</v>
      </c>
      <c r="G223" s="2">
        <f t="shared" ca="1" si="84"/>
        <v>33.733333333333334</v>
      </c>
      <c r="H223" s="2">
        <f t="shared" ca="1" si="85"/>
        <v>22222.946500000002</v>
      </c>
      <c r="I223" s="12">
        <f t="shared" ca="1" si="86"/>
        <v>0.23894444444444454</v>
      </c>
      <c r="J223" s="2">
        <f t="shared" ca="1" si="87"/>
        <v>22666.134152040773</v>
      </c>
      <c r="K223" s="12">
        <f t="shared" ca="1" si="88"/>
        <v>0.26365245871889242</v>
      </c>
      <c r="L223" s="2">
        <f t="shared" ca="1" si="89"/>
        <v>20674.265944444443</v>
      </c>
      <c r="M223" s="12">
        <f t="shared" ca="1" si="90"/>
        <v>0.23894444444444438</v>
      </c>
      <c r="N223" s="2">
        <f t="shared" ca="1" si="91"/>
        <v>21086.568578642156</v>
      </c>
      <c r="O223" s="12">
        <f t="shared" ca="1" si="92"/>
        <v>0.26365245871889231</v>
      </c>
      <c r="P223" s="2">
        <f t="shared" ca="1" si="93"/>
        <v>1548.6805555555557</v>
      </c>
      <c r="Q223" s="12">
        <f t="shared" ca="1" si="94"/>
        <v>0.23894444444444451</v>
      </c>
      <c r="R223" s="2">
        <f t="shared" ca="1" si="95"/>
        <v>1579.5655733986155</v>
      </c>
      <c r="S223" s="12">
        <f t="shared" ca="1" si="96"/>
        <v>0.26365245871889237</v>
      </c>
      <c r="T223" s="2">
        <f t="shared" ca="1" si="97"/>
        <v>44445.893000000004</v>
      </c>
      <c r="U223" s="12">
        <f t="shared" ca="1" si="98"/>
        <v>0.23894444444444454</v>
      </c>
      <c r="V223" s="2">
        <f t="shared" ca="1" si="99"/>
        <v>45332.268304081546</v>
      </c>
      <c r="W223" s="12">
        <f t="shared" ca="1" si="100"/>
        <v>0.26365245871889242</v>
      </c>
      <c r="X223" s="8" t="s">
        <v>13</v>
      </c>
    </row>
    <row r="224" spans="1:24" ht="15.75" x14ac:dyDescent="0.3">
      <c r="A224" s="9">
        <v>45231</v>
      </c>
      <c r="B224" s="10">
        <f t="shared" si="81"/>
        <v>17937</v>
      </c>
      <c r="C224" s="10">
        <f t="shared" si="82"/>
        <v>16687</v>
      </c>
      <c r="D224" s="10">
        <v>1250</v>
      </c>
      <c r="E224" s="2">
        <f t="shared" si="102"/>
        <v>35874</v>
      </c>
      <c r="F224" s="12">
        <v>8.5000000000000006E-2</v>
      </c>
      <c r="G224" s="2">
        <f t="shared" ca="1" si="84"/>
        <v>32.733333333333334</v>
      </c>
      <c r="H224" s="2">
        <f t="shared" ca="1" si="85"/>
        <v>22095.892749999999</v>
      </c>
      <c r="I224" s="12">
        <f t="shared" ca="1" si="86"/>
        <v>0.23186111111111105</v>
      </c>
      <c r="J224" s="2">
        <f t="shared" ca="1" si="87"/>
        <v>22509.44451045994</v>
      </c>
      <c r="K224" s="12">
        <f t="shared" ca="1" si="88"/>
        <v>0.25491690419021801</v>
      </c>
      <c r="L224" s="2">
        <f t="shared" ca="1" si="89"/>
        <v>20556.066361111112</v>
      </c>
      <c r="M224" s="12">
        <f t="shared" ca="1" si="90"/>
        <v>0.23186111111111118</v>
      </c>
      <c r="N224" s="2">
        <f t="shared" ca="1" si="91"/>
        <v>20940.798380222168</v>
      </c>
      <c r="O224" s="12">
        <f t="shared" ca="1" si="92"/>
        <v>0.25491690419021801</v>
      </c>
      <c r="P224" s="2">
        <f t="shared" ca="1" si="93"/>
        <v>1539.8263888888889</v>
      </c>
      <c r="Q224" s="12">
        <f t="shared" ca="1" si="94"/>
        <v>0.23186111111111113</v>
      </c>
      <c r="R224" s="2">
        <f t="shared" ca="1" si="95"/>
        <v>1568.6461302377725</v>
      </c>
      <c r="S224" s="12">
        <f t="shared" ca="1" si="96"/>
        <v>0.25491690419021795</v>
      </c>
      <c r="T224" s="2">
        <f t="shared" ca="1" si="97"/>
        <v>44191.785499999998</v>
      </c>
      <c r="U224" s="12">
        <f t="shared" ca="1" si="98"/>
        <v>0.23186111111111105</v>
      </c>
      <c r="V224" s="2">
        <f t="shared" ca="1" si="99"/>
        <v>45018.88902091988</v>
      </c>
      <c r="W224" s="12">
        <f t="shared" ca="1" si="100"/>
        <v>0.25491690419021801</v>
      </c>
      <c r="X224" s="8" t="s">
        <v>13</v>
      </c>
    </row>
    <row r="225" spans="1:24" ht="15.75" x14ac:dyDescent="0.3">
      <c r="A225" s="9">
        <v>45261</v>
      </c>
      <c r="B225" s="10">
        <f t="shared" si="81"/>
        <v>17937</v>
      </c>
      <c r="C225" s="10">
        <f t="shared" si="82"/>
        <v>16687</v>
      </c>
      <c r="D225" s="10">
        <v>1250</v>
      </c>
      <c r="E225" s="2">
        <f t="shared" si="102"/>
        <v>35874</v>
      </c>
      <c r="F225" s="12">
        <v>8.5000000000000006E-2</v>
      </c>
      <c r="G225" s="2">
        <f t="shared" ca="1" si="84"/>
        <v>31.733333333333334</v>
      </c>
      <c r="H225" s="2">
        <f t="shared" ca="1" si="85"/>
        <v>21968.839</v>
      </c>
      <c r="I225" s="12">
        <f t="shared" ca="1" si="86"/>
        <v>0.22477777777777777</v>
      </c>
      <c r="J225" s="2">
        <f t="shared" ca="1" si="87"/>
        <v>22353.838055081662</v>
      </c>
      <c r="K225" s="12">
        <f t="shared" ca="1" si="88"/>
        <v>0.24624173803209354</v>
      </c>
      <c r="L225" s="2">
        <f t="shared" ca="1" si="89"/>
        <v>20437.866777777777</v>
      </c>
      <c r="M225" s="12">
        <f t="shared" ca="1" si="90"/>
        <v>0.22477777777777774</v>
      </c>
      <c r="N225" s="2">
        <f t="shared" ca="1" si="91"/>
        <v>20796.035882541546</v>
      </c>
      <c r="O225" s="12">
        <f t="shared" ca="1" si="92"/>
        <v>0.24624173803209359</v>
      </c>
      <c r="P225" s="2">
        <f t="shared" ca="1" si="93"/>
        <v>1530.9722222222222</v>
      </c>
      <c r="Q225" s="12">
        <f t="shared" ca="1" si="94"/>
        <v>0.22477777777777774</v>
      </c>
      <c r="R225" s="2">
        <f t="shared" ca="1" si="95"/>
        <v>1557.802172540117</v>
      </c>
      <c r="S225" s="12">
        <f t="shared" ca="1" si="96"/>
        <v>0.24624173803209359</v>
      </c>
      <c r="T225" s="2">
        <f t="shared" ca="1" si="97"/>
        <v>43937.678</v>
      </c>
      <c r="U225" s="12">
        <f t="shared" ca="1" si="98"/>
        <v>0.22477777777777777</v>
      </c>
      <c r="V225" s="2">
        <f t="shared" ca="1" si="99"/>
        <v>44707.676110163324</v>
      </c>
      <c r="W225" s="12">
        <f t="shared" ca="1" si="100"/>
        <v>0.24624173803209354</v>
      </c>
      <c r="X225" s="8" t="s">
        <v>13</v>
      </c>
    </row>
    <row r="226" spans="1:24" ht="15.75" x14ac:dyDescent="0.3">
      <c r="A226" s="9">
        <v>45292</v>
      </c>
      <c r="B226" s="10">
        <f t="shared" si="81"/>
        <v>17937</v>
      </c>
      <c r="C226" s="10">
        <f t="shared" si="82"/>
        <v>16687</v>
      </c>
      <c r="D226" s="10">
        <v>1250</v>
      </c>
      <c r="E226" s="2">
        <f t="shared" si="102"/>
        <v>35874</v>
      </c>
      <c r="F226" s="12">
        <v>8.5000000000000006E-2</v>
      </c>
      <c r="G226" s="2">
        <f t="shared" ca="1" si="84"/>
        <v>30.733333333333334</v>
      </c>
      <c r="H226" s="2">
        <f t="shared" ca="1" si="85"/>
        <v>21841.785250000001</v>
      </c>
      <c r="I226" s="12">
        <f t="shared" ca="1" si="86"/>
        <v>0.2176944444444445</v>
      </c>
      <c r="J226" s="2">
        <f t="shared" ca="1" si="87"/>
        <v>22199.307297903943</v>
      </c>
      <c r="K226" s="12">
        <f t="shared" ca="1" si="88"/>
        <v>0.2376265427832939</v>
      </c>
      <c r="L226" s="2">
        <f t="shared" ca="1" si="89"/>
        <v>20319.667194444446</v>
      </c>
      <c r="M226" s="12">
        <f t="shared" ca="1" si="90"/>
        <v>0.21769444444444455</v>
      </c>
      <c r="N226" s="2">
        <f t="shared" ca="1" si="91"/>
        <v>20652.274119424826</v>
      </c>
      <c r="O226" s="12">
        <f t="shared" ca="1" si="92"/>
        <v>0.23762654278329398</v>
      </c>
      <c r="P226" s="2">
        <f t="shared" ca="1" si="93"/>
        <v>1522.1180555555557</v>
      </c>
      <c r="Q226" s="12">
        <f t="shared" ca="1" si="94"/>
        <v>0.21769444444444452</v>
      </c>
      <c r="R226" s="2">
        <f t="shared" ca="1" si="95"/>
        <v>1547.0331784791174</v>
      </c>
      <c r="S226" s="12">
        <f t="shared" ca="1" si="96"/>
        <v>0.23762654278329393</v>
      </c>
      <c r="T226" s="2">
        <f t="shared" ca="1" si="97"/>
        <v>43683.570500000002</v>
      </c>
      <c r="U226" s="12">
        <f t="shared" ca="1" si="98"/>
        <v>0.2176944444444445</v>
      </c>
      <c r="V226" s="2">
        <f t="shared" ca="1" si="99"/>
        <v>44398.614595807885</v>
      </c>
      <c r="W226" s="12">
        <f t="shared" ca="1" si="100"/>
        <v>0.2376265427832939</v>
      </c>
      <c r="X226" s="8" t="s">
        <v>13</v>
      </c>
    </row>
    <row r="227" spans="1:24" ht="15.75" x14ac:dyDescent="0.3">
      <c r="A227" s="9">
        <v>45323</v>
      </c>
      <c r="B227" s="10">
        <f t="shared" si="81"/>
        <v>17937</v>
      </c>
      <c r="C227" s="10">
        <f t="shared" si="82"/>
        <v>16687</v>
      </c>
      <c r="D227" s="10">
        <v>1250</v>
      </c>
      <c r="E227" s="2">
        <f t="shared" si="102"/>
        <v>35874</v>
      </c>
      <c r="F227" s="12">
        <v>8.5000000000000006E-2</v>
      </c>
      <c r="G227" s="2">
        <f t="shared" ca="1" si="84"/>
        <v>29.733333333333334</v>
      </c>
      <c r="H227" s="2">
        <f t="shared" ca="1" si="85"/>
        <v>21714.731500000002</v>
      </c>
      <c r="I227" s="12">
        <f t="shared" ca="1" si="86"/>
        <v>0.21061111111111119</v>
      </c>
      <c r="J227" s="2">
        <f t="shared" ca="1" si="87"/>
        <v>22045.844802688895</v>
      </c>
      <c r="K227" s="12">
        <f t="shared" ca="1" si="88"/>
        <v>0.22907090386847825</v>
      </c>
      <c r="L227" s="2">
        <f t="shared" ca="1" si="89"/>
        <v>20201.467611111111</v>
      </c>
      <c r="M227" s="12">
        <f t="shared" ca="1" si="90"/>
        <v>0.21061111111111111</v>
      </c>
      <c r="N227" s="2">
        <f t="shared" ca="1" si="91"/>
        <v>20509.506172853296</v>
      </c>
      <c r="O227" s="12">
        <f t="shared" ca="1" si="92"/>
        <v>0.22907090386847825</v>
      </c>
      <c r="P227" s="2">
        <f t="shared" ca="1" si="93"/>
        <v>1513.2638888888889</v>
      </c>
      <c r="Q227" s="12">
        <f t="shared" ca="1" si="94"/>
        <v>0.21061111111111114</v>
      </c>
      <c r="R227" s="2">
        <f t="shared" ca="1" si="95"/>
        <v>1536.3386298355977</v>
      </c>
      <c r="S227" s="12">
        <f t="shared" ca="1" si="96"/>
        <v>0.22907090386847812</v>
      </c>
      <c r="T227" s="2">
        <f t="shared" ca="1" si="97"/>
        <v>43429.463000000003</v>
      </c>
      <c r="U227" s="12">
        <f t="shared" ca="1" si="98"/>
        <v>0.21061111111111119</v>
      </c>
      <c r="V227" s="2">
        <f t="shared" ca="1" si="99"/>
        <v>44091.689605377789</v>
      </c>
      <c r="W227" s="12">
        <f t="shared" ca="1" si="100"/>
        <v>0.22907090386847825</v>
      </c>
      <c r="X227" s="8" t="s">
        <v>13</v>
      </c>
    </row>
    <row r="228" spans="1:24" ht="15.75" x14ac:dyDescent="0.3">
      <c r="A228" s="9">
        <v>45352</v>
      </c>
      <c r="B228" s="10">
        <f t="shared" si="81"/>
        <v>17937</v>
      </c>
      <c r="C228" s="10">
        <f t="shared" si="82"/>
        <v>16687</v>
      </c>
      <c r="D228" s="10">
        <v>1250</v>
      </c>
      <c r="E228" s="2">
        <f t="shared" si="102"/>
        <v>35874</v>
      </c>
      <c r="F228" s="12">
        <v>8.5000000000000006E-2</v>
      </c>
      <c r="G228" s="2">
        <f t="shared" ca="1" si="84"/>
        <v>28.733333333333334</v>
      </c>
      <c r="H228" s="2">
        <f t="shared" ca="1" si="85"/>
        <v>21587.677750000003</v>
      </c>
      <c r="I228" s="12">
        <f t="shared" ca="1" si="86"/>
        <v>0.20352777777777792</v>
      </c>
      <c r="J228" s="2">
        <f t="shared" ca="1" si="87"/>
        <v>21893.443184604894</v>
      </c>
      <c r="K228" s="12">
        <f t="shared" ca="1" si="88"/>
        <v>0.22057440957824015</v>
      </c>
      <c r="L228" s="2">
        <f t="shared" ca="1" si="89"/>
        <v>20083.268027777776</v>
      </c>
      <c r="M228" s="12">
        <f t="shared" ca="1" si="90"/>
        <v>0.2035277777777777</v>
      </c>
      <c r="N228" s="2">
        <f t="shared" ca="1" si="91"/>
        <v>20367.725172632094</v>
      </c>
      <c r="O228" s="12">
        <f t="shared" ca="1" si="92"/>
        <v>0.22057440957824018</v>
      </c>
      <c r="P228" s="2">
        <f t="shared" ca="1" si="93"/>
        <v>1504.4097222222222</v>
      </c>
      <c r="Q228" s="12">
        <f t="shared" ca="1" si="94"/>
        <v>0.20352777777777772</v>
      </c>
      <c r="R228" s="2">
        <f t="shared" ca="1" si="95"/>
        <v>1525.7180119728002</v>
      </c>
      <c r="S228" s="12">
        <f t="shared" ca="1" si="96"/>
        <v>0.2205744095782402</v>
      </c>
      <c r="T228" s="2">
        <f t="shared" ca="1" si="97"/>
        <v>43175.355500000005</v>
      </c>
      <c r="U228" s="12">
        <f t="shared" ca="1" si="98"/>
        <v>0.20352777777777792</v>
      </c>
      <c r="V228" s="2">
        <f t="shared" ca="1" si="99"/>
        <v>43786.886369209788</v>
      </c>
      <c r="W228" s="12">
        <f t="shared" ca="1" si="100"/>
        <v>0.22057440957824015</v>
      </c>
      <c r="X228" s="8" t="s">
        <v>13</v>
      </c>
    </row>
    <row r="229" spans="1:24" ht="15.75" x14ac:dyDescent="0.3">
      <c r="A229" s="9">
        <v>45383</v>
      </c>
      <c r="B229" s="10">
        <f t="shared" si="81"/>
        <v>17937</v>
      </c>
      <c r="C229" s="10">
        <f t="shared" si="82"/>
        <v>16687</v>
      </c>
      <c r="D229" s="10">
        <v>1250</v>
      </c>
      <c r="E229" s="2">
        <f t="shared" si="102"/>
        <v>35874</v>
      </c>
      <c r="F229" s="12">
        <v>8.5000000000000006E-2</v>
      </c>
      <c r="G229" s="2">
        <f t="shared" ca="1" si="84"/>
        <v>27.733333333333334</v>
      </c>
      <c r="H229" s="2">
        <f t="shared" ca="1" si="85"/>
        <v>21460.624</v>
      </c>
      <c r="I229" s="12">
        <f t="shared" ca="1" si="86"/>
        <v>0.19644444444444442</v>
      </c>
      <c r="J229" s="2">
        <f t="shared" ca="1" si="87"/>
        <v>21742.095109871243</v>
      </c>
      <c r="K229" s="12">
        <f t="shared" ca="1" si="88"/>
        <v>0.21213665104929716</v>
      </c>
      <c r="L229" s="2">
        <f t="shared" ca="1" si="89"/>
        <v>19965.068444444445</v>
      </c>
      <c r="M229" s="12">
        <f t="shared" ca="1" si="90"/>
        <v>0.19644444444444448</v>
      </c>
      <c r="N229" s="2">
        <f t="shared" ca="1" si="91"/>
        <v>20226.924296059624</v>
      </c>
      <c r="O229" s="12">
        <f t="shared" ca="1" si="92"/>
        <v>0.2121366510492973</v>
      </c>
      <c r="P229" s="2">
        <f t="shared" ca="1" si="93"/>
        <v>1495.5555555555557</v>
      </c>
      <c r="Q229" s="12">
        <f t="shared" ca="1" si="94"/>
        <v>0.19644444444444453</v>
      </c>
      <c r="R229" s="2">
        <f t="shared" ca="1" si="95"/>
        <v>1515.1708138116217</v>
      </c>
      <c r="S229" s="12">
        <f t="shared" ca="1" si="96"/>
        <v>0.21213665104929733</v>
      </c>
      <c r="T229" s="2">
        <f t="shared" ca="1" si="97"/>
        <v>42921.248</v>
      </c>
      <c r="U229" s="12">
        <f t="shared" ca="1" si="98"/>
        <v>0.19644444444444442</v>
      </c>
      <c r="V229" s="2">
        <f t="shared" ca="1" si="99"/>
        <v>43484.190219742486</v>
      </c>
      <c r="W229" s="12">
        <f t="shared" ca="1" si="100"/>
        <v>0.21213665104929716</v>
      </c>
      <c r="X229" s="8" t="s">
        <v>13</v>
      </c>
    </row>
    <row r="230" spans="1:24" ht="15.75" x14ac:dyDescent="0.3">
      <c r="A230" s="9">
        <v>45413</v>
      </c>
      <c r="B230" s="10">
        <f t="shared" si="81"/>
        <v>17937</v>
      </c>
      <c r="C230" s="10">
        <f t="shared" si="82"/>
        <v>16687</v>
      </c>
      <c r="D230" s="10">
        <v>1250</v>
      </c>
      <c r="E230" s="2">
        <f t="shared" si="102"/>
        <v>35874</v>
      </c>
      <c r="F230" s="12">
        <v>8.5000000000000006E-2</v>
      </c>
      <c r="G230" s="2">
        <f t="shared" ca="1" si="84"/>
        <v>26.733333333333334</v>
      </c>
      <c r="H230" s="2">
        <f t="shared" ca="1" si="85"/>
        <v>21333.570250000001</v>
      </c>
      <c r="I230" s="12">
        <f t="shared" ca="1" si="86"/>
        <v>0.18936111111111115</v>
      </c>
      <c r="J230" s="2">
        <f t="shared" ca="1" si="87"/>
        <v>21591.793295405219</v>
      </c>
      <c r="K230" s="12">
        <f t="shared" ca="1" si="88"/>
        <v>0.20375722224481349</v>
      </c>
      <c r="L230" s="2">
        <f t="shared" ca="1" si="89"/>
        <v>19846.868861111114</v>
      </c>
      <c r="M230" s="12">
        <f t="shared" ca="1" si="90"/>
        <v>0.18936111111111129</v>
      </c>
      <c r="N230" s="2">
        <f t="shared" ca="1" si="91"/>
        <v>20087.0967675992</v>
      </c>
      <c r="O230" s="12">
        <f t="shared" ca="1" si="92"/>
        <v>0.2037572222448133</v>
      </c>
      <c r="P230" s="2">
        <f t="shared" ca="1" si="93"/>
        <v>1486.7013888888889</v>
      </c>
      <c r="Q230" s="12">
        <f t="shared" ca="1" si="94"/>
        <v>0.18936111111111112</v>
      </c>
      <c r="R230" s="2">
        <f t="shared" ca="1" si="95"/>
        <v>1504.6965278060168</v>
      </c>
      <c r="S230" s="12">
        <f t="shared" ca="1" si="96"/>
        <v>0.20375722224481341</v>
      </c>
      <c r="T230" s="2">
        <f t="shared" ca="1" si="97"/>
        <v>42667.140500000001</v>
      </c>
      <c r="U230" s="12">
        <f t="shared" ca="1" si="98"/>
        <v>0.18936111111111115</v>
      </c>
      <c r="V230" s="2">
        <f t="shared" ca="1" si="99"/>
        <v>43183.586590810439</v>
      </c>
      <c r="W230" s="12">
        <f t="shared" ca="1" si="100"/>
        <v>0.20375722224481349</v>
      </c>
      <c r="X230" s="8" t="s">
        <v>13</v>
      </c>
    </row>
    <row r="231" spans="1:24" ht="15.75" x14ac:dyDescent="0.3">
      <c r="A231" s="9">
        <v>45444</v>
      </c>
      <c r="B231" s="10">
        <f t="shared" si="81"/>
        <v>17937</v>
      </c>
      <c r="C231" s="10">
        <f t="shared" si="82"/>
        <v>16687</v>
      </c>
      <c r="D231" s="10">
        <v>1250</v>
      </c>
      <c r="E231" s="2">
        <f t="shared" si="102"/>
        <v>35874</v>
      </c>
      <c r="F231" s="12">
        <v>8.5000000000000006E-2</v>
      </c>
      <c r="G231" s="2">
        <f t="shared" ca="1" si="84"/>
        <v>25.733333333333334</v>
      </c>
      <c r="H231" s="2">
        <f t="shared" ca="1" si="85"/>
        <v>21206.516500000002</v>
      </c>
      <c r="I231" s="12">
        <f t="shared" ca="1" si="86"/>
        <v>0.18227777777777787</v>
      </c>
      <c r="J231" s="2">
        <f t="shared" ca="1" si="87"/>
        <v>21442.53050847162</v>
      </c>
      <c r="K231" s="12">
        <f t="shared" ca="1" si="88"/>
        <v>0.19543571993486203</v>
      </c>
      <c r="L231" s="2">
        <f t="shared" ca="1" si="89"/>
        <v>19728.669277777779</v>
      </c>
      <c r="M231" s="12">
        <f t="shared" ca="1" si="90"/>
        <v>0.18227777777777784</v>
      </c>
      <c r="N231" s="2">
        <f t="shared" ca="1" si="91"/>
        <v>19948.235858553042</v>
      </c>
      <c r="O231" s="12">
        <f t="shared" ca="1" si="92"/>
        <v>0.19543571993486197</v>
      </c>
      <c r="P231" s="2">
        <f t="shared" ca="1" si="93"/>
        <v>1477.8472222222222</v>
      </c>
      <c r="Q231" s="12">
        <f t="shared" ca="1" si="94"/>
        <v>0.18227777777777773</v>
      </c>
      <c r="R231" s="2">
        <f t="shared" ca="1" si="95"/>
        <v>1494.2946499185775</v>
      </c>
      <c r="S231" s="12">
        <f t="shared" ca="1" si="96"/>
        <v>0.19543571993486203</v>
      </c>
      <c r="T231" s="2">
        <f t="shared" ca="1" si="97"/>
        <v>42413.033000000003</v>
      </c>
      <c r="U231" s="12">
        <f t="shared" ca="1" si="98"/>
        <v>0.18227777777777787</v>
      </c>
      <c r="V231" s="2">
        <f t="shared" ca="1" si="99"/>
        <v>42885.06101694324</v>
      </c>
      <c r="W231" s="12">
        <f t="shared" ca="1" si="100"/>
        <v>0.19543571993486203</v>
      </c>
      <c r="X231" s="8" t="s">
        <v>13</v>
      </c>
    </row>
    <row r="232" spans="1:24" ht="15.75" x14ac:dyDescent="0.3">
      <c r="A232" s="9">
        <v>45474</v>
      </c>
      <c r="B232" s="10">
        <f t="shared" si="81"/>
        <v>17937</v>
      </c>
      <c r="C232" s="10">
        <f t="shared" si="82"/>
        <v>16687</v>
      </c>
      <c r="D232" s="10">
        <v>1250</v>
      </c>
      <c r="E232" s="2">
        <f t="shared" si="102"/>
        <v>35874</v>
      </c>
      <c r="F232" s="12">
        <v>8.5000000000000006E-2</v>
      </c>
      <c r="G232" s="2">
        <f t="shared" ca="1" si="84"/>
        <v>24.733333333333334</v>
      </c>
      <c r="H232" s="2">
        <f t="shared" ca="1" si="85"/>
        <v>21079.462749999999</v>
      </c>
      <c r="I232" s="12">
        <f t="shared" ca="1" si="86"/>
        <v>0.17519444444444437</v>
      </c>
      <c r="J232" s="2">
        <f t="shared" ca="1" si="87"/>
        <v>21294.299566334717</v>
      </c>
      <c r="K232" s="12">
        <f t="shared" ca="1" si="88"/>
        <v>0.18717174367702052</v>
      </c>
      <c r="L232" s="2">
        <f t="shared" ca="1" si="89"/>
        <v>19610.469694444444</v>
      </c>
      <c r="M232" s="12">
        <f t="shared" ca="1" si="90"/>
        <v>0.17519444444444443</v>
      </c>
      <c r="N232" s="2">
        <f t="shared" ca="1" si="91"/>
        <v>19810.334886738441</v>
      </c>
      <c r="O232" s="12">
        <f t="shared" ca="1" si="92"/>
        <v>0.1871717436770205</v>
      </c>
      <c r="P232" s="2">
        <f t="shared" ca="1" si="93"/>
        <v>1468.9930555555557</v>
      </c>
      <c r="Q232" s="12">
        <f t="shared" ca="1" si="94"/>
        <v>0.17519444444444451</v>
      </c>
      <c r="R232" s="2">
        <f t="shared" ca="1" si="95"/>
        <v>1483.9646795962758</v>
      </c>
      <c r="S232" s="12">
        <f t="shared" ca="1" si="96"/>
        <v>0.18717174367702064</v>
      </c>
      <c r="T232" s="2">
        <f t="shared" ca="1" si="97"/>
        <v>42158.925499999998</v>
      </c>
      <c r="U232" s="12">
        <f t="shared" ca="1" si="98"/>
        <v>0.17519444444444437</v>
      </c>
      <c r="V232" s="2">
        <f t="shared" ca="1" si="99"/>
        <v>42588.599132669435</v>
      </c>
      <c r="W232" s="12">
        <f t="shared" ca="1" si="100"/>
        <v>0.18717174367702052</v>
      </c>
      <c r="X232" s="8" t="s">
        <v>13</v>
      </c>
    </row>
    <row r="233" spans="1:24" ht="15.75" x14ac:dyDescent="0.3">
      <c r="A233" s="9">
        <v>45505</v>
      </c>
      <c r="B233" s="10">
        <f t="shared" si="81"/>
        <v>17937</v>
      </c>
      <c r="C233" s="10">
        <f t="shared" si="82"/>
        <v>16687</v>
      </c>
      <c r="D233" s="10">
        <v>1250</v>
      </c>
      <c r="E233" s="2">
        <f t="shared" si="102"/>
        <v>35874</v>
      </c>
      <c r="F233" s="12">
        <v>8.5000000000000006E-2</v>
      </c>
      <c r="G233" s="2">
        <f t="shared" ca="1" si="84"/>
        <v>23.733333333333334</v>
      </c>
      <c r="H233" s="2">
        <f t="shared" ca="1" si="85"/>
        <v>20952.409</v>
      </c>
      <c r="I233" s="12">
        <f t="shared" ca="1" si="86"/>
        <v>0.1681111111111111</v>
      </c>
      <c r="J233" s="2">
        <f t="shared" ca="1" si="87"/>
        <v>21147.093335912607</v>
      </c>
      <c r="K233" s="12">
        <f t="shared" ca="1" si="88"/>
        <v>0.17896489579710134</v>
      </c>
      <c r="L233" s="2">
        <f t="shared" ca="1" si="89"/>
        <v>19492.270111111113</v>
      </c>
      <c r="M233" s="12">
        <f t="shared" ca="1" si="90"/>
        <v>0.16811111111111121</v>
      </c>
      <c r="N233" s="2">
        <f t="shared" ca="1" si="91"/>
        <v>19673.387216166229</v>
      </c>
      <c r="O233" s="12">
        <f t="shared" ca="1" si="92"/>
        <v>0.17896489579710129</v>
      </c>
      <c r="P233" s="2">
        <f t="shared" ca="1" si="93"/>
        <v>1460.1388888888889</v>
      </c>
      <c r="Q233" s="12">
        <f t="shared" ca="1" si="94"/>
        <v>0.16811111111111113</v>
      </c>
      <c r="R233" s="2">
        <f t="shared" ca="1" si="95"/>
        <v>1473.7061197463765</v>
      </c>
      <c r="S233" s="12">
        <f t="shared" ca="1" si="96"/>
        <v>0.17896489579710123</v>
      </c>
      <c r="T233" s="2">
        <f t="shared" ca="1" si="97"/>
        <v>41904.817999999999</v>
      </c>
      <c r="U233" s="12">
        <f t="shared" ca="1" si="98"/>
        <v>0.1681111111111111</v>
      </c>
      <c r="V233" s="2">
        <f t="shared" ca="1" si="99"/>
        <v>42294.186671825213</v>
      </c>
      <c r="W233" s="12">
        <f t="shared" ca="1" si="100"/>
        <v>0.17896489579710134</v>
      </c>
      <c r="X233" s="8" t="s">
        <v>13</v>
      </c>
    </row>
    <row r="234" spans="1:24" ht="15.75" x14ac:dyDescent="0.3">
      <c r="A234" s="9">
        <v>45536</v>
      </c>
      <c r="B234" s="10">
        <f t="shared" si="81"/>
        <v>17937</v>
      </c>
      <c r="C234" s="10">
        <f t="shared" si="82"/>
        <v>16687</v>
      </c>
      <c r="D234" s="10">
        <v>1250</v>
      </c>
      <c r="E234" s="2">
        <f t="shared" si="102"/>
        <v>35874</v>
      </c>
      <c r="F234" s="12">
        <v>8.5000000000000006E-2</v>
      </c>
      <c r="G234" s="2">
        <f t="shared" ca="1" si="84"/>
        <v>22.733333333333334</v>
      </c>
      <c r="H234" s="2">
        <f t="shared" ca="1" si="85"/>
        <v>20825.355250000001</v>
      </c>
      <c r="I234" s="12">
        <f t="shared" ca="1" si="86"/>
        <v>0.1610277777777778</v>
      </c>
      <c r="J234" s="2">
        <f t="shared" ca="1" si="87"/>
        <v>21000.904733433956</v>
      </c>
      <c r="K234" s="12">
        <f t="shared" ca="1" si="88"/>
        <v>0.17081478137001482</v>
      </c>
      <c r="L234" s="2">
        <f t="shared" ca="1" si="89"/>
        <v>19374.070527777778</v>
      </c>
      <c r="M234" s="12">
        <f t="shared" ca="1" si="90"/>
        <v>0.1610277777777778</v>
      </c>
      <c r="N234" s="2">
        <f t="shared" ca="1" si="91"/>
        <v>19537.386256721435</v>
      </c>
      <c r="O234" s="12">
        <f t="shared" ca="1" si="92"/>
        <v>0.17081478137001466</v>
      </c>
      <c r="P234" s="2">
        <f t="shared" ca="1" si="93"/>
        <v>1451.2847222222222</v>
      </c>
      <c r="Q234" s="12">
        <f t="shared" ca="1" si="94"/>
        <v>0.16102777777777774</v>
      </c>
      <c r="R234" s="2">
        <f t="shared" ca="1" si="95"/>
        <v>1463.5184767125183</v>
      </c>
      <c r="S234" s="12">
        <f t="shared" ca="1" si="96"/>
        <v>0.17081478137001468</v>
      </c>
      <c r="T234" s="2">
        <f t="shared" ca="1" si="97"/>
        <v>41650.710500000001</v>
      </c>
      <c r="U234" s="12">
        <f t="shared" ca="1" si="98"/>
        <v>0.1610277777777778</v>
      </c>
      <c r="V234" s="2">
        <f t="shared" ca="1" si="99"/>
        <v>42001.809466867911</v>
      </c>
      <c r="W234" s="12">
        <f t="shared" ca="1" si="100"/>
        <v>0.17081478137001482</v>
      </c>
      <c r="X234" s="8" t="s">
        <v>13</v>
      </c>
    </row>
    <row r="235" spans="1:24" ht="15.75" x14ac:dyDescent="0.3">
      <c r="A235" s="9">
        <v>45566</v>
      </c>
      <c r="B235" s="10">
        <f t="shared" si="81"/>
        <v>17937</v>
      </c>
      <c r="C235" s="10">
        <f t="shared" si="82"/>
        <v>16687</v>
      </c>
      <c r="D235" s="10">
        <v>1250</v>
      </c>
      <c r="E235" s="2">
        <f t="shared" si="102"/>
        <v>35874</v>
      </c>
      <c r="F235" s="12">
        <v>8.5000000000000006E-2</v>
      </c>
      <c r="G235" s="2">
        <f t="shared" ca="1" si="84"/>
        <v>21.733333333333334</v>
      </c>
      <c r="H235" s="2">
        <f t="shared" ca="1" si="85"/>
        <v>20698.301500000001</v>
      </c>
      <c r="I235" s="12">
        <f t="shared" ca="1" si="86"/>
        <v>0.15394444444444452</v>
      </c>
      <c r="J235" s="2">
        <f t="shared" ca="1" si="87"/>
        <v>20855.726724097116</v>
      </c>
      <c r="K235" s="12">
        <f t="shared" ca="1" si="88"/>
        <v>0.16272100820076468</v>
      </c>
      <c r="L235" s="2">
        <f t="shared" ca="1" si="89"/>
        <v>19255.870944444447</v>
      </c>
      <c r="M235" s="12">
        <f t="shared" ca="1" si="90"/>
        <v>0.15394444444444458</v>
      </c>
      <c r="N235" s="2">
        <f t="shared" ca="1" si="91"/>
        <v>19402.325463846159</v>
      </c>
      <c r="O235" s="12">
        <f t="shared" ca="1" si="92"/>
        <v>0.16272100820076457</v>
      </c>
      <c r="P235" s="2">
        <f t="shared" ca="1" si="93"/>
        <v>1442.4305555555557</v>
      </c>
      <c r="Q235" s="12">
        <f t="shared" ca="1" si="94"/>
        <v>0.15394444444444452</v>
      </c>
      <c r="R235" s="2">
        <f t="shared" ca="1" si="95"/>
        <v>1453.4012602509558</v>
      </c>
      <c r="S235" s="12">
        <f t="shared" ca="1" si="96"/>
        <v>0.16272100820076466</v>
      </c>
      <c r="T235" s="2">
        <f t="shared" ca="1" si="97"/>
        <v>41396.603000000003</v>
      </c>
      <c r="U235" s="12">
        <f t="shared" ca="1" si="98"/>
        <v>0.15394444444444452</v>
      </c>
      <c r="V235" s="2">
        <f t="shared" ca="1" si="99"/>
        <v>41711.453448194232</v>
      </c>
      <c r="W235" s="12">
        <f t="shared" ca="1" si="100"/>
        <v>0.16272100820076468</v>
      </c>
      <c r="X235" s="8" t="s">
        <v>13</v>
      </c>
    </row>
    <row r="236" spans="1:24" ht="15.75" x14ac:dyDescent="0.3">
      <c r="A236" s="9">
        <v>45597</v>
      </c>
      <c r="B236" s="10">
        <f t="shared" si="81"/>
        <v>17937</v>
      </c>
      <c r="C236" s="10">
        <f t="shared" si="82"/>
        <v>16687</v>
      </c>
      <c r="D236" s="10">
        <v>1250</v>
      </c>
      <c r="E236" s="2">
        <f t="shared" si="102"/>
        <v>35874</v>
      </c>
      <c r="F236" s="12">
        <v>8.5000000000000006E-2</v>
      </c>
      <c r="G236" s="2">
        <f t="shared" ca="1" si="84"/>
        <v>20.733333333333334</v>
      </c>
      <c r="H236" s="2">
        <f t="shared" ca="1" si="85"/>
        <v>20571.247750000002</v>
      </c>
      <c r="I236" s="12">
        <f t="shared" ca="1" si="86"/>
        <v>0.14686111111111125</v>
      </c>
      <c r="J236" s="2">
        <f t="shared" ca="1" si="87"/>
        <v>20711.552321731626</v>
      </c>
      <c r="K236" s="12">
        <f t="shared" ca="1" si="88"/>
        <v>0.15468318680557652</v>
      </c>
      <c r="L236" s="2">
        <f t="shared" ca="1" si="89"/>
        <v>19137.671361111112</v>
      </c>
      <c r="M236" s="12">
        <f t="shared" ca="1" si="90"/>
        <v>0.14686111111111114</v>
      </c>
      <c r="N236" s="2">
        <f t="shared" ca="1" si="91"/>
        <v>19268.198338224654</v>
      </c>
      <c r="O236" s="12">
        <f t="shared" ca="1" si="92"/>
        <v>0.15468318680557647</v>
      </c>
      <c r="P236" s="2">
        <f t="shared" ca="1" si="93"/>
        <v>1433.5763888888889</v>
      </c>
      <c r="Q236" s="12">
        <f t="shared" ca="1" si="94"/>
        <v>0.14686111111111114</v>
      </c>
      <c r="R236" s="2">
        <f t="shared" ca="1" si="95"/>
        <v>1443.3539835069705</v>
      </c>
      <c r="S236" s="12">
        <f t="shared" ca="1" si="96"/>
        <v>0.15468318680557641</v>
      </c>
      <c r="T236" s="2">
        <f t="shared" ca="1" si="97"/>
        <v>41142.495500000005</v>
      </c>
      <c r="U236" s="12">
        <f t="shared" ca="1" si="98"/>
        <v>0.14686111111111125</v>
      </c>
      <c r="V236" s="2">
        <f t="shared" ca="1" si="99"/>
        <v>41423.104643463252</v>
      </c>
      <c r="W236" s="12">
        <f t="shared" ca="1" si="100"/>
        <v>0.15468318680557652</v>
      </c>
      <c r="X236" s="8" t="s">
        <v>13</v>
      </c>
    </row>
    <row r="237" spans="1:24" ht="15.75" x14ac:dyDescent="0.3">
      <c r="A237" s="9">
        <v>45627</v>
      </c>
      <c r="B237" s="10">
        <f t="shared" si="81"/>
        <v>17937</v>
      </c>
      <c r="C237" s="10">
        <f t="shared" si="82"/>
        <v>16687</v>
      </c>
      <c r="D237" s="10">
        <v>1250</v>
      </c>
      <c r="E237" s="2">
        <f t="shared" si="102"/>
        <v>35874</v>
      </c>
      <c r="F237" s="12">
        <v>8.5000000000000006E-2</v>
      </c>
      <c r="G237" s="2">
        <f t="shared" ca="1" si="84"/>
        <v>19.733333333333334</v>
      </c>
      <c r="H237" s="2">
        <f t="shared" ca="1" si="85"/>
        <v>20444.194</v>
      </c>
      <c r="I237" s="12">
        <f t="shared" ca="1" si="86"/>
        <v>0.13977777777777775</v>
      </c>
      <c r="J237" s="2">
        <f t="shared" ca="1" si="87"/>
        <v>20568.374588461986</v>
      </c>
      <c r="K237" s="12">
        <f t="shared" ca="1" si="88"/>
        <v>0.14670093039315302</v>
      </c>
      <c r="L237" s="2">
        <f t="shared" ca="1" si="89"/>
        <v>19019.471777777777</v>
      </c>
      <c r="M237" s="12">
        <f t="shared" ca="1" si="90"/>
        <v>0.13977777777777772</v>
      </c>
      <c r="N237" s="2">
        <f t="shared" ca="1" si="91"/>
        <v>19134.998425470545</v>
      </c>
      <c r="O237" s="12">
        <f t="shared" ca="1" si="92"/>
        <v>0.14670093039315305</v>
      </c>
      <c r="P237" s="2">
        <f t="shared" ca="1" si="93"/>
        <v>1424.7222222222222</v>
      </c>
      <c r="Q237" s="12">
        <f t="shared" ca="1" si="94"/>
        <v>0.13977777777777775</v>
      </c>
      <c r="R237" s="2">
        <f t="shared" ca="1" si="95"/>
        <v>1433.3761629914413</v>
      </c>
      <c r="S237" s="12">
        <f t="shared" ca="1" si="96"/>
        <v>0.14670093039315307</v>
      </c>
      <c r="T237" s="2">
        <f t="shared" ca="1" si="97"/>
        <v>40888.387999999999</v>
      </c>
      <c r="U237" s="12">
        <f t="shared" ca="1" si="98"/>
        <v>0.13977777777777775</v>
      </c>
      <c r="V237" s="2">
        <f t="shared" ca="1" si="99"/>
        <v>41136.749176923971</v>
      </c>
      <c r="W237" s="12">
        <f t="shared" ca="1" si="100"/>
        <v>0.14670093039315302</v>
      </c>
      <c r="X237" s="8" t="s">
        <v>13</v>
      </c>
    </row>
    <row r="238" spans="1:24" ht="15.75" x14ac:dyDescent="0.3">
      <c r="A238" s="9">
        <v>45658</v>
      </c>
      <c r="B238" s="10">
        <f t="shared" si="81"/>
        <v>17937</v>
      </c>
      <c r="C238" s="10">
        <f t="shared" si="82"/>
        <v>16687</v>
      </c>
      <c r="D238" s="10">
        <v>1250</v>
      </c>
      <c r="E238" s="2">
        <f t="shared" si="102"/>
        <v>35874</v>
      </c>
      <c r="F238" s="12">
        <v>8.5000000000000006E-2</v>
      </c>
      <c r="G238" s="2">
        <f t="shared" ca="1" si="84"/>
        <v>18.733333333333334</v>
      </c>
      <c r="H238" s="2">
        <f t="shared" ca="1" si="85"/>
        <v>20317.14025</v>
      </c>
      <c r="I238" s="12">
        <f t="shared" ca="1" si="86"/>
        <v>0.13269444444444448</v>
      </c>
      <c r="J238" s="2">
        <f t="shared" ca="1" si="87"/>
        <v>20426.186634373829</v>
      </c>
      <c r="K238" s="12">
        <f t="shared" ca="1" si="88"/>
        <v>0.13877385484606286</v>
      </c>
      <c r="L238" s="2">
        <f t="shared" ca="1" si="89"/>
        <v>18901.272194444446</v>
      </c>
      <c r="M238" s="12">
        <f t="shared" ca="1" si="90"/>
        <v>0.1326944444444445</v>
      </c>
      <c r="N238" s="2">
        <f t="shared" ca="1" si="91"/>
        <v>19002.719315816252</v>
      </c>
      <c r="O238" s="12">
        <f t="shared" ca="1" si="92"/>
        <v>0.13877385484606292</v>
      </c>
      <c r="P238" s="2">
        <f t="shared" ca="1" si="93"/>
        <v>1415.8680555555557</v>
      </c>
      <c r="Q238" s="12">
        <f t="shared" ca="1" si="94"/>
        <v>0.13269444444444453</v>
      </c>
      <c r="R238" s="2">
        <f t="shared" ca="1" si="95"/>
        <v>1423.4673185575787</v>
      </c>
      <c r="S238" s="12">
        <f t="shared" ca="1" si="96"/>
        <v>0.13877385484606294</v>
      </c>
      <c r="T238" s="2">
        <f t="shared" ca="1" si="97"/>
        <v>40634.280500000001</v>
      </c>
      <c r="U238" s="12">
        <f t="shared" ca="1" si="98"/>
        <v>0.13269444444444448</v>
      </c>
      <c r="V238" s="2">
        <f t="shared" ca="1" si="99"/>
        <v>40852.373268747659</v>
      </c>
      <c r="W238" s="12">
        <f t="shared" ca="1" si="100"/>
        <v>0.13877385484606286</v>
      </c>
      <c r="X238" s="8" t="s">
        <v>13</v>
      </c>
    </row>
    <row r="239" spans="1:24" ht="15.75" x14ac:dyDescent="0.3">
      <c r="A239" s="9">
        <v>45689</v>
      </c>
      <c r="B239" s="10">
        <f t="shared" si="81"/>
        <v>17937</v>
      </c>
      <c r="C239" s="10">
        <f t="shared" si="82"/>
        <v>16687</v>
      </c>
      <c r="D239" s="10">
        <v>1250</v>
      </c>
      <c r="E239" s="2">
        <f t="shared" si="102"/>
        <v>35874</v>
      </c>
      <c r="F239" s="12">
        <v>8.5000000000000006E-2</v>
      </c>
      <c r="G239" s="2">
        <f t="shared" ca="1" si="84"/>
        <v>17.733333333333334</v>
      </c>
      <c r="H239" s="2">
        <f t="shared" ca="1" si="85"/>
        <v>20190.086500000001</v>
      </c>
      <c r="I239" s="12">
        <f t="shared" ca="1" si="86"/>
        <v>0.12561111111111117</v>
      </c>
      <c r="J239" s="2">
        <f t="shared" ca="1" si="87"/>
        <v>20284.981617182355</v>
      </c>
      <c r="K239" s="12">
        <f t="shared" ca="1" si="88"/>
        <v>0.13090157870225538</v>
      </c>
      <c r="L239" s="2">
        <f t="shared" ca="1" si="89"/>
        <v>18783.072611111111</v>
      </c>
      <c r="M239" s="12">
        <f t="shared" ca="1" si="90"/>
        <v>0.12561111111111109</v>
      </c>
      <c r="N239" s="2">
        <f t="shared" ca="1" si="91"/>
        <v>18871.354643804534</v>
      </c>
      <c r="O239" s="12">
        <f t="shared" ca="1" si="92"/>
        <v>0.1309015787022553</v>
      </c>
      <c r="P239" s="2">
        <f t="shared" ca="1" si="93"/>
        <v>1407.0138888888889</v>
      </c>
      <c r="Q239" s="12">
        <f t="shared" ca="1" si="94"/>
        <v>0.12561111111111112</v>
      </c>
      <c r="R239" s="2">
        <f t="shared" ca="1" si="95"/>
        <v>1413.6269733778192</v>
      </c>
      <c r="S239" s="12">
        <f t="shared" ca="1" si="96"/>
        <v>0.13090157870225538</v>
      </c>
      <c r="T239" s="2">
        <f t="shared" ca="1" si="97"/>
        <v>40380.173000000003</v>
      </c>
      <c r="U239" s="12">
        <f t="shared" ca="1" si="98"/>
        <v>0.12561111111111117</v>
      </c>
      <c r="V239" s="2">
        <f t="shared" ca="1" si="99"/>
        <v>40569.96323436471</v>
      </c>
      <c r="W239" s="12">
        <f t="shared" ca="1" si="100"/>
        <v>0.13090157870225538</v>
      </c>
      <c r="X239" s="8" t="s">
        <v>13</v>
      </c>
    </row>
    <row r="240" spans="1:24" ht="15.75" x14ac:dyDescent="0.3">
      <c r="A240" s="9">
        <v>45717</v>
      </c>
      <c r="B240" s="10">
        <f t="shared" si="81"/>
        <v>19937.04</v>
      </c>
      <c r="C240" s="10">
        <f t="shared" si="82"/>
        <v>18687.04</v>
      </c>
      <c r="D240" s="10">
        <v>1250</v>
      </c>
      <c r="E240" s="2">
        <f t="shared" ref="E240:E251" si="103">19937.04*2</f>
        <v>39874.080000000002</v>
      </c>
      <c r="F240" s="12">
        <v>8.5000000000000006E-2</v>
      </c>
      <c r="G240" s="2">
        <f t="shared" ca="1" si="84"/>
        <v>16.733333333333334</v>
      </c>
      <c r="H240" s="2">
        <f t="shared" ca="1" si="85"/>
        <v>22300.13304666667</v>
      </c>
      <c r="I240" s="12">
        <f t="shared" ca="1" si="86"/>
        <v>0.11852777777777787</v>
      </c>
      <c r="J240" s="2">
        <f t="shared" ca="1" si="87"/>
        <v>22390.965111525409</v>
      </c>
      <c r="K240" s="12">
        <f t="shared" ca="1" si="88"/>
        <v>0.12308372313670475</v>
      </c>
      <c r="L240" s="2">
        <f t="shared" ca="1" si="89"/>
        <v>20901.973324444447</v>
      </c>
      <c r="M240" s="12">
        <f t="shared" ca="1" si="90"/>
        <v>0.11852777777777786</v>
      </c>
      <c r="N240" s="2">
        <f t="shared" ca="1" si="91"/>
        <v>20987.110457604529</v>
      </c>
      <c r="O240" s="12">
        <f t="shared" ca="1" si="92"/>
        <v>0.12308372313670481</v>
      </c>
      <c r="P240" s="2">
        <f t="shared" ca="1" si="93"/>
        <v>1398.1597222222222</v>
      </c>
      <c r="Q240" s="12">
        <f t="shared" ca="1" si="94"/>
        <v>0.11852777777777773</v>
      </c>
      <c r="R240" s="2">
        <f t="shared" ca="1" si="95"/>
        <v>1403.854653920881</v>
      </c>
      <c r="S240" s="12">
        <f t="shared" ca="1" si="96"/>
        <v>0.12308372313670479</v>
      </c>
      <c r="T240" s="2">
        <f t="shared" ca="1" si="97"/>
        <v>44600.266093333339</v>
      </c>
      <c r="U240" s="12">
        <f t="shared" ca="1" si="98"/>
        <v>0.11852777777777787</v>
      </c>
      <c r="V240" s="2">
        <f t="shared" ca="1" si="99"/>
        <v>44781.930223050818</v>
      </c>
      <c r="W240" s="12">
        <f t="shared" ca="1" si="100"/>
        <v>0.12308372313670475</v>
      </c>
      <c r="X240" s="8" t="s">
        <v>13</v>
      </c>
    </row>
    <row r="241" spans="1:24" ht="15.75" x14ac:dyDescent="0.3">
      <c r="A241" s="9">
        <v>45748</v>
      </c>
      <c r="B241" s="10">
        <f t="shared" si="81"/>
        <v>19937.04</v>
      </c>
      <c r="C241" s="10">
        <f t="shared" si="82"/>
        <v>18687.04</v>
      </c>
      <c r="D241" s="10">
        <v>1250</v>
      </c>
      <c r="E241" s="2">
        <f t="shared" si="103"/>
        <v>39874.080000000002</v>
      </c>
      <c r="F241" s="12">
        <v>8.5000000000000006E-2</v>
      </c>
      <c r="G241" s="2">
        <f t="shared" ca="1" si="84"/>
        <v>15.733333333333333</v>
      </c>
      <c r="H241" s="2">
        <f t="shared" ca="1" si="85"/>
        <v>22158.912346666668</v>
      </c>
      <c r="I241" s="12">
        <f t="shared" ca="1" si="86"/>
        <v>0.11144444444444446</v>
      </c>
      <c r="J241" s="2">
        <f t="shared" ca="1" si="87"/>
        <v>22236.177697207651</v>
      </c>
      <c r="K241" s="12">
        <f t="shared" ca="1" si="88"/>
        <v>0.11531991194317964</v>
      </c>
      <c r="L241" s="2">
        <f t="shared" ca="1" si="89"/>
        <v>20769.606791111113</v>
      </c>
      <c r="M241" s="12">
        <f t="shared" ca="1" si="90"/>
        <v>0.1114444444444445</v>
      </c>
      <c r="N241" s="2">
        <f t="shared" ca="1" si="91"/>
        <v>20842.027807278675</v>
      </c>
      <c r="O241" s="12">
        <f t="shared" ca="1" si="92"/>
        <v>0.11531991194317956</v>
      </c>
      <c r="P241" s="2">
        <f t="shared" ca="1" si="93"/>
        <v>1389.3055555555557</v>
      </c>
      <c r="Q241" s="12">
        <f t="shared" ca="1" si="94"/>
        <v>0.11144444444444453</v>
      </c>
      <c r="R241" s="2">
        <f t="shared" ca="1" si="95"/>
        <v>1394.1498899289745</v>
      </c>
      <c r="S241" s="12">
        <f t="shared" ca="1" si="96"/>
        <v>0.11531991194317961</v>
      </c>
      <c r="T241" s="2">
        <f t="shared" ca="1" si="97"/>
        <v>44317.824693333336</v>
      </c>
      <c r="U241" s="12">
        <f t="shared" ca="1" si="98"/>
        <v>0.11144444444444446</v>
      </c>
      <c r="V241" s="2">
        <f t="shared" ca="1" si="99"/>
        <v>44472.355394415303</v>
      </c>
      <c r="W241" s="12">
        <f t="shared" ca="1" si="100"/>
        <v>0.11531991194317964</v>
      </c>
      <c r="X241" s="8" t="s">
        <v>13</v>
      </c>
    </row>
    <row r="242" spans="1:24" ht="15.75" x14ac:dyDescent="0.3">
      <c r="A242" s="9">
        <v>45778</v>
      </c>
      <c r="B242" s="10">
        <f t="shared" si="81"/>
        <v>19937.04</v>
      </c>
      <c r="C242" s="10">
        <f t="shared" si="82"/>
        <v>18687.04</v>
      </c>
      <c r="D242" s="10">
        <v>1250</v>
      </c>
      <c r="E242" s="2">
        <f t="shared" si="103"/>
        <v>39874.080000000002</v>
      </c>
      <c r="F242" s="12">
        <v>8.5000000000000006E-2</v>
      </c>
      <c r="G242" s="2">
        <f t="shared" ca="1" si="84"/>
        <v>14.733333333333333</v>
      </c>
      <c r="H242" s="2">
        <f t="shared" ca="1" si="85"/>
        <v>22017.691646666666</v>
      </c>
      <c r="I242" s="12">
        <f t="shared" ca="1" si="86"/>
        <v>0.10436111111111104</v>
      </c>
      <c r="J242" s="2">
        <f t="shared" ca="1" si="87"/>
        <v>22082.460319108155</v>
      </c>
      <c r="K242" s="12">
        <f t="shared" ca="1" si="88"/>
        <v>0.10760977151614051</v>
      </c>
      <c r="L242" s="2">
        <f t="shared" ca="1" si="89"/>
        <v>20637.240257777779</v>
      </c>
      <c r="M242" s="12">
        <f t="shared" ca="1" si="90"/>
        <v>0.10436111111111114</v>
      </c>
      <c r="N242" s="2">
        <f t="shared" ca="1" si="91"/>
        <v>20697.948104712981</v>
      </c>
      <c r="O242" s="12">
        <f t="shared" ca="1" si="92"/>
        <v>0.10760977151614061</v>
      </c>
      <c r="P242" s="2">
        <f t="shared" ca="1" si="93"/>
        <v>1380.4513888888889</v>
      </c>
      <c r="Q242" s="12">
        <f t="shared" ca="1" si="94"/>
        <v>0.10436111111111113</v>
      </c>
      <c r="R242" s="2">
        <f t="shared" ca="1" si="95"/>
        <v>1384.5122143951758</v>
      </c>
      <c r="S242" s="12">
        <f t="shared" ca="1" si="96"/>
        <v>0.10760977151614061</v>
      </c>
      <c r="T242" s="2">
        <f t="shared" ca="1" si="97"/>
        <v>44035.383293333332</v>
      </c>
      <c r="U242" s="12">
        <f t="shared" ca="1" si="98"/>
        <v>0.10436111111111104</v>
      </c>
      <c r="V242" s="2">
        <f t="shared" ca="1" si="99"/>
        <v>44164.92063821631</v>
      </c>
      <c r="W242" s="12">
        <f t="shared" ca="1" si="100"/>
        <v>0.10760977151614051</v>
      </c>
      <c r="X242" s="8" t="s">
        <v>13</v>
      </c>
    </row>
    <row r="243" spans="1:24" ht="15.75" x14ac:dyDescent="0.3">
      <c r="A243" s="9">
        <v>45809</v>
      </c>
      <c r="B243" s="10">
        <f t="shared" si="81"/>
        <v>19937.04</v>
      </c>
      <c r="C243" s="10">
        <f t="shared" si="82"/>
        <v>18687.04</v>
      </c>
      <c r="D243" s="10">
        <v>1250</v>
      </c>
      <c r="E243" s="2">
        <f t="shared" si="103"/>
        <v>39874.080000000002</v>
      </c>
      <c r="F243" s="12">
        <v>8.5000000000000006E-2</v>
      </c>
      <c r="G243" s="2">
        <f t="shared" ca="1" si="84"/>
        <v>13.733333333333333</v>
      </c>
      <c r="H243" s="2">
        <f t="shared" ca="1" si="85"/>
        <v>21876.470946666668</v>
      </c>
      <c r="I243" s="12">
        <f t="shared" ca="1" si="86"/>
        <v>9.727777777777781E-2</v>
      </c>
      <c r="J243" s="2">
        <f t="shared" ca="1" si="87"/>
        <v>21929.805580129985</v>
      </c>
      <c r="K243" s="12">
        <f t="shared" ca="1" si="88"/>
        <v>9.9952930832760745E-2</v>
      </c>
      <c r="L243" s="2">
        <f t="shared" ca="1" si="89"/>
        <v>20504.873724444446</v>
      </c>
      <c r="M243" s="12">
        <f t="shared" ca="1" si="90"/>
        <v>9.7277777777777782E-2</v>
      </c>
      <c r="N243" s="2">
        <f t="shared" ca="1" si="91"/>
        <v>20554.864416589033</v>
      </c>
      <c r="O243" s="12">
        <f t="shared" ca="1" si="92"/>
        <v>9.9952930832760661E-2</v>
      </c>
      <c r="P243" s="2">
        <f t="shared" ca="1" si="93"/>
        <v>1371.5972222222222</v>
      </c>
      <c r="Q243" s="12">
        <f t="shared" ca="1" si="94"/>
        <v>9.7277777777777741E-2</v>
      </c>
      <c r="R243" s="2">
        <f t="shared" ca="1" si="95"/>
        <v>1374.9411635409508</v>
      </c>
      <c r="S243" s="12">
        <f t="shared" ca="1" si="96"/>
        <v>9.9952930832760647E-2</v>
      </c>
      <c r="T243" s="2">
        <f t="shared" ca="1" si="97"/>
        <v>43752.941893333336</v>
      </c>
      <c r="U243" s="12">
        <f t="shared" ca="1" si="98"/>
        <v>9.727777777777781E-2</v>
      </c>
      <c r="V243" s="2">
        <f t="shared" ca="1" si="99"/>
        <v>43859.61116025997</v>
      </c>
      <c r="W243" s="12">
        <f t="shared" ca="1" si="100"/>
        <v>9.9952930832760745E-2</v>
      </c>
      <c r="X243" s="8" t="s">
        <v>13</v>
      </c>
    </row>
    <row r="244" spans="1:24" ht="15.75" x14ac:dyDescent="0.3">
      <c r="A244" s="9">
        <v>45839</v>
      </c>
      <c r="B244" s="10">
        <f t="shared" si="81"/>
        <v>19937.04</v>
      </c>
      <c r="C244" s="10">
        <f t="shared" si="82"/>
        <v>18687.04</v>
      </c>
      <c r="D244" s="10">
        <v>1250</v>
      </c>
      <c r="E244" s="2">
        <f t="shared" si="103"/>
        <v>39874.080000000002</v>
      </c>
      <c r="F244" s="12">
        <v>8.5000000000000006E-2</v>
      </c>
      <c r="G244" s="2">
        <f t="shared" ca="1" si="84"/>
        <v>12.733333333333333</v>
      </c>
      <c r="H244" s="2">
        <f t="shared" ca="1" si="85"/>
        <v>21735.250246666666</v>
      </c>
      <c r="I244" s="12">
        <f t="shared" ca="1" si="86"/>
        <v>9.0194444444444383E-2</v>
      </c>
      <c r="J244" s="2">
        <f t="shared" ca="1" si="87"/>
        <v>21778.206134311898</v>
      </c>
      <c r="K244" s="12">
        <f t="shared" ca="1" si="88"/>
        <v>9.2349021435072481E-2</v>
      </c>
      <c r="L244" s="2">
        <f t="shared" ca="1" si="89"/>
        <v>20372.507191111112</v>
      </c>
      <c r="M244" s="12">
        <f t="shared" ca="1" si="90"/>
        <v>9.0194444444444424E-2</v>
      </c>
      <c r="N244" s="2">
        <f t="shared" ca="1" si="91"/>
        <v>20412.769857518055</v>
      </c>
      <c r="O244" s="12">
        <f t="shared" ca="1" si="92"/>
        <v>9.2349021435072315E-2</v>
      </c>
      <c r="P244" s="2">
        <f t="shared" ca="1" si="93"/>
        <v>1362.7430555555557</v>
      </c>
      <c r="Q244" s="12">
        <f t="shared" ca="1" si="94"/>
        <v>9.0194444444444521E-2</v>
      </c>
      <c r="R244" s="2">
        <f t="shared" ca="1" si="95"/>
        <v>1365.4362767938405</v>
      </c>
      <c r="S244" s="12">
        <f t="shared" ca="1" si="96"/>
        <v>9.2349021435072426E-2</v>
      </c>
      <c r="T244" s="2">
        <f t="shared" ca="1" si="97"/>
        <v>43470.500493333333</v>
      </c>
      <c r="U244" s="12">
        <f t="shared" ca="1" si="98"/>
        <v>9.0194444444444383E-2</v>
      </c>
      <c r="V244" s="2">
        <f t="shared" ca="1" si="99"/>
        <v>43556.412268623797</v>
      </c>
      <c r="W244" s="12">
        <f t="shared" ca="1" si="100"/>
        <v>9.2349021435072481E-2</v>
      </c>
      <c r="X244" s="8" t="s">
        <v>13</v>
      </c>
    </row>
    <row r="245" spans="1:24" ht="15.75" x14ac:dyDescent="0.3">
      <c r="A245" s="9">
        <v>45870</v>
      </c>
      <c r="B245" s="10">
        <f t="shared" si="81"/>
        <v>19937.04</v>
      </c>
      <c r="C245" s="10">
        <f t="shared" si="82"/>
        <v>18687.04</v>
      </c>
      <c r="D245" s="10">
        <v>1250</v>
      </c>
      <c r="E245" s="2">
        <f t="shared" si="103"/>
        <v>39874.080000000002</v>
      </c>
      <c r="F245" s="12">
        <v>8.5000000000000006E-2</v>
      </c>
      <c r="G245" s="2">
        <f t="shared" ca="1" si="84"/>
        <v>11.733333333333333</v>
      </c>
      <c r="H245" s="2">
        <f t="shared" ca="1" si="85"/>
        <v>21594.029546666668</v>
      </c>
      <c r="I245" s="12">
        <f t="shared" ca="1" si="86"/>
        <v>8.3111111111111149E-2</v>
      </c>
      <c r="J245" s="2">
        <f t="shared" ca="1" si="87"/>
        <v>21627.654686474834</v>
      </c>
      <c r="K245" s="12">
        <f t="shared" ca="1" si="88"/>
        <v>8.4797677412235387E-2</v>
      </c>
      <c r="L245" s="2">
        <f t="shared" ca="1" si="89"/>
        <v>20240.140657777778</v>
      </c>
      <c r="M245" s="12">
        <f t="shared" ca="1" si="90"/>
        <v>8.3111111111111066E-2</v>
      </c>
      <c r="N245" s="2">
        <f t="shared" ca="1" si="91"/>
        <v>20271.657589709543</v>
      </c>
      <c r="O245" s="12">
        <f t="shared" ca="1" si="92"/>
        <v>8.4797677412235525E-2</v>
      </c>
      <c r="P245" s="2">
        <f t="shared" ca="1" si="93"/>
        <v>1353.8888888888889</v>
      </c>
      <c r="Q245" s="12">
        <f t="shared" ca="1" si="94"/>
        <v>8.3111111111111136E-2</v>
      </c>
      <c r="R245" s="2">
        <f t="shared" ca="1" si="95"/>
        <v>1355.9970967652944</v>
      </c>
      <c r="S245" s="12">
        <f t="shared" ca="1" si="96"/>
        <v>8.4797677412235498E-2</v>
      </c>
      <c r="T245" s="2">
        <f t="shared" ca="1" si="97"/>
        <v>43188.059093333337</v>
      </c>
      <c r="U245" s="12">
        <f t="shared" ca="1" si="98"/>
        <v>8.3111111111111149E-2</v>
      </c>
      <c r="V245" s="2">
        <f t="shared" ca="1" si="99"/>
        <v>43255.309372949669</v>
      </c>
      <c r="W245" s="12">
        <f t="shared" ca="1" si="100"/>
        <v>8.4797677412235387E-2</v>
      </c>
      <c r="X245" s="8" t="s">
        <v>13</v>
      </c>
    </row>
    <row r="246" spans="1:24" ht="15.75" x14ac:dyDescent="0.3">
      <c r="A246" s="9">
        <v>45901</v>
      </c>
      <c r="B246" s="10">
        <f t="shared" si="81"/>
        <v>19937.04</v>
      </c>
      <c r="C246" s="10">
        <f t="shared" si="82"/>
        <v>18687.04</v>
      </c>
      <c r="D246" s="10">
        <v>1250</v>
      </c>
      <c r="E246" s="2">
        <f t="shared" si="103"/>
        <v>39874.080000000002</v>
      </c>
      <c r="F246" s="12">
        <v>8.5000000000000006E-2</v>
      </c>
      <c r="G246" s="2">
        <f t="shared" ca="1" si="84"/>
        <v>10.733333333333333</v>
      </c>
      <c r="H246" s="2">
        <f t="shared" ca="1" si="85"/>
        <v>21452.808846666667</v>
      </c>
      <c r="I246" s="12">
        <f t="shared" ca="1" si="86"/>
        <v>7.6027777777777736E-2</v>
      </c>
      <c r="J246" s="2">
        <f t="shared" ca="1" si="87"/>
        <v>21478.143991870893</v>
      </c>
      <c r="K246" s="12">
        <f t="shared" ca="1" si="88"/>
        <v>7.7298535382930064E-2</v>
      </c>
      <c r="L246" s="2">
        <f t="shared" ca="1" si="89"/>
        <v>20107.774124444444</v>
      </c>
      <c r="M246" s="12">
        <f t="shared" ca="1" si="90"/>
        <v>7.6027777777777708E-2</v>
      </c>
      <c r="N246" s="2">
        <f t="shared" ca="1" si="91"/>
        <v>20131.520822642229</v>
      </c>
      <c r="O246" s="12">
        <f t="shared" ca="1" si="92"/>
        <v>7.7298535382929995E-2</v>
      </c>
      <c r="P246" s="2">
        <f t="shared" ca="1" si="93"/>
        <v>1345.0347222222222</v>
      </c>
      <c r="Q246" s="12">
        <f t="shared" ca="1" si="94"/>
        <v>7.6027777777777736E-2</v>
      </c>
      <c r="R246" s="2">
        <f t="shared" ca="1" si="95"/>
        <v>1346.6231692286626</v>
      </c>
      <c r="S246" s="12">
        <f t="shared" ca="1" si="96"/>
        <v>7.7298535382930092E-2</v>
      </c>
      <c r="T246" s="2">
        <f t="shared" ca="1" si="97"/>
        <v>42905.617693333334</v>
      </c>
      <c r="U246" s="12">
        <f t="shared" ca="1" si="98"/>
        <v>7.6027777777777736E-2</v>
      </c>
      <c r="V246" s="2">
        <f t="shared" ca="1" si="99"/>
        <v>42956.287983741786</v>
      </c>
      <c r="W246" s="12">
        <f t="shared" ca="1" si="100"/>
        <v>7.7298535382930064E-2</v>
      </c>
      <c r="X246" s="8" t="s">
        <v>13</v>
      </c>
    </row>
    <row r="247" spans="1:24" ht="15.75" x14ac:dyDescent="0.3">
      <c r="A247" s="9">
        <v>45931</v>
      </c>
      <c r="B247" s="10">
        <f t="shared" si="81"/>
        <v>19937.04</v>
      </c>
      <c r="C247" s="10">
        <f t="shared" si="82"/>
        <v>18687.04</v>
      </c>
      <c r="D247" s="10">
        <v>1250</v>
      </c>
      <c r="E247" s="2">
        <f t="shared" si="103"/>
        <v>39874.080000000002</v>
      </c>
      <c r="F247" s="12">
        <v>8.5000000000000006E-2</v>
      </c>
      <c r="G247" s="2">
        <f t="shared" ca="1" si="84"/>
        <v>9.7333333333333325</v>
      </c>
      <c r="H247" s="2">
        <f t="shared" ca="1" si="85"/>
        <v>21311.588146666669</v>
      </c>
      <c r="I247" s="12">
        <f t="shared" ca="1" si="86"/>
        <v>6.8944444444444503E-2</v>
      </c>
      <c r="J247" s="2">
        <f t="shared" ca="1" si="87"/>
        <v>21329.666855834676</v>
      </c>
      <c r="K247" s="12">
        <f t="shared" ca="1" si="88"/>
        <v>6.9851234477870061E-2</v>
      </c>
      <c r="L247" s="2">
        <f t="shared" ca="1" si="89"/>
        <v>19975.40759111111</v>
      </c>
      <c r="M247" s="12">
        <f t="shared" ca="1" si="90"/>
        <v>6.894444444444435E-2</v>
      </c>
      <c r="N247" s="2">
        <f t="shared" ca="1" si="91"/>
        <v>19992.352812737339</v>
      </c>
      <c r="O247" s="12">
        <f t="shared" ca="1" si="92"/>
        <v>6.9851234477870131E-2</v>
      </c>
      <c r="P247" s="2">
        <f t="shared" ca="1" si="93"/>
        <v>1336.1805555555557</v>
      </c>
      <c r="Q247" s="12">
        <f t="shared" ca="1" si="94"/>
        <v>6.894444444444453E-2</v>
      </c>
      <c r="R247" s="2">
        <f t="shared" ca="1" si="95"/>
        <v>1337.3140430973376</v>
      </c>
      <c r="S247" s="12">
        <f t="shared" ca="1" si="96"/>
        <v>6.9851234477870089E-2</v>
      </c>
      <c r="T247" s="2">
        <f t="shared" ca="1" si="97"/>
        <v>42623.176293333338</v>
      </c>
      <c r="U247" s="12">
        <f t="shared" ca="1" si="98"/>
        <v>6.8944444444444503E-2</v>
      </c>
      <c r="V247" s="2">
        <f t="shared" ca="1" si="99"/>
        <v>42659.333711669351</v>
      </c>
      <c r="W247" s="12">
        <f t="shared" ca="1" si="100"/>
        <v>6.9851234477870061E-2</v>
      </c>
      <c r="X247" s="8" t="s">
        <v>13</v>
      </c>
    </row>
    <row r="248" spans="1:24" ht="15.75" x14ac:dyDescent="0.3">
      <c r="A248" s="9">
        <v>45962</v>
      </c>
      <c r="B248" s="10">
        <f t="shared" si="81"/>
        <v>19937.04</v>
      </c>
      <c r="C248" s="10">
        <f t="shared" si="82"/>
        <v>18687.04</v>
      </c>
      <c r="D248" s="10">
        <v>1250</v>
      </c>
      <c r="E248" s="2">
        <f t="shared" si="103"/>
        <v>39874.080000000002</v>
      </c>
      <c r="F248" s="12">
        <v>8.5000000000000006E-2</v>
      </c>
      <c r="G248" s="2">
        <f t="shared" ca="1" si="84"/>
        <v>8.7333333333333325</v>
      </c>
      <c r="H248" s="2">
        <f t="shared" ca="1" si="85"/>
        <v>21170.367446666667</v>
      </c>
      <c r="I248" s="12">
        <f t="shared" ca="1" si="86"/>
        <v>6.1861111111111089E-2</v>
      </c>
      <c r="J248" s="2">
        <f t="shared" ca="1" si="87"/>
        <v>21182.216133437079</v>
      </c>
      <c r="K248" s="12">
        <f t="shared" ca="1" si="88"/>
        <v>6.2455416322436959E-2</v>
      </c>
      <c r="L248" s="2">
        <f t="shared" ca="1" si="89"/>
        <v>19843.04105777778</v>
      </c>
      <c r="M248" s="12">
        <f t="shared" ca="1" si="90"/>
        <v>6.1861111111111193E-2</v>
      </c>
      <c r="N248" s="2">
        <f t="shared" ca="1" si="91"/>
        <v>19854.146863034031</v>
      </c>
      <c r="O248" s="12">
        <f t="shared" ca="1" si="92"/>
        <v>6.2455416322436862E-2</v>
      </c>
      <c r="P248" s="2">
        <f t="shared" ca="1" si="93"/>
        <v>1327.3263888888889</v>
      </c>
      <c r="Q248" s="12">
        <f t="shared" ca="1" si="94"/>
        <v>6.1861111111111131E-2</v>
      </c>
      <c r="R248" s="2">
        <f t="shared" ca="1" si="95"/>
        <v>1328.0692704030462</v>
      </c>
      <c r="S248" s="12">
        <f t="shared" ca="1" si="96"/>
        <v>6.2455416322436938E-2</v>
      </c>
      <c r="T248" s="2">
        <f t="shared" ca="1" si="97"/>
        <v>42340.734893333334</v>
      </c>
      <c r="U248" s="12">
        <f t="shared" ca="1" si="98"/>
        <v>6.1861111111111089E-2</v>
      </c>
      <c r="V248" s="2">
        <f t="shared" ca="1" si="99"/>
        <v>42364.432266874159</v>
      </c>
      <c r="W248" s="12">
        <f t="shared" ca="1" si="100"/>
        <v>6.2455416322436959E-2</v>
      </c>
      <c r="X248" s="8" t="s">
        <v>13</v>
      </c>
    </row>
    <row r="249" spans="1:24" ht="15.75" x14ac:dyDescent="0.3">
      <c r="A249" s="9">
        <v>45992</v>
      </c>
      <c r="B249" s="10">
        <f t="shared" si="81"/>
        <v>19937.04</v>
      </c>
      <c r="C249" s="10">
        <f t="shared" si="82"/>
        <v>18687.04</v>
      </c>
      <c r="D249" s="10">
        <v>1250</v>
      </c>
      <c r="E249" s="2">
        <f t="shared" si="103"/>
        <v>39874.080000000002</v>
      </c>
      <c r="F249" s="12">
        <v>8.5000000000000006E-2</v>
      </c>
      <c r="G249" s="2">
        <f t="shared" ca="1" si="84"/>
        <v>7.7333333333333334</v>
      </c>
      <c r="H249" s="2">
        <f t="shared" ca="1" si="85"/>
        <v>21029.146746666669</v>
      </c>
      <c r="I249" s="12">
        <f t="shared" ca="1" si="86"/>
        <v>5.4777777777777849E-2</v>
      </c>
      <c r="J249" s="2">
        <f t="shared" ca="1" si="87"/>
        <v>21035.784729141473</v>
      </c>
      <c r="K249" s="12">
        <f t="shared" ca="1" si="88"/>
        <v>5.5110725019434773E-2</v>
      </c>
      <c r="L249" s="2">
        <f t="shared" ca="1" si="89"/>
        <v>19710.674524444446</v>
      </c>
      <c r="M249" s="12">
        <f t="shared" ca="1" si="90"/>
        <v>5.4777777777777835E-2</v>
      </c>
      <c r="N249" s="2">
        <f t="shared" ca="1" si="91"/>
        <v>19716.896322867178</v>
      </c>
      <c r="O249" s="12">
        <f t="shared" ca="1" si="92"/>
        <v>5.5110725019434717E-2</v>
      </c>
      <c r="P249" s="2">
        <f t="shared" ca="1" si="93"/>
        <v>1318.4722222222222</v>
      </c>
      <c r="Q249" s="12">
        <f t="shared" ca="1" si="94"/>
        <v>5.4777777777777738E-2</v>
      </c>
      <c r="R249" s="2">
        <f t="shared" ca="1" si="95"/>
        <v>1318.8884062742934</v>
      </c>
      <c r="S249" s="12">
        <f t="shared" ca="1" si="96"/>
        <v>5.5110725019434724E-2</v>
      </c>
      <c r="T249" s="2">
        <f t="shared" ca="1" si="97"/>
        <v>42058.293493333338</v>
      </c>
      <c r="U249" s="12">
        <f t="shared" ca="1" si="98"/>
        <v>5.4777777777777849E-2</v>
      </c>
      <c r="V249" s="2">
        <f t="shared" ca="1" si="99"/>
        <v>42071.569458282946</v>
      </c>
      <c r="W249" s="12">
        <f t="shared" ca="1" si="100"/>
        <v>5.5110725019434773E-2</v>
      </c>
      <c r="X249" s="8" t="s">
        <v>13</v>
      </c>
    </row>
    <row r="250" spans="1:24" ht="15.75" x14ac:dyDescent="0.3">
      <c r="A250" s="9">
        <v>46023</v>
      </c>
      <c r="B250" s="10">
        <f t="shared" ref="B250" si="104">E250/2</f>
        <v>19937.04</v>
      </c>
      <c r="C250" s="10">
        <f t="shared" ref="C250" si="105">E250/2-D250</f>
        <v>18687.04</v>
      </c>
      <c r="D250" s="10">
        <v>1250</v>
      </c>
      <c r="E250" s="2">
        <f t="shared" si="103"/>
        <v>39874.080000000002</v>
      </c>
      <c r="F250" s="12">
        <v>8.5000000000000006E-2</v>
      </c>
      <c r="G250" s="2">
        <f t="shared" ref="G250" ca="1" si="106">(DAYS360(A250,NOW(),TRUE))/30</f>
        <v>6.7333333333333334</v>
      </c>
      <c r="H250" s="2">
        <f t="shared" ref="H250" ca="1" si="107">SUM(B250, B250*$F250*$G250/12)</f>
        <v>20887.926046666667</v>
      </c>
      <c r="I250" s="12">
        <f t="shared" ref="I250" ca="1" si="108">(H250-B250)/B250</f>
        <v>4.7694444444444435E-2</v>
      </c>
      <c r="J250" s="2">
        <f t="shared" ref="J250" ca="1" si="109">PRODUCT(B250,POWER((1+$F250/2),2*$G250/12))</f>
        <v>20890.365596462249</v>
      </c>
      <c r="K250" s="12">
        <f t="shared" ref="K250" ca="1" si="110">(J250-B250)/B250</f>
        <v>4.7816807131963804E-2</v>
      </c>
      <c r="L250" s="2">
        <f t="shared" ref="L250" ca="1" si="111">SUM(C250, C250*$F250*$G250/12)</f>
        <v>19578.307991111113</v>
      </c>
      <c r="M250" s="12">
        <f t="shared" ref="M250" ca="1" si="112">(L250-C250)/C250</f>
        <v>4.7694444444444477E-2</v>
      </c>
      <c r="N250" s="2">
        <f t="shared" ref="N250" ca="1" si="113">PRODUCT(C250,POWER((1+$F250/2),2*$G250/12))</f>
        <v>19580.594587547293</v>
      </c>
      <c r="O250" s="12">
        <f t="shared" ref="O250" ca="1" si="114">(N250-C250)/C250</f>
        <v>4.781680713196379E-2</v>
      </c>
      <c r="P250" s="2">
        <f t="shared" ref="P250" ca="1" si="115">SUM(D250, D250*$F250*$G250/12)</f>
        <v>1309.6180555555557</v>
      </c>
      <c r="Q250" s="12">
        <f t="shared" ref="Q250" ca="1" si="116">(P250-D250)/D250</f>
        <v>4.7694444444444525E-2</v>
      </c>
      <c r="R250" s="2">
        <f t="shared" ref="R250" ca="1" si="117">PRODUCT(D250,POWER((1+$F250/2),2*$G250/12))</f>
        <v>1309.7710089149548</v>
      </c>
      <c r="S250" s="12">
        <f t="shared" ref="S250" ca="1" si="118">(R250-D250)/D250</f>
        <v>4.7816807131963832E-2</v>
      </c>
      <c r="T250" s="2">
        <f t="shared" ref="T250" ca="1" si="119">SUM(E250, E250*$F250*$G250/12)</f>
        <v>41775.852093333335</v>
      </c>
      <c r="U250" s="12">
        <f t="shared" ref="U250" ca="1" si="120">(T250-E250)/E250</f>
        <v>4.7694444444444435E-2</v>
      </c>
      <c r="V250" s="2">
        <f t="shared" ref="V250" ca="1" si="121">PRODUCT(E250,POWER((1+$F250/2),2*$G250/12))</f>
        <v>41780.731192924497</v>
      </c>
      <c r="W250" s="12">
        <f t="shared" ref="W250" ca="1" si="122">(V250-E250)/E250</f>
        <v>4.7816807131963804E-2</v>
      </c>
      <c r="X250" s="8" t="s">
        <v>13</v>
      </c>
    </row>
    <row r="251" spans="1:24" ht="15.75" x14ac:dyDescent="0.3">
      <c r="A251" s="9">
        <v>46054</v>
      </c>
      <c r="B251" s="10">
        <f t="shared" si="81"/>
        <v>19937.04</v>
      </c>
      <c r="C251" s="10">
        <f t="shared" si="82"/>
        <v>18687.04</v>
      </c>
      <c r="D251" s="10">
        <v>1250</v>
      </c>
      <c r="E251" s="2">
        <f t="shared" si="103"/>
        <v>39874.080000000002</v>
      </c>
      <c r="F251" s="12">
        <v>8.5000000000000006E-2</v>
      </c>
      <c r="G251" s="2">
        <f t="shared" ca="1" si="84"/>
        <v>5.7333333333333334</v>
      </c>
      <c r="H251" s="2">
        <f t="shared" ca="1" si="85"/>
        <v>20746.705346666669</v>
      </c>
      <c r="I251" s="12">
        <f t="shared" ca="1" si="86"/>
        <v>4.0611111111111202E-2</v>
      </c>
      <c r="J251" s="2">
        <f t="shared" ca="1" si="87"/>
        <v>20745.951737625743</v>
      </c>
      <c r="K251" s="12">
        <f t="shared" ca="1" si="88"/>
        <v>4.0573311666412953E-2</v>
      </c>
      <c r="L251" s="2">
        <f t="shared" ca="1" si="89"/>
        <v>19445.941457777779</v>
      </c>
      <c r="M251" s="12">
        <f t="shared" ca="1" si="90"/>
        <v>4.0611111111111119E-2</v>
      </c>
      <c r="N251" s="2">
        <f t="shared" ca="1" si="91"/>
        <v>19445.235098042725</v>
      </c>
      <c r="O251" s="12">
        <f t="shared" ca="1" si="92"/>
        <v>4.0573311666412898E-2</v>
      </c>
      <c r="P251" s="2">
        <f t="shared" ca="1" si="93"/>
        <v>1300.7638888888889</v>
      </c>
      <c r="Q251" s="12">
        <f t="shared" ca="1" si="94"/>
        <v>4.0611111111111133E-2</v>
      </c>
      <c r="R251" s="2">
        <f t="shared" ca="1" si="95"/>
        <v>1300.7166395830161</v>
      </c>
      <c r="S251" s="12">
        <f t="shared" ca="1" si="96"/>
        <v>4.0573311666412884E-2</v>
      </c>
      <c r="T251" s="2">
        <f t="shared" ca="1" si="97"/>
        <v>41493.410693333339</v>
      </c>
      <c r="U251" s="12">
        <f t="shared" ca="1" si="98"/>
        <v>4.0611111111111202E-2</v>
      </c>
      <c r="V251" s="2">
        <f t="shared" ca="1" si="99"/>
        <v>41491.903475251485</v>
      </c>
      <c r="W251" s="12">
        <f t="shared" ca="1" si="100"/>
        <v>4.0573311666412953E-2</v>
      </c>
      <c r="X251" s="8" t="s">
        <v>13</v>
      </c>
    </row>
    <row r="252" spans="1:24" ht="15.75" x14ac:dyDescent="0.3">
      <c r="A252" s="9">
        <v>46082</v>
      </c>
      <c r="B252" s="10">
        <f t="shared" si="81"/>
        <v>26175</v>
      </c>
      <c r="C252" s="10">
        <f t="shared" si="82"/>
        <v>24925</v>
      </c>
      <c r="D252" s="10">
        <v>1250</v>
      </c>
      <c r="E252" s="2">
        <f>26175*2</f>
        <v>52350</v>
      </c>
      <c r="F252" s="12">
        <v>8.5000000000000006E-2</v>
      </c>
      <c r="G252" s="2">
        <f t="shared" ca="1" si="84"/>
        <v>4.7333333333333334</v>
      </c>
      <c r="H252" s="2">
        <f t="shared" ca="1" si="85"/>
        <v>27052.589583333334</v>
      </c>
      <c r="I252" s="12">
        <f t="shared" ca="1" si="86"/>
        <v>3.3527777777777816E-2</v>
      </c>
      <c r="J252" s="2">
        <f t="shared" ca="1" si="87"/>
        <v>27048.718622204502</v>
      </c>
      <c r="K252" s="12">
        <f t="shared" ca="1" si="88"/>
        <v>3.3379890055568365E-2</v>
      </c>
      <c r="L252" s="2">
        <f t="shared" ca="1" si="89"/>
        <v>25760.679861111112</v>
      </c>
      <c r="M252" s="12">
        <f t="shared" ca="1" si="90"/>
        <v>3.3527777777777802E-2</v>
      </c>
      <c r="N252" s="2">
        <f t="shared" ca="1" si="91"/>
        <v>25756.993759635043</v>
      </c>
      <c r="O252" s="12">
        <f t="shared" ca="1" si="92"/>
        <v>3.337989005556842E-2</v>
      </c>
      <c r="P252" s="2">
        <f t="shared" ca="1" si="93"/>
        <v>1291.9097222222222</v>
      </c>
      <c r="Q252" s="12">
        <f t="shared" ca="1" si="94"/>
        <v>3.352777777777774E-2</v>
      </c>
      <c r="R252" s="2">
        <f t="shared" ca="1" si="95"/>
        <v>1291.7248625694606</v>
      </c>
      <c r="S252" s="12">
        <f t="shared" ca="1" si="96"/>
        <v>3.3379890055568469E-2</v>
      </c>
      <c r="T252" s="2">
        <f t="shared" ca="1" si="97"/>
        <v>54105.179166666669</v>
      </c>
      <c r="U252" s="12">
        <f t="shared" ca="1" si="98"/>
        <v>3.3527777777777816E-2</v>
      </c>
      <c r="V252" s="2">
        <f t="shared" ca="1" si="99"/>
        <v>54097.437244409004</v>
      </c>
      <c r="W252" s="12">
        <f t="shared" ca="1" si="100"/>
        <v>3.3379890055568365E-2</v>
      </c>
      <c r="X252" s="8" t="s">
        <v>13</v>
      </c>
    </row>
    <row r="253" spans="1:24" ht="15.75" x14ac:dyDescent="0.3">
      <c r="A253" s="9">
        <v>46113</v>
      </c>
      <c r="B253" s="10">
        <f t="shared" si="81"/>
        <v>26175</v>
      </c>
      <c r="C253" s="10">
        <f t="shared" si="82"/>
        <v>24925</v>
      </c>
      <c r="D253" s="10">
        <v>1250</v>
      </c>
      <c r="E253" s="2">
        <f>26175*2</f>
        <v>52350</v>
      </c>
      <c r="F253" s="12">
        <v>8.5000000000000006E-2</v>
      </c>
      <c r="G253" s="2">
        <f t="shared" ca="1" si="84"/>
        <v>3.7333333333333334</v>
      </c>
      <c r="H253" s="2">
        <f t="shared" ca="1" si="85"/>
        <v>26867.183333333334</v>
      </c>
      <c r="I253" s="12">
        <f t="shared" ca="1" si="86"/>
        <v>2.6444444444444482E-2</v>
      </c>
      <c r="J253" s="2">
        <f t="shared" ca="1" si="87"/>
        <v>26861.732434012709</v>
      </c>
      <c r="K253" s="12">
        <f t="shared" ca="1" si="88"/>
        <v>2.6236196141841788E-2</v>
      </c>
      <c r="L253" s="2">
        <f t="shared" ca="1" si="89"/>
        <v>25584.12777777778</v>
      </c>
      <c r="M253" s="12">
        <f t="shared" ca="1" si="90"/>
        <v>2.6444444444444517E-2</v>
      </c>
      <c r="N253" s="2">
        <f t="shared" ca="1" si="91"/>
        <v>25578.937188835407</v>
      </c>
      <c r="O253" s="12">
        <f t="shared" ca="1" si="92"/>
        <v>2.6236196141841812E-2</v>
      </c>
      <c r="P253" s="2">
        <f t="shared" ca="1" si="93"/>
        <v>1283.0555555555557</v>
      </c>
      <c r="Q253" s="12">
        <f t="shared" ca="1" si="94"/>
        <v>2.6444444444444524E-2</v>
      </c>
      <c r="R253" s="2">
        <f t="shared" ca="1" si="95"/>
        <v>1282.7952451773021</v>
      </c>
      <c r="S253" s="12">
        <f t="shared" ca="1" si="96"/>
        <v>2.6236196141841719E-2</v>
      </c>
      <c r="T253" s="2">
        <f t="shared" ca="1" si="97"/>
        <v>53734.366666666669</v>
      </c>
      <c r="U253" s="12">
        <f t="shared" ca="1" si="98"/>
        <v>2.6444444444444482E-2</v>
      </c>
      <c r="V253" s="2">
        <f t="shared" ca="1" si="99"/>
        <v>53723.464868025418</v>
      </c>
      <c r="W253" s="12">
        <f t="shared" ca="1" si="100"/>
        <v>2.6236196141841788E-2</v>
      </c>
      <c r="X253" s="8" t="s">
        <v>13</v>
      </c>
    </row>
    <row r="254" spans="1:24" ht="15.75" x14ac:dyDescent="0.3">
      <c r="A254" s="9">
        <v>46143</v>
      </c>
      <c r="B254" s="10">
        <f t="shared" si="81"/>
        <v>26175</v>
      </c>
      <c r="C254" s="10">
        <f t="shared" si="82"/>
        <v>24925</v>
      </c>
      <c r="D254" s="10">
        <v>1250</v>
      </c>
      <c r="E254" s="2">
        <f>26175*2</f>
        <v>52350</v>
      </c>
      <c r="F254" s="12">
        <v>8.5000000000000006E-2</v>
      </c>
      <c r="G254" s="2">
        <f t="shared" ca="1" si="84"/>
        <v>2.7333333333333334</v>
      </c>
      <c r="H254" s="2">
        <f t="shared" ca="1" si="85"/>
        <v>26681.777083333334</v>
      </c>
      <c r="I254" s="12">
        <f t="shared" ca="1" si="86"/>
        <v>1.9361111111111148E-2</v>
      </c>
      <c r="J254" s="2">
        <f t="shared" ca="1" si="87"/>
        <v>26676.038870253993</v>
      </c>
      <c r="K254" s="12">
        <f t="shared" ca="1" si="88"/>
        <v>1.9141886160611007E-2</v>
      </c>
      <c r="L254" s="2">
        <f t="shared" ca="1" si="89"/>
        <v>25407.575694444444</v>
      </c>
      <c r="M254" s="12">
        <f t="shared" ca="1" si="90"/>
        <v>1.9361111111111086E-2</v>
      </c>
      <c r="N254" s="2">
        <f t="shared" ca="1" si="91"/>
        <v>25402.111512553227</v>
      </c>
      <c r="O254" s="12">
        <f t="shared" ca="1" si="92"/>
        <v>1.914188616061091E-2</v>
      </c>
      <c r="P254" s="2">
        <f t="shared" ca="1" si="93"/>
        <v>1274.2013888888889</v>
      </c>
      <c r="Q254" s="12">
        <f t="shared" ca="1" si="94"/>
        <v>1.9361111111111131E-2</v>
      </c>
      <c r="R254" s="2">
        <f t="shared" ca="1" si="95"/>
        <v>1273.9273577007637</v>
      </c>
      <c r="S254" s="12">
        <f t="shared" ca="1" si="96"/>
        <v>1.9141886160610921E-2</v>
      </c>
      <c r="T254" s="2">
        <f t="shared" ca="1" si="97"/>
        <v>53363.554166666669</v>
      </c>
      <c r="U254" s="12">
        <f t="shared" ca="1" si="98"/>
        <v>1.9361111111111148E-2</v>
      </c>
      <c r="V254" s="2">
        <f t="shared" ca="1" si="99"/>
        <v>53352.077740507986</v>
      </c>
      <c r="W254" s="12">
        <f t="shared" ca="1" si="100"/>
        <v>1.9141886160611007E-2</v>
      </c>
      <c r="X254" s="8" t="s">
        <v>13</v>
      </c>
    </row>
    <row r="255" spans="1:24" ht="15.75" x14ac:dyDescent="0.3">
      <c r="A255" s="9">
        <v>46174</v>
      </c>
      <c r="B255" s="10">
        <f t="shared" si="81"/>
        <v>26175</v>
      </c>
      <c r="C255" s="10">
        <f t="shared" si="82"/>
        <v>24925</v>
      </c>
      <c r="D255" s="10">
        <v>1250</v>
      </c>
      <c r="E255" s="2">
        <f>26175*2</f>
        <v>52350</v>
      </c>
      <c r="F255" s="12">
        <v>8.5000000000000006E-2</v>
      </c>
      <c r="G255" s="2">
        <f t="shared" ca="1" si="84"/>
        <v>1.7333333333333334</v>
      </c>
      <c r="H255" s="2">
        <f t="shared" ca="1" si="85"/>
        <v>26496.370833333334</v>
      </c>
      <c r="I255" s="12">
        <f t="shared" ca="1" si="86"/>
        <v>1.2277777777777815E-2</v>
      </c>
      <c r="J255" s="2">
        <f t="shared" ca="1" si="87"/>
        <v>26491.628995092284</v>
      </c>
      <c r="K255" s="12">
        <f t="shared" ca="1" si="88"/>
        <v>1.2096618723678461E-2</v>
      </c>
      <c r="L255" s="2">
        <f t="shared" ca="1" si="89"/>
        <v>25231.023611111112</v>
      </c>
      <c r="M255" s="12">
        <f t="shared" ca="1" si="90"/>
        <v>1.2277777777777801E-2</v>
      </c>
      <c r="N255" s="2">
        <f t="shared" ca="1" si="91"/>
        <v>25226.508221687684</v>
      </c>
      <c r="O255" s="12">
        <f t="shared" ca="1" si="92"/>
        <v>1.2096618723678378E-2</v>
      </c>
      <c r="P255" s="2">
        <f t="shared" ca="1" si="93"/>
        <v>1265.3472222222222</v>
      </c>
      <c r="Q255" s="12">
        <f t="shared" ca="1" si="94"/>
        <v>1.2277777777777738E-2</v>
      </c>
      <c r="R255" s="2">
        <f t="shared" ca="1" si="95"/>
        <v>1265.1207734045979</v>
      </c>
      <c r="S255" s="12">
        <f t="shared" ca="1" si="96"/>
        <v>1.2096618723678329E-2</v>
      </c>
      <c r="T255" s="2">
        <f t="shared" ca="1" si="97"/>
        <v>52992.741666666669</v>
      </c>
      <c r="U255" s="12">
        <f t="shared" ca="1" si="98"/>
        <v>1.2277777777777815E-2</v>
      </c>
      <c r="V255" s="2">
        <f t="shared" ca="1" si="99"/>
        <v>52983.257990184567</v>
      </c>
      <c r="W255" s="12">
        <f t="shared" ca="1" si="100"/>
        <v>1.2096618723678461E-2</v>
      </c>
      <c r="X255" s="8" t="s">
        <v>13</v>
      </c>
    </row>
    <row r="256" spans="1:24" ht="15.75" x14ac:dyDescent="0.3">
      <c r="A256" s="9">
        <v>46204</v>
      </c>
      <c r="B256" s="10">
        <f t="shared" ref="B256" si="123">E256/2</f>
        <v>26175</v>
      </c>
      <c r="C256" s="10">
        <f t="shared" ref="C256" si="124">E256/2-D256</f>
        <v>24925</v>
      </c>
      <c r="D256" s="10">
        <v>1250</v>
      </c>
      <c r="E256" s="2">
        <f>26175*2</f>
        <v>52350</v>
      </c>
      <c r="F256" s="12">
        <v>8.5000000000000006E-2</v>
      </c>
      <c r="G256" s="2">
        <f t="shared" ref="G256" ca="1" si="125">(DAYS360(A256,NOW(),TRUE))/30</f>
        <v>0.73333333333333328</v>
      </c>
      <c r="H256" s="2">
        <f t="shared" ref="H256" ca="1" si="126">SUM(B256, B256*$F256*$G256/12)</f>
        <v>26310.964583333334</v>
      </c>
      <c r="I256" s="12">
        <f t="shared" ref="I256" ca="1" si="127">(H256-B256)/B256</f>
        <v>5.1944444444444815E-3</v>
      </c>
      <c r="J256" s="2">
        <f t="shared" ref="J256" ca="1" si="128">PRODUCT(B256,POWER((1+$F256/2),2*$G256/12))</f>
        <v>26308.493934464415</v>
      </c>
      <c r="K256" s="12">
        <f t="shared" ref="K256" ca="1" si="129">(J256-B256)/B256</f>
        <v>5.100054802842994E-3</v>
      </c>
      <c r="L256" s="2">
        <f t="shared" ref="L256" ca="1" si="130">SUM(C256, C256*$F256*$G256/12)</f>
        <v>25054.47152777778</v>
      </c>
      <c r="M256" s="12">
        <f t="shared" ref="M256" ca="1" si="131">(L256-C256)/C256</f>
        <v>5.1944444444445162E-3</v>
      </c>
      <c r="N256" s="2">
        <f t="shared" ref="N256" ca="1" si="132">PRODUCT(C256,POWER((1+$F256/2),2*$G256/12))</f>
        <v>25052.118865960863</v>
      </c>
      <c r="O256" s="12">
        <f t="shared" ref="O256" ca="1" si="133">(N256-C256)/C256</f>
        <v>5.1000548028430626E-3</v>
      </c>
      <c r="P256" s="2">
        <f t="shared" ref="P256" ca="1" si="134">SUM(D256, D256*$F256*$G256/12)</f>
        <v>1256.4930555555557</v>
      </c>
      <c r="Q256" s="12">
        <f t="shared" ref="Q256" ca="1" si="135">(P256-D256)/D256</f>
        <v>5.1944444444445249E-3</v>
      </c>
      <c r="R256" s="2">
        <f t="shared" ref="R256" ca="1" si="136">PRODUCT(D256,POWER((1+$F256/2),2*$G256/12))</f>
        <v>1256.3750685035538</v>
      </c>
      <c r="S256" s="12">
        <f t="shared" ref="S256" ca="1" si="137">(R256-D256)/D256</f>
        <v>5.1000548028430782E-3</v>
      </c>
      <c r="T256" s="2">
        <f t="shared" ref="T256" ca="1" si="138">SUM(E256, E256*$F256*$G256/12)</f>
        <v>52621.929166666669</v>
      </c>
      <c r="U256" s="12">
        <f t="shared" ref="U256" ca="1" si="139">(T256-E256)/E256</f>
        <v>5.1944444444444815E-3</v>
      </c>
      <c r="V256" s="2">
        <f t="shared" ref="V256" ca="1" si="140">PRODUCT(E256,POWER((1+$F256/2),2*$G256/12))</f>
        <v>52616.987868928831</v>
      </c>
      <c r="W256" s="12">
        <f t="shared" ref="W256" ca="1" si="141">(V256-E256)/E256</f>
        <v>5.100054802842994E-3</v>
      </c>
      <c r="X256" s="8" t="s">
        <v>13</v>
      </c>
    </row>
    <row r="257" spans="1:24" ht="15.75" x14ac:dyDescent="0.3">
      <c r="A257" s="13"/>
      <c r="B257" s="2">
        <f>SUM(B3:B256)</f>
        <v>2634735.92</v>
      </c>
      <c r="C257" s="2">
        <f>SUM(C3:C256)</f>
        <v>2400430.9200000004</v>
      </c>
      <c r="D257" s="2">
        <f>SUM(D3:D256)</f>
        <v>234305</v>
      </c>
      <c r="E257" s="2">
        <f>SUM(E3:E256)</f>
        <v>5269471.84</v>
      </c>
      <c r="F257" s="13"/>
      <c r="G257" s="13"/>
      <c r="H257" s="2">
        <f ca="1">SUM(H3:H256)</f>
        <v>4278400.1383205578</v>
      </c>
      <c r="I257" s="15"/>
      <c r="J257" s="2">
        <f ca="1">SUM(J3:J256)</f>
        <v>5391422.1884476207</v>
      </c>
      <c r="K257" s="13"/>
      <c r="L257" s="2">
        <f ca="1">SUM(L3:L256)</f>
        <v>3875604.6415150012</v>
      </c>
      <c r="M257" s="15"/>
      <c r="N257" s="2">
        <f ca="1">SUM(N3:N256)</f>
        <v>4861516.2318067402</v>
      </c>
      <c r="O257" s="13"/>
      <c r="P257" s="2">
        <f ca="1">SUM(P3:P256)</f>
        <v>402795.49680555594</v>
      </c>
      <c r="Q257" s="15"/>
      <c r="R257" s="2">
        <f ca="1">SUM(R3:R256)</f>
        <v>529905.95664088312</v>
      </c>
      <c r="S257" s="13"/>
      <c r="T257" s="2">
        <f ca="1">SUM(T3:T256)</f>
        <v>8556800.2766411155</v>
      </c>
      <c r="U257" s="15"/>
      <c r="V257" s="2">
        <f ca="1">SUM(V3:V256)</f>
        <v>10782844.376895241</v>
      </c>
      <c r="W257" s="13"/>
      <c r="X257" s="13"/>
    </row>
  </sheetData>
  <mergeCells count="12">
    <mergeCell ref="B1:E1"/>
    <mergeCell ref="F1:G1"/>
    <mergeCell ref="T1:W1"/>
    <mergeCell ref="H1:K1"/>
    <mergeCell ref="L1:O1"/>
    <mergeCell ref="P1:S1"/>
    <mergeCell ref="AO3:AO4"/>
    <mergeCell ref="AC3:AE3"/>
    <mergeCell ref="AF3:AH3"/>
    <mergeCell ref="Z8:AB8"/>
    <mergeCell ref="AI3:AK3"/>
    <mergeCell ref="AL3:AN3"/>
  </mergeCells>
  <pageMargins left="0.7" right="0.7" top="0.75" bottom="0.75" header="0.3" footer="0.3"/>
  <pageSetup paperSize="9" orientation="portrait" r:id="rId1"/>
  <headerFooter>
    <oddFooter>&amp;LLevel 1 –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I226"/>
  <sheetViews>
    <sheetView zoomScale="85" zoomScaleNormal="85" workbookViewId="0">
      <pane xSplit="1" ySplit="1" topLeftCell="B197" activePane="bottomRight" state="frozen"/>
      <selection pane="topRight" activeCell="B1" sqref="B1"/>
      <selection pane="bottomLeft" activeCell="A2" sqref="A2"/>
      <selection pane="bottomRight" activeCell="C225" sqref="C225"/>
    </sheetView>
  </sheetViews>
  <sheetFormatPr defaultRowHeight="15" x14ac:dyDescent="0.25"/>
  <cols>
    <col min="1" max="1" width="12.140625" bestFit="1" customWidth="1"/>
    <col min="2" max="2" width="14.42578125" bestFit="1" customWidth="1"/>
    <col min="3" max="3" width="18.140625" bestFit="1" customWidth="1"/>
    <col min="4" max="4" width="15.42578125" bestFit="1" customWidth="1"/>
    <col min="5" max="5" width="19" bestFit="1" customWidth="1"/>
    <col min="6" max="6" width="19.42578125" bestFit="1" customWidth="1"/>
    <col min="7" max="7" width="17.28515625" bestFit="1" customWidth="1"/>
    <col min="8" max="8" width="15.42578125" bestFit="1" customWidth="1"/>
    <col min="9" max="9" width="15.7109375" bestFit="1" customWidth="1"/>
  </cols>
  <sheetData>
    <row r="1" spans="1:9" x14ac:dyDescent="0.25">
      <c r="A1" s="4" t="s">
        <v>0</v>
      </c>
      <c r="B1" s="4" t="s">
        <v>1</v>
      </c>
      <c r="C1" s="4" t="s">
        <v>2</v>
      </c>
      <c r="D1" s="4" t="s">
        <v>3</v>
      </c>
      <c r="E1" s="5" t="s">
        <v>4</v>
      </c>
      <c r="F1" s="6" t="s">
        <v>5</v>
      </c>
      <c r="G1" s="6" t="s">
        <v>6</v>
      </c>
      <c r="H1" s="6" t="s">
        <v>7</v>
      </c>
      <c r="I1" s="6" t="s">
        <v>8</v>
      </c>
    </row>
    <row r="2" spans="1:9" ht="15.75" x14ac:dyDescent="0.3">
      <c r="A2" s="9">
        <v>39630</v>
      </c>
      <c r="B2" s="2">
        <v>836</v>
      </c>
      <c r="C2" s="12">
        <v>8.5000000000000006E-2</v>
      </c>
      <c r="D2" s="2">
        <f t="shared" ref="D2:D218" ca="1" si="0">(DAYS360(A2,NOW(),TRUE))/30</f>
        <v>216.73333333333332</v>
      </c>
      <c r="E2" s="2">
        <f ca="1">SUM(B2,B2* C2*D2/12)</f>
        <v>2119.4225555555558</v>
      </c>
      <c r="F2" s="12">
        <f ca="1">(E2-B2)/B2</f>
        <v>1.5351944444444448</v>
      </c>
      <c r="G2" s="2">
        <f ca="1">PRODUCT(B2,POWER((1+C2/2),2*D2/12))</f>
        <v>3759.7058258882425</v>
      </c>
      <c r="H2" s="12">
        <f ca="1">(G2-B2)/B2</f>
        <v>3.4972557725935918</v>
      </c>
      <c r="I2" s="8" t="s">
        <v>13</v>
      </c>
    </row>
    <row r="3" spans="1:9" ht="15.75" x14ac:dyDescent="0.3">
      <c r="A3" s="9">
        <v>39692</v>
      </c>
      <c r="B3" s="2">
        <v>1672</v>
      </c>
      <c r="C3" s="12">
        <v>8.5000000000000006E-2</v>
      </c>
      <c r="D3" s="2">
        <f t="shared" ca="1" si="0"/>
        <v>214.73333333333332</v>
      </c>
      <c r="E3" s="2">
        <f t="shared" ref="E3:E218" ca="1" si="1">SUM(B3,B3* C3*D3/12)</f>
        <v>4215.1584444444443</v>
      </c>
      <c r="F3" s="12">
        <f t="shared" ref="F3:F218" ca="1" si="2">(E3-B3)/B3</f>
        <v>1.5210277777777776</v>
      </c>
      <c r="G3" s="2">
        <f t="shared" ref="G3:G218" ca="1" si="3">PRODUCT(B3,POWER((1+C3/2),2*D3/12))</f>
        <v>7415.808501167443</v>
      </c>
      <c r="H3" s="12">
        <f t="shared" ref="H3:H218" ca="1" si="4">(G3-B3)/B3</f>
        <v>3.4352921657700017</v>
      </c>
      <c r="I3" s="8" t="s">
        <v>13</v>
      </c>
    </row>
    <row r="4" spans="1:9" ht="15.75" x14ac:dyDescent="0.3">
      <c r="A4" s="9">
        <v>39661</v>
      </c>
      <c r="B4" s="2">
        <v>1672</v>
      </c>
      <c r="C4" s="12">
        <v>8.5000000000000006E-2</v>
      </c>
      <c r="D4" s="2">
        <f t="shared" ca="1" si="0"/>
        <v>215.73333333333332</v>
      </c>
      <c r="E4" s="2">
        <f t="shared" ca="1" si="1"/>
        <v>4227.0017777777775</v>
      </c>
      <c r="F4" s="12">
        <f t="shared" ca="1" si="2"/>
        <v>1.528111111111111</v>
      </c>
      <c r="G4" s="2">
        <f t="shared" ca="1" si="3"/>
        <v>7467.4304048328167</v>
      </c>
      <c r="H4" s="12">
        <f t="shared" ca="1" si="4"/>
        <v>3.4661665100674743</v>
      </c>
      <c r="I4" s="8" t="s">
        <v>13</v>
      </c>
    </row>
    <row r="5" spans="1:9" ht="15.75" x14ac:dyDescent="0.3">
      <c r="A5" s="9">
        <v>39722</v>
      </c>
      <c r="B5" s="2">
        <v>1672</v>
      </c>
      <c r="C5" s="12">
        <v>8.5000000000000006E-2</v>
      </c>
      <c r="D5" s="2">
        <f t="shared" ca="1" si="0"/>
        <v>213.73333333333332</v>
      </c>
      <c r="E5" s="2">
        <f t="shared" ca="1" si="1"/>
        <v>4203.315111111111</v>
      </c>
      <c r="F5" s="12">
        <f t="shared" ca="1" si="2"/>
        <v>1.5139444444444443</v>
      </c>
      <c r="G5" s="2">
        <f t="shared" ca="1" si="3"/>
        <v>7364.5434566615895</v>
      </c>
      <c r="H5" s="12">
        <f t="shared" ca="1" si="4"/>
        <v>3.4046312539842041</v>
      </c>
      <c r="I5" s="8" t="s">
        <v>13</v>
      </c>
    </row>
    <row r="6" spans="1:9" ht="15.75" x14ac:dyDescent="0.3">
      <c r="A6" s="9">
        <v>39753</v>
      </c>
      <c r="B6" s="2">
        <v>1672</v>
      </c>
      <c r="C6" s="12">
        <v>8.5000000000000006E-2</v>
      </c>
      <c r="D6" s="2">
        <f t="shared" ca="1" si="0"/>
        <v>212.73333333333332</v>
      </c>
      <c r="E6" s="2">
        <f t="shared" ca="1" si="1"/>
        <v>4191.4717777777778</v>
      </c>
      <c r="F6" s="12">
        <f t="shared" ca="1" si="2"/>
        <v>1.5068611111111112</v>
      </c>
      <c r="G6" s="2">
        <f t="shared" ca="1" si="3"/>
        <v>7313.6328043690446</v>
      </c>
      <c r="H6" s="12">
        <f t="shared" ca="1" si="4"/>
        <v>3.3741822992637829</v>
      </c>
      <c r="I6" s="8" t="s">
        <v>13</v>
      </c>
    </row>
    <row r="7" spans="1:9" ht="15.75" x14ac:dyDescent="0.3">
      <c r="A7" s="9">
        <v>39783</v>
      </c>
      <c r="B7" s="2">
        <v>1672</v>
      </c>
      <c r="C7" s="12">
        <v>8.5000000000000006E-2</v>
      </c>
      <c r="D7" s="2">
        <f t="shared" ca="1" si="0"/>
        <v>211.73333333333332</v>
      </c>
      <c r="E7" s="2">
        <f t="shared" ca="1" si="1"/>
        <v>4179.6284444444445</v>
      </c>
      <c r="F7" s="12">
        <f t="shared" ca="1" si="2"/>
        <v>1.4997777777777779</v>
      </c>
      <c r="G7" s="2">
        <f t="shared" ca="1" si="3"/>
        <v>7263.0740943974433</v>
      </c>
      <c r="H7" s="12">
        <f t="shared" ca="1" si="4"/>
        <v>3.3439438363621075</v>
      </c>
      <c r="I7" s="8" t="s">
        <v>13</v>
      </c>
    </row>
    <row r="8" spans="1:9" ht="15.75" x14ac:dyDescent="0.3">
      <c r="A8" s="9">
        <v>39814</v>
      </c>
      <c r="B8" s="2">
        <v>1672</v>
      </c>
      <c r="C8" s="12">
        <v>8.5000000000000006E-2</v>
      </c>
      <c r="D8" s="2">
        <f t="shared" ca="1" si="0"/>
        <v>210.73333333333332</v>
      </c>
      <c r="E8" s="2">
        <f t="shared" ca="1" si="1"/>
        <v>4167.7851111111104</v>
      </c>
      <c r="F8" s="12">
        <f t="shared" ca="1" si="2"/>
        <v>1.4926944444444441</v>
      </c>
      <c r="G8" s="2">
        <f t="shared" ca="1" si="3"/>
        <v>7212.8648937903936</v>
      </c>
      <c r="H8" s="12">
        <f t="shared" ca="1" si="4"/>
        <v>3.3139144101617188</v>
      </c>
      <c r="I8" s="8" t="s">
        <v>13</v>
      </c>
    </row>
    <row r="9" spans="1:9" ht="15.75" x14ac:dyDescent="0.3">
      <c r="A9" s="9">
        <v>39845</v>
      </c>
      <c r="B9" s="2">
        <v>1672</v>
      </c>
      <c r="C9" s="12">
        <v>8.5000000000000006E-2</v>
      </c>
      <c r="D9" s="2">
        <f t="shared" ca="1" si="0"/>
        <v>209.73333333333332</v>
      </c>
      <c r="E9" s="2">
        <f t="shared" ca="1" si="1"/>
        <v>4155.941777777778</v>
      </c>
      <c r="F9" s="12">
        <f t="shared" ca="1" si="2"/>
        <v>1.4856111111111112</v>
      </c>
      <c r="G9" s="2">
        <f t="shared" ca="1" si="3"/>
        <v>7163.0027864103758</v>
      </c>
      <c r="H9" s="12">
        <f t="shared" ca="1" si="4"/>
        <v>3.2840925756042916</v>
      </c>
      <c r="I9" s="8" t="s">
        <v>13</v>
      </c>
    </row>
    <row r="10" spans="1:9" ht="15.75" x14ac:dyDescent="0.3">
      <c r="A10" s="9">
        <v>39873</v>
      </c>
      <c r="B10" s="2">
        <v>1672</v>
      </c>
      <c r="C10" s="12">
        <v>8.5000000000000006E-2</v>
      </c>
      <c r="D10" s="2">
        <f t="shared" ca="1" si="0"/>
        <v>208.73333333333332</v>
      </c>
      <c r="E10" s="2">
        <f t="shared" ca="1" si="1"/>
        <v>4144.0984444444439</v>
      </c>
      <c r="F10" s="12">
        <f t="shared" ca="1" si="2"/>
        <v>1.4785277777777774</v>
      </c>
      <c r="G10" s="2">
        <f t="shared" ca="1" si="3"/>
        <v>7113.4853728224862</v>
      </c>
      <c r="H10" s="12">
        <f t="shared" ca="1" si="4"/>
        <v>3.254476897621104</v>
      </c>
      <c r="I10" s="8" t="s">
        <v>13</v>
      </c>
    </row>
    <row r="11" spans="1:9" ht="15.75" x14ac:dyDescent="0.3">
      <c r="A11" s="9">
        <v>39904</v>
      </c>
      <c r="B11" s="2">
        <v>1672</v>
      </c>
      <c r="C11" s="12">
        <v>8.5000000000000006E-2</v>
      </c>
      <c r="D11" s="2">
        <f t="shared" ca="1" si="0"/>
        <v>207.73333333333332</v>
      </c>
      <c r="E11" s="2">
        <f t="shared" ca="1" si="1"/>
        <v>4132.2551111111115</v>
      </c>
      <c r="F11" s="12">
        <f t="shared" ca="1" si="2"/>
        <v>1.4714444444444448</v>
      </c>
      <c r="G11" s="2">
        <f t="shared" ca="1" si="3"/>
        <v>7064.3102701789821</v>
      </c>
      <c r="H11" s="12">
        <f t="shared" ca="1" si="4"/>
        <v>3.2250659510639847</v>
      </c>
      <c r="I11" s="8" t="s">
        <v>13</v>
      </c>
    </row>
    <row r="12" spans="1:9" ht="15.75" x14ac:dyDescent="0.3">
      <c r="A12" s="9">
        <v>39934</v>
      </c>
      <c r="B12" s="2">
        <v>1672</v>
      </c>
      <c r="C12" s="12">
        <v>8.5000000000000006E-2</v>
      </c>
      <c r="D12" s="2">
        <f t="shared" ca="1" si="0"/>
        <v>206.73333333333332</v>
      </c>
      <c r="E12" s="2">
        <f t="shared" ca="1" si="1"/>
        <v>4120.4117777777774</v>
      </c>
      <c r="F12" s="12">
        <f t="shared" ca="1" si="2"/>
        <v>1.4643611111111108</v>
      </c>
      <c r="G12" s="2">
        <f t="shared" ca="1" si="3"/>
        <v>7015.4751121045992</v>
      </c>
      <c r="H12" s="12">
        <f t="shared" ca="1" si="4"/>
        <v>3.1958583206367219</v>
      </c>
      <c r="I12" s="8" t="s">
        <v>13</v>
      </c>
    </row>
    <row r="13" spans="1:9" ht="15.75" x14ac:dyDescent="0.3">
      <c r="A13" s="9">
        <v>39965</v>
      </c>
      <c r="B13" s="2">
        <v>1672</v>
      </c>
      <c r="C13" s="12">
        <v>8.5000000000000006E-2</v>
      </c>
      <c r="D13" s="2">
        <f t="shared" ca="1" si="0"/>
        <v>205.73333333333332</v>
      </c>
      <c r="E13" s="2">
        <f t="shared" ca="1" si="1"/>
        <v>4108.568444444445</v>
      </c>
      <c r="F13" s="12">
        <f t="shared" ca="1" si="2"/>
        <v>1.4572777777777781</v>
      </c>
      <c r="G13" s="2">
        <f t="shared" ca="1" si="3"/>
        <v>6966.9775485826804</v>
      </c>
      <c r="H13" s="12">
        <f t="shared" ca="1" si="4"/>
        <v>3.166852600826962</v>
      </c>
      <c r="I13" s="8" t="s">
        <v>13</v>
      </c>
    </row>
    <row r="14" spans="1:9" ht="15.75" x14ac:dyDescent="0.3">
      <c r="A14" s="9">
        <v>39995</v>
      </c>
      <c r="B14" s="2">
        <v>1672</v>
      </c>
      <c r="C14" s="12">
        <v>8.5000000000000006E-2</v>
      </c>
      <c r="D14" s="2">
        <f t="shared" ca="1" si="0"/>
        <v>204.73333333333332</v>
      </c>
      <c r="E14" s="2">
        <f t="shared" ca="1" si="1"/>
        <v>4096.7251111111109</v>
      </c>
      <c r="F14" s="12">
        <f t="shared" ca="1" si="2"/>
        <v>1.4501944444444443</v>
      </c>
      <c r="G14" s="2">
        <f t="shared" ca="1" si="3"/>
        <v>6918.8152458421046</v>
      </c>
      <c r="H14" s="12">
        <f t="shared" ca="1" si="4"/>
        <v>3.1380473958385795</v>
      </c>
      <c r="I14" s="8" t="s">
        <v>13</v>
      </c>
    </row>
    <row r="15" spans="1:9" ht="15.75" x14ac:dyDescent="0.3">
      <c r="A15" s="9">
        <v>40026</v>
      </c>
      <c r="B15" s="2">
        <v>1672</v>
      </c>
      <c r="C15" s="12">
        <v>8.5000000000000006E-2</v>
      </c>
      <c r="D15" s="2">
        <f t="shared" ca="1" si="0"/>
        <v>203.73333333333332</v>
      </c>
      <c r="E15" s="2">
        <f t="shared" ca="1" si="1"/>
        <v>4084.8817777777776</v>
      </c>
      <c r="F15" s="12">
        <f t="shared" ca="1" si="2"/>
        <v>1.443111111111111</v>
      </c>
      <c r="G15" s="2">
        <f t="shared" ca="1" si="3"/>
        <v>6870.9858862449637</v>
      </c>
      <c r="H15" s="12">
        <f t="shared" ca="1" si="4"/>
        <v>3.1094413195244996</v>
      </c>
      <c r="I15" s="8" t="s">
        <v>13</v>
      </c>
    </row>
    <row r="16" spans="1:9" ht="15.75" x14ac:dyDescent="0.3">
      <c r="A16" s="9">
        <v>40057</v>
      </c>
      <c r="B16" s="2">
        <v>1672</v>
      </c>
      <c r="C16" s="12">
        <v>8.5000000000000006E-2</v>
      </c>
      <c r="D16" s="2">
        <f t="shared" ca="1" si="0"/>
        <v>202.73333333333332</v>
      </c>
      <c r="E16" s="2">
        <f t="shared" ca="1" si="1"/>
        <v>4073.0384444444444</v>
      </c>
      <c r="F16" s="12">
        <f t="shared" ca="1" si="2"/>
        <v>1.4360277777777777</v>
      </c>
      <c r="G16" s="2">
        <f t="shared" ca="1" si="3"/>
        <v>6823.4871681750474</v>
      </c>
      <c r="H16" s="12">
        <f t="shared" ca="1" si="4"/>
        <v>3.0810329953200046</v>
      </c>
      <c r="I16" s="8" t="s">
        <v>13</v>
      </c>
    </row>
    <row r="17" spans="1:9" ht="15.75" x14ac:dyDescent="0.3">
      <c r="A17" s="9">
        <v>40087</v>
      </c>
      <c r="B17" s="2">
        <v>1672</v>
      </c>
      <c r="C17" s="12">
        <v>8.5000000000000006E-2</v>
      </c>
      <c r="D17" s="2">
        <f t="shared" ca="1" si="0"/>
        <v>201.73333333333332</v>
      </c>
      <c r="E17" s="2">
        <f t="shared" ca="1" si="1"/>
        <v>4061.1951111111111</v>
      </c>
      <c r="F17" s="12">
        <f t="shared" ca="1" si="2"/>
        <v>1.4289444444444446</v>
      </c>
      <c r="G17" s="2">
        <f t="shared" ca="1" si="3"/>
        <v>6776.316805927082</v>
      </c>
      <c r="H17" s="12">
        <f t="shared" ca="1" si="4"/>
        <v>3.0528210561764846</v>
      </c>
      <c r="I17" s="8" t="s">
        <v>13</v>
      </c>
    </row>
    <row r="18" spans="1:9" ht="15.75" x14ac:dyDescent="0.3">
      <c r="A18" s="9">
        <v>40118</v>
      </c>
      <c r="B18" s="2">
        <v>1672</v>
      </c>
      <c r="C18" s="12">
        <v>8.5000000000000006E-2</v>
      </c>
      <c r="D18" s="2">
        <f t="shared" ca="1" si="0"/>
        <v>200.73333333333332</v>
      </c>
      <c r="E18" s="2">
        <f t="shared" ca="1" si="1"/>
        <v>4049.3517777777774</v>
      </c>
      <c r="F18" s="12">
        <f t="shared" ca="1" si="2"/>
        <v>1.421861111111111</v>
      </c>
      <c r="G18" s="2">
        <f t="shared" ca="1" si="3"/>
        <v>6729.4725295967382</v>
      </c>
      <c r="H18" s="12">
        <f t="shared" ca="1" si="4"/>
        <v>3.0248041444956568</v>
      </c>
      <c r="I18" s="8" t="s">
        <v>13</v>
      </c>
    </row>
    <row r="19" spans="1:9" ht="15.75" x14ac:dyDescent="0.3">
      <c r="A19" s="9">
        <v>40148</v>
      </c>
      <c r="B19" s="2">
        <v>1672</v>
      </c>
      <c r="C19" s="12">
        <v>8.5000000000000006E-2</v>
      </c>
      <c r="D19" s="2">
        <f t="shared" ca="1" si="0"/>
        <v>199.73333333333332</v>
      </c>
      <c r="E19" s="2">
        <f t="shared" ca="1" si="1"/>
        <v>4037.5084444444442</v>
      </c>
      <c r="F19" s="12">
        <f t="shared" ca="1" si="2"/>
        <v>1.4147777777777777</v>
      </c>
      <c r="G19" s="2">
        <f t="shared" ca="1" si="3"/>
        <v>6682.9520849713963</v>
      </c>
      <c r="H19" s="12">
        <f t="shared" ca="1" si="4"/>
        <v>2.9969809120642323</v>
      </c>
      <c r="I19" s="8" t="s">
        <v>13</v>
      </c>
    </row>
    <row r="20" spans="1:9" ht="15.75" x14ac:dyDescent="0.3">
      <c r="A20" s="9">
        <v>40179</v>
      </c>
      <c r="B20" s="2">
        <v>1672</v>
      </c>
      <c r="C20" s="12">
        <v>8.5000000000000006E-2</v>
      </c>
      <c r="D20" s="2">
        <f t="shared" ca="1" si="0"/>
        <v>198.73333333333332</v>
      </c>
      <c r="E20" s="2">
        <f t="shared" ca="1" si="1"/>
        <v>4025.6651111111109</v>
      </c>
      <c r="F20" s="12">
        <f t="shared" ca="1" si="2"/>
        <v>1.4076944444444444</v>
      </c>
      <c r="G20" s="2">
        <f t="shared" ca="1" si="3"/>
        <v>6636.753233421683</v>
      </c>
      <c r="H20" s="12">
        <f t="shared" ca="1" si="4"/>
        <v>2.969350019989045</v>
      </c>
      <c r="I20" s="8" t="s">
        <v>13</v>
      </c>
    </row>
    <row r="21" spans="1:9" ht="15.75" x14ac:dyDescent="0.3">
      <c r="A21" s="9">
        <v>40210</v>
      </c>
      <c r="B21" s="2">
        <v>1672</v>
      </c>
      <c r="C21" s="12">
        <v>8.5000000000000006E-2</v>
      </c>
      <c r="D21" s="2">
        <f t="shared" ca="1" si="0"/>
        <v>197.73333333333332</v>
      </c>
      <c r="E21" s="2">
        <f t="shared" ca="1" si="1"/>
        <v>4013.8217777777777</v>
      </c>
      <c r="F21" s="12">
        <f t="shared" ca="1" si="2"/>
        <v>1.400611111111111</v>
      </c>
      <c r="G21" s="2">
        <f t="shared" ca="1" si="3"/>
        <v>6590.8737517937307</v>
      </c>
      <c r="H21" s="12">
        <f t="shared" ca="1" si="4"/>
        <v>2.9419101386326139</v>
      </c>
      <c r="I21" s="8" t="s">
        <v>13</v>
      </c>
    </row>
    <row r="22" spans="1:9" ht="15.75" x14ac:dyDescent="0.3">
      <c r="A22" s="9">
        <v>40238</v>
      </c>
      <c r="B22" s="2">
        <v>1672</v>
      </c>
      <c r="C22" s="12">
        <v>8.5000000000000006E-2</v>
      </c>
      <c r="D22" s="2">
        <f t="shared" ref="D22:D85" ca="1" si="5">(DAYS360(A22,NOW(),TRUE))/30</f>
        <v>196.73333333333332</v>
      </c>
      <c r="E22" s="2">
        <f t="shared" ref="E22:E85" ca="1" si="6">SUM(B22,B22* C22*D22/12)</f>
        <v>4001.9784444444444</v>
      </c>
      <c r="F22" s="12">
        <f t="shared" ref="F22:F85" ca="1" si="7">(E22-B22)/B22</f>
        <v>1.3935277777777777</v>
      </c>
      <c r="G22" s="2">
        <f t="shared" ref="G22:G85" ca="1" si="8">PRODUCT(B22,POWER((1+C22/2),2*D22/12))</f>
        <v>6545.3114323022037</v>
      </c>
      <c r="H22" s="12">
        <f t="shared" ref="H22:H85" ca="1" si="9">(G22-B22)/B22</f>
        <v>2.9146599475491648</v>
      </c>
      <c r="I22" s="8" t="s">
        <v>13</v>
      </c>
    </row>
    <row r="23" spans="1:9" ht="15.75" x14ac:dyDescent="0.3">
      <c r="A23" s="9">
        <v>40269</v>
      </c>
      <c r="B23" s="2">
        <v>1672</v>
      </c>
      <c r="C23" s="12">
        <v>8.5000000000000006E-2</v>
      </c>
      <c r="D23" s="2">
        <f t="shared" ca="1" si="5"/>
        <v>195.73333333333332</v>
      </c>
      <c r="E23" s="2">
        <f t="shared" ca="1" si="6"/>
        <v>3990.1351111111112</v>
      </c>
      <c r="F23" s="12">
        <f t="shared" ca="1" si="7"/>
        <v>1.3864444444444446</v>
      </c>
      <c r="G23" s="2">
        <f t="shared" ca="1" si="8"/>
        <v>6500.06408242406</v>
      </c>
      <c r="H23" s="12">
        <f t="shared" ca="1" si="9"/>
        <v>2.8875981354210887</v>
      </c>
      <c r="I23" s="8" t="s">
        <v>13</v>
      </c>
    </row>
    <row r="24" spans="1:9" ht="15.75" x14ac:dyDescent="0.3">
      <c r="A24" s="9">
        <v>40299</v>
      </c>
      <c r="B24" s="2">
        <v>1672</v>
      </c>
      <c r="C24" s="12">
        <v>8.5000000000000006E-2</v>
      </c>
      <c r="D24" s="2">
        <f t="shared" ca="1" si="5"/>
        <v>194.73333333333332</v>
      </c>
      <c r="E24" s="2">
        <f t="shared" ca="1" si="6"/>
        <v>3978.291777777778</v>
      </c>
      <c r="F24" s="12">
        <f t="shared" ca="1" si="7"/>
        <v>1.3793611111111113</v>
      </c>
      <c r="G24" s="2">
        <f t="shared" ca="1" si="8"/>
        <v>6455.1295247930339</v>
      </c>
      <c r="H24" s="12">
        <f t="shared" ca="1" si="9"/>
        <v>2.8607233999958335</v>
      </c>
      <c r="I24" s="8" t="s">
        <v>13</v>
      </c>
    </row>
    <row r="25" spans="1:9" ht="15.75" x14ac:dyDescent="0.3">
      <c r="A25" s="9">
        <v>40330</v>
      </c>
      <c r="B25" s="2">
        <v>1672</v>
      </c>
      <c r="C25" s="12">
        <v>8.5000000000000006E-2</v>
      </c>
      <c r="D25" s="2">
        <f t="shared" ca="1" si="5"/>
        <v>193.73333333333332</v>
      </c>
      <c r="E25" s="2">
        <f t="shared" ca="1" si="6"/>
        <v>3966.4484444444442</v>
      </c>
      <c r="F25" s="12">
        <f t="shared" ca="1" si="7"/>
        <v>1.3722777777777777</v>
      </c>
      <c r="G25" s="2">
        <f t="shared" ca="1" si="8"/>
        <v>6410.5055970948642</v>
      </c>
      <c r="H25" s="12">
        <f t="shared" ca="1" si="9"/>
        <v>2.8340344480232442</v>
      </c>
      <c r="I25" s="8" t="s">
        <v>13</v>
      </c>
    </row>
    <row r="26" spans="1:9" ht="15.75" x14ac:dyDescent="0.3">
      <c r="A26" s="9">
        <v>40360</v>
      </c>
      <c r="B26" s="2">
        <v>1672</v>
      </c>
      <c r="C26" s="12">
        <v>8.5000000000000006E-2</v>
      </c>
      <c r="D26" s="2">
        <f t="shared" ca="1" si="5"/>
        <v>192.73333333333332</v>
      </c>
      <c r="E26" s="2">
        <f t="shared" ca="1" si="6"/>
        <v>3954.605111111111</v>
      </c>
      <c r="F26" s="12">
        <f t="shared" ca="1" si="7"/>
        <v>1.3651944444444444</v>
      </c>
      <c r="G26" s="2">
        <f t="shared" ca="1" si="8"/>
        <v>6366.1901519632447</v>
      </c>
      <c r="H26" s="12">
        <f t="shared" ca="1" si="9"/>
        <v>2.8075299951933284</v>
      </c>
      <c r="I26" s="8" t="s">
        <v>13</v>
      </c>
    </row>
    <row r="27" spans="1:9" ht="15.75" x14ac:dyDescent="0.3">
      <c r="A27" s="9">
        <v>40391</v>
      </c>
      <c r="B27" s="2">
        <v>1908.83</v>
      </c>
      <c r="C27" s="12">
        <v>8.5000000000000006E-2</v>
      </c>
      <c r="D27" s="2">
        <f t="shared" ca="1" si="5"/>
        <v>191.73333333333332</v>
      </c>
      <c r="E27" s="2">
        <f t="shared" ca="1" si="6"/>
        <v>4501.2332322222219</v>
      </c>
      <c r="F27" s="12">
        <f t="shared" ca="1" si="7"/>
        <v>1.358111111111111</v>
      </c>
      <c r="G27" s="2">
        <f t="shared" ca="1" si="8"/>
        <v>7217.6847289458901</v>
      </c>
      <c r="H27" s="12">
        <f t="shared" ca="1" si="9"/>
        <v>2.7812087660744491</v>
      </c>
      <c r="I27" s="8" t="s">
        <v>13</v>
      </c>
    </row>
    <row r="28" spans="1:9" ht="15.75" x14ac:dyDescent="0.3">
      <c r="A28" s="9">
        <v>40422</v>
      </c>
      <c r="B28" s="2">
        <v>1908.83</v>
      </c>
      <c r="C28" s="12">
        <v>8.5000000000000006E-2</v>
      </c>
      <c r="D28" s="2">
        <f t="shared" ca="1" si="5"/>
        <v>190.73333333333332</v>
      </c>
      <c r="E28" s="2">
        <f t="shared" ca="1" si="6"/>
        <v>4487.7123530555555</v>
      </c>
      <c r="F28" s="12">
        <f t="shared" ca="1" si="7"/>
        <v>1.3510277777777777</v>
      </c>
      <c r="G28" s="2">
        <f t="shared" ca="1" si="8"/>
        <v>7167.7893023311963</v>
      </c>
      <c r="H28" s="12">
        <f t="shared" ca="1" si="9"/>
        <v>2.7550694940519569</v>
      </c>
      <c r="I28" s="8" t="s">
        <v>13</v>
      </c>
    </row>
    <row r="29" spans="1:9" ht="15.75" x14ac:dyDescent="0.3">
      <c r="A29" s="9">
        <v>40452</v>
      </c>
      <c r="B29" s="2">
        <v>1908.83</v>
      </c>
      <c r="C29" s="12">
        <v>8.5000000000000006E-2</v>
      </c>
      <c r="D29" s="2">
        <f t="shared" ca="1" si="5"/>
        <v>189.73333333333332</v>
      </c>
      <c r="E29" s="2">
        <f t="shared" ca="1" si="6"/>
        <v>4474.1914738888881</v>
      </c>
      <c r="F29" s="12">
        <f t="shared" ca="1" si="7"/>
        <v>1.3439444444444442</v>
      </c>
      <c r="G29" s="2">
        <f t="shared" ca="1" si="8"/>
        <v>7118.2387998425293</v>
      </c>
      <c r="H29" s="12">
        <f t="shared" ca="1" si="9"/>
        <v>2.7291109212672313</v>
      </c>
      <c r="I29" s="8" t="s">
        <v>13</v>
      </c>
    </row>
    <row r="30" spans="1:9" ht="15.75" x14ac:dyDescent="0.3">
      <c r="A30" s="9">
        <v>40483</v>
      </c>
      <c r="B30" s="2">
        <v>1908.83</v>
      </c>
      <c r="C30" s="12">
        <v>8.5000000000000006E-2</v>
      </c>
      <c r="D30" s="2">
        <f t="shared" ca="1" si="5"/>
        <v>188.73333333333332</v>
      </c>
      <c r="E30" s="2">
        <f t="shared" ca="1" si="6"/>
        <v>4460.6705947222217</v>
      </c>
      <c r="F30" s="12">
        <f t="shared" ca="1" si="7"/>
        <v>1.3368611111111108</v>
      </c>
      <c r="G30" s="2">
        <f t="shared" ca="1" si="8"/>
        <v>7069.0308370398525</v>
      </c>
      <c r="H30" s="12">
        <f t="shared" ca="1" si="9"/>
        <v>2.7033317985571541</v>
      </c>
      <c r="I30" s="8" t="s">
        <v>13</v>
      </c>
    </row>
    <row r="31" spans="1:9" ht="15.75" x14ac:dyDescent="0.3">
      <c r="A31" s="9">
        <v>40513</v>
      </c>
      <c r="B31" s="2">
        <v>1908.83</v>
      </c>
      <c r="C31" s="12">
        <v>8.5000000000000006E-2</v>
      </c>
      <c r="D31" s="2">
        <f t="shared" ca="1" si="5"/>
        <v>187.73333333333332</v>
      </c>
      <c r="E31" s="2">
        <f t="shared" ca="1" si="6"/>
        <v>4447.1497155555553</v>
      </c>
      <c r="F31" s="12">
        <f t="shared" ca="1" si="7"/>
        <v>1.3297777777777777</v>
      </c>
      <c r="G31" s="2">
        <f t="shared" ca="1" si="8"/>
        <v>7020.1630459666276</v>
      </c>
      <c r="H31" s="12">
        <f t="shared" ca="1" si="9"/>
        <v>2.6777308853939994</v>
      </c>
      <c r="I31" s="8" t="s">
        <v>13</v>
      </c>
    </row>
    <row r="32" spans="1:9" ht="15.75" x14ac:dyDescent="0.3">
      <c r="A32" s="9">
        <v>40544</v>
      </c>
      <c r="B32" s="2">
        <v>1908.83</v>
      </c>
      <c r="C32" s="12">
        <v>8.5000000000000006E-2</v>
      </c>
      <c r="D32" s="2">
        <f t="shared" ca="1" si="5"/>
        <v>186.73333333333332</v>
      </c>
      <c r="E32" s="2">
        <f t="shared" ca="1" si="6"/>
        <v>4433.6288363888889</v>
      </c>
      <c r="F32" s="12">
        <f t="shared" ca="1" si="7"/>
        <v>1.3226944444444446</v>
      </c>
      <c r="G32" s="2">
        <f t="shared" ca="1" si="8"/>
        <v>6971.6330750358575</v>
      </c>
      <c r="H32" s="12">
        <f t="shared" ca="1" si="9"/>
        <v>2.6523069498257348</v>
      </c>
      <c r="I32" s="8" t="s">
        <v>13</v>
      </c>
    </row>
    <row r="33" spans="1:9" ht="15.75" x14ac:dyDescent="0.3">
      <c r="A33" s="9">
        <v>40575</v>
      </c>
      <c r="B33" s="2">
        <v>1908.83</v>
      </c>
      <c r="C33" s="12">
        <v>8.5000000000000006E-2</v>
      </c>
      <c r="D33" s="2">
        <f t="shared" ca="1" si="5"/>
        <v>185.73333333333332</v>
      </c>
      <c r="E33" s="2">
        <f t="shared" ca="1" si="6"/>
        <v>4420.1079572222225</v>
      </c>
      <c r="F33" s="12">
        <f t="shared" ca="1" si="7"/>
        <v>1.3156111111111113</v>
      </c>
      <c r="G33" s="2">
        <f t="shared" ca="1" si="8"/>
        <v>6923.4385889169216</v>
      </c>
      <c r="H33" s="12">
        <f t="shared" ca="1" si="9"/>
        <v>2.6270587684167381</v>
      </c>
      <c r="I33" s="8" t="s">
        <v>13</v>
      </c>
    </row>
    <row r="34" spans="1:9" ht="15.75" x14ac:dyDescent="0.3">
      <c r="A34" s="9">
        <v>40603</v>
      </c>
      <c r="B34" s="2">
        <v>1908.83</v>
      </c>
      <c r="C34" s="12">
        <v>8.5000000000000006E-2</v>
      </c>
      <c r="D34" s="2">
        <f t="shared" ca="1" si="5"/>
        <v>184.73333333333332</v>
      </c>
      <c r="E34" s="2">
        <f t="shared" ca="1" si="6"/>
        <v>4406.587078055556</v>
      </c>
      <c r="F34" s="12">
        <f t="shared" ca="1" si="7"/>
        <v>1.3085277777777782</v>
      </c>
      <c r="G34" s="2">
        <f t="shared" ca="1" si="8"/>
        <v>6875.5772684232106</v>
      </c>
      <c r="H34" s="12">
        <f t="shared" ca="1" si="9"/>
        <v>2.6019851261889277</v>
      </c>
      <c r="I34" s="8" t="s">
        <v>13</v>
      </c>
    </row>
    <row r="35" spans="1:9" ht="15.75" x14ac:dyDescent="0.3">
      <c r="A35" s="9">
        <v>40634</v>
      </c>
      <c r="B35" s="2">
        <v>1908.83</v>
      </c>
      <c r="C35" s="12">
        <v>8.5000000000000006E-2</v>
      </c>
      <c r="D35" s="2">
        <f t="shared" ca="1" si="5"/>
        <v>183.73333333333332</v>
      </c>
      <c r="E35" s="2">
        <f t="shared" ca="1" si="6"/>
        <v>4393.0661988888887</v>
      </c>
      <c r="F35" s="12">
        <f t="shared" ca="1" si="7"/>
        <v>1.3014444444444444</v>
      </c>
      <c r="G35" s="2">
        <f t="shared" ca="1" si="8"/>
        <v>6828.0468104005067</v>
      </c>
      <c r="H35" s="12">
        <f t="shared" ca="1" si="9"/>
        <v>2.5770848165632909</v>
      </c>
      <c r="I35" s="8" t="s">
        <v>13</v>
      </c>
    </row>
    <row r="36" spans="1:9" ht="15.75" x14ac:dyDescent="0.3">
      <c r="A36" s="9">
        <v>40664</v>
      </c>
      <c r="B36" s="2">
        <v>1908.83</v>
      </c>
      <c r="C36" s="12">
        <v>8.5000000000000006E-2</v>
      </c>
      <c r="D36" s="2">
        <f t="shared" ca="1" si="5"/>
        <v>182.73333333333332</v>
      </c>
      <c r="E36" s="2">
        <f t="shared" ca="1" si="6"/>
        <v>4379.5453197222214</v>
      </c>
      <c r="F36" s="12">
        <f t="shared" ca="1" si="7"/>
        <v>1.2943611111111109</v>
      </c>
      <c r="G36" s="2">
        <f t="shared" ca="1" si="8"/>
        <v>6780.8449276161655</v>
      </c>
      <c r="H36" s="12">
        <f t="shared" ca="1" si="9"/>
        <v>2.5523566413018268</v>
      </c>
      <c r="I36" s="8" t="s">
        <v>13</v>
      </c>
    </row>
    <row r="37" spans="1:9" ht="15.75" x14ac:dyDescent="0.3">
      <c r="A37" s="9">
        <v>40695</v>
      </c>
      <c r="B37" s="2">
        <v>1908.83</v>
      </c>
      <c r="C37" s="12">
        <v>8.5000000000000006E-2</v>
      </c>
      <c r="D37" s="2">
        <f t="shared" ca="1" si="5"/>
        <v>181.73333333333332</v>
      </c>
      <c r="E37" s="2">
        <f t="shared" ca="1" si="6"/>
        <v>4366.024440555555</v>
      </c>
      <c r="F37" s="12">
        <f t="shared" ca="1" si="7"/>
        <v>1.2872777777777775</v>
      </c>
      <c r="G37" s="2">
        <f t="shared" ca="1" si="8"/>
        <v>6733.9693486490442</v>
      </c>
      <c r="H37" s="12">
        <f t="shared" ca="1" si="9"/>
        <v>2.5277994104498798</v>
      </c>
      <c r="I37" s="8" t="s">
        <v>13</v>
      </c>
    </row>
    <row r="38" spans="1:9" ht="15.75" x14ac:dyDescent="0.3">
      <c r="A38" s="9">
        <v>40725</v>
      </c>
      <c r="B38" s="2">
        <v>1908.83</v>
      </c>
      <c r="C38" s="12">
        <v>8.5000000000000006E-2</v>
      </c>
      <c r="D38" s="2">
        <f t="shared" ca="1" si="5"/>
        <v>180.73333333333332</v>
      </c>
      <c r="E38" s="2">
        <f t="shared" ca="1" si="6"/>
        <v>4352.5035613888886</v>
      </c>
      <c r="F38" s="12">
        <f t="shared" ca="1" si="7"/>
        <v>1.2801944444444444</v>
      </c>
      <c r="G38" s="2">
        <f t="shared" ca="1" si="8"/>
        <v>6687.4178177801978</v>
      </c>
      <c r="H38" s="12">
        <f t="shared" ca="1" si="9"/>
        <v>2.5034119422788819</v>
      </c>
      <c r="I38" s="8" t="s">
        <v>13</v>
      </c>
    </row>
    <row r="39" spans="1:9" ht="15.75" x14ac:dyDescent="0.3">
      <c r="A39" s="9">
        <v>40756</v>
      </c>
      <c r="B39" s="2">
        <v>2176</v>
      </c>
      <c r="C39" s="12">
        <v>8.5000000000000006E-2</v>
      </c>
      <c r="D39" s="2">
        <f t="shared" ca="1" si="5"/>
        <v>179.73333333333332</v>
      </c>
      <c r="E39" s="2">
        <f t="shared" ca="1" si="6"/>
        <v>4946.289777777778</v>
      </c>
      <c r="F39" s="12">
        <f t="shared" ca="1" si="7"/>
        <v>1.2731111111111113</v>
      </c>
      <c r="G39" s="2">
        <f t="shared" ca="1" si="8"/>
        <v>7570.724105587361</v>
      </c>
      <c r="H39" s="12">
        <f t="shared" ca="1" si="9"/>
        <v>2.4791930632294856</v>
      </c>
      <c r="I39" s="8" t="s">
        <v>13</v>
      </c>
    </row>
    <row r="40" spans="1:9" ht="15.75" x14ac:dyDescent="0.3">
      <c r="A40" s="9">
        <v>40787</v>
      </c>
      <c r="B40" s="2">
        <v>2176</v>
      </c>
      <c r="C40" s="12">
        <v>8.5000000000000006E-2</v>
      </c>
      <c r="D40" s="2">
        <f t="shared" ca="1" si="5"/>
        <v>178.73333333333332</v>
      </c>
      <c r="E40" s="2">
        <f t="shared" ca="1" si="6"/>
        <v>4930.8764444444441</v>
      </c>
      <c r="F40" s="12">
        <f t="shared" ca="1" si="7"/>
        <v>1.2660277777777775</v>
      </c>
      <c r="G40" s="2">
        <f t="shared" ca="1" si="8"/>
        <v>7518.3881386926705</v>
      </c>
      <c r="H40" s="12">
        <f t="shared" ca="1" si="9"/>
        <v>2.4551416078550874</v>
      </c>
      <c r="I40" s="8" t="s">
        <v>13</v>
      </c>
    </row>
    <row r="41" spans="1:9" ht="15.75" x14ac:dyDescent="0.3">
      <c r="A41" s="9">
        <v>40817</v>
      </c>
      <c r="B41" s="2">
        <v>2176</v>
      </c>
      <c r="C41" s="12">
        <v>8.5000000000000006E-2</v>
      </c>
      <c r="D41" s="2">
        <f t="shared" ca="1" si="5"/>
        <v>177.73333333333332</v>
      </c>
      <c r="E41" s="2">
        <f t="shared" ca="1" si="6"/>
        <v>4915.4631111111103</v>
      </c>
      <c r="F41" s="12">
        <f t="shared" ca="1" si="7"/>
        <v>1.258944444444444</v>
      </c>
      <c r="G41" s="2">
        <f t="shared" ca="1" si="8"/>
        <v>7466.4139672342662</v>
      </c>
      <c r="H41" s="12">
        <f t="shared" ca="1" si="9"/>
        <v>2.4312564187657473</v>
      </c>
      <c r="I41" s="8" t="s">
        <v>13</v>
      </c>
    </row>
    <row r="42" spans="1:9" ht="15.75" x14ac:dyDescent="0.3">
      <c r="A42" s="9">
        <v>40848</v>
      </c>
      <c r="B42" s="2">
        <v>2176</v>
      </c>
      <c r="C42" s="12">
        <v>8.5000000000000006E-2</v>
      </c>
      <c r="D42" s="2">
        <f t="shared" ca="1" si="5"/>
        <v>176.73333333333332</v>
      </c>
      <c r="E42" s="2">
        <f t="shared" ca="1" si="6"/>
        <v>4900.0497777777782</v>
      </c>
      <c r="F42" s="12">
        <f t="shared" ca="1" si="7"/>
        <v>1.2518611111111113</v>
      </c>
      <c r="G42" s="2">
        <f t="shared" ca="1" si="8"/>
        <v>7414.7990901417506</v>
      </c>
      <c r="H42" s="12">
        <f t="shared" ca="1" si="9"/>
        <v>2.4075363465724955</v>
      </c>
      <c r="I42" s="8" t="s">
        <v>13</v>
      </c>
    </row>
    <row r="43" spans="1:9" ht="15.75" x14ac:dyDescent="0.3">
      <c r="A43" s="9">
        <v>40878</v>
      </c>
      <c r="B43" s="2">
        <v>2176</v>
      </c>
      <c r="C43" s="12">
        <v>8.5000000000000006E-2</v>
      </c>
      <c r="D43" s="2">
        <f t="shared" ca="1" si="5"/>
        <v>175.73333333333332</v>
      </c>
      <c r="E43" s="2">
        <f t="shared" ca="1" si="6"/>
        <v>4884.6364444444444</v>
      </c>
      <c r="F43" s="12">
        <f t="shared" ca="1" si="7"/>
        <v>1.2447777777777778</v>
      </c>
      <c r="G43" s="2">
        <f t="shared" ca="1" si="8"/>
        <v>7363.5410236344733</v>
      </c>
      <c r="H43" s="12">
        <f t="shared" ca="1" si="9"/>
        <v>2.3839802498320188</v>
      </c>
      <c r="I43" s="8" t="s">
        <v>13</v>
      </c>
    </row>
    <row r="44" spans="1:9" ht="15.75" x14ac:dyDescent="0.3">
      <c r="A44" s="9">
        <v>40909</v>
      </c>
      <c r="B44" s="2">
        <v>2176</v>
      </c>
      <c r="C44" s="12">
        <v>8.5000000000000006E-2</v>
      </c>
      <c r="D44" s="2">
        <f t="shared" ca="1" si="5"/>
        <v>174.73333333333332</v>
      </c>
      <c r="E44" s="2">
        <f t="shared" ca="1" si="6"/>
        <v>4869.2231111111105</v>
      </c>
      <c r="F44" s="12">
        <f t="shared" ca="1" si="7"/>
        <v>1.2376944444444442</v>
      </c>
      <c r="G44" s="2">
        <f t="shared" ca="1" si="8"/>
        <v>7312.6373011020123</v>
      </c>
      <c r="H44" s="12">
        <f t="shared" ca="1" si="9"/>
        <v>2.3605869949917335</v>
      </c>
      <c r="I44" s="8" t="s">
        <v>13</v>
      </c>
    </row>
    <row r="45" spans="1:9" ht="15.75" x14ac:dyDescent="0.3">
      <c r="A45" s="9">
        <v>40940</v>
      </c>
      <c r="B45" s="2">
        <v>2955</v>
      </c>
      <c r="C45" s="12">
        <v>8.5000000000000006E-2</v>
      </c>
      <c r="D45" s="2">
        <f t="shared" ca="1" si="5"/>
        <v>173.73333333333332</v>
      </c>
      <c r="E45" s="2">
        <f t="shared" ca="1" si="6"/>
        <v>6591.4558333333334</v>
      </c>
      <c r="F45" s="12">
        <f t="shared" ca="1" si="7"/>
        <v>1.2306111111111111</v>
      </c>
      <c r="G45" s="2">
        <f t="shared" ca="1" si="8"/>
        <v>9861.8853734706281</v>
      </c>
      <c r="H45" s="12">
        <f t="shared" ca="1" si="9"/>
        <v>2.3373554563352381</v>
      </c>
      <c r="I45" s="8" t="s">
        <v>13</v>
      </c>
    </row>
    <row r="46" spans="1:9" ht="15.75" x14ac:dyDescent="0.3">
      <c r="A46" s="9">
        <v>40969</v>
      </c>
      <c r="B46" s="2">
        <v>2955</v>
      </c>
      <c r="C46" s="12">
        <v>8.5000000000000006E-2</v>
      </c>
      <c r="D46" s="2">
        <f t="shared" ca="1" si="5"/>
        <v>172.73333333333332</v>
      </c>
      <c r="E46" s="2">
        <f t="shared" ca="1" si="6"/>
        <v>6570.5245833333338</v>
      </c>
      <c r="F46" s="12">
        <f t="shared" ca="1" si="7"/>
        <v>1.223527777777778</v>
      </c>
      <c r="G46" s="2">
        <f t="shared" ca="1" si="8"/>
        <v>9793.7107445676556</v>
      </c>
      <c r="H46" s="12">
        <f t="shared" ca="1" si="9"/>
        <v>2.3142845159281404</v>
      </c>
      <c r="I46" s="8" t="s">
        <v>13</v>
      </c>
    </row>
    <row r="47" spans="1:9" ht="15.75" x14ac:dyDescent="0.3">
      <c r="A47" s="9">
        <v>41000</v>
      </c>
      <c r="B47" s="2">
        <v>2955</v>
      </c>
      <c r="C47" s="12">
        <v>8.5000000000000006E-2</v>
      </c>
      <c r="D47" s="2">
        <f t="shared" ca="1" si="5"/>
        <v>171.73333333333332</v>
      </c>
      <c r="E47" s="2">
        <f t="shared" ca="1" si="6"/>
        <v>6549.5933333333323</v>
      </c>
      <c r="F47" s="12">
        <f t="shared" ca="1" si="7"/>
        <v>1.2164444444444442</v>
      </c>
      <c r="G47" s="2">
        <f t="shared" ca="1" si="8"/>
        <v>9726.0074028324052</v>
      </c>
      <c r="H47" s="12">
        <f t="shared" ca="1" si="9"/>
        <v>2.2913730635642655</v>
      </c>
      <c r="I47" s="8" t="s">
        <v>13</v>
      </c>
    </row>
    <row r="48" spans="1:9" ht="15.75" x14ac:dyDescent="0.3">
      <c r="A48" s="9">
        <v>41030</v>
      </c>
      <c r="B48" s="2">
        <v>2955</v>
      </c>
      <c r="C48" s="12">
        <v>8.5000000000000006E-2</v>
      </c>
      <c r="D48" s="2">
        <f t="shared" ca="1" si="5"/>
        <v>170.73333333333332</v>
      </c>
      <c r="E48" s="2">
        <f t="shared" ca="1" si="6"/>
        <v>6528.6620833333327</v>
      </c>
      <c r="F48" s="12">
        <f t="shared" ca="1" si="7"/>
        <v>1.2093611111111109</v>
      </c>
      <c r="G48" s="2">
        <f t="shared" ca="1" si="8"/>
        <v>9658.7720902846286</v>
      </c>
      <c r="H48" s="12">
        <f t="shared" ca="1" si="9"/>
        <v>2.2686199967122262</v>
      </c>
      <c r="I48" s="8" t="s">
        <v>13</v>
      </c>
    </row>
    <row r="49" spans="1:9" ht="15.75" x14ac:dyDescent="0.3">
      <c r="A49" s="9">
        <v>41061</v>
      </c>
      <c r="B49" s="2">
        <v>2955</v>
      </c>
      <c r="C49" s="12">
        <v>8.5000000000000006E-2</v>
      </c>
      <c r="D49" s="2">
        <f t="shared" ca="1" si="5"/>
        <v>169.73333333333332</v>
      </c>
      <c r="E49" s="2">
        <f t="shared" ca="1" si="6"/>
        <v>6507.7308333333331</v>
      </c>
      <c r="F49" s="12">
        <f t="shared" ca="1" si="7"/>
        <v>1.2022777777777778</v>
      </c>
      <c r="G49" s="2">
        <f t="shared" ca="1" si="8"/>
        <v>9592.0015714662986</v>
      </c>
      <c r="H49" s="12">
        <f t="shared" ca="1" si="9"/>
        <v>2.2460242204623686</v>
      </c>
      <c r="I49" s="8" t="s">
        <v>13</v>
      </c>
    </row>
    <row r="50" spans="1:9" ht="15.75" x14ac:dyDescent="0.3">
      <c r="A50" s="9">
        <v>41091</v>
      </c>
      <c r="B50" s="2">
        <v>2955</v>
      </c>
      <c r="C50" s="12">
        <v>8.5000000000000006E-2</v>
      </c>
      <c r="D50" s="2">
        <f t="shared" ca="1" si="5"/>
        <v>168.73333333333332</v>
      </c>
      <c r="E50" s="2">
        <f t="shared" ca="1" si="6"/>
        <v>6486.7995833333334</v>
      </c>
      <c r="F50" s="12">
        <f t="shared" ca="1" si="7"/>
        <v>1.1951944444444444</v>
      </c>
      <c r="G50" s="2">
        <f t="shared" ca="1" si="8"/>
        <v>9525.6926332859202</v>
      </c>
      <c r="H50" s="12">
        <f t="shared" ca="1" si="9"/>
        <v>2.2235846474740848</v>
      </c>
      <c r="I50" s="8" t="s">
        <v>13</v>
      </c>
    </row>
    <row r="51" spans="1:9" ht="15.75" x14ac:dyDescent="0.3">
      <c r="A51" s="9">
        <v>41122</v>
      </c>
      <c r="B51" s="2">
        <v>3250</v>
      </c>
      <c r="C51" s="12">
        <v>8.5000000000000006E-2</v>
      </c>
      <c r="D51" s="2">
        <f t="shared" ca="1" si="5"/>
        <v>167.73333333333332</v>
      </c>
      <c r="E51" s="2">
        <f t="shared" ca="1" si="6"/>
        <v>7111.3611111111113</v>
      </c>
      <c r="F51" s="12">
        <f t="shared" ca="1" si="7"/>
        <v>1.1881111111111111</v>
      </c>
      <c r="G51" s="2">
        <f t="shared" ca="1" si="8"/>
        <v>10404.22564325134</v>
      </c>
      <c r="H51" s="12">
        <f t="shared" ca="1" si="9"/>
        <v>2.2013001979234894</v>
      </c>
      <c r="I51" s="8" t="s">
        <v>13</v>
      </c>
    </row>
    <row r="52" spans="1:9" ht="15.75" x14ac:dyDescent="0.3">
      <c r="A52" s="9">
        <v>41153</v>
      </c>
      <c r="B52" s="2">
        <v>3250</v>
      </c>
      <c r="C52" s="12">
        <v>8.5000000000000006E-2</v>
      </c>
      <c r="D52" s="2">
        <f t="shared" ca="1" si="5"/>
        <v>166.73333333333332</v>
      </c>
      <c r="E52" s="2">
        <f t="shared" ca="1" si="6"/>
        <v>7088.3402777777774</v>
      </c>
      <c r="F52" s="12">
        <f t="shared" ca="1" si="7"/>
        <v>1.1810277777777776</v>
      </c>
      <c r="G52" s="2">
        <f t="shared" ca="1" si="8"/>
        <v>10332.301848217227</v>
      </c>
      <c r="H52" s="12">
        <f t="shared" ca="1" si="9"/>
        <v>2.1791697994514543</v>
      </c>
      <c r="I52" s="8" t="s">
        <v>13</v>
      </c>
    </row>
    <row r="53" spans="1:9" ht="15.75" x14ac:dyDescent="0.3">
      <c r="A53" s="9">
        <v>41183</v>
      </c>
      <c r="B53" s="2">
        <v>3250</v>
      </c>
      <c r="C53" s="12">
        <v>8.5000000000000006E-2</v>
      </c>
      <c r="D53" s="2">
        <f t="shared" ca="1" si="5"/>
        <v>165.73333333333332</v>
      </c>
      <c r="E53" s="2">
        <f t="shared" ca="1" si="6"/>
        <v>7065.3194444444434</v>
      </c>
      <c r="F53" s="12">
        <f t="shared" ca="1" si="7"/>
        <v>1.1739444444444442</v>
      </c>
      <c r="G53" s="2">
        <f t="shared" ca="1" si="8"/>
        <v>10260.875258114018</v>
      </c>
      <c r="H53" s="12">
        <f t="shared" ca="1" si="9"/>
        <v>2.1571923871120053</v>
      </c>
      <c r="I53" s="8" t="s">
        <v>13</v>
      </c>
    </row>
    <row r="54" spans="1:9" ht="15.75" x14ac:dyDescent="0.3">
      <c r="A54" s="9">
        <v>41214</v>
      </c>
      <c r="B54" s="2">
        <v>3250</v>
      </c>
      <c r="C54" s="12">
        <v>8.5000000000000006E-2</v>
      </c>
      <c r="D54" s="2">
        <f t="shared" ca="1" si="5"/>
        <v>164.73333333333332</v>
      </c>
      <c r="E54" s="2">
        <f t="shared" ca="1" si="6"/>
        <v>7042.2986111111113</v>
      </c>
      <c r="F54" s="12">
        <f t="shared" ca="1" si="7"/>
        <v>1.1668611111111111</v>
      </c>
      <c r="G54" s="2">
        <f t="shared" ca="1" si="8"/>
        <v>10189.94243579351</v>
      </c>
      <c r="H54" s="12">
        <f t="shared" ca="1" si="9"/>
        <v>2.13536690332108</v>
      </c>
      <c r="I54" s="8" t="s">
        <v>13</v>
      </c>
    </row>
    <row r="55" spans="1:9" ht="15.75" x14ac:dyDescent="0.3">
      <c r="A55" s="9">
        <v>41244</v>
      </c>
      <c r="B55" s="2">
        <v>3250</v>
      </c>
      <c r="C55" s="12">
        <v>8.5000000000000006E-2</v>
      </c>
      <c r="D55" s="2">
        <f t="shared" ca="1" si="5"/>
        <v>163.73333333333332</v>
      </c>
      <c r="E55" s="2">
        <f t="shared" ca="1" si="6"/>
        <v>7019.2777777777774</v>
      </c>
      <c r="F55" s="12">
        <f t="shared" ca="1" si="7"/>
        <v>1.1597777777777776</v>
      </c>
      <c r="G55" s="2">
        <f t="shared" ca="1" si="8"/>
        <v>10119.499967868294</v>
      </c>
      <c r="H55" s="12">
        <f t="shared" ca="1" si="9"/>
        <v>2.113692297805629</v>
      </c>
      <c r="I55" s="8" t="s">
        <v>13</v>
      </c>
    </row>
    <row r="56" spans="1:9" ht="15.75" x14ac:dyDescent="0.3">
      <c r="A56" s="9">
        <v>41275</v>
      </c>
      <c r="B56" s="2">
        <v>3250</v>
      </c>
      <c r="C56" s="12">
        <v>8.5000000000000006E-2</v>
      </c>
      <c r="D56" s="2">
        <f t="shared" ca="1" si="5"/>
        <v>162.73333333333332</v>
      </c>
      <c r="E56" s="2">
        <f t="shared" ca="1" si="6"/>
        <v>6996.2569444444434</v>
      </c>
      <c r="F56" s="12">
        <f t="shared" ca="1" si="7"/>
        <v>1.1526944444444442</v>
      </c>
      <c r="G56" s="2">
        <f t="shared" ca="1" si="8"/>
        <v>10049.544464547507</v>
      </c>
      <c r="H56" s="12">
        <f t="shared" ca="1" si="9"/>
        <v>2.0921675275530793</v>
      </c>
      <c r="I56" s="8" t="s">
        <v>13</v>
      </c>
    </row>
    <row r="57" spans="1:9" ht="15.75" x14ac:dyDescent="0.3">
      <c r="A57" s="9">
        <v>41306</v>
      </c>
      <c r="B57" s="2">
        <v>3250</v>
      </c>
      <c r="C57" s="12">
        <v>8.5000000000000006E-2</v>
      </c>
      <c r="D57" s="2">
        <f t="shared" ca="1" si="5"/>
        <v>161.73333333333332</v>
      </c>
      <c r="E57" s="2">
        <f t="shared" ca="1" si="6"/>
        <v>6973.2361111111113</v>
      </c>
      <c r="F57" s="12">
        <f t="shared" ca="1" si="7"/>
        <v>1.1456111111111111</v>
      </c>
      <c r="G57" s="2">
        <f t="shared" ca="1" si="8"/>
        <v>9980.0725594737069</v>
      </c>
      <c r="H57" s="12">
        <f t="shared" ca="1" si="9"/>
        <v>2.0707915567611406</v>
      </c>
      <c r="I57" s="8" t="s">
        <v>13</v>
      </c>
    </row>
    <row r="58" spans="1:9" ht="15.75" x14ac:dyDescent="0.3">
      <c r="A58" s="9">
        <v>41334</v>
      </c>
      <c r="B58" s="2">
        <v>3250</v>
      </c>
      <c r="C58" s="12">
        <v>8.5000000000000006E-2</v>
      </c>
      <c r="D58" s="2">
        <f t="shared" ca="1" si="5"/>
        <v>160.73333333333332</v>
      </c>
      <c r="E58" s="2">
        <f t="shared" ca="1" si="6"/>
        <v>6950.2152777777774</v>
      </c>
      <c r="F58" s="12">
        <f t="shared" ca="1" si="7"/>
        <v>1.1385277777777776</v>
      </c>
      <c r="G58" s="2">
        <f t="shared" ca="1" si="8"/>
        <v>9911.0809095608874</v>
      </c>
      <c r="H58" s="12">
        <f t="shared" ca="1" si="9"/>
        <v>2.0495633567879654</v>
      </c>
      <c r="I58" s="8" t="s">
        <v>13</v>
      </c>
    </row>
    <row r="59" spans="1:9" ht="15.75" x14ac:dyDescent="0.3">
      <c r="A59" s="9">
        <v>41365</v>
      </c>
      <c r="B59" s="2">
        <v>3250</v>
      </c>
      <c r="C59" s="12">
        <v>8.5000000000000006E-2</v>
      </c>
      <c r="D59" s="2">
        <f t="shared" ca="1" si="5"/>
        <v>159.73333333333332</v>
      </c>
      <c r="E59" s="2">
        <f t="shared" ca="1" si="6"/>
        <v>6927.1944444444434</v>
      </c>
      <c r="F59" s="12">
        <f t="shared" ca="1" si="7"/>
        <v>1.131444444444444</v>
      </c>
      <c r="G59" s="2">
        <f t="shared" ca="1" si="8"/>
        <v>9842.5661948335928</v>
      </c>
      <c r="H59" s="12">
        <f t="shared" ca="1" si="9"/>
        <v>2.0284819061026438</v>
      </c>
      <c r="I59" s="8" t="s">
        <v>13</v>
      </c>
    </row>
    <row r="60" spans="1:9" ht="15.75" x14ac:dyDescent="0.3">
      <c r="A60" s="9">
        <v>41395</v>
      </c>
      <c r="B60" s="2">
        <v>3250</v>
      </c>
      <c r="C60" s="12">
        <v>8.5000000000000006E-2</v>
      </c>
      <c r="D60" s="2">
        <f t="shared" ca="1" si="5"/>
        <v>158.73333333333332</v>
      </c>
      <c r="E60" s="2">
        <f t="shared" ca="1" si="6"/>
        <v>6904.1736111111113</v>
      </c>
      <c r="F60" s="12">
        <f t="shared" ca="1" si="7"/>
        <v>1.1243611111111111</v>
      </c>
      <c r="G60" s="2">
        <f t="shared" ca="1" si="8"/>
        <v>9774.5251182671564</v>
      </c>
      <c r="H60" s="12">
        <f t="shared" ca="1" si="9"/>
        <v>2.0075461902360483</v>
      </c>
      <c r="I60" s="8" t="s">
        <v>13</v>
      </c>
    </row>
    <row r="61" spans="1:9" ht="15.75" x14ac:dyDescent="0.3">
      <c r="A61" s="9">
        <v>41426</v>
      </c>
      <c r="B61" s="2">
        <v>3250</v>
      </c>
      <c r="C61" s="12">
        <v>8.5000000000000006E-2</v>
      </c>
      <c r="D61" s="2">
        <f t="shared" ca="1" si="5"/>
        <v>157.73333333333332</v>
      </c>
      <c r="E61" s="2">
        <f t="shared" ca="1" si="6"/>
        <v>6881.1527777777774</v>
      </c>
      <c r="F61" s="12">
        <f t="shared" ca="1" si="7"/>
        <v>1.1172777777777776</v>
      </c>
      <c r="G61" s="2">
        <f t="shared" ca="1" si="8"/>
        <v>9706.9544056290615</v>
      </c>
      <c r="H61" s="12">
        <f t="shared" ca="1" si="9"/>
        <v>1.9867552017320189</v>
      </c>
      <c r="I61" s="8" t="s">
        <v>13</v>
      </c>
    </row>
    <row r="62" spans="1:9" ht="15.75" x14ac:dyDescent="0.3">
      <c r="A62" s="9">
        <v>41456</v>
      </c>
      <c r="B62" s="2">
        <v>3250</v>
      </c>
      <c r="C62" s="12">
        <v>8.5000000000000006E-2</v>
      </c>
      <c r="D62" s="2">
        <f t="shared" ca="1" si="5"/>
        <v>156.73333333333332</v>
      </c>
      <c r="E62" s="2">
        <f t="shared" ca="1" si="6"/>
        <v>6858.1319444444434</v>
      </c>
      <c r="F62" s="12">
        <f t="shared" ca="1" si="7"/>
        <v>1.110194444444444</v>
      </c>
      <c r="G62" s="2">
        <f t="shared" ca="1" si="8"/>
        <v>9639.8508053213482</v>
      </c>
      <c r="H62" s="12">
        <f t="shared" ca="1" si="9"/>
        <v>1.9661079400988763</v>
      </c>
      <c r="I62" s="8" t="s">
        <v>13</v>
      </c>
    </row>
    <row r="63" spans="1:9" ht="15.75" x14ac:dyDescent="0.3">
      <c r="A63" s="9">
        <v>41487</v>
      </c>
      <c r="B63" s="2">
        <v>3445</v>
      </c>
      <c r="C63" s="12">
        <v>8.5000000000000006E-2</v>
      </c>
      <c r="D63" s="2">
        <f t="shared" ca="1" si="5"/>
        <v>155.73333333333332</v>
      </c>
      <c r="E63" s="2">
        <f t="shared" ca="1" si="6"/>
        <v>7245.2177777777779</v>
      </c>
      <c r="F63" s="12">
        <f t="shared" ca="1" si="7"/>
        <v>1.1031111111111112</v>
      </c>
      <c r="G63" s="2">
        <f t="shared" ca="1" si="8"/>
        <v>10147.603753517633</v>
      </c>
      <c r="H63" s="12">
        <f t="shared" ca="1" si="9"/>
        <v>1.9456034117612868</v>
      </c>
      <c r="I63" s="8" t="s">
        <v>13</v>
      </c>
    </row>
    <row r="64" spans="1:9" ht="15.75" x14ac:dyDescent="0.3">
      <c r="A64" s="9">
        <v>41518</v>
      </c>
      <c r="B64" s="2">
        <v>3445</v>
      </c>
      <c r="C64" s="12">
        <v>8.5000000000000006E-2</v>
      </c>
      <c r="D64" s="2">
        <f t="shared" ca="1" si="5"/>
        <v>154.73333333333332</v>
      </c>
      <c r="E64" s="2">
        <f t="shared" ca="1" si="6"/>
        <v>7220.8156944444454</v>
      </c>
      <c r="F64" s="12">
        <f t="shared" ca="1" si="7"/>
        <v>1.096027777777778</v>
      </c>
      <c r="G64" s="2">
        <f t="shared" ca="1" si="8"/>
        <v>10077.453970392848</v>
      </c>
      <c r="H64" s="12">
        <f t="shared" ca="1" si="9"/>
        <v>1.9252406300124376</v>
      </c>
      <c r="I64" s="8" t="s">
        <v>13</v>
      </c>
    </row>
    <row r="65" spans="1:9" ht="15.75" x14ac:dyDescent="0.3">
      <c r="A65" s="9">
        <v>41548</v>
      </c>
      <c r="B65" s="2">
        <v>3445</v>
      </c>
      <c r="C65" s="12">
        <v>8.5000000000000006E-2</v>
      </c>
      <c r="D65" s="2">
        <f t="shared" ca="1" si="5"/>
        <v>153.73333333333332</v>
      </c>
      <c r="E65" s="2">
        <f t="shared" ca="1" si="6"/>
        <v>7196.4136111111111</v>
      </c>
      <c r="F65" s="12">
        <f t="shared" ca="1" si="7"/>
        <v>1.0889444444444445</v>
      </c>
      <c r="G65" s="2">
        <f t="shared" ca="1" si="8"/>
        <v>10007.789128559814</v>
      </c>
      <c r="H65" s="12">
        <f t="shared" ca="1" si="9"/>
        <v>1.9050186149665644</v>
      </c>
      <c r="I65" s="8" t="s">
        <v>13</v>
      </c>
    </row>
    <row r="66" spans="1:9" ht="15.75" x14ac:dyDescent="0.3">
      <c r="A66" s="9">
        <v>41579</v>
      </c>
      <c r="B66" s="2">
        <v>3445</v>
      </c>
      <c r="C66" s="12">
        <v>8.5000000000000006E-2</v>
      </c>
      <c r="D66" s="2">
        <f t="shared" ca="1" si="5"/>
        <v>152.73333333333332</v>
      </c>
      <c r="E66" s="2">
        <f t="shared" ca="1" si="6"/>
        <v>7172.0115277777786</v>
      </c>
      <c r="F66" s="12">
        <f t="shared" ca="1" si="7"/>
        <v>1.0818611111111114</v>
      </c>
      <c r="G66" s="2">
        <f t="shared" ca="1" si="8"/>
        <v>9938.6058756481398</v>
      </c>
      <c r="H66" s="12">
        <f t="shared" ca="1" si="9"/>
        <v>1.8849363935117966</v>
      </c>
      <c r="I66" s="8" t="s">
        <v>13</v>
      </c>
    </row>
    <row r="67" spans="1:9" ht="15.75" x14ac:dyDescent="0.3">
      <c r="A67" s="9">
        <v>41609</v>
      </c>
      <c r="B67" s="2">
        <v>3445</v>
      </c>
      <c r="C67" s="12">
        <v>8.5000000000000006E-2</v>
      </c>
      <c r="D67" s="2">
        <f t="shared" ca="1" si="5"/>
        <v>151.73333333333332</v>
      </c>
      <c r="E67" s="2">
        <f t="shared" ca="1" si="6"/>
        <v>7147.6094444444443</v>
      </c>
      <c r="F67" s="12">
        <f t="shared" ca="1" si="7"/>
        <v>1.0747777777777778</v>
      </c>
      <c r="G67" s="2">
        <f t="shared" ca="1" si="8"/>
        <v>9869.9008824621615</v>
      </c>
      <c r="H67" s="12">
        <f t="shared" ca="1" si="9"/>
        <v>1.864992999263327</v>
      </c>
      <c r="I67" s="8" t="s">
        <v>13</v>
      </c>
    </row>
    <row r="68" spans="1:9" ht="15.75" x14ac:dyDescent="0.3">
      <c r="A68" s="9">
        <v>41640</v>
      </c>
      <c r="B68" s="2">
        <v>3445</v>
      </c>
      <c r="C68" s="12">
        <v>8.5000000000000006E-2</v>
      </c>
      <c r="D68" s="2">
        <f t="shared" ca="1" si="5"/>
        <v>150.73333333333332</v>
      </c>
      <c r="E68" s="2">
        <f t="shared" ca="1" si="6"/>
        <v>7123.2073611111118</v>
      </c>
      <c r="F68" s="12">
        <f t="shared" ca="1" si="7"/>
        <v>1.0676944444444447</v>
      </c>
      <c r="G68" s="2">
        <f t="shared" ca="1" si="8"/>
        <v>9801.6708428207494</v>
      </c>
      <c r="H68" s="12">
        <f t="shared" ca="1" si="9"/>
        <v>1.8451874725169084</v>
      </c>
      <c r="I68" s="8" t="s">
        <v>13</v>
      </c>
    </row>
    <row r="69" spans="1:9" ht="15.75" x14ac:dyDescent="0.3">
      <c r="A69" s="9">
        <v>41671</v>
      </c>
      <c r="B69" s="2">
        <v>3445</v>
      </c>
      <c r="C69" s="12">
        <v>8.5000000000000006E-2</v>
      </c>
      <c r="D69" s="2">
        <f t="shared" ca="1" si="5"/>
        <v>149.73333333333332</v>
      </c>
      <c r="E69" s="2">
        <f t="shared" ca="1" si="6"/>
        <v>7098.8052777777775</v>
      </c>
      <c r="F69" s="12">
        <f t="shared" ca="1" si="7"/>
        <v>1.0606111111111109</v>
      </c>
      <c r="G69" s="2">
        <f t="shared" ca="1" si="8"/>
        <v>9733.9124733982062</v>
      </c>
      <c r="H69" s="12">
        <f t="shared" ca="1" si="9"/>
        <v>1.8255188602026724</v>
      </c>
      <c r="I69" s="8" t="s">
        <v>13</v>
      </c>
    </row>
    <row r="70" spans="1:9" ht="15.75" x14ac:dyDescent="0.3">
      <c r="A70" s="9">
        <v>41699</v>
      </c>
      <c r="B70" s="2">
        <v>3445</v>
      </c>
      <c r="C70" s="12">
        <v>8.5000000000000006E-2</v>
      </c>
      <c r="D70" s="2">
        <f t="shared" ca="1" si="5"/>
        <v>148.73333333333332</v>
      </c>
      <c r="E70" s="2">
        <f t="shared" ca="1" si="6"/>
        <v>7074.403194444445</v>
      </c>
      <c r="F70" s="12">
        <f t="shared" ca="1" si="7"/>
        <v>1.0535277777777778</v>
      </c>
      <c r="G70" s="2">
        <f t="shared" ca="1" si="8"/>
        <v>9666.6225135662789</v>
      </c>
      <c r="H70" s="12">
        <f t="shared" ca="1" si="9"/>
        <v>1.8059862158392681</v>
      </c>
      <c r="I70" s="8" t="s">
        <v>13</v>
      </c>
    </row>
    <row r="71" spans="1:9" ht="15.75" x14ac:dyDescent="0.3">
      <c r="A71" s="9">
        <v>41730</v>
      </c>
      <c r="B71" s="2">
        <v>3445</v>
      </c>
      <c r="C71" s="12">
        <v>8.5000000000000006E-2</v>
      </c>
      <c r="D71" s="2">
        <f t="shared" ca="1" si="5"/>
        <v>147.73333333333332</v>
      </c>
      <c r="E71" s="2">
        <f t="shared" ca="1" si="6"/>
        <v>7050.0011111111107</v>
      </c>
      <c r="F71" s="12">
        <f t="shared" ca="1" si="7"/>
        <v>1.0464444444444443</v>
      </c>
      <c r="G71" s="2">
        <f t="shared" ca="1" si="8"/>
        <v>9599.797725237233</v>
      </c>
      <c r="H71" s="12">
        <f t="shared" ca="1" si="9"/>
        <v>1.7865885994883115</v>
      </c>
      <c r="I71" s="8" t="s">
        <v>13</v>
      </c>
    </row>
    <row r="72" spans="1:9" ht="15.75" x14ac:dyDescent="0.3">
      <c r="A72" s="9">
        <v>41760</v>
      </c>
      <c r="B72" s="2">
        <v>3445</v>
      </c>
      <c r="C72" s="12">
        <v>8.5000000000000006E-2</v>
      </c>
      <c r="D72" s="2">
        <f t="shared" ca="1" si="5"/>
        <v>146.73333333333332</v>
      </c>
      <c r="E72" s="2">
        <f t="shared" ca="1" si="6"/>
        <v>7025.5990277777782</v>
      </c>
      <c r="F72" s="12">
        <f t="shared" ca="1" si="7"/>
        <v>1.0393611111111112</v>
      </c>
      <c r="G72" s="2">
        <f t="shared" ca="1" si="8"/>
        <v>9533.4348927080482</v>
      </c>
      <c r="H72" s="12">
        <f t="shared" ca="1" si="9"/>
        <v>1.7673250777091576</v>
      </c>
      <c r="I72" s="8" t="s">
        <v>13</v>
      </c>
    </row>
    <row r="73" spans="1:9" ht="15.75" x14ac:dyDescent="0.3">
      <c r="A73" s="9">
        <v>41791</v>
      </c>
      <c r="B73" s="2">
        <v>3445</v>
      </c>
      <c r="C73" s="12">
        <v>8.5000000000000006E-2</v>
      </c>
      <c r="D73" s="2">
        <f t="shared" ca="1" si="5"/>
        <v>145.73333333333332</v>
      </c>
      <c r="E73" s="2">
        <f t="shared" ca="1" si="6"/>
        <v>7001.1969444444439</v>
      </c>
      <c r="F73" s="12">
        <f t="shared" ca="1" si="7"/>
        <v>1.0322777777777776</v>
      </c>
      <c r="G73" s="2">
        <f t="shared" ca="1" si="8"/>
        <v>9467.5308225056724</v>
      </c>
      <c r="H73" s="12">
        <f t="shared" ca="1" si="9"/>
        <v>1.7481947235139832</v>
      </c>
      <c r="I73" s="8" t="s">
        <v>13</v>
      </c>
    </row>
    <row r="74" spans="1:9" ht="15.75" x14ac:dyDescent="0.3">
      <c r="A74" s="9">
        <v>41821</v>
      </c>
      <c r="B74" s="2">
        <v>3445</v>
      </c>
      <c r="C74" s="12">
        <v>8.5000000000000006E-2</v>
      </c>
      <c r="D74" s="2">
        <f t="shared" ca="1" si="5"/>
        <v>144.73333333333332</v>
      </c>
      <c r="E74" s="2">
        <f t="shared" ca="1" si="6"/>
        <v>6976.7948611111115</v>
      </c>
      <c r="F74" s="12">
        <f t="shared" ca="1" si="7"/>
        <v>1.0251944444444445</v>
      </c>
      <c r="G74" s="2">
        <f t="shared" ca="1" si="8"/>
        <v>9402.0823432333327</v>
      </c>
      <c r="H74" s="12">
        <f t="shared" ca="1" si="9"/>
        <v>1.7291966163231736</v>
      </c>
      <c r="I74" s="8" t="s">
        <v>13</v>
      </c>
    </row>
    <row r="75" spans="1:9" ht="15.75" x14ac:dyDescent="0.3">
      <c r="A75" s="9">
        <v>41852</v>
      </c>
      <c r="B75" s="2">
        <v>3687</v>
      </c>
      <c r="C75" s="12">
        <v>8.5000000000000006E-2</v>
      </c>
      <c r="D75" s="2">
        <f t="shared" ca="1" si="5"/>
        <v>143.73333333333332</v>
      </c>
      <c r="E75" s="2">
        <f t="shared" ca="1" si="6"/>
        <v>7440.7756666666664</v>
      </c>
      <c r="F75" s="12">
        <f t="shared" ca="1" si="7"/>
        <v>1.018111111111111</v>
      </c>
      <c r="G75" s="2">
        <f t="shared" ca="1" si="8"/>
        <v>9992.9861271628324</v>
      </c>
      <c r="H75" s="12">
        <f t="shared" ca="1" si="9"/>
        <v>1.7103298419210287</v>
      </c>
      <c r="I75" s="8" t="s">
        <v>13</v>
      </c>
    </row>
    <row r="76" spans="1:9" ht="15.75" x14ac:dyDescent="0.3">
      <c r="A76" s="9">
        <v>41883</v>
      </c>
      <c r="B76" s="2">
        <v>3687</v>
      </c>
      <c r="C76" s="12">
        <v>8.5000000000000006E-2</v>
      </c>
      <c r="D76" s="2">
        <f t="shared" ca="1" si="5"/>
        <v>142.73333333333332</v>
      </c>
      <c r="E76" s="2">
        <f t="shared" ca="1" si="6"/>
        <v>7414.6594166666673</v>
      </c>
      <c r="F76" s="12">
        <f t="shared" ca="1" si="7"/>
        <v>1.0110277777777779</v>
      </c>
      <c r="G76" s="2">
        <f t="shared" ca="1" si="8"/>
        <v>9923.9052065221877</v>
      </c>
      <c r="H76" s="12">
        <f t="shared" ca="1" si="9"/>
        <v>1.6915934924117677</v>
      </c>
      <c r="I76" s="8" t="s">
        <v>13</v>
      </c>
    </row>
    <row r="77" spans="1:9" ht="15.75" x14ac:dyDescent="0.3">
      <c r="A77" s="9">
        <v>41913</v>
      </c>
      <c r="B77" s="2">
        <v>3687</v>
      </c>
      <c r="C77" s="12">
        <v>8.5000000000000006E-2</v>
      </c>
      <c r="D77" s="2">
        <f t="shared" ca="1" si="5"/>
        <v>141.73333333333332</v>
      </c>
      <c r="E77" s="2">
        <f t="shared" ca="1" si="6"/>
        <v>7388.5431666666664</v>
      </c>
      <c r="F77" s="12">
        <f t="shared" ca="1" si="7"/>
        <v>1.0039444444444443</v>
      </c>
      <c r="G77" s="2">
        <f t="shared" ca="1" si="8"/>
        <v>9855.3018381903166</v>
      </c>
      <c r="H77" s="12">
        <f t="shared" ca="1" si="9"/>
        <v>1.6729866661758386</v>
      </c>
      <c r="I77" s="8" t="s">
        <v>13</v>
      </c>
    </row>
    <row r="78" spans="1:9" ht="15.75" x14ac:dyDescent="0.3">
      <c r="A78" s="9">
        <v>41944</v>
      </c>
      <c r="B78" s="2">
        <v>3687</v>
      </c>
      <c r="C78" s="12">
        <v>8.5000000000000006E-2</v>
      </c>
      <c r="D78" s="2">
        <f t="shared" ca="1" si="5"/>
        <v>140.73333333333332</v>
      </c>
      <c r="E78" s="2">
        <f t="shared" ca="1" si="6"/>
        <v>7362.4269166666672</v>
      </c>
      <c r="F78" s="12">
        <f t="shared" ca="1" si="7"/>
        <v>0.99686111111111131</v>
      </c>
      <c r="G78" s="2">
        <f t="shared" ca="1" si="8"/>
        <v>9787.1727208764169</v>
      </c>
      <c r="H78" s="12">
        <f t="shared" ca="1" si="9"/>
        <v>1.6545084678265303</v>
      </c>
      <c r="I78" s="8" t="s">
        <v>13</v>
      </c>
    </row>
    <row r="79" spans="1:9" ht="15.75" x14ac:dyDescent="0.3">
      <c r="A79" s="9">
        <v>41974</v>
      </c>
      <c r="B79" s="2">
        <v>3687</v>
      </c>
      <c r="C79" s="12">
        <v>8.5000000000000006E-2</v>
      </c>
      <c r="D79" s="2">
        <f t="shared" ca="1" si="5"/>
        <v>139.73333333333332</v>
      </c>
      <c r="E79" s="2">
        <f t="shared" ca="1" si="6"/>
        <v>7336.3106666666663</v>
      </c>
      <c r="F79" s="12">
        <f t="shared" ca="1" si="7"/>
        <v>0.98977777777777765</v>
      </c>
      <c r="G79" s="2">
        <f t="shared" ca="1" si="8"/>
        <v>9719.5145761113235</v>
      </c>
      <c r="H79" s="12">
        <f t="shared" ca="1" si="9"/>
        <v>1.6361580081668901</v>
      </c>
      <c r="I79" s="8" t="s">
        <v>13</v>
      </c>
    </row>
    <row r="80" spans="1:9" ht="15.75" x14ac:dyDescent="0.3">
      <c r="A80" s="9">
        <v>42005</v>
      </c>
      <c r="B80" s="2">
        <v>3687</v>
      </c>
      <c r="C80" s="12">
        <v>8.5000000000000006E-2</v>
      </c>
      <c r="D80" s="2">
        <f t="shared" ca="1" si="5"/>
        <v>138.73333333333332</v>
      </c>
      <c r="E80" s="2">
        <f t="shared" ca="1" si="6"/>
        <v>7310.1944166666672</v>
      </c>
      <c r="F80" s="12">
        <f t="shared" ca="1" si="7"/>
        <v>0.98269444444444454</v>
      </c>
      <c r="G80" s="2">
        <f t="shared" ca="1" si="8"/>
        <v>9652.3241480897286</v>
      </c>
      <c r="H80" s="12">
        <f t="shared" ca="1" si="9"/>
        <v>1.6179344041469295</v>
      </c>
      <c r="I80" s="8" t="s">
        <v>13</v>
      </c>
    </row>
    <row r="81" spans="1:9" ht="15.75" x14ac:dyDescent="0.3">
      <c r="A81" s="9">
        <v>42036</v>
      </c>
      <c r="B81" s="2">
        <v>3687</v>
      </c>
      <c r="C81" s="12">
        <v>8.5000000000000006E-2</v>
      </c>
      <c r="D81" s="2">
        <f t="shared" ca="1" si="5"/>
        <v>137.73333333333332</v>
      </c>
      <c r="E81" s="2">
        <f t="shared" ca="1" si="6"/>
        <v>7284.0781666666662</v>
      </c>
      <c r="F81" s="12">
        <f t="shared" ca="1" si="7"/>
        <v>0.97561111111111098</v>
      </c>
      <c r="G81" s="2">
        <f t="shared" ca="1" si="8"/>
        <v>9585.5982035135094</v>
      </c>
      <c r="H81" s="12">
        <f t="shared" ca="1" si="9"/>
        <v>1.5998367788211307</v>
      </c>
      <c r="I81" s="8" t="s">
        <v>13</v>
      </c>
    </row>
    <row r="82" spans="1:9" ht="15.75" x14ac:dyDescent="0.3">
      <c r="A82" s="9">
        <v>42064</v>
      </c>
      <c r="B82" s="2">
        <v>3687</v>
      </c>
      <c r="C82" s="12">
        <v>8.5000000000000006E-2</v>
      </c>
      <c r="D82" s="2">
        <f t="shared" ca="1" si="5"/>
        <v>136.73333333333332</v>
      </c>
      <c r="E82" s="2">
        <f t="shared" ca="1" si="6"/>
        <v>7257.9619166666671</v>
      </c>
      <c r="F82" s="12">
        <f t="shared" ca="1" si="7"/>
        <v>0.96852777777777788</v>
      </c>
      <c r="G82" s="2">
        <f t="shared" ca="1" si="8"/>
        <v>9519.3335314361539</v>
      </c>
      <c r="H82" s="12">
        <f t="shared" ca="1" si="9"/>
        <v>1.5818642613062528</v>
      </c>
      <c r="I82" s="8" t="s">
        <v>13</v>
      </c>
    </row>
    <row r="83" spans="1:9" ht="15.75" x14ac:dyDescent="0.3">
      <c r="A83" s="9">
        <v>42095</v>
      </c>
      <c r="B83" s="2">
        <v>3687</v>
      </c>
      <c r="C83" s="12">
        <v>8.5000000000000006E-2</v>
      </c>
      <c r="D83" s="2">
        <f t="shared" ca="1" si="5"/>
        <v>135.73333333333332</v>
      </c>
      <c r="E83" s="2">
        <f t="shared" ca="1" si="6"/>
        <v>7231.8456666666661</v>
      </c>
      <c r="F83" s="12">
        <f t="shared" ca="1" si="7"/>
        <v>0.96144444444444432</v>
      </c>
      <c r="G83" s="2">
        <f t="shared" ca="1" si="8"/>
        <v>9453.5269431082161</v>
      </c>
      <c r="H83" s="12">
        <f t="shared" ca="1" si="9"/>
        <v>1.564015986739413</v>
      </c>
      <c r="I83" s="8" t="s">
        <v>13</v>
      </c>
    </row>
    <row r="84" spans="1:9" ht="15.75" x14ac:dyDescent="0.3">
      <c r="A84" s="9">
        <v>42125</v>
      </c>
      <c r="B84" s="2">
        <v>3687</v>
      </c>
      <c r="C84" s="12">
        <v>8.5000000000000006E-2</v>
      </c>
      <c r="D84" s="2">
        <f t="shared" ca="1" si="5"/>
        <v>134.73333333333332</v>
      </c>
      <c r="E84" s="2">
        <f t="shared" ca="1" si="6"/>
        <v>7205.729416666667</v>
      </c>
      <c r="F84" s="12">
        <f t="shared" ca="1" si="7"/>
        <v>0.95436111111111122</v>
      </c>
      <c r="G84" s="2">
        <f t="shared" ca="1" si="8"/>
        <v>9388.1752718239004</v>
      </c>
      <c r="H84" s="12">
        <f t="shared" ca="1" si="9"/>
        <v>1.5462910962364795</v>
      </c>
      <c r="I84" s="8" t="s">
        <v>13</v>
      </c>
    </row>
    <row r="85" spans="1:9" ht="15.75" x14ac:dyDescent="0.3">
      <c r="A85" s="9">
        <v>42156</v>
      </c>
      <c r="B85" s="2">
        <v>3687</v>
      </c>
      <c r="C85" s="12">
        <v>8.5000000000000006E-2</v>
      </c>
      <c r="D85" s="2">
        <f t="shared" ca="1" si="5"/>
        <v>133.73333333333332</v>
      </c>
      <c r="E85" s="2">
        <f t="shared" ca="1" si="6"/>
        <v>7179.6131666666661</v>
      </c>
      <c r="F85" s="12">
        <f t="shared" ca="1" si="7"/>
        <v>0.94727777777777766</v>
      </c>
      <c r="G85" s="2">
        <f t="shared" ca="1" si="8"/>
        <v>9323.2753727686559</v>
      </c>
      <c r="H85" s="12">
        <f t="shared" ca="1" si="9"/>
        <v>1.5286887368507338</v>
      </c>
      <c r="I85" s="8" t="s">
        <v>13</v>
      </c>
    </row>
    <row r="86" spans="1:9" ht="15.75" x14ac:dyDescent="0.3">
      <c r="A86" s="9">
        <v>42186</v>
      </c>
      <c r="B86" s="2">
        <v>3687</v>
      </c>
      <c r="C86" s="12">
        <v>8.5000000000000006E-2</v>
      </c>
      <c r="D86" s="2">
        <f t="shared" ref="D86:D149" ca="1" si="10">(DAYS360(A86,NOW(),TRUE))/30</f>
        <v>132.73333333333332</v>
      </c>
      <c r="E86" s="2">
        <f t="shared" ref="E86:E149" ca="1" si="11">SUM(B86,B86* C86*D86/12)</f>
        <v>7153.4969166666669</v>
      </c>
      <c r="F86" s="12">
        <f t="shared" ref="F86:F149" ca="1" si="12">(E86-B86)/B86</f>
        <v>0.94019444444444455</v>
      </c>
      <c r="G86" s="2">
        <f t="shared" ref="G86:G149" ca="1" si="13">PRODUCT(B86,POWER((1+C86/2),2*D86/12))</f>
        <v>9258.8241228678453</v>
      </c>
      <c r="H86" s="12">
        <f t="shared" ref="H86:H149" ca="1" si="14">(G86-B86)/B86</f>
        <v>1.5112080615318269</v>
      </c>
      <c r="I86" s="8" t="s">
        <v>13</v>
      </c>
    </row>
    <row r="87" spans="1:9" ht="15.75" x14ac:dyDescent="0.3">
      <c r="A87" s="9">
        <v>42217</v>
      </c>
      <c r="B87" s="2">
        <v>4019.75</v>
      </c>
      <c r="C87" s="12">
        <v>8.5000000000000006E-2</v>
      </c>
      <c r="D87" s="2">
        <f t="shared" ca="1" si="10"/>
        <v>131.73333333333332</v>
      </c>
      <c r="E87" s="2">
        <f t="shared" ca="1" si="11"/>
        <v>7770.6233888888892</v>
      </c>
      <c r="F87" s="12">
        <f t="shared" ca="1" si="12"/>
        <v>0.93311111111111122</v>
      </c>
      <c r="G87" s="2">
        <f t="shared" ca="1" si="13"/>
        <v>10024.6464188645</v>
      </c>
      <c r="H87" s="12">
        <f t="shared" ca="1" si="14"/>
        <v>1.4938482290850179</v>
      </c>
      <c r="I87" s="8" t="s">
        <v>13</v>
      </c>
    </row>
    <row r="88" spans="1:9" ht="15.75" x14ac:dyDescent="0.3">
      <c r="A88" s="9">
        <v>42248</v>
      </c>
      <c r="B88" s="2">
        <v>4019.75</v>
      </c>
      <c r="C88" s="12">
        <v>8.5000000000000006E-2</v>
      </c>
      <c r="D88" s="2">
        <f t="shared" ca="1" si="10"/>
        <v>130.73333333333332</v>
      </c>
      <c r="E88" s="2">
        <f t="shared" ca="1" si="11"/>
        <v>7742.1501597222214</v>
      </c>
      <c r="F88" s="12">
        <f t="shared" ca="1" si="12"/>
        <v>0.92602777777777756</v>
      </c>
      <c r="G88" s="2">
        <f t="shared" ca="1" si="13"/>
        <v>9955.3466325043737</v>
      </c>
      <c r="H88" s="12">
        <f t="shared" ca="1" si="14"/>
        <v>1.4766084041306982</v>
      </c>
      <c r="I88" s="8" t="s">
        <v>13</v>
      </c>
    </row>
    <row r="89" spans="1:9" ht="15.75" x14ac:dyDescent="0.3">
      <c r="A89" s="9">
        <v>42278</v>
      </c>
      <c r="B89" s="2">
        <v>4019.75</v>
      </c>
      <c r="C89" s="12">
        <v>8.5000000000000006E-2</v>
      </c>
      <c r="D89" s="2">
        <f t="shared" ca="1" si="10"/>
        <v>129.73333333333332</v>
      </c>
      <c r="E89" s="2">
        <f t="shared" ca="1" si="11"/>
        <v>7713.6769305555554</v>
      </c>
      <c r="F89" s="12">
        <f t="shared" ca="1" si="12"/>
        <v>0.91894444444444445</v>
      </c>
      <c r="G89" s="2">
        <f t="shared" ca="1" si="13"/>
        <v>9886.5259114587589</v>
      </c>
      <c r="H89" s="12">
        <f t="shared" ca="1" si="14"/>
        <v>1.4594877570641853</v>
      </c>
      <c r="I89" s="8" t="s">
        <v>13</v>
      </c>
    </row>
    <row r="90" spans="1:9" ht="15.75" x14ac:dyDescent="0.3">
      <c r="A90" s="9">
        <v>42309</v>
      </c>
      <c r="B90" s="2">
        <v>4019.75</v>
      </c>
      <c r="C90" s="12">
        <v>8.5000000000000006E-2</v>
      </c>
      <c r="D90" s="2">
        <f t="shared" ca="1" si="10"/>
        <v>128.73333333333332</v>
      </c>
      <c r="E90" s="2">
        <f t="shared" ca="1" si="11"/>
        <v>7685.2037013888894</v>
      </c>
      <c r="F90" s="12">
        <f t="shared" ca="1" si="12"/>
        <v>0.91186111111111123</v>
      </c>
      <c r="G90" s="2">
        <f t="shared" ca="1" si="13"/>
        <v>9818.1809439775443</v>
      </c>
      <c r="H90" s="12">
        <f t="shared" ca="1" si="14"/>
        <v>1.442485464015808</v>
      </c>
      <c r="I90" s="8" t="s">
        <v>13</v>
      </c>
    </row>
    <row r="91" spans="1:9" ht="15.75" x14ac:dyDescent="0.3">
      <c r="A91" s="9">
        <v>42339</v>
      </c>
      <c r="B91" s="2">
        <v>4019.75</v>
      </c>
      <c r="C91" s="12">
        <v>8.5000000000000006E-2</v>
      </c>
      <c r="D91" s="2">
        <f t="shared" ca="1" si="10"/>
        <v>127.73333333333333</v>
      </c>
      <c r="E91" s="2">
        <f t="shared" ca="1" si="11"/>
        <v>7656.7304722222234</v>
      </c>
      <c r="F91" s="12">
        <f t="shared" ca="1" si="12"/>
        <v>0.90477777777777812</v>
      </c>
      <c r="G91" s="2">
        <f t="shared" ca="1" si="13"/>
        <v>9750.3084412045446</v>
      </c>
      <c r="H91" s="12">
        <f t="shared" ca="1" si="14"/>
        <v>1.4256007068112555</v>
      </c>
      <c r="I91" s="8" t="s">
        <v>13</v>
      </c>
    </row>
    <row r="92" spans="1:9" ht="15.75" x14ac:dyDescent="0.3">
      <c r="A92" s="9">
        <v>42370</v>
      </c>
      <c r="B92" s="2">
        <v>4019.75</v>
      </c>
      <c r="C92" s="12">
        <v>8.5000000000000006E-2</v>
      </c>
      <c r="D92" s="2">
        <f t="shared" ca="1" si="10"/>
        <v>126.73333333333333</v>
      </c>
      <c r="E92" s="2">
        <f t="shared" ca="1" si="11"/>
        <v>7628.2572430555556</v>
      </c>
      <c r="F92" s="12">
        <f t="shared" ca="1" si="12"/>
        <v>0.89769444444444446</v>
      </c>
      <c r="G92" s="2">
        <f t="shared" ca="1" si="13"/>
        <v>9682.9051370192428</v>
      </c>
      <c r="H92" s="12">
        <f t="shared" ca="1" si="14"/>
        <v>1.408832672932208</v>
      </c>
      <c r="I92" s="8" t="s">
        <v>13</v>
      </c>
    </row>
    <row r="93" spans="1:9" ht="15.75" x14ac:dyDescent="0.3">
      <c r="A93" s="9">
        <v>42401</v>
      </c>
      <c r="B93" s="2">
        <v>4019.75</v>
      </c>
      <c r="C93" s="12">
        <v>8.5000000000000006E-2</v>
      </c>
      <c r="D93" s="2">
        <f t="shared" ca="1" si="10"/>
        <v>125.73333333333333</v>
      </c>
      <c r="E93" s="2">
        <f t="shared" ca="1" si="11"/>
        <v>7599.7840138888896</v>
      </c>
      <c r="F93" s="12">
        <f t="shared" ca="1" si="12"/>
        <v>0.89061111111111124</v>
      </c>
      <c r="G93" s="2">
        <f t="shared" ca="1" si="13"/>
        <v>9615.9677878796174</v>
      </c>
      <c r="H93" s="12">
        <f t="shared" ca="1" si="14"/>
        <v>1.3921805554772355</v>
      </c>
      <c r="I93" s="8" t="s">
        <v>13</v>
      </c>
    </row>
    <row r="94" spans="1:9" ht="15.75" x14ac:dyDescent="0.3">
      <c r="A94" s="9">
        <v>42430</v>
      </c>
      <c r="B94" s="2">
        <v>4019.75</v>
      </c>
      <c r="C94" s="12">
        <v>8.5000000000000006E-2</v>
      </c>
      <c r="D94" s="2">
        <f t="shared" ca="1" si="10"/>
        <v>124.73333333333333</v>
      </c>
      <c r="E94" s="2">
        <f t="shared" ca="1" si="11"/>
        <v>7571.3107847222218</v>
      </c>
      <c r="F94" s="12">
        <f t="shared" ca="1" si="12"/>
        <v>0.88352777777777769</v>
      </c>
      <c r="G94" s="2">
        <f t="shared" ca="1" si="13"/>
        <v>9549.4931726660652</v>
      </c>
      <c r="H94" s="12">
        <f t="shared" ca="1" si="14"/>
        <v>1.3756435531229716</v>
      </c>
      <c r="I94" s="8" t="s">
        <v>13</v>
      </c>
    </row>
    <row r="95" spans="1:9" ht="15.75" x14ac:dyDescent="0.3">
      <c r="A95" s="9">
        <v>42461</v>
      </c>
      <c r="B95" s="2">
        <v>4019.75</v>
      </c>
      <c r="C95" s="12">
        <v>8.5000000000000006E-2</v>
      </c>
      <c r="D95" s="2">
        <f t="shared" ca="1" si="10"/>
        <v>123.73333333333333</v>
      </c>
      <c r="E95" s="2">
        <f t="shared" ca="1" si="11"/>
        <v>7542.8375555555558</v>
      </c>
      <c r="F95" s="12">
        <f t="shared" ca="1" si="12"/>
        <v>0.87644444444444447</v>
      </c>
      <c r="G95" s="2">
        <f t="shared" ca="1" si="13"/>
        <v>9483.4780925263894</v>
      </c>
      <c r="H95" s="12">
        <f t="shared" ca="1" si="14"/>
        <v>1.3592208700855499</v>
      </c>
      <c r="I95" s="8" t="s">
        <v>13</v>
      </c>
    </row>
    <row r="96" spans="1:9" ht="15.75" x14ac:dyDescent="0.3">
      <c r="A96" s="9">
        <v>42491</v>
      </c>
      <c r="B96" s="2">
        <v>4019.75</v>
      </c>
      <c r="C96" s="12">
        <v>8.5000000000000006E-2</v>
      </c>
      <c r="D96" s="2">
        <f t="shared" ca="1" si="10"/>
        <v>122.73333333333333</v>
      </c>
      <c r="E96" s="2">
        <f t="shared" ca="1" si="11"/>
        <v>7514.3643263888898</v>
      </c>
      <c r="F96" s="12">
        <f t="shared" ca="1" si="12"/>
        <v>0.86936111111111136</v>
      </c>
      <c r="G96" s="2">
        <f t="shared" ca="1" si="13"/>
        <v>9417.9193707218674</v>
      </c>
      <c r="H96" s="12">
        <f t="shared" ca="1" si="14"/>
        <v>1.3429117160823105</v>
      </c>
      <c r="I96" s="8" t="s">
        <v>13</v>
      </c>
    </row>
    <row r="97" spans="1:9" ht="15.75" x14ac:dyDescent="0.3">
      <c r="A97" s="9">
        <v>42522</v>
      </c>
      <c r="B97" s="2">
        <v>4019.75</v>
      </c>
      <c r="C97" s="12">
        <v>8.5000000000000006E-2</v>
      </c>
      <c r="D97" s="2">
        <f t="shared" ca="1" si="10"/>
        <v>121.73333333333333</v>
      </c>
      <c r="E97" s="2">
        <f t="shared" ca="1" si="11"/>
        <v>7485.891097222222</v>
      </c>
      <c r="F97" s="12">
        <f t="shared" ca="1" si="12"/>
        <v>0.8622777777777777</v>
      </c>
      <c r="G97" s="2">
        <f t="shared" ca="1" si="13"/>
        <v>9352.8138524743845</v>
      </c>
      <c r="H97" s="12">
        <f t="shared" ca="1" si="14"/>
        <v>1.3267153062937707</v>
      </c>
      <c r="I97" s="8" t="s">
        <v>13</v>
      </c>
    </row>
    <row r="98" spans="1:9" ht="15.75" x14ac:dyDescent="0.3">
      <c r="A98" s="9">
        <v>42552</v>
      </c>
      <c r="B98" s="2">
        <v>4019.75</v>
      </c>
      <c r="C98" s="12">
        <v>8.5000000000000006E-2</v>
      </c>
      <c r="D98" s="2">
        <f t="shared" ca="1" si="10"/>
        <v>120.73333333333333</v>
      </c>
      <c r="E98" s="2">
        <f t="shared" ca="1" si="11"/>
        <v>7457.417868055556</v>
      </c>
      <c r="F98" s="12">
        <f t="shared" ca="1" si="12"/>
        <v>0.85519444444444459</v>
      </c>
      <c r="G98" s="2">
        <f t="shared" ca="1" si="13"/>
        <v>9288.1584048146215</v>
      </c>
      <c r="H98" s="12">
        <f t="shared" ca="1" si="14"/>
        <v>1.310630861325859</v>
      </c>
      <c r="I98" s="8" t="s">
        <v>13</v>
      </c>
    </row>
    <row r="99" spans="1:9" ht="15.75" x14ac:dyDescent="0.3">
      <c r="A99" s="9">
        <v>42583</v>
      </c>
      <c r="B99" s="2">
        <f t="shared" ref="B99:B110" si="15">4019.75*1.11</f>
        <v>4461.9225000000006</v>
      </c>
      <c r="C99" s="12">
        <v>8.5000000000000006E-2</v>
      </c>
      <c r="D99" s="2">
        <f t="shared" ca="1" si="10"/>
        <v>119.73333333333333</v>
      </c>
      <c r="E99" s="2">
        <f t="shared" ca="1" si="11"/>
        <v>8246.1285491666677</v>
      </c>
      <c r="F99" s="12">
        <f t="shared" ca="1" si="12"/>
        <v>0.84811111111111104</v>
      </c>
      <c r="G99" s="2">
        <f t="shared" ca="1" si="13"/>
        <v>10238.584407238732</v>
      </c>
      <c r="H99" s="12">
        <f t="shared" ca="1" si="14"/>
        <v>1.2946576071724083</v>
      </c>
      <c r="I99" s="8" t="s">
        <v>13</v>
      </c>
    </row>
    <row r="100" spans="1:9" ht="15.75" x14ac:dyDescent="0.3">
      <c r="A100" s="9">
        <v>42614</v>
      </c>
      <c r="B100" s="2">
        <f t="shared" si="15"/>
        <v>4461.9225000000006</v>
      </c>
      <c r="C100" s="12">
        <v>8.5000000000000006E-2</v>
      </c>
      <c r="D100" s="2">
        <f t="shared" ca="1" si="10"/>
        <v>118.73333333333333</v>
      </c>
      <c r="E100" s="2">
        <f t="shared" ca="1" si="11"/>
        <v>8214.5232647916673</v>
      </c>
      <c r="F100" s="12">
        <f t="shared" ca="1" si="12"/>
        <v>0.84102777777777771</v>
      </c>
      <c r="G100" s="2">
        <f t="shared" ca="1" si="13"/>
        <v>10167.805680248761</v>
      </c>
      <c r="H100" s="12">
        <f t="shared" ca="1" si="14"/>
        <v>1.2787947751779103</v>
      </c>
      <c r="I100" s="8" t="s">
        <v>13</v>
      </c>
    </row>
    <row r="101" spans="1:9" ht="15.75" x14ac:dyDescent="0.3">
      <c r="A101" s="9">
        <v>42644</v>
      </c>
      <c r="B101" s="2">
        <f t="shared" si="15"/>
        <v>4461.9225000000006</v>
      </c>
      <c r="C101" s="12">
        <v>8.5000000000000006E-2</v>
      </c>
      <c r="D101" s="2">
        <f t="shared" ca="1" si="10"/>
        <v>117.73333333333333</v>
      </c>
      <c r="E101" s="2">
        <f t="shared" ca="1" si="11"/>
        <v>8182.9179804166688</v>
      </c>
      <c r="F101" s="12">
        <f t="shared" ca="1" si="12"/>
        <v>0.83394444444444471</v>
      </c>
      <c r="G101" s="2">
        <f t="shared" ca="1" si="13"/>
        <v>10097.5162424022</v>
      </c>
      <c r="H101" s="12">
        <f t="shared" ca="1" si="14"/>
        <v>1.2630416020005275</v>
      </c>
      <c r="I101" s="8" t="s">
        <v>13</v>
      </c>
    </row>
    <row r="102" spans="1:9" ht="15.75" x14ac:dyDescent="0.3">
      <c r="A102" s="9">
        <v>42675</v>
      </c>
      <c r="B102" s="2">
        <f t="shared" si="15"/>
        <v>4461.9225000000006</v>
      </c>
      <c r="C102" s="12">
        <v>8.5000000000000006E-2</v>
      </c>
      <c r="D102" s="2">
        <f t="shared" ca="1" si="10"/>
        <v>116.73333333333333</v>
      </c>
      <c r="E102" s="2">
        <f t="shared" ca="1" si="11"/>
        <v>8151.3126960416685</v>
      </c>
      <c r="F102" s="12">
        <f t="shared" ca="1" si="12"/>
        <v>0.82686111111111127</v>
      </c>
      <c r="G102" s="2">
        <f t="shared" ca="1" si="13"/>
        <v>10027.712711272205</v>
      </c>
      <c r="H102" s="12">
        <f t="shared" ca="1" si="14"/>
        <v>1.2473973295753575</v>
      </c>
      <c r="I102" s="8" t="s">
        <v>13</v>
      </c>
    </row>
    <row r="103" spans="1:9" ht="15.75" x14ac:dyDescent="0.3">
      <c r="A103" s="9">
        <v>42705</v>
      </c>
      <c r="B103" s="2">
        <f t="shared" si="15"/>
        <v>4461.9225000000006</v>
      </c>
      <c r="C103" s="12">
        <v>8.5000000000000006E-2</v>
      </c>
      <c r="D103" s="2">
        <f t="shared" ca="1" si="10"/>
        <v>115.73333333333333</v>
      </c>
      <c r="E103" s="2">
        <f t="shared" ca="1" si="11"/>
        <v>8119.7074116666681</v>
      </c>
      <c r="F103" s="12">
        <f t="shared" ca="1" si="12"/>
        <v>0.81977777777777783</v>
      </c>
      <c r="G103" s="2">
        <f t="shared" ca="1" si="13"/>
        <v>9958.3917278144527</v>
      </c>
      <c r="H103" s="12">
        <f t="shared" ca="1" si="14"/>
        <v>1.2318612050779572</v>
      </c>
      <c r="I103" s="8" t="s">
        <v>13</v>
      </c>
    </row>
    <row r="104" spans="1:9" ht="15.75" x14ac:dyDescent="0.3">
      <c r="A104" s="9">
        <v>42736</v>
      </c>
      <c r="B104" s="2">
        <f t="shared" si="15"/>
        <v>4461.9225000000006</v>
      </c>
      <c r="C104" s="12">
        <v>8.5000000000000006E-2</v>
      </c>
      <c r="D104" s="2">
        <f t="shared" ca="1" si="10"/>
        <v>114.73333333333333</v>
      </c>
      <c r="E104" s="2">
        <f t="shared" ca="1" si="11"/>
        <v>8088.1021272916678</v>
      </c>
      <c r="F104" s="12">
        <f t="shared" ca="1" si="12"/>
        <v>0.8126944444444445</v>
      </c>
      <c r="G104" s="2">
        <f t="shared" ca="1" si="13"/>
        <v>9889.5499562054974</v>
      </c>
      <c r="H104" s="12">
        <f t="shared" ca="1" si="14"/>
        <v>1.2164324808881142</v>
      </c>
      <c r="I104" s="8" t="s">
        <v>13</v>
      </c>
    </row>
    <row r="105" spans="1:9" ht="15.75" x14ac:dyDescent="0.3">
      <c r="A105" s="9">
        <v>42767</v>
      </c>
      <c r="B105" s="2">
        <f t="shared" si="15"/>
        <v>4461.9225000000006</v>
      </c>
      <c r="C105" s="12">
        <v>8.5000000000000006E-2</v>
      </c>
      <c r="D105" s="2">
        <f t="shared" ca="1" si="10"/>
        <v>113.73333333333333</v>
      </c>
      <c r="E105" s="2">
        <f t="shared" ca="1" si="11"/>
        <v>8056.4968429166674</v>
      </c>
      <c r="F105" s="12">
        <f t="shared" ca="1" si="12"/>
        <v>0.80561111111111106</v>
      </c>
      <c r="G105" s="2">
        <f t="shared" ca="1" si="13"/>
        <v>9821.1840836822357</v>
      </c>
      <c r="H105" s="12">
        <f t="shared" ca="1" si="14"/>
        <v>1.2011104145538687</v>
      </c>
      <c r="I105" s="8" t="s">
        <v>13</v>
      </c>
    </row>
    <row r="106" spans="1:9" ht="15.75" x14ac:dyDescent="0.3">
      <c r="A106" s="9">
        <v>42795</v>
      </c>
      <c r="B106" s="2">
        <f t="shared" si="15"/>
        <v>4461.9225000000006</v>
      </c>
      <c r="C106" s="12">
        <v>8.5000000000000006E-2</v>
      </c>
      <c r="D106" s="2">
        <f t="shared" ca="1" si="10"/>
        <v>112.73333333333333</v>
      </c>
      <c r="E106" s="2">
        <f t="shared" ca="1" si="11"/>
        <v>8024.8915585416671</v>
      </c>
      <c r="F106" s="12">
        <f t="shared" ca="1" si="12"/>
        <v>0.79852777777777761</v>
      </c>
      <c r="G106" s="2">
        <f t="shared" ca="1" si="13"/>
        <v>9753.2908203825045</v>
      </c>
      <c r="H106" s="12">
        <f t="shared" ca="1" si="14"/>
        <v>1.1858942687557894</v>
      </c>
      <c r="I106" s="8" t="s">
        <v>13</v>
      </c>
    </row>
    <row r="107" spans="1:9" ht="15.75" x14ac:dyDescent="0.3">
      <c r="A107" s="9">
        <v>42826</v>
      </c>
      <c r="B107" s="2">
        <f t="shared" si="15"/>
        <v>4461.9225000000006</v>
      </c>
      <c r="C107" s="12">
        <v>8.5000000000000006E-2</v>
      </c>
      <c r="D107" s="2">
        <f t="shared" ca="1" si="10"/>
        <v>111.73333333333333</v>
      </c>
      <c r="E107" s="2">
        <f t="shared" ca="1" si="11"/>
        <v>7993.2862741666686</v>
      </c>
      <c r="F107" s="12">
        <f t="shared" ca="1" si="12"/>
        <v>0.79144444444444462</v>
      </c>
      <c r="G107" s="2">
        <f t="shared" ca="1" si="13"/>
        <v>9685.8668991867617</v>
      </c>
      <c r="H107" s="12">
        <f t="shared" ca="1" si="14"/>
        <v>1.1707833112714889</v>
      </c>
      <c r="I107" s="8" t="s">
        <v>13</v>
      </c>
    </row>
    <row r="108" spans="1:9" ht="15.75" x14ac:dyDescent="0.3">
      <c r="A108" s="9">
        <v>42856</v>
      </c>
      <c r="B108" s="2">
        <f t="shared" si="15"/>
        <v>4461.9225000000006</v>
      </c>
      <c r="C108" s="12">
        <v>8.5000000000000006E-2</v>
      </c>
      <c r="D108" s="2">
        <f t="shared" ca="1" si="10"/>
        <v>110.73333333333333</v>
      </c>
      <c r="E108" s="2">
        <f t="shared" ca="1" si="11"/>
        <v>7961.6809897916683</v>
      </c>
      <c r="F108" s="12">
        <f t="shared" ca="1" si="12"/>
        <v>0.78436111111111129</v>
      </c>
      <c r="G108" s="2">
        <f t="shared" ca="1" si="13"/>
        <v>9618.9090755608686</v>
      </c>
      <c r="H108" s="12">
        <f t="shared" ca="1" si="14"/>
        <v>1.1557768149403911</v>
      </c>
      <c r="I108" s="8" t="s">
        <v>13</v>
      </c>
    </row>
    <row r="109" spans="1:9" ht="15.75" x14ac:dyDescent="0.3">
      <c r="A109" s="9">
        <v>42887</v>
      </c>
      <c r="B109" s="2">
        <f t="shared" si="15"/>
        <v>4461.9225000000006</v>
      </c>
      <c r="C109" s="12">
        <v>8.5000000000000006E-2</v>
      </c>
      <c r="D109" s="2">
        <f t="shared" ca="1" si="10"/>
        <v>109.73333333333333</v>
      </c>
      <c r="E109" s="2">
        <f t="shared" ca="1" si="11"/>
        <v>7930.0757054166679</v>
      </c>
      <c r="F109" s="12">
        <f t="shared" ca="1" si="12"/>
        <v>0.77727777777777785</v>
      </c>
      <c r="G109" s="2">
        <f t="shared" ca="1" si="13"/>
        <v>9552.4141273999558</v>
      </c>
      <c r="H109" s="12">
        <f t="shared" ca="1" si="14"/>
        <v>1.1408740576287362</v>
      </c>
      <c r="I109" s="8" t="s">
        <v>13</v>
      </c>
    </row>
    <row r="110" spans="1:9" ht="15.75" x14ac:dyDescent="0.3">
      <c r="A110" s="9">
        <v>42917</v>
      </c>
      <c r="B110" s="2">
        <f t="shared" si="15"/>
        <v>4461.9225000000006</v>
      </c>
      <c r="C110" s="12">
        <v>8.5000000000000006E-2</v>
      </c>
      <c r="D110" s="2">
        <f t="shared" ca="1" si="10"/>
        <v>108.73333333333333</v>
      </c>
      <c r="E110" s="2">
        <f t="shared" ca="1" si="11"/>
        <v>7898.4704210416676</v>
      </c>
      <c r="F110" s="12">
        <f t="shared" ca="1" si="12"/>
        <v>0.7701944444444444</v>
      </c>
      <c r="G110" s="2">
        <f t="shared" ca="1" si="13"/>
        <v>9486.378854873381</v>
      </c>
      <c r="H110" s="12">
        <f t="shared" ca="1" si="14"/>
        <v>1.1260743221948342</v>
      </c>
      <c r="I110" s="8" t="s">
        <v>13</v>
      </c>
    </row>
    <row r="111" spans="1:9" ht="15.75" x14ac:dyDescent="0.3">
      <c r="A111" s="9">
        <v>42948</v>
      </c>
      <c r="B111" s="2">
        <f t="shared" ref="B111:B122" si="16">4019.75*1.11*1.08</f>
        <v>4818.8763000000008</v>
      </c>
      <c r="C111" s="12">
        <v>8.5000000000000006E-2</v>
      </c>
      <c r="D111" s="2">
        <f t="shared" ca="1" si="10"/>
        <v>107.73333333333333</v>
      </c>
      <c r="E111" s="2">
        <f t="shared" ca="1" si="11"/>
        <v>8496.2143476000019</v>
      </c>
      <c r="F111" s="12">
        <f t="shared" ca="1" si="12"/>
        <v>0.76311111111111118</v>
      </c>
      <c r="G111" s="2">
        <f t="shared" ca="1" si="13"/>
        <v>10174.464086692389</v>
      </c>
      <c r="H111" s="12">
        <f t="shared" ca="1" si="14"/>
        <v>1.1113768964545505</v>
      </c>
      <c r="I111" s="8" t="s">
        <v>13</v>
      </c>
    </row>
    <row r="112" spans="1:9" ht="15.75" x14ac:dyDescent="0.3">
      <c r="A112" s="9">
        <v>42979</v>
      </c>
      <c r="B112" s="2">
        <f t="shared" si="16"/>
        <v>4818.8763000000008</v>
      </c>
      <c r="C112" s="12">
        <v>8.5000000000000006E-2</v>
      </c>
      <c r="D112" s="2">
        <f t="shared" ca="1" si="10"/>
        <v>106.73333333333333</v>
      </c>
      <c r="E112" s="2">
        <f t="shared" ca="1" si="11"/>
        <v>8462.0806404750019</v>
      </c>
      <c r="F112" s="12">
        <f t="shared" ca="1" si="12"/>
        <v>0.75602777777777785</v>
      </c>
      <c r="G112" s="2">
        <f t="shared" ca="1" si="13"/>
        <v>10104.128619676841</v>
      </c>
      <c r="H112" s="12">
        <f t="shared" ca="1" si="14"/>
        <v>1.0967810731470404</v>
      </c>
      <c r="I112" s="8" t="s">
        <v>13</v>
      </c>
    </row>
    <row r="113" spans="1:9" ht="15.75" x14ac:dyDescent="0.3">
      <c r="A113" s="9">
        <v>43009</v>
      </c>
      <c r="B113" s="2">
        <f t="shared" si="16"/>
        <v>4818.8763000000008</v>
      </c>
      <c r="C113" s="12">
        <v>8.5000000000000006E-2</v>
      </c>
      <c r="D113" s="2">
        <f t="shared" ca="1" si="10"/>
        <v>105.73333333333333</v>
      </c>
      <c r="E113" s="2">
        <f t="shared" ca="1" si="11"/>
        <v>8427.9469333500019</v>
      </c>
      <c r="F113" s="12">
        <f t="shared" ca="1" si="12"/>
        <v>0.74894444444444452</v>
      </c>
      <c r="G113" s="2">
        <f t="shared" ca="1" si="13"/>
        <v>10034.279377574776</v>
      </c>
      <c r="H113" s="12">
        <f t="shared" ca="1" si="14"/>
        <v>1.082286149900709</v>
      </c>
      <c r="I113" s="8" t="s">
        <v>13</v>
      </c>
    </row>
    <row r="114" spans="1:9" ht="15.75" x14ac:dyDescent="0.3">
      <c r="A114" s="9">
        <v>43040</v>
      </c>
      <c r="B114" s="2">
        <f t="shared" si="16"/>
        <v>4818.8763000000008</v>
      </c>
      <c r="C114" s="12">
        <v>8.5000000000000006E-2</v>
      </c>
      <c r="D114" s="2">
        <f t="shared" ca="1" si="10"/>
        <v>104.73333333333333</v>
      </c>
      <c r="E114" s="2">
        <f t="shared" ca="1" si="11"/>
        <v>8393.8132262250019</v>
      </c>
      <c r="F114" s="12">
        <f t="shared" ca="1" si="12"/>
        <v>0.74186111111111119</v>
      </c>
      <c r="G114" s="2">
        <f t="shared" ca="1" si="13"/>
        <v>9964.912999142196</v>
      </c>
      <c r="H114" s="12">
        <f t="shared" ca="1" si="14"/>
        <v>1.0678914291994162</v>
      </c>
      <c r="I114" s="8" t="s">
        <v>13</v>
      </c>
    </row>
    <row r="115" spans="1:9" ht="15.75" x14ac:dyDescent="0.3">
      <c r="A115" s="9">
        <v>43070</v>
      </c>
      <c r="B115" s="2">
        <f t="shared" si="16"/>
        <v>4818.8763000000008</v>
      </c>
      <c r="C115" s="12">
        <v>8.5000000000000006E-2</v>
      </c>
      <c r="D115" s="2">
        <f t="shared" ca="1" si="10"/>
        <v>103.73333333333333</v>
      </c>
      <c r="E115" s="2">
        <f t="shared" ca="1" si="11"/>
        <v>8359.6795191000019</v>
      </c>
      <c r="F115" s="12">
        <f t="shared" ca="1" si="12"/>
        <v>0.73477777777777786</v>
      </c>
      <c r="G115" s="2">
        <f t="shared" ca="1" si="13"/>
        <v>9896.0261463711777</v>
      </c>
      <c r="H115" s="12">
        <f t="shared" ca="1" si="14"/>
        <v>1.0535962183489076</v>
      </c>
      <c r="I115" s="8" t="s">
        <v>13</v>
      </c>
    </row>
    <row r="116" spans="1:9" ht="15.75" x14ac:dyDescent="0.3">
      <c r="A116" s="9">
        <v>43101</v>
      </c>
      <c r="B116" s="2">
        <f t="shared" si="16"/>
        <v>4818.8763000000008</v>
      </c>
      <c r="C116" s="12">
        <v>8.5000000000000006E-2</v>
      </c>
      <c r="D116" s="2">
        <f t="shared" ca="1" si="10"/>
        <v>102.73333333333333</v>
      </c>
      <c r="E116" s="2">
        <f t="shared" ca="1" si="11"/>
        <v>8325.5458119750019</v>
      </c>
      <c r="F116" s="12">
        <f t="shared" ca="1" si="12"/>
        <v>0.72769444444444453</v>
      </c>
      <c r="G116" s="2">
        <f t="shared" ca="1" si="13"/>
        <v>9827.6155043292565</v>
      </c>
      <c r="H116" s="12">
        <f t="shared" ca="1" si="14"/>
        <v>1.0393998294434856</v>
      </c>
      <c r="I116" s="8" t="s">
        <v>13</v>
      </c>
    </row>
    <row r="117" spans="1:9" ht="15.75" x14ac:dyDescent="0.3">
      <c r="A117" s="9">
        <v>43132</v>
      </c>
      <c r="B117" s="2">
        <f t="shared" si="16"/>
        <v>4818.8763000000008</v>
      </c>
      <c r="C117" s="12">
        <v>8.5000000000000006E-2</v>
      </c>
      <c r="D117" s="2">
        <f t="shared" ca="1" si="10"/>
        <v>101.73333333333333</v>
      </c>
      <c r="E117" s="2">
        <f t="shared" ca="1" si="11"/>
        <v>8291.4121048500019</v>
      </c>
      <c r="F117" s="12">
        <f t="shared" ca="1" si="12"/>
        <v>0.7206111111111112</v>
      </c>
      <c r="G117" s="2">
        <f t="shared" ca="1" si="13"/>
        <v>9759.6777809998948</v>
      </c>
      <c r="H117" s="12">
        <f t="shared" ca="1" si="14"/>
        <v>1.0253015793329023</v>
      </c>
      <c r="I117" s="8" t="s">
        <v>13</v>
      </c>
    </row>
    <row r="118" spans="1:9" ht="15.75" x14ac:dyDescent="0.3">
      <c r="A118" s="9">
        <v>43160</v>
      </c>
      <c r="B118" s="2">
        <f t="shared" si="16"/>
        <v>4818.8763000000008</v>
      </c>
      <c r="C118" s="12">
        <v>8.5000000000000006E-2</v>
      </c>
      <c r="D118" s="2">
        <f t="shared" ca="1" si="10"/>
        <v>100.73333333333333</v>
      </c>
      <c r="E118" s="2">
        <f t="shared" ca="1" si="11"/>
        <v>8257.2783977250019</v>
      </c>
      <c r="F118" s="12">
        <f t="shared" ca="1" si="12"/>
        <v>0.71352777777777787</v>
      </c>
      <c r="G118" s="2">
        <f t="shared" ca="1" si="13"/>
        <v>9692.2097071240678</v>
      </c>
      <c r="H118" s="12">
        <f t="shared" ca="1" si="14"/>
        <v>1.0113007895894872</v>
      </c>
      <c r="I118" s="8" t="s">
        <v>13</v>
      </c>
    </row>
    <row r="119" spans="1:9" ht="15.75" x14ac:dyDescent="0.3">
      <c r="A119" s="9">
        <v>43191</v>
      </c>
      <c r="B119" s="2">
        <f t="shared" si="16"/>
        <v>4818.8763000000008</v>
      </c>
      <c r="C119" s="12">
        <v>8.5000000000000006E-2</v>
      </c>
      <c r="D119" s="2">
        <f t="shared" ca="1" si="10"/>
        <v>99.733333333333334</v>
      </c>
      <c r="E119" s="2">
        <f t="shared" ca="1" si="11"/>
        <v>8223.1446906000019</v>
      </c>
      <c r="F119" s="12">
        <f t="shared" ca="1" si="12"/>
        <v>0.70644444444444454</v>
      </c>
      <c r="G119" s="2">
        <f t="shared" ca="1" si="13"/>
        <v>9625.2080360429518</v>
      </c>
      <c r="H119" s="12">
        <f t="shared" ca="1" si="14"/>
        <v>0.99739678647550056</v>
      </c>
      <c r="I119" s="8" t="s">
        <v>13</v>
      </c>
    </row>
    <row r="120" spans="1:9" ht="15.75" x14ac:dyDescent="0.3">
      <c r="A120" s="9">
        <v>43221</v>
      </c>
      <c r="B120" s="2">
        <f t="shared" si="16"/>
        <v>4818.8763000000008</v>
      </c>
      <c r="C120" s="12">
        <v>8.5000000000000006E-2</v>
      </c>
      <c r="D120" s="2">
        <f t="shared" ca="1" si="10"/>
        <v>98.733333333333334</v>
      </c>
      <c r="E120" s="2">
        <f t="shared" ca="1" si="11"/>
        <v>8189.0109834750019</v>
      </c>
      <c r="F120" s="12">
        <f t="shared" ca="1" si="12"/>
        <v>0.69936111111111121</v>
      </c>
      <c r="G120" s="2">
        <f t="shared" ca="1" si="13"/>
        <v>9558.669543541675</v>
      </c>
      <c r="H120" s="12">
        <f t="shared" ca="1" si="14"/>
        <v>0.98358890091071094</v>
      </c>
      <c r="I120" s="8" t="s">
        <v>13</v>
      </c>
    </row>
    <row r="121" spans="1:9" ht="15.75" x14ac:dyDescent="0.3">
      <c r="A121" s="9">
        <v>43252</v>
      </c>
      <c r="B121" s="2">
        <f t="shared" si="16"/>
        <v>4818.8763000000008</v>
      </c>
      <c r="C121" s="12">
        <v>8.5000000000000006E-2</v>
      </c>
      <c r="D121" s="2">
        <f t="shared" ca="1" si="10"/>
        <v>97.733333333333334</v>
      </c>
      <c r="E121" s="2">
        <f t="shared" ca="1" si="11"/>
        <v>8154.8772763500019</v>
      </c>
      <c r="F121" s="12">
        <f t="shared" ca="1" si="12"/>
        <v>0.69227777777777788</v>
      </c>
      <c r="G121" s="2">
        <f t="shared" ca="1" si="13"/>
        <v>9492.591027694174</v>
      </c>
      <c r="H121" s="12">
        <f t="shared" ca="1" si="14"/>
        <v>0.96987646844019892</v>
      </c>
      <c r="I121" s="8" t="s">
        <v>13</v>
      </c>
    </row>
    <row r="122" spans="1:9" ht="15.75" x14ac:dyDescent="0.3">
      <c r="A122" s="9">
        <v>43282</v>
      </c>
      <c r="B122" s="2">
        <f t="shared" si="16"/>
        <v>4818.8763000000008</v>
      </c>
      <c r="C122" s="12">
        <v>8.5000000000000006E-2</v>
      </c>
      <c r="D122" s="2">
        <f t="shared" ca="1" si="10"/>
        <v>96.733333333333334</v>
      </c>
      <c r="E122" s="2">
        <f t="shared" ca="1" si="11"/>
        <v>8120.7435692250019</v>
      </c>
      <c r="F122" s="12">
        <f t="shared" ca="1" si="12"/>
        <v>0.68519444444444455</v>
      </c>
      <c r="G122" s="2">
        <f t="shared" ca="1" si="13"/>
        <v>9426.96930870912</v>
      </c>
      <c r="H122" s="12">
        <f t="shared" ca="1" si="14"/>
        <v>0.95625882920238447</v>
      </c>
      <c r="I122" s="8" t="s">
        <v>13</v>
      </c>
    </row>
    <row r="123" spans="1:9" ht="15.75" x14ac:dyDescent="0.3">
      <c r="A123" s="9">
        <v>43313</v>
      </c>
      <c r="B123" s="2">
        <f t="shared" ref="B123:B134" si="17">4019.75*1.11*1.08*1.06</f>
        <v>5108.0088780000015</v>
      </c>
      <c r="C123" s="12">
        <v>8.5000000000000006E-2</v>
      </c>
      <c r="D123" s="2">
        <f t="shared" ca="1" si="10"/>
        <v>95.733333333333334</v>
      </c>
      <c r="E123" s="2">
        <f t="shared" ca="1" si="11"/>
        <v>8571.8064538260023</v>
      </c>
      <c r="F123" s="12">
        <f t="shared" ca="1" si="12"/>
        <v>0.67811111111111111</v>
      </c>
      <c r="G123" s="2">
        <f t="shared" ca="1" si="13"/>
        <v>9923.5093025034912</v>
      </c>
      <c r="H123" s="12">
        <f t="shared" ca="1" si="14"/>
        <v>0.94273532789726844</v>
      </c>
      <c r="I123" s="8" t="s">
        <v>13</v>
      </c>
    </row>
    <row r="124" spans="1:9" ht="15.75" x14ac:dyDescent="0.3">
      <c r="A124" s="9">
        <v>43344</v>
      </c>
      <c r="B124" s="2">
        <f t="shared" si="17"/>
        <v>5108.0088780000015</v>
      </c>
      <c r="C124" s="12">
        <v>8.5000000000000006E-2</v>
      </c>
      <c r="D124" s="2">
        <f t="shared" ca="1" si="10"/>
        <v>94.733333333333334</v>
      </c>
      <c r="E124" s="2">
        <f t="shared" ca="1" si="11"/>
        <v>8535.6247242735026</v>
      </c>
      <c r="F124" s="12">
        <f t="shared" ca="1" si="12"/>
        <v>0.67102777777777778</v>
      </c>
      <c r="G124" s="2">
        <f t="shared" ca="1" si="13"/>
        <v>9854.9086710326283</v>
      </c>
      <c r="H124" s="12">
        <f t="shared" ca="1" si="14"/>
        <v>0.92930531375490411</v>
      </c>
      <c r="I124" s="8" t="s">
        <v>13</v>
      </c>
    </row>
    <row r="125" spans="1:9" ht="15.75" x14ac:dyDescent="0.3">
      <c r="A125" s="9">
        <v>43374</v>
      </c>
      <c r="B125" s="2">
        <f t="shared" si="17"/>
        <v>5108.0088780000015</v>
      </c>
      <c r="C125" s="12">
        <v>8.5000000000000006E-2</v>
      </c>
      <c r="D125" s="2">
        <f t="shared" ca="1" si="10"/>
        <v>93.733333333333334</v>
      </c>
      <c r="E125" s="2">
        <f t="shared" ca="1" si="11"/>
        <v>8499.4429947210028</v>
      </c>
      <c r="F125" s="12">
        <f t="shared" ca="1" si="12"/>
        <v>0.66394444444444456</v>
      </c>
      <c r="G125" s="2">
        <f t="shared" ca="1" si="13"/>
        <v>9786.7822716599785</v>
      </c>
      <c r="H125" s="12">
        <f t="shared" ca="1" si="14"/>
        <v>0.91596814050407682</v>
      </c>
      <c r="I125" s="8" t="s">
        <v>13</v>
      </c>
    </row>
    <row r="126" spans="1:9" ht="15.75" x14ac:dyDescent="0.3">
      <c r="A126" s="9">
        <v>43405</v>
      </c>
      <c r="B126" s="2">
        <f t="shared" si="17"/>
        <v>5108.0088780000015</v>
      </c>
      <c r="C126" s="12">
        <v>8.5000000000000006E-2</v>
      </c>
      <c r="D126" s="2">
        <f t="shared" ca="1" si="10"/>
        <v>92.733333333333334</v>
      </c>
      <c r="E126" s="2">
        <f t="shared" ca="1" si="11"/>
        <v>8463.2612651685031</v>
      </c>
      <c r="F126" s="12">
        <f t="shared" ca="1" si="12"/>
        <v>0.65686111111111123</v>
      </c>
      <c r="G126" s="2">
        <f t="shared" ca="1" si="13"/>
        <v>9719.1268260471716</v>
      </c>
      <c r="H126" s="12">
        <f t="shared" ca="1" si="14"/>
        <v>0.90272316634120953</v>
      </c>
      <c r="I126" s="8" t="s">
        <v>13</v>
      </c>
    </row>
    <row r="127" spans="1:9" ht="15.75" x14ac:dyDescent="0.3">
      <c r="A127" s="9">
        <v>43435</v>
      </c>
      <c r="B127" s="2">
        <f t="shared" si="17"/>
        <v>5108.0088780000015</v>
      </c>
      <c r="C127" s="12">
        <v>8.5000000000000006E-2</v>
      </c>
      <c r="D127" s="2">
        <f t="shared" ca="1" si="10"/>
        <v>91.733333333333334</v>
      </c>
      <c r="E127" s="2">
        <f t="shared" ca="1" si="11"/>
        <v>8427.0795356160015</v>
      </c>
      <c r="F127" s="12">
        <f t="shared" ca="1" si="12"/>
        <v>0.64977777777777757</v>
      </c>
      <c r="G127" s="2">
        <f t="shared" ca="1" si="13"/>
        <v>9651.9390785187807</v>
      </c>
      <c r="H127" s="12">
        <f t="shared" ca="1" si="14"/>
        <v>0.88956975389947202</v>
      </c>
      <c r="I127" s="8" t="s">
        <v>13</v>
      </c>
    </row>
    <row r="128" spans="1:9" ht="15.75" x14ac:dyDescent="0.3">
      <c r="A128" s="9">
        <v>43466</v>
      </c>
      <c r="B128" s="2">
        <f t="shared" si="17"/>
        <v>5108.0088780000015</v>
      </c>
      <c r="C128" s="12">
        <v>8.5000000000000006E-2</v>
      </c>
      <c r="D128" s="2">
        <f t="shared" ca="1" si="10"/>
        <v>90.733333333333334</v>
      </c>
      <c r="E128" s="2">
        <f t="shared" ca="1" si="11"/>
        <v>8390.8978060635018</v>
      </c>
      <c r="F128" s="12">
        <f t="shared" ca="1" si="12"/>
        <v>0.64269444444444435</v>
      </c>
      <c r="G128" s="2">
        <f t="shared" ca="1" si="13"/>
        <v>9585.2157959056767</v>
      </c>
      <c r="H128" s="12">
        <f t="shared" ca="1" si="14"/>
        <v>0.87650727021811448</v>
      </c>
      <c r="I128" s="8" t="s">
        <v>13</v>
      </c>
    </row>
    <row r="129" spans="1:9" ht="15.75" x14ac:dyDescent="0.3">
      <c r="A129" s="9">
        <v>43497</v>
      </c>
      <c r="B129" s="2">
        <f t="shared" si="17"/>
        <v>5108.0088780000015</v>
      </c>
      <c r="C129" s="12">
        <v>8.5000000000000006E-2</v>
      </c>
      <c r="D129" s="2">
        <f t="shared" ca="1" si="10"/>
        <v>89.733333333333334</v>
      </c>
      <c r="E129" s="2">
        <f t="shared" ca="1" si="11"/>
        <v>8354.716076511002</v>
      </c>
      <c r="F129" s="12">
        <f t="shared" ca="1" si="12"/>
        <v>0.63561111111111102</v>
      </c>
      <c r="G129" s="2">
        <f t="shared" ca="1" si="13"/>
        <v>9518.9537673894392</v>
      </c>
      <c r="H129" s="12">
        <f t="shared" ca="1" si="14"/>
        <v>0.86353508671200796</v>
      </c>
      <c r="I129" s="8" t="s">
        <v>13</v>
      </c>
    </row>
    <row r="130" spans="1:9" ht="15.75" x14ac:dyDescent="0.3">
      <c r="A130" s="9">
        <v>43525</v>
      </c>
      <c r="B130" s="2">
        <f t="shared" si="17"/>
        <v>5108.0088780000015</v>
      </c>
      <c r="C130" s="12">
        <v>8.5000000000000006E-2</v>
      </c>
      <c r="D130" s="2">
        <f t="shared" ca="1" si="10"/>
        <v>88.733333333333334</v>
      </c>
      <c r="E130" s="2">
        <f t="shared" ca="1" si="11"/>
        <v>8318.5343469585023</v>
      </c>
      <c r="F130" s="12">
        <f t="shared" ca="1" si="12"/>
        <v>0.6285277777777778</v>
      </c>
      <c r="G130" s="2">
        <f t="shared" ca="1" si="13"/>
        <v>9453.1498043478441</v>
      </c>
      <c r="H130" s="12">
        <f t="shared" ca="1" si="14"/>
        <v>0.85065257914139458</v>
      </c>
      <c r="I130" s="8" t="s">
        <v>13</v>
      </c>
    </row>
    <row r="131" spans="1:9" ht="15.75" x14ac:dyDescent="0.3">
      <c r="A131" s="9">
        <v>43556</v>
      </c>
      <c r="B131" s="2">
        <f t="shared" si="17"/>
        <v>5108.0088780000015</v>
      </c>
      <c r="C131" s="12">
        <v>8.5000000000000006E-2</v>
      </c>
      <c r="D131" s="2">
        <f t="shared" ca="1" si="10"/>
        <v>87.733333333333334</v>
      </c>
      <c r="E131" s="2">
        <f t="shared" ca="1" si="11"/>
        <v>8282.3526174060025</v>
      </c>
      <c r="F131" s="12">
        <f t="shared" ca="1" si="12"/>
        <v>0.62144444444444447</v>
      </c>
      <c r="G131" s="2">
        <f t="shared" ca="1" si="13"/>
        <v>9387.8007402014191</v>
      </c>
      <c r="H131" s="12">
        <f t="shared" ca="1" si="14"/>
        <v>0.83785912758184844</v>
      </c>
      <c r="I131" s="8" t="s">
        <v>13</v>
      </c>
    </row>
    <row r="132" spans="1:9" ht="15.75" x14ac:dyDescent="0.3">
      <c r="A132" s="9">
        <v>43586</v>
      </c>
      <c r="B132" s="2">
        <f t="shared" si="17"/>
        <v>5108.0088780000015</v>
      </c>
      <c r="C132" s="12">
        <v>8.5000000000000006E-2</v>
      </c>
      <c r="D132" s="2">
        <f t="shared" ca="1" si="10"/>
        <v>86.733333333333334</v>
      </c>
      <c r="E132" s="2">
        <f t="shared" ca="1" si="11"/>
        <v>8246.1708878535028</v>
      </c>
      <c r="F132" s="12">
        <f t="shared" ca="1" si="12"/>
        <v>0.61436111111111125</v>
      </c>
      <c r="G132" s="2">
        <f t="shared" ca="1" si="13"/>
        <v>9322.9034302610744</v>
      </c>
      <c r="H132" s="12">
        <f t="shared" ca="1" si="14"/>
        <v>0.82515411639444525</v>
      </c>
      <c r="I132" s="8" t="s">
        <v>13</v>
      </c>
    </row>
    <row r="133" spans="1:9" ht="15.75" x14ac:dyDescent="0.3">
      <c r="A133" s="9">
        <v>43617</v>
      </c>
      <c r="B133" s="2">
        <f t="shared" si="17"/>
        <v>5108.0088780000015</v>
      </c>
      <c r="C133" s="12">
        <v>8.5000000000000006E-2</v>
      </c>
      <c r="D133" s="2">
        <f t="shared" ca="1" si="10"/>
        <v>85.733333333333334</v>
      </c>
      <c r="E133" s="2">
        <f t="shared" ca="1" si="11"/>
        <v>8209.989158301003</v>
      </c>
      <c r="F133" s="12">
        <f t="shared" ca="1" si="12"/>
        <v>0.60727777777777792</v>
      </c>
      <c r="G133" s="2">
        <f t="shared" ca="1" si="13"/>
        <v>9258.4547515767663</v>
      </c>
      <c r="H133" s="12">
        <f t="shared" ca="1" si="14"/>
        <v>0.81253693419613582</v>
      </c>
      <c r="I133" s="8" t="s">
        <v>13</v>
      </c>
    </row>
    <row r="134" spans="1:9" ht="15.75" x14ac:dyDescent="0.3">
      <c r="A134" s="9">
        <v>43647</v>
      </c>
      <c r="B134" s="2">
        <f t="shared" si="17"/>
        <v>5108.0088780000015</v>
      </c>
      <c r="C134" s="12">
        <v>8.5000000000000006E-2</v>
      </c>
      <c r="D134" s="2">
        <f t="shared" ca="1" si="10"/>
        <v>84.733333333333334</v>
      </c>
      <c r="E134" s="2">
        <f t="shared" ca="1" si="11"/>
        <v>8173.8074287485024</v>
      </c>
      <c r="F134" s="12">
        <f t="shared" ca="1" si="12"/>
        <v>0.60019444444444447</v>
      </c>
      <c r="G134" s="2">
        <f t="shared" ca="1" si="13"/>
        <v>9194.4516027872196</v>
      </c>
      <c r="H134" s="12">
        <f t="shared" ca="1" si="14"/>
        <v>0.8000069738303256</v>
      </c>
      <c r="I134" s="8" t="s">
        <v>13</v>
      </c>
    </row>
    <row r="135" spans="1:9" ht="15.75" x14ac:dyDescent="0.3">
      <c r="A135" s="9">
        <v>43678</v>
      </c>
      <c r="B135" s="2">
        <f t="shared" ref="B135:B155" si="18">4019.75*1.11*1.08*1.06*1.11</f>
        <v>5669.8898545800021</v>
      </c>
      <c r="C135" s="12">
        <v>8.5000000000000006E-2</v>
      </c>
      <c r="D135" s="2">
        <f t="shared" ca="1" si="10"/>
        <v>83.733333333333334</v>
      </c>
      <c r="E135" s="2">
        <f t="shared" ca="1" si="11"/>
        <v>9032.7645261075631</v>
      </c>
      <c r="F135" s="12">
        <f t="shared" ca="1" si="12"/>
        <v>0.59311111111111103</v>
      </c>
      <c r="G135" s="2">
        <f t="shared" ca="1" si="13"/>
        <v>10135.288903407461</v>
      </c>
      <c r="H135" s="12">
        <f t="shared" ca="1" si="14"/>
        <v>0.78756363233765758</v>
      </c>
      <c r="I135" s="8" t="s">
        <v>13</v>
      </c>
    </row>
    <row r="136" spans="1:9" ht="15.75" x14ac:dyDescent="0.3">
      <c r="A136" s="9">
        <v>43709</v>
      </c>
      <c r="B136" s="2">
        <f t="shared" si="18"/>
        <v>5669.8898545800021</v>
      </c>
      <c r="C136" s="12">
        <v>8.5000000000000006E-2</v>
      </c>
      <c r="D136" s="2">
        <f t="shared" ca="1" si="10"/>
        <v>82.733333333333334</v>
      </c>
      <c r="E136" s="2">
        <f t="shared" ca="1" si="11"/>
        <v>8992.6028063042886</v>
      </c>
      <c r="F136" s="12">
        <f t="shared" ca="1" si="12"/>
        <v>0.58602777777777781</v>
      </c>
      <c r="G136" s="2">
        <f t="shared" ca="1" si="13"/>
        <v>10065.224252111375</v>
      </c>
      <c r="H136" s="12">
        <f t="shared" ca="1" si="14"/>
        <v>0.77520631092699732</v>
      </c>
      <c r="I136" s="8" t="s">
        <v>13</v>
      </c>
    </row>
    <row r="137" spans="1:9" ht="15.75" x14ac:dyDescent="0.3">
      <c r="A137" s="9">
        <v>43739</v>
      </c>
      <c r="B137" s="2">
        <f t="shared" si="18"/>
        <v>5669.8898545800021</v>
      </c>
      <c r="C137" s="12">
        <v>8.5000000000000006E-2</v>
      </c>
      <c r="D137" s="2">
        <f t="shared" ca="1" si="10"/>
        <v>81.733333333333334</v>
      </c>
      <c r="E137" s="2">
        <f t="shared" ca="1" si="11"/>
        <v>8952.4410865010141</v>
      </c>
      <c r="F137" s="12">
        <f t="shared" ca="1" si="12"/>
        <v>0.57894444444444459</v>
      </c>
      <c r="G137" s="2">
        <f t="shared" ca="1" si="13"/>
        <v>9995.6439535957561</v>
      </c>
      <c r="H137" s="12">
        <f t="shared" ca="1" si="14"/>
        <v>0.76293441494661718</v>
      </c>
      <c r="I137" s="8" t="s">
        <v>13</v>
      </c>
    </row>
    <row r="138" spans="1:9" ht="15.75" x14ac:dyDescent="0.3">
      <c r="A138" s="9">
        <v>43770</v>
      </c>
      <c r="B138" s="2">
        <f t="shared" si="18"/>
        <v>5669.8898545800021</v>
      </c>
      <c r="C138" s="12">
        <v>8.5000000000000006E-2</v>
      </c>
      <c r="D138" s="2">
        <f t="shared" ca="1" si="10"/>
        <v>80.733333333333334</v>
      </c>
      <c r="E138" s="2">
        <f t="shared" ca="1" si="11"/>
        <v>8912.2793666977395</v>
      </c>
      <c r="F138" s="12">
        <f t="shared" ca="1" si="12"/>
        <v>0.57186111111111138</v>
      </c>
      <c r="G138" s="2">
        <f t="shared" ca="1" si="13"/>
        <v>9926.5446595585563</v>
      </c>
      <c r="H138" s="12">
        <f t="shared" ca="1" si="14"/>
        <v>0.75074735385558322</v>
      </c>
      <c r="I138" s="8" t="s">
        <v>13</v>
      </c>
    </row>
    <row r="139" spans="1:9" ht="15.75" x14ac:dyDescent="0.3">
      <c r="A139" s="9">
        <v>43800</v>
      </c>
      <c r="B139" s="2">
        <f t="shared" si="18"/>
        <v>5669.8898545800021</v>
      </c>
      <c r="C139" s="12">
        <v>8.5000000000000006E-2</v>
      </c>
      <c r="D139" s="2">
        <f t="shared" ca="1" si="10"/>
        <v>79.733333333333334</v>
      </c>
      <c r="E139" s="2">
        <f t="shared" ca="1" si="11"/>
        <v>8872.1176468944632</v>
      </c>
      <c r="F139" s="12">
        <f t="shared" ca="1" si="12"/>
        <v>0.56477777777777782</v>
      </c>
      <c r="G139" s="2">
        <f t="shared" ca="1" si="13"/>
        <v>9857.9230448443286</v>
      </c>
      <c r="H139" s="12">
        <f t="shared" ca="1" si="14"/>
        <v>0.73864454119533429</v>
      </c>
      <c r="I139" s="8" t="s">
        <v>13</v>
      </c>
    </row>
    <row r="140" spans="1:9" ht="15.75" x14ac:dyDescent="0.3">
      <c r="A140" s="9">
        <v>43831</v>
      </c>
      <c r="B140" s="2">
        <f t="shared" si="18"/>
        <v>5669.8898545800021</v>
      </c>
      <c r="C140" s="12">
        <v>8.5000000000000006E-2</v>
      </c>
      <c r="D140" s="2">
        <f t="shared" ca="1" si="10"/>
        <v>78.733333333333334</v>
      </c>
      <c r="E140" s="2">
        <f t="shared" ca="1" si="11"/>
        <v>8831.9559270911886</v>
      </c>
      <c r="F140" s="12">
        <f t="shared" ca="1" si="12"/>
        <v>0.55769444444444449</v>
      </c>
      <c r="G140" s="2">
        <f t="shared" ca="1" si="13"/>
        <v>9789.7758072842335</v>
      </c>
      <c r="H140" s="12">
        <f t="shared" ca="1" si="14"/>
        <v>0.72662539456146324</v>
      </c>
      <c r="I140" s="8" t="s">
        <v>13</v>
      </c>
    </row>
    <row r="141" spans="1:9" ht="15.75" x14ac:dyDescent="0.3">
      <c r="A141" s="9">
        <v>43862</v>
      </c>
      <c r="B141" s="2">
        <f t="shared" si="18"/>
        <v>5669.8898545800021</v>
      </c>
      <c r="C141" s="12">
        <v>8.5000000000000006E-2</v>
      </c>
      <c r="D141" s="2">
        <f t="shared" ca="1" si="10"/>
        <v>77.733333333333334</v>
      </c>
      <c r="E141" s="2">
        <f t="shared" ca="1" si="11"/>
        <v>8791.7942072879141</v>
      </c>
      <c r="F141" s="12">
        <f t="shared" ca="1" si="12"/>
        <v>0.55061111111111127</v>
      </c>
      <c r="G141" s="2">
        <f t="shared" ca="1" si="13"/>
        <v>9722.0996675371334</v>
      </c>
      <c r="H141" s="12">
        <f t="shared" ca="1" si="14"/>
        <v>0.7146893355756907</v>
      </c>
      <c r="I141" s="8" t="s">
        <v>13</v>
      </c>
    </row>
    <row r="142" spans="1:9" ht="15.75" x14ac:dyDescent="0.3">
      <c r="A142" s="9">
        <v>43891</v>
      </c>
      <c r="B142" s="2">
        <f t="shared" si="18"/>
        <v>5669.8898545800021</v>
      </c>
      <c r="C142" s="12">
        <v>8.5000000000000006E-2</v>
      </c>
      <c r="D142" s="2">
        <f t="shared" ca="1" si="10"/>
        <v>76.733333333333334</v>
      </c>
      <c r="E142" s="2">
        <f t="shared" ca="1" si="11"/>
        <v>8751.6324874846377</v>
      </c>
      <c r="F142" s="12">
        <f t="shared" ca="1" si="12"/>
        <v>0.54352777777777772</v>
      </c>
      <c r="G142" s="2">
        <f t="shared" ca="1" si="13"/>
        <v>9654.8913689317742</v>
      </c>
      <c r="H142" s="12">
        <f t="shared" ca="1" si="14"/>
        <v>0.70283578985803097</v>
      </c>
      <c r="I142" s="8" t="s">
        <v>13</v>
      </c>
    </row>
    <row r="143" spans="1:9" ht="15.75" x14ac:dyDescent="0.3">
      <c r="A143" s="9">
        <v>43922</v>
      </c>
      <c r="B143" s="2">
        <f t="shared" si="18"/>
        <v>5669.8898545800021</v>
      </c>
      <c r="C143" s="12">
        <v>8.5000000000000006E-2</v>
      </c>
      <c r="D143" s="2">
        <f t="shared" ca="1" si="10"/>
        <v>75.733333333333334</v>
      </c>
      <c r="E143" s="2">
        <f t="shared" ca="1" si="11"/>
        <v>8711.4707676813632</v>
      </c>
      <c r="F143" s="12">
        <f t="shared" ca="1" si="12"/>
        <v>0.5364444444444445</v>
      </c>
      <c r="G143" s="2">
        <f t="shared" ca="1" si="13"/>
        <v>9588.1476773100785</v>
      </c>
      <c r="H143" s="12">
        <f t="shared" ca="1" si="14"/>
        <v>0.69106418699915328</v>
      </c>
      <c r="I143" s="8" t="s">
        <v>13</v>
      </c>
    </row>
    <row r="144" spans="1:9" ht="15.75" x14ac:dyDescent="0.3">
      <c r="A144" s="9">
        <v>43952</v>
      </c>
      <c r="B144" s="2">
        <f t="shared" si="18"/>
        <v>5669.8898545800021</v>
      </c>
      <c r="C144" s="12">
        <v>8.5000000000000006E-2</v>
      </c>
      <c r="D144" s="2">
        <f t="shared" ca="1" si="10"/>
        <v>74.733333333333334</v>
      </c>
      <c r="E144" s="2">
        <f t="shared" ca="1" si="11"/>
        <v>8671.3090478780887</v>
      </c>
      <c r="F144" s="12">
        <f t="shared" ca="1" si="12"/>
        <v>0.52936111111111117</v>
      </c>
      <c r="G144" s="2">
        <f t="shared" ca="1" si="13"/>
        <v>9521.8653808715153</v>
      </c>
      <c r="H144" s="12">
        <f t="shared" ca="1" si="14"/>
        <v>0.67937396053293331</v>
      </c>
      <c r="I144" s="8" t="s">
        <v>13</v>
      </c>
    </row>
    <row r="145" spans="1:9" ht="15.75" x14ac:dyDescent="0.3">
      <c r="A145" s="9">
        <v>43983</v>
      </c>
      <c r="B145" s="2">
        <f t="shared" si="18"/>
        <v>5669.8898545800021</v>
      </c>
      <c r="C145" s="12">
        <v>8.5000000000000006E-2</v>
      </c>
      <c r="D145" s="2">
        <f t="shared" ca="1" si="10"/>
        <v>73.733333333333334</v>
      </c>
      <c r="E145" s="2">
        <f t="shared" ca="1" si="11"/>
        <v>8631.1473280748141</v>
      </c>
      <c r="F145" s="12">
        <f t="shared" ca="1" si="12"/>
        <v>0.52227777777777795</v>
      </c>
      <c r="G145" s="2">
        <f t="shared" ca="1" si="13"/>
        <v>9456.0412900185402</v>
      </c>
      <c r="H145" s="12">
        <f t="shared" ca="1" si="14"/>
        <v>0.66776454790919348</v>
      </c>
      <c r="I145" s="8" t="s">
        <v>13</v>
      </c>
    </row>
    <row r="146" spans="1:9" ht="15.75" x14ac:dyDescent="0.3">
      <c r="A146" s="9">
        <v>44013</v>
      </c>
      <c r="B146" s="2">
        <f t="shared" si="18"/>
        <v>5669.8898545800021</v>
      </c>
      <c r="C146" s="12">
        <v>8.5000000000000006E-2</v>
      </c>
      <c r="D146" s="2">
        <f t="shared" ca="1" si="10"/>
        <v>72.733333333333334</v>
      </c>
      <c r="E146" s="2">
        <f t="shared" ca="1" si="11"/>
        <v>8590.9856082715378</v>
      </c>
      <c r="F146" s="12">
        <f t="shared" ca="1" si="12"/>
        <v>0.5151944444444444</v>
      </c>
      <c r="G146" s="2">
        <f t="shared" ca="1" si="13"/>
        <v>9390.6722372031036</v>
      </c>
      <c r="H146" s="12">
        <f t="shared" ca="1" si="14"/>
        <v>0.65623539046663171</v>
      </c>
      <c r="I146" s="8" t="s">
        <v>13</v>
      </c>
    </row>
    <row r="147" spans="1:9" ht="15.75" x14ac:dyDescent="0.3">
      <c r="A147" s="9">
        <v>44044</v>
      </c>
      <c r="B147" s="2">
        <f t="shared" si="18"/>
        <v>5669.8898545800021</v>
      </c>
      <c r="C147" s="12">
        <v>8.5000000000000006E-2</v>
      </c>
      <c r="D147" s="2">
        <f t="shared" ca="1" si="10"/>
        <v>71.733333333333334</v>
      </c>
      <c r="E147" s="2">
        <f t="shared" ca="1" si="11"/>
        <v>8550.8238884682632</v>
      </c>
      <c r="F147" s="12">
        <f t="shared" ca="1" si="12"/>
        <v>0.50811111111111118</v>
      </c>
      <c r="G147" s="2">
        <f t="shared" ca="1" si="13"/>
        <v>9325.7550767742287</v>
      </c>
      <c r="H147" s="12">
        <f t="shared" ca="1" si="14"/>
        <v>0.64478593340593837</v>
      </c>
      <c r="I147" s="8" t="s">
        <v>13</v>
      </c>
    </row>
    <row r="148" spans="1:9" ht="15.75" x14ac:dyDescent="0.3">
      <c r="A148" s="9">
        <v>44075</v>
      </c>
      <c r="B148" s="2">
        <f t="shared" si="18"/>
        <v>5669.8898545800021</v>
      </c>
      <c r="C148" s="12">
        <v>8.5000000000000006E-2</v>
      </c>
      <c r="D148" s="2">
        <f t="shared" ca="1" si="10"/>
        <v>70.733333333333334</v>
      </c>
      <c r="E148" s="2">
        <f t="shared" ca="1" si="11"/>
        <v>8510.6621686649887</v>
      </c>
      <c r="F148" s="12">
        <f t="shared" ca="1" si="12"/>
        <v>0.50102777777777785</v>
      </c>
      <c r="G148" s="2">
        <f t="shared" ca="1" si="13"/>
        <v>9261.2866848266422</v>
      </c>
      <c r="H148" s="12">
        <f t="shared" ca="1" si="14"/>
        <v>0.63341562576309929</v>
      </c>
      <c r="I148" s="8" t="s">
        <v>13</v>
      </c>
    </row>
    <row r="149" spans="1:9" ht="15.75" x14ac:dyDescent="0.3">
      <c r="A149" s="9">
        <v>44105</v>
      </c>
      <c r="B149" s="2">
        <f t="shared" si="18"/>
        <v>5669.8898545800021</v>
      </c>
      <c r="C149" s="12">
        <v>8.5000000000000006E-2</v>
      </c>
      <c r="D149" s="2">
        <f t="shared" ca="1" si="10"/>
        <v>69.733333333333334</v>
      </c>
      <c r="E149" s="2">
        <f t="shared" ca="1" si="11"/>
        <v>8470.5004488617142</v>
      </c>
      <c r="F149" s="12">
        <f t="shared" ca="1" si="12"/>
        <v>0.49394444444444463</v>
      </c>
      <c r="G149" s="2">
        <f t="shared" ca="1" si="13"/>
        <v>9197.263959050435</v>
      </c>
      <c r="H149" s="12">
        <f t="shared" ca="1" si="14"/>
        <v>0.62212392038288078</v>
      </c>
      <c r="I149" s="8" t="s">
        <v>13</v>
      </c>
    </row>
    <row r="150" spans="1:9" ht="15.75" x14ac:dyDescent="0.3">
      <c r="A150" s="9">
        <v>44136</v>
      </c>
      <c r="B150" s="2">
        <f t="shared" si="18"/>
        <v>5669.8898545800021</v>
      </c>
      <c r="C150" s="12">
        <v>8.5000000000000006E-2</v>
      </c>
      <c r="D150" s="2">
        <f t="shared" ref="D150:D213" ca="1" si="19">(DAYS360(A150,NOW(),TRUE))/30</f>
        <v>68.733333333333334</v>
      </c>
      <c r="E150" s="2">
        <f t="shared" ref="E150:E213" ca="1" si="20">SUM(B150,B150* C150*D150/12)</f>
        <v>8430.3387290584378</v>
      </c>
      <c r="F150" s="12">
        <f t="shared" ref="F150:F213" ca="1" si="21">(E150-B150)/B150</f>
        <v>0.48686111111111108</v>
      </c>
      <c r="G150" s="2">
        <f t="shared" ref="G150:G213" ca="1" si="22">PRODUCT(B150,POWER((1+C150/2),2*D150/12))</f>
        <v>9133.6838185817905</v>
      </c>
      <c r="H150" s="12">
        <f t="shared" ref="H150:H213" ca="1" si="23">(G150-B150)/B150</f>
        <v>0.61091027389250219</v>
      </c>
      <c r="I150" s="8" t="s">
        <v>13</v>
      </c>
    </row>
    <row r="151" spans="1:9" ht="15.75" x14ac:dyDescent="0.3">
      <c r="A151" s="9">
        <v>44166</v>
      </c>
      <c r="B151" s="2">
        <f t="shared" si="18"/>
        <v>5669.8898545800021</v>
      </c>
      <c r="C151" s="12">
        <v>8.5000000000000006E-2</v>
      </c>
      <c r="D151" s="2">
        <f t="shared" ca="1" si="19"/>
        <v>67.733333333333334</v>
      </c>
      <c r="E151" s="2">
        <f t="shared" ca="1" si="20"/>
        <v>8390.1770092551633</v>
      </c>
      <c r="F151" s="12">
        <f t="shared" ca="1" si="21"/>
        <v>0.4797777777777778</v>
      </c>
      <c r="G151" s="2">
        <f t="shared" ca="1" si="22"/>
        <v>9070.5432038547151</v>
      </c>
      <c r="H151" s="12">
        <f t="shared" ca="1" si="23"/>
        <v>0.59977414667548545</v>
      </c>
      <c r="I151" s="8" t="s">
        <v>13</v>
      </c>
    </row>
    <row r="152" spans="1:9" ht="15.75" x14ac:dyDescent="0.3">
      <c r="A152" s="9">
        <v>44197</v>
      </c>
      <c r="B152" s="2">
        <f t="shared" si="18"/>
        <v>5669.8898545800021</v>
      </c>
      <c r="C152" s="12">
        <v>8.5000000000000006E-2</v>
      </c>
      <c r="D152" s="2">
        <f t="shared" ca="1" si="19"/>
        <v>66.733333333333334</v>
      </c>
      <c r="E152" s="2">
        <f t="shared" ca="1" si="20"/>
        <v>8350.0152894518887</v>
      </c>
      <c r="F152" s="12">
        <f t="shared" ca="1" si="21"/>
        <v>0.47269444444444458</v>
      </c>
      <c r="G152" s="2">
        <f t="shared" ca="1" si="22"/>
        <v>9007.8390764538162</v>
      </c>
      <c r="H152" s="12">
        <f t="shared" ca="1" si="23"/>
        <v>0.58871500284568989</v>
      </c>
      <c r="I152" s="8" t="s">
        <v>13</v>
      </c>
    </row>
    <row r="153" spans="1:9" ht="15.75" x14ac:dyDescent="0.3">
      <c r="A153" s="9">
        <v>44228</v>
      </c>
      <c r="B153" s="2">
        <f t="shared" si="18"/>
        <v>5669.8898545800021</v>
      </c>
      <c r="C153" s="12">
        <v>8.5000000000000006E-2</v>
      </c>
      <c r="D153" s="2">
        <f t="shared" ca="1" si="19"/>
        <v>65.733333333333334</v>
      </c>
      <c r="E153" s="2">
        <f t="shared" ca="1" si="20"/>
        <v>8309.8535696486142</v>
      </c>
      <c r="F153" s="12">
        <f t="shared" ca="1" si="21"/>
        <v>0.46561111111111131</v>
      </c>
      <c r="G153" s="2">
        <f t="shared" ca="1" si="22"/>
        <v>8945.5684189680851</v>
      </c>
      <c r="H153" s="12">
        <f t="shared" ca="1" si="23"/>
        <v>0.5777323102215236</v>
      </c>
      <c r="I153" s="8" t="s">
        <v>13</v>
      </c>
    </row>
    <row r="154" spans="1:9" ht="15.75" x14ac:dyDescent="0.3">
      <c r="A154" s="9">
        <v>44256</v>
      </c>
      <c r="B154" s="2">
        <f t="shared" si="18"/>
        <v>5669.8898545800021</v>
      </c>
      <c r="C154" s="12">
        <v>8.5000000000000006E-2</v>
      </c>
      <c r="D154" s="2">
        <f t="shared" ca="1" si="19"/>
        <v>64.733333333333334</v>
      </c>
      <c r="E154" s="2">
        <f t="shared" ca="1" si="20"/>
        <v>8269.6918498453379</v>
      </c>
      <c r="F154" s="12">
        <f t="shared" ca="1" si="21"/>
        <v>0.45852777777777776</v>
      </c>
      <c r="G154" s="2">
        <f t="shared" ca="1" si="22"/>
        <v>8883.7282348456993</v>
      </c>
      <c r="H154" s="12">
        <f t="shared" ca="1" si="23"/>
        <v>0.56682554030033494</v>
      </c>
      <c r="I154" s="8" t="s">
        <v>13</v>
      </c>
    </row>
    <row r="155" spans="1:9" ht="15.75" x14ac:dyDescent="0.3">
      <c r="A155" s="9">
        <v>44287</v>
      </c>
      <c r="B155" s="2">
        <f t="shared" si="18"/>
        <v>5669.8898545800021</v>
      </c>
      <c r="C155" s="12">
        <v>8.5000000000000006E-2</v>
      </c>
      <c r="D155" s="2">
        <f t="shared" ca="1" si="19"/>
        <v>63.733333333333334</v>
      </c>
      <c r="E155" s="2">
        <f t="shared" ca="1" si="20"/>
        <v>8229.5301300420633</v>
      </c>
      <c r="F155" s="12">
        <f t="shared" ca="1" si="21"/>
        <v>0.45144444444444448</v>
      </c>
      <c r="G155" s="2">
        <f t="shared" ca="1" si="22"/>
        <v>8822.3155482498169</v>
      </c>
      <c r="H155" s="12">
        <f t="shared" ca="1" si="23"/>
        <v>0.55599416823297909</v>
      </c>
      <c r="I155" s="8" t="s">
        <v>13</v>
      </c>
    </row>
    <row r="156" spans="1:9" ht="15.75" x14ac:dyDescent="0.3">
      <c r="A156" s="9">
        <v>44317</v>
      </c>
      <c r="B156" s="2">
        <f t="shared" ref="B156:B170" si="24">4019.75*1.11*1.08*1.06*1.11*1.05</f>
        <v>5953.3843473090028</v>
      </c>
      <c r="C156" s="12">
        <v>8.5000000000000006E-2</v>
      </c>
      <c r="D156" s="2">
        <f t="shared" ca="1" si="19"/>
        <v>62.733333333333334</v>
      </c>
      <c r="E156" s="2">
        <f t="shared" ca="1" si="20"/>
        <v>8598.836830750728</v>
      </c>
      <c r="F156" s="12">
        <f t="shared" ca="1" si="21"/>
        <v>0.44436111111111104</v>
      </c>
      <c r="G156" s="2">
        <f t="shared" ca="1" si="22"/>
        <v>9199.3937741111567</v>
      </c>
      <c r="H156" s="12">
        <f t="shared" ca="1" si="23"/>
        <v>0.54523767279856317</v>
      </c>
      <c r="I156" s="8" t="s">
        <v>13</v>
      </c>
    </row>
    <row r="157" spans="1:9" ht="15.75" x14ac:dyDescent="0.3">
      <c r="A157" s="9">
        <v>44348</v>
      </c>
      <c r="B157" s="2">
        <f t="shared" si="24"/>
        <v>5953.3843473090028</v>
      </c>
      <c r="C157" s="12">
        <v>8.5000000000000006E-2</v>
      </c>
      <c r="D157" s="2">
        <f t="shared" ca="1" si="19"/>
        <v>61.733333333333334</v>
      </c>
      <c r="E157" s="2">
        <f t="shared" ca="1" si="20"/>
        <v>8556.667024957289</v>
      </c>
      <c r="F157" s="12">
        <f t="shared" ca="1" si="21"/>
        <v>0.43727777777777765</v>
      </c>
      <c r="G157" s="2">
        <f t="shared" ca="1" si="22"/>
        <v>9135.7989103572691</v>
      </c>
      <c r="H157" s="12">
        <f t="shared" ca="1" si="23"/>
        <v>0.53455553637936271</v>
      </c>
      <c r="I157" s="8" t="s">
        <v>13</v>
      </c>
    </row>
    <row r="158" spans="1:9" ht="15.75" x14ac:dyDescent="0.3">
      <c r="A158" s="9">
        <v>44378</v>
      </c>
      <c r="B158" s="2">
        <f t="shared" si="24"/>
        <v>5953.3843473090028</v>
      </c>
      <c r="C158" s="12">
        <v>8.5000000000000006E-2</v>
      </c>
      <c r="D158" s="2">
        <f t="shared" ca="1" si="19"/>
        <v>60.733333333333334</v>
      </c>
      <c r="E158" s="2">
        <f t="shared" ca="1" si="20"/>
        <v>8514.4972191638517</v>
      </c>
      <c r="F158" s="12">
        <f t="shared" ca="1" si="21"/>
        <v>0.4301944444444446</v>
      </c>
      <c r="G158" s="2">
        <f t="shared" ca="1" si="22"/>
        <v>9072.6436741261459</v>
      </c>
      <c r="H158" s="12">
        <f t="shared" ca="1" si="23"/>
        <v>0.52394724493591338</v>
      </c>
      <c r="I158" s="8" t="s">
        <v>13</v>
      </c>
    </row>
    <row r="159" spans="1:9" ht="15.75" x14ac:dyDescent="0.3">
      <c r="A159" s="9">
        <v>44409</v>
      </c>
      <c r="B159" s="2">
        <f t="shared" si="24"/>
        <v>5953.3843473090028</v>
      </c>
      <c r="C159" s="12">
        <v>8.5000000000000006E-2</v>
      </c>
      <c r="D159" s="2">
        <f t="shared" ca="1" si="19"/>
        <v>59.733333333333334</v>
      </c>
      <c r="E159" s="2">
        <f t="shared" ca="1" si="20"/>
        <v>8472.3274133704126</v>
      </c>
      <c r="F159" s="12">
        <f t="shared" ca="1" si="21"/>
        <v>0.42311111111111122</v>
      </c>
      <c r="G159" s="2">
        <f t="shared" ca="1" si="22"/>
        <v>9009.9250262987916</v>
      </c>
      <c r="H159" s="12">
        <f t="shared" ca="1" si="23"/>
        <v>0.51341228798227678</v>
      </c>
      <c r="I159" s="8" t="s">
        <v>13</v>
      </c>
    </row>
    <row r="160" spans="1:9" ht="15.75" x14ac:dyDescent="0.3">
      <c r="A160" s="9">
        <v>44440</v>
      </c>
      <c r="B160" s="2">
        <f t="shared" si="24"/>
        <v>5953.3843473090028</v>
      </c>
      <c r="C160" s="12">
        <v>8.5000000000000006E-2</v>
      </c>
      <c r="D160" s="2">
        <f t="shared" ca="1" si="19"/>
        <v>58.733333333333334</v>
      </c>
      <c r="E160" s="2">
        <f t="shared" ca="1" si="20"/>
        <v>8430.1576075769735</v>
      </c>
      <c r="F160" s="12">
        <f t="shared" ca="1" si="21"/>
        <v>0.41602777777777783</v>
      </c>
      <c r="G160" s="2">
        <f t="shared" ca="1" si="22"/>
        <v>8947.6399487654544</v>
      </c>
      <c r="H160" s="12">
        <f t="shared" ca="1" si="23"/>
        <v>0.50295015856147252</v>
      </c>
      <c r="I160" s="8" t="s">
        <v>13</v>
      </c>
    </row>
    <row r="161" spans="1:9" ht="15.75" x14ac:dyDescent="0.3">
      <c r="A161" s="9">
        <v>44470</v>
      </c>
      <c r="B161" s="2">
        <f t="shared" si="24"/>
        <v>5953.3843473090028</v>
      </c>
      <c r="C161" s="12">
        <v>8.5000000000000006E-2</v>
      </c>
      <c r="D161" s="2">
        <f t="shared" ca="1" si="19"/>
        <v>57.733333333333334</v>
      </c>
      <c r="E161" s="2">
        <f t="shared" ca="1" si="20"/>
        <v>8387.9878017835345</v>
      </c>
      <c r="F161" s="12">
        <f t="shared" ca="1" si="21"/>
        <v>0.40894444444444444</v>
      </c>
      <c r="G161" s="2">
        <f t="shared" ca="1" si="22"/>
        <v>8885.7854442803928</v>
      </c>
      <c r="H161" s="12">
        <f t="shared" ca="1" si="23"/>
        <v>0.49256035322108316</v>
      </c>
      <c r="I161" s="8" t="s">
        <v>13</v>
      </c>
    </row>
    <row r="162" spans="1:9" ht="15.75" x14ac:dyDescent="0.3">
      <c r="A162" s="9">
        <v>44501</v>
      </c>
      <c r="B162" s="2">
        <f t="shared" si="24"/>
        <v>5953.3843473090028</v>
      </c>
      <c r="C162" s="12">
        <v>8.5000000000000006E-2</v>
      </c>
      <c r="D162" s="2">
        <f t="shared" ca="1" si="19"/>
        <v>56.733333333333334</v>
      </c>
      <c r="E162" s="2">
        <f t="shared" ca="1" si="20"/>
        <v>8345.8179959900954</v>
      </c>
      <c r="F162" s="12">
        <f t="shared" ca="1" si="21"/>
        <v>0.40186111111111106</v>
      </c>
      <c r="G162" s="2">
        <f t="shared" ca="1" si="22"/>
        <v>8824.3585363176553</v>
      </c>
      <c r="H162" s="12">
        <f t="shared" ca="1" si="23"/>
        <v>0.48224237198902931</v>
      </c>
      <c r="I162" s="8" t="s">
        <v>13</v>
      </c>
    </row>
    <row r="163" spans="1:9" ht="15.75" x14ac:dyDescent="0.3">
      <c r="A163" s="9">
        <v>44531</v>
      </c>
      <c r="B163" s="2">
        <f t="shared" si="24"/>
        <v>5953.3843473090028</v>
      </c>
      <c r="C163" s="12">
        <v>8.5000000000000006E-2</v>
      </c>
      <c r="D163" s="2">
        <f t="shared" ca="1" si="19"/>
        <v>55.733333333333334</v>
      </c>
      <c r="E163" s="2">
        <f t="shared" ca="1" si="20"/>
        <v>8303.6481901966581</v>
      </c>
      <c r="F163" s="12">
        <f t="shared" ca="1" si="21"/>
        <v>0.39477777777777801</v>
      </c>
      <c r="G163" s="2">
        <f t="shared" ca="1" si="22"/>
        <v>8763.3562689278351</v>
      </c>
      <c r="H163" s="12">
        <f t="shared" ca="1" si="23"/>
        <v>0.47199571834950843</v>
      </c>
      <c r="I163" s="8" t="s">
        <v>13</v>
      </c>
    </row>
    <row r="164" spans="1:9" ht="15.75" x14ac:dyDescent="0.3">
      <c r="A164" s="9">
        <v>44562</v>
      </c>
      <c r="B164" s="2">
        <f t="shared" si="24"/>
        <v>5953.3843473090028</v>
      </c>
      <c r="C164" s="12">
        <v>8.5000000000000006E-2</v>
      </c>
      <c r="D164" s="2">
        <f t="shared" ca="1" si="19"/>
        <v>54.733333333333334</v>
      </c>
      <c r="E164" s="2">
        <f t="shared" ca="1" si="20"/>
        <v>8261.478384403219</v>
      </c>
      <c r="F164" s="12">
        <f t="shared" ca="1" si="21"/>
        <v>0.38769444444444462</v>
      </c>
      <c r="G164" s="2">
        <f t="shared" ca="1" si="22"/>
        <v>8702.7757065958249</v>
      </c>
      <c r="H164" s="12">
        <f t="shared" ca="1" si="23"/>
        <v>0.46181989921910183</v>
      </c>
      <c r="I164" s="8" t="s">
        <v>13</v>
      </c>
    </row>
    <row r="165" spans="1:9" ht="15.75" x14ac:dyDescent="0.3">
      <c r="A165" s="9">
        <v>44593</v>
      </c>
      <c r="B165" s="2">
        <f t="shared" si="24"/>
        <v>5953.3843473090028</v>
      </c>
      <c r="C165" s="12">
        <v>8.5000000000000006E-2</v>
      </c>
      <c r="D165" s="2">
        <f t="shared" ca="1" si="19"/>
        <v>53.733333333333334</v>
      </c>
      <c r="E165" s="2">
        <f t="shared" ca="1" si="20"/>
        <v>8219.3085786097799</v>
      </c>
      <c r="F165" s="12">
        <f t="shared" ca="1" si="21"/>
        <v>0.38061111111111123</v>
      </c>
      <c r="G165" s="2">
        <f t="shared" ca="1" si="22"/>
        <v>8642.6139340995614</v>
      </c>
      <c r="H165" s="12">
        <f t="shared" ca="1" si="23"/>
        <v>0.45171442492304748</v>
      </c>
      <c r="I165" s="8" t="s">
        <v>13</v>
      </c>
    </row>
    <row r="166" spans="1:9" ht="15.75" x14ac:dyDescent="0.3">
      <c r="A166" s="9">
        <v>44621</v>
      </c>
      <c r="B166" s="2">
        <f t="shared" si="24"/>
        <v>5953.3843473090028</v>
      </c>
      <c r="C166" s="12">
        <v>8.5000000000000006E-2</v>
      </c>
      <c r="D166" s="2">
        <f t="shared" ca="1" si="19"/>
        <v>52.733333333333334</v>
      </c>
      <c r="E166" s="2">
        <f t="shared" ca="1" si="20"/>
        <v>8177.1387728163409</v>
      </c>
      <c r="F166" s="12">
        <f t="shared" ca="1" si="21"/>
        <v>0.37352777777777785</v>
      </c>
      <c r="G166" s="2">
        <f t="shared" ca="1" si="22"/>
        <v>8582.8680563697399</v>
      </c>
      <c r="H166" s="12">
        <f t="shared" ca="1" si="23"/>
        <v>0.44167880917167618</v>
      </c>
      <c r="I166" s="8" t="s">
        <v>13</v>
      </c>
    </row>
    <row r="167" spans="1:9" ht="15.75" x14ac:dyDescent="0.3">
      <c r="A167" s="9">
        <v>44652</v>
      </c>
      <c r="B167" s="2">
        <f t="shared" si="24"/>
        <v>5953.3843473090028</v>
      </c>
      <c r="C167" s="12">
        <v>8.5000000000000006E-2</v>
      </c>
      <c r="D167" s="2">
        <f t="shared" ca="1" si="19"/>
        <v>51.733333333333334</v>
      </c>
      <c r="E167" s="2">
        <f t="shared" ca="1" si="20"/>
        <v>8134.9689670229018</v>
      </c>
      <c r="F167" s="12">
        <f t="shared" ca="1" si="21"/>
        <v>0.36644444444444446</v>
      </c>
      <c r="G167" s="2">
        <f t="shared" ca="1" si="22"/>
        <v>8523.535198350497</v>
      </c>
      <c r="H167" s="12">
        <f t="shared" ca="1" si="23"/>
        <v>0.43171256903701027</v>
      </c>
      <c r="I167" s="8" t="s">
        <v>13</v>
      </c>
    </row>
    <row r="168" spans="1:9" ht="15.75" x14ac:dyDescent="0.3">
      <c r="A168" s="9">
        <v>44682</v>
      </c>
      <c r="B168" s="2">
        <f t="shared" si="24"/>
        <v>5953.3843473090028</v>
      </c>
      <c r="C168" s="12">
        <v>8.5000000000000006E-2</v>
      </c>
      <c r="D168" s="2">
        <f t="shared" ca="1" si="19"/>
        <v>50.733333333333334</v>
      </c>
      <c r="E168" s="2">
        <f t="shared" ca="1" si="20"/>
        <v>8092.7991612294627</v>
      </c>
      <c r="F168" s="12">
        <f t="shared" ca="1" si="21"/>
        <v>0.35936111111111108</v>
      </c>
      <c r="G168" s="2">
        <f t="shared" ca="1" si="22"/>
        <v>8464.6125048610629</v>
      </c>
      <c r="H168" s="12">
        <f t="shared" ca="1" si="23"/>
        <v>0.42181522492952495</v>
      </c>
      <c r="I168" s="8" t="s">
        <v>13</v>
      </c>
    </row>
    <row r="169" spans="1:9" ht="15.75" x14ac:dyDescent="0.3">
      <c r="A169" s="9">
        <v>44713</v>
      </c>
      <c r="B169" s="2">
        <f t="shared" si="24"/>
        <v>5953.3843473090028</v>
      </c>
      <c r="C169" s="12">
        <v>8.5000000000000006E-2</v>
      </c>
      <c r="D169" s="2">
        <f t="shared" ca="1" si="19"/>
        <v>49.733333333333334</v>
      </c>
      <c r="E169" s="2">
        <f t="shared" ca="1" si="20"/>
        <v>8050.6293554360245</v>
      </c>
      <c r="F169" s="12">
        <f t="shared" ca="1" si="21"/>
        <v>0.3522777777777778</v>
      </c>
      <c r="G169" s="2">
        <f t="shared" ca="1" si="22"/>
        <v>8406.0971404583561</v>
      </c>
      <c r="H169" s="12">
        <f t="shared" ca="1" si="23"/>
        <v>0.41198630057506824</v>
      </c>
      <c r="I169" s="8" t="s">
        <v>13</v>
      </c>
    </row>
    <row r="170" spans="1:9" ht="15.75" x14ac:dyDescent="0.3">
      <c r="A170" s="9">
        <v>44743</v>
      </c>
      <c r="B170" s="2">
        <f t="shared" si="24"/>
        <v>5953.3843473090028</v>
      </c>
      <c r="C170" s="12">
        <v>8.5000000000000006E-2</v>
      </c>
      <c r="D170" s="2">
        <f t="shared" ca="1" si="19"/>
        <v>48.733333333333334</v>
      </c>
      <c r="E170" s="2">
        <f t="shared" ca="1" si="20"/>
        <v>8008.4595496425864</v>
      </c>
      <c r="F170" s="12">
        <f t="shared" ca="1" si="21"/>
        <v>0.34519444444444458</v>
      </c>
      <c r="G170" s="2">
        <f t="shared" ca="1" si="22"/>
        <v>8347.9862893005502</v>
      </c>
      <c r="H170" s="12">
        <f t="shared" ca="1" si="23"/>
        <v>0.40222532299194402</v>
      </c>
      <c r="I170" s="8" t="s">
        <v>13</v>
      </c>
    </row>
    <row r="171" spans="1:9" ht="15.75" x14ac:dyDescent="0.3">
      <c r="A171" s="9">
        <v>44774</v>
      </c>
      <c r="B171" s="2">
        <f t="shared" ref="B171:B182" si="25">4019.75*1.11*1.08*1.06*1.11*1.05*1.15</f>
        <v>6846.3919994053531</v>
      </c>
      <c r="C171" s="12">
        <v>8.5000000000000006E-2</v>
      </c>
      <c r="D171" s="2">
        <f t="shared" ca="1" si="19"/>
        <v>47.733333333333334</v>
      </c>
      <c r="E171" s="2">
        <f t="shared" ca="1" si="20"/>
        <v>9161.2332054265189</v>
      </c>
      <c r="F171" s="12">
        <f t="shared" ca="1" si="21"/>
        <v>0.33811111111111114</v>
      </c>
      <c r="G171" s="2">
        <f t="shared" ca="1" si="22"/>
        <v>9533.8187282633044</v>
      </c>
      <c r="H171" s="12">
        <f t="shared" ca="1" si="23"/>
        <v>0.39253182246815099</v>
      </c>
      <c r="I171" s="8" t="s">
        <v>13</v>
      </c>
    </row>
    <row r="172" spans="1:9" ht="15.75" x14ac:dyDescent="0.3">
      <c r="A172" s="9">
        <v>44805</v>
      </c>
      <c r="B172" s="2">
        <f t="shared" si="25"/>
        <v>6846.3919994053531</v>
      </c>
      <c r="C172" s="12">
        <v>8.5000000000000006E-2</v>
      </c>
      <c r="D172" s="2">
        <f t="shared" ca="1" si="19"/>
        <v>46.733333333333334</v>
      </c>
      <c r="E172" s="2">
        <f t="shared" ca="1" si="20"/>
        <v>9112.7379287640651</v>
      </c>
      <c r="F172" s="12">
        <f t="shared" ca="1" si="21"/>
        <v>0.33102777777777792</v>
      </c>
      <c r="G172" s="2">
        <f t="shared" ca="1" si="22"/>
        <v>9467.9120046284897</v>
      </c>
      <c r="H172" s="12">
        <f t="shared" ca="1" si="23"/>
        <v>0.38290533253877812</v>
      </c>
      <c r="I172" s="8" t="s">
        <v>13</v>
      </c>
    </row>
    <row r="173" spans="1:9" ht="15.75" x14ac:dyDescent="0.3">
      <c r="A173" s="9">
        <v>44835</v>
      </c>
      <c r="B173" s="2">
        <f t="shared" si="25"/>
        <v>6846.3919994053531</v>
      </c>
      <c r="C173" s="12">
        <v>8.5000000000000006E-2</v>
      </c>
      <c r="D173" s="2">
        <f t="shared" ca="1" si="19"/>
        <v>45.733333333333334</v>
      </c>
      <c r="E173" s="2">
        <f t="shared" ca="1" si="20"/>
        <v>9064.2426521016096</v>
      </c>
      <c r="F173" s="12">
        <f t="shared" ca="1" si="21"/>
        <v>0.32394444444444448</v>
      </c>
      <c r="G173" s="2">
        <f t="shared" ca="1" si="22"/>
        <v>9402.4608902667351</v>
      </c>
      <c r="H173" s="12">
        <f t="shared" ca="1" si="23"/>
        <v>0.37334538996355898</v>
      </c>
      <c r="I173" s="8" t="s">
        <v>13</v>
      </c>
    </row>
    <row r="174" spans="1:9" ht="15.75" x14ac:dyDescent="0.3">
      <c r="A174" s="9">
        <v>44866</v>
      </c>
      <c r="B174" s="2">
        <f t="shared" si="25"/>
        <v>6846.3919994053531</v>
      </c>
      <c r="C174" s="12">
        <v>8.5000000000000006E-2</v>
      </c>
      <c r="D174" s="2">
        <f t="shared" ca="1" si="19"/>
        <v>44.733333333333334</v>
      </c>
      <c r="E174" s="2">
        <f t="shared" ca="1" si="20"/>
        <v>9015.747375439154</v>
      </c>
      <c r="F174" s="12">
        <f t="shared" ca="1" si="21"/>
        <v>0.31686111111111098</v>
      </c>
      <c r="G174" s="2">
        <f t="shared" ca="1" si="22"/>
        <v>9337.4622355781503</v>
      </c>
      <c r="H174" s="12">
        <f t="shared" ca="1" si="23"/>
        <v>0.3638515347045802</v>
      </c>
      <c r="I174" s="8" t="s">
        <v>13</v>
      </c>
    </row>
    <row r="175" spans="1:9" ht="15.75" x14ac:dyDescent="0.3">
      <c r="A175" s="9">
        <v>44896</v>
      </c>
      <c r="B175" s="2">
        <f t="shared" si="25"/>
        <v>6846.3919994053531</v>
      </c>
      <c r="C175" s="12">
        <v>8.5000000000000006E-2</v>
      </c>
      <c r="D175" s="2">
        <f t="shared" ca="1" si="19"/>
        <v>43.733333333333334</v>
      </c>
      <c r="E175" s="2">
        <f t="shared" ca="1" si="20"/>
        <v>8967.2520987767002</v>
      </c>
      <c r="F175" s="12">
        <f t="shared" ca="1" si="21"/>
        <v>0.30977777777777776</v>
      </c>
      <c r="G175" s="2">
        <f t="shared" ca="1" si="22"/>
        <v>9272.9129127358356</v>
      </c>
      <c r="H175" s="12">
        <f t="shared" ca="1" si="23"/>
        <v>0.35442330990414211</v>
      </c>
      <c r="I175" s="8" t="s">
        <v>13</v>
      </c>
    </row>
    <row r="176" spans="1:9" ht="15.75" x14ac:dyDescent="0.3">
      <c r="A176" s="9">
        <v>44927</v>
      </c>
      <c r="B176" s="2">
        <f t="shared" si="25"/>
        <v>6846.3919994053531</v>
      </c>
      <c r="C176" s="12">
        <v>8.5000000000000006E-2</v>
      </c>
      <c r="D176" s="2">
        <f t="shared" ca="1" si="19"/>
        <v>42.733333333333334</v>
      </c>
      <c r="E176" s="2">
        <f t="shared" ca="1" si="20"/>
        <v>8918.7568221142465</v>
      </c>
      <c r="F176" s="12">
        <f t="shared" ca="1" si="21"/>
        <v>0.30269444444444454</v>
      </c>
      <c r="G176" s="2">
        <f t="shared" ca="1" si="22"/>
        <v>9208.80981553538</v>
      </c>
      <c r="H176" s="12">
        <f t="shared" ca="1" si="23"/>
        <v>0.34506026186277616</v>
      </c>
      <c r="I176" s="8" t="s">
        <v>13</v>
      </c>
    </row>
    <row r="177" spans="1:9" ht="15.75" x14ac:dyDescent="0.3">
      <c r="A177" s="9">
        <v>44958</v>
      </c>
      <c r="B177" s="2">
        <f t="shared" si="25"/>
        <v>6846.3919994053531</v>
      </c>
      <c r="C177" s="12">
        <v>8.5000000000000006E-2</v>
      </c>
      <c r="D177" s="2">
        <f t="shared" ca="1" si="19"/>
        <v>41.733333333333334</v>
      </c>
      <c r="E177" s="2">
        <f t="shared" ca="1" si="20"/>
        <v>8870.2615454517909</v>
      </c>
      <c r="F177" s="12">
        <f t="shared" ca="1" si="21"/>
        <v>0.2956111111111111</v>
      </c>
      <c r="G177" s="2">
        <f t="shared" ca="1" si="22"/>
        <v>9145.1498592453772</v>
      </c>
      <c r="H177" s="12">
        <f t="shared" ca="1" si="23"/>
        <v>0.33576194001741122</v>
      </c>
      <c r="I177" s="8" t="s">
        <v>13</v>
      </c>
    </row>
    <row r="178" spans="1:9" ht="15.75" x14ac:dyDescent="0.3">
      <c r="A178" s="9">
        <v>44986</v>
      </c>
      <c r="B178" s="2">
        <f t="shared" si="25"/>
        <v>6846.3919994053531</v>
      </c>
      <c r="C178" s="12">
        <v>8.5000000000000006E-2</v>
      </c>
      <c r="D178" s="2">
        <f t="shared" ca="1" si="19"/>
        <v>40.733333333333334</v>
      </c>
      <c r="E178" s="2">
        <f t="shared" ca="1" si="20"/>
        <v>8821.7662687893371</v>
      </c>
      <c r="F178" s="12">
        <f t="shared" ca="1" si="21"/>
        <v>0.28852777777777788</v>
      </c>
      <c r="G178" s="2">
        <f t="shared" ca="1" si="22"/>
        <v>9081.9299804589828</v>
      </c>
      <c r="H178" s="12">
        <f t="shared" ca="1" si="23"/>
        <v>0.3265278969196912</v>
      </c>
      <c r="I178" s="8" t="s">
        <v>13</v>
      </c>
    </row>
    <row r="179" spans="1:9" ht="15.75" x14ac:dyDescent="0.3">
      <c r="A179" s="9">
        <v>45017</v>
      </c>
      <c r="B179" s="2">
        <f t="shared" si="25"/>
        <v>6846.3919994053531</v>
      </c>
      <c r="C179" s="12">
        <v>8.5000000000000006E-2</v>
      </c>
      <c r="D179" s="2">
        <f t="shared" ca="1" si="19"/>
        <v>39.733333333333334</v>
      </c>
      <c r="E179" s="2">
        <f t="shared" ca="1" si="20"/>
        <v>8773.2709921268815</v>
      </c>
      <c r="F179" s="12">
        <f t="shared" ca="1" si="21"/>
        <v>0.28144444444444439</v>
      </c>
      <c r="G179" s="2">
        <f t="shared" ca="1" si="22"/>
        <v>9019.1471369465107</v>
      </c>
      <c r="H179" s="12">
        <f t="shared" ca="1" si="23"/>
        <v>0.31735768821444543</v>
      </c>
      <c r="I179" s="8" t="s">
        <v>13</v>
      </c>
    </row>
    <row r="180" spans="1:9" ht="15.75" x14ac:dyDescent="0.3">
      <c r="A180" s="9">
        <v>45047</v>
      </c>
      <c r="B180" s="2">
        <f t="shared" si="25"/>
        <v>6846.3919994053531</v>
      </c>
      <c r="C180" s="12">
        <v>8.5000000000000006E-2</v>
      </c>
      <c r="D180" s="2">
        <f t="shared" ca="1" si="19"/>
        <v>38.733333333333334</v>
      </c>
      <c r="E180" s="2">
        <f t="shared" ca="1" si="20"/>
        <v>8724.7757154644278</v>
      </c>
      <c r="F180" s="12">
        <f t="shared" ca="1" si="21"/>
        <v>0.27436111111111117</v>
      </c>
      <c r="G180" s="2">
        <f t="shared" ca="1" si="22"/>
        <v>8956.7983075090178</v>
      </c>
      <c r="H180" s="12">
        <f t="shared" ca="1" si="23"/>
        <v>0.30825087261830247</v>
      </c>
      <c r="I180" s="8" t="s">
        <v>13</v>
      </c>
    </row>
    <row r="181" spans="1:9" ht="15.75" x14ac:dyDescent="0.3">
      <c r="A181" s="9">
        <v>45078</v>
      </c>
      <c r="B181" s="2">
        <f t="shared" si="25"/>
        <v>6846.3919994053531</v>
      </c>
      <c r="C181" s="12">
        <v>8.5000000000000006E-2</v>
      </c>
      <c r="D181" s="2">
        <f t="shared" ca="1" si="19"/>
        <v>37.733333333333334</v>
      </c>
      <c r="E181" s="2">
        <f t="shared" ca="1" si="20"/>
        <v>8676.2804388019722</v>
      </c>
      <c r="F181" s="12">
        <f t="shared" ca="1" si="21"/>
        <v>0.26727777777777773</v>
      </c>
      <c r="G181" s="2">
        <f t="shared" ca="1" si="22"/>
        <v>8894.8804918329351</v>
      </c>
      <c r="H181" s="12">
        <f t="shared" ca="1" si="23"/>
        <v>0.29920701189845755</v>
      </c>
      <c r="I181" s="8" t="s">
        <v>13</v>
      </c>
    </row>
    <row r="182" spans="1:9" ht="15.75" x14ac:dyDescent="0.3">
      <c r="A182" s="9">
        <v>45108</v>
      </c>
      <c r="B182" s="2">
        <f t="shared" si="25"/>
        <v>6846.3919994053531</v>
      </c>
      <c r="C182" s="12">
        <v>8.5000000000000006E-2</v>
      </c>
      <c r="D182" s="2">
        <f t="shared" ca="1" si="19"/>
        <v>36.733333333333334</v>
      </c>
      <c r="E182" s="2">
        <f t="shared" ca="1" si="20"/>
        <v>8627.7851621395184</v>
      </c>
      <c r="F182" s="12">
        <f t="shared" ca="1" si="21"/>
        <v>0.26019444444444451</v>
      </c>
      <c r="G182" s="2">
        <f t="shared" ca="1" si="22"/>
        <v>8833.3907103456895</v>
      </c>
      <c r="H182" s="12">
        <f t="shared" ca="1" si="23"/>
        <v>0.29022567085158407</v>
      </c>
      <c r="I182" s="8" t="s">
        <v>13</v>
      </c>
    </row>
    <row r="183" spans="1:9" ht="15.75" x14ac:dyDescent="0.3">
      <c r="A183" s="9">
        <v>45139</v>
      </c>
      <c r="B183" s="2">
        <f>4019.75*1.11*1.08*1.06*1.11*1.05*1.15*1.07</f>
        <v>7325.6394393637283</v>
      </c>
      <c r="C183" s="12">
        <v>8.5000000000000006E-2</v>
      </c>
      <c r="D183" s="2">
        <f t="shared" ca="1" si="19"/>
        <v>35.733333333333334</v>
      </c>
      <c r="E183" s="2">
        <f t="shared" ca="1" si="20"/>
        <v>9179.840177460459</v>
      </c>
      <c r="F183" s="12">
        <f t="shared" ca="1" si="21"/>
        <v>0.25311111111111118</v>
      </c>
      <c r="G183" s="2">
        <f t="shared" ca="1" si="22"/>
        <v>9386.3888243573656</v>
      </c>
      <c r="H183" s="12">
        <f t="shared" ca="1" si="23"/>
        <v>0.28130641728288835</v>
      </c>
      <c r="I183" s="8" t="s">
        <v>13</v>
      </c>
    </row>
    <row r="184" spans="1:9" ht="15.75" x14ac:dyDescent="0.3">
      <c r="A184" s="9">
        <v>45170</v>
      </c>
      <c r="B184" s="2">
        <f t="shared" ref="B184:B201" si="26">4019.75*1.11*1.08*1.06*1.11*1.05*1.15*1.07</f>
        <v>7325.6394393637283</v>
      </c>
      <c r="C184" s="12">
        <v>8.5000000000000006E-2</v>
      </c>
      <c r="D184" s="2">
        <f t="shared" ca="1" si="19"/>
        <v>34.733333333333334</v>
      </c>
      <c r="E184" s="2">
        <f t="shared" ca="1" si="20"/>
        <v>9127.9502314316323</v>
      </c>
      <c r="F184" s="12">
        <f t="shared" ca="1" si="21"/>
        <v>0.24602777777777779</v>
      </c>
      <c r="G184" s="2">
        <f t="shared" ca="1" si="22"/>
        <v>9321.5012749075431</v>
      </c>
      <c r="H184" s="12">
        <f t="shared" ca="1" si="23"/>
        <v>0.2724488219853155</v>
      </c>
      <c r="I184" s="8" t="s">
        <v>13</v>
      </c>
    </row>
    <row r="185" spans="1:9" ht="15.75" x14ac:dyDescent="0.3">
      <c r="A185" s="9">
        <v>45200</v>
      </c>
      <c r="B185" s="2">
        <f t="shared" si="26"/>
        <v>7325.6394393637283</v>
      </c>
      <c r="C185" s="12">
        <v>8.5000000000000006E-2</v>
      </c>
      <c r="D185" s="2">
        <f t="shared" ca="1" si="19"/>
        <v>33.733333333333334</v>
      </c>
      <c r="E185" s="2">
        <f t="shared" ca="1" si="20"/>
        <v>9076.0602854028057</v>
      </c>
      <c r="F185" s="12">
        <f t="shared" ca="1" si="21"/>
        <v>0.2389444444444444</v>
      </c>
      <c r="G185" s="2">
        <f t="shared" ca="1" si="22"/>
        <v>9257.0622892400643</v>
      </c>
      <c r="H185" s="12">
        <f t="shared" ca="1" si="23"/>
        <v>0.26365245871889248</v>
      </c>
      <c r="I185" s="8" t="s">
        <v>13</v>
      </c>
    </row>
    <row r="186" spans="1:9" ht="15.75" x14ac:dyDescent="0.3">
      <c r="A186" s="9">
        <v>45231</v>
      </c>
      <c r="B186" s="2">
        <f t="shared" si="26"/>
        <v>7325.6394393637283</v>
      </c>
      <c r="C186" s="12">
        <v>8.5000000000000006E-2</v>
      </c>
      <c r="D186" s="2">
        <f t="shared" ca="1" si="19"/>
        <v>32.733333333333334</v>
      </c>
      <c r="E186" s="2">
        <f t="shared" ca="1" si="20"/>
        <v>9024.170339373979</v>
      </c>
      <c r="F186" s="12">
        <f t="shared" ca="1" si="21"/>
        <v>0.23186111111111105</v>
      </c>
      <c r="G186" s="2">
        <f t="shared" ca="1" si="22"/>
        <v>9193.0687664600937</v>
      </c>
      <c r="H186" s="12">
        <f t="shared" ca="1" si="23"/>
        <v>0.25491690419021795</v>
      </c>
      <c r="I186" s="8" t="s">
        <v>13</v>
      </c>
    </row>
    <row r="187" spans="1:9" ht="15.75" x14ac:dyDescent="0.3">
      <c r="A187" s="9">
        <v>45261</v>
      </c>
      <c r="B187" s="2">
        <f t="shared" si="26"/>
        <v>7325.6394393637283</v>
      </c>
      <c r="C187" s="12">
        <v>8.5000000000000006E-2</v>
      </c>
      <c r="D187" s="2">
        <f t="shared" ca="1" si="19"/>
        <v>31.733333333333334</v>
      </c>
      <c r="E187" s="2">
        <f t="shared" ca="1" si="20"/>
        <v>8972.2803933451542</v>
      </c>
      <c r="F187" s="12">
        <f t="shared" ca="1" si="21"/>
        <v>0.22477777777777794</v>
      </c>
      <c r="G187" s="2">
        <f t="shared" ca="1" si="22"/>
        <v>9129.5176271091041</v>
      </c>
      <c r="H187" s="12">
        <f t="shared" ca="1" si="23"/>
        <v>0.24624173803209354</v>
      </c>
      <c r="I187" s="8" t="s">
        <v>13</v>
      </c>
    </row>
    <row r="188" spans="1:9" ht="15.75" x14ac:dyDescent="0.3">
      <c r="A188" s="9">
        <v>45292</v>
      </c>
      <c r="B188" s="2">
        <f t="shared" si="26"/>
        <v>7325.6394393637283</v>
      </c>
      <c r="C188" s="12">
        <v>8.5000000000000006E-2</v>
      </c>
      <c r="D188" s="2">
        <f t="shared" ca="1" si="19"/>
        <v>30.733333333333334</v>
      </c>
      <c r="E188" s="2">
        <f t="shared" ca="1" si="20"/>
        <v>8920.3904473163275</v>
      </c>
      <c r="F188" s="12">
        <f t="shared" ca="1" si="21"/>
        <v>0.21769444444444455</v>
      </c>
      <c r="G188" s="2">
        <f t="shared" ca="1" si="22"/>
        <v>9066.4058130166795</v>
      </c>
      <c r="H188" s="12">
        <f t="shared" ca="1" si="23"/>
        <v>0.23762654278329404</v>
      </c>
      <c r="I188" s="8" t="s">
        <v>13</v>
      </c>
    </row>
    <row r="189" spans="1:9" ht="15.75" x14ac:dyDescent="0.3">
      <c r="A189" s="9">
        <v>45323</v>
      </c>
      <c r="B189" s="2">
        <f t="shared" si="26"/>
        <v>7325.6394393637283</v>
      </c>
      <c r="C189" s="12">
        <v>8.5000000000000006E-2</v>
      </c>
      <c r="D189" s="2">
        <f t="shared" ca="1" si="19"/>
        <v>29.733333333333334</v>
      </c>
      <c r="E189" s="2">
        <f t="shared" ca="1" si="20"/>
        <v>8868.5005012875008</v>
      </c>
      <c r="F189" s="12">
        <f t="shared" ca="1" si="21"/>
        <v>0.21061111111111119</v>
      </c>
      <c r="G189" s="2">
        <f t="shared" ca="1" si="22"/>
        <v>9003.7302871533484</v>
      </c>
      <c r="H189" s="12">
        <f t="shared" ca="1" si="23"/>
        <v>0.22907090386847806</v>
      </c>
      <c r="I189" s="8" t="s">
        <v>13</v>
      </c>
    </row>
    <row r="190" spans="1:9" ht="15.75" x14ac:dyDescent="0.3">
      <c r="A190" s="9">
        <v>45352</v>
      </c>
      <c r="B190" s="2">
        <f t="shared" si="26"/>
        <v>7325.6394393637283</v>
      </c>
      <c r="C190" s="12">
        <v>8.5000000000000006E-2</v>
      </c>
      <c r="D190" s="2">
        <f t="shared" ca="1" si="19"/>
        <v>28.733333333333334</v>
      </c>
      <c r="E190" s="2">
        <f t="shared" ca="1" si="20"/>
        <v>8816.6105552586741</v>
      </c>
      <c r="F190" s="12">
        <f t="shared" ca="1" si="21"/>
        <v>0.20352777777777781</v>
      </c>
      <c r="G190" s="2">
        <f t="shared" ca="1" si="22"/>
        <v>8941.4880334844529</v>
      </c>
      <c r="H190" s="12">
        <f t="shared" ca="1" si="23"/>
        <v>0.22057440957824015</v>
      </c>
      <c r="I190" s="8" t="s">
        <v>13</v>
      </c>
    </row>
    <row r="191" spans="1:9" ht="15.75" x14ac:dyDescent="0.3">
      <c r="A191" s="9">
        <v>45383</v>
      </c>
      <c r="B191" s="2">
        <f t="shared" si="26"/>
        <v>7325.6394393637283</v>
      </c>
      <c r="C191" s="12">
        <v>8.5000000000000006E-2</v>
      </c>
      <c r="D191" s="2">
        <f t="shared" ca="1" si="19"/>
        <v>27.733333333333334</v>
      </c>
      <c r="E191" s="2">
        <f t="shared" ca="1" si="20"/>
        <v>8764.7206092298475</v>
      </c>
      <c r="F191" s="12">
        <f t="shared" ca="1" si="21"/>
        <v>0.19644444444444445</v>
      </c>
      <c r="G191" s="2">
        <f t="shared" ca="1" si="22"/>
        <v>8879.6760568250011</v>
      </c>
      <c r="H191" s="12">
        <f t="shared" ca="1" si="23"/>
        <v>0.21213665104929724</v>
      </c>
      <c r="I191" s="8" t="s">
        <v>13</v>
      </c>
    </row>
    <row r="192" spans="1:9" ht="15.75" x14ac:dyDescent="0.3">
      <c r="A192" s="9">
        <v>45413</v>
      </c>
      <c r="B192" s="2">
        <f t="shared" si="26"/>
        <v>7325.6394393637283</v>
      </c>
      <c r="C192" s="12">
        <v>8.5000000000000006E-2</v>
      </c>
      <c r="D192" s="2">
        <f t="shared" ca="1" si="19"/>
        <v>26.733333333333334</v>
      </c>
      <c r="E192" s="2">
        <f t="shared" ca="1" si="20"/>
        <v>8712.8306632010208</v>
      </c>
      <c r="F192" s="12">
        <f t="shared" ca="1" si="21"/>
        <v>0.18936111111111109</v>
      </c>
      <c r="G192" s="2">
        <f t="shared" ca="1" si="22"/>
        <v>8818.2913826955337</v>
      </c>
      <c r="H192" s="12">
        <f t="shared" ca="1" si="23"/>
        <v>0.20375722224481338</v>
      </c>
      <c r="I192" s="8" t="s">
        <v>13</v>
      </c>
    </row>
    <row r="193" spans="1:9" ht="15.75" x14ac:dyDescent="0.3">
      <c r="A193" s="9">
        <v>45444</v>
      </c>
      <c r="B193" s="2">
        <f t="shared" si="26"/>
        <v>7325.6394393637283</v>
      </c>
      <c r="C193" s="12">
        <v>8.5000000000000006E-2</v>
      </c>
      <c r="D193" s="2">
        <f t="shared" ca="1" si="19"/>
        <v>25.733333333333334</v>
      </c>
      <c r="E193" s="2">
        <f t="shared" ca="1" si="20"/>
        <v>8660.9407171721941</v>
      </c>
      <c r="F193" s="12">
        <f t="shared" ca="1" si="21"/>
        <v>0.18227777777777771</v>
      </c>
      <c r="G193" s="2">
        <f t="shared" ca="1" si="22"/>
        <v>8757.3310571789971</v>
      </c>
      <c r="H193" s="12">
        <f t="shared" ca="1" si="23"/>
        <v>0.19543571993486195</v>
      </c>
      <c r="I193" s="8" t="s">
        <v>13</v>
      </c>
    </row>
    <row r="194" spans="1:9" ht="15.75" x14ac:dyDescent="0.3">
      <c r="A194" s="9">
        <v>45474</v>
      </c>
      <c r="B194" s="2">
        <f t="shared" si="26"/>
        <v>7325.6394393637283</v>
      </c>
      <c r="C194" s="12">
        <v>8.5000000000000006E-2</v>
      </c>
      <c r="D194" s="2">
        <f t="shared" ca="1" si="19"/>
        <v>24.733333333333334</v>
      </c>
      <c r="E194" s="2">
        <f t="shared" ca="1" si="20"/>
        <v>8609.0507711433675</v>
      </c>
      <c r="F194" s="12">
        <f t="shared" ca="1" si="21"/>
        <v>0.17519444444444435</v>
      </c>
      <c r="G194" s="2">
        <f t="shared" ca="1" si="22"/>
        <v>8696.7921467785891</v>
      </c>
      <c r="H194" s="12">
        <f t="shared" ca="1" si="23"/>
        <v>0.18717174367702061</v>
      </c>
      <c r="I194" s="8" t="s">
        <v>13</v>
      </c>
    </row>
    <row r="195" spans="1:9" ht="15.75" x14ac:dyDescent="0.3">
      <c r="A195" s="9">
        <v>45505</v>
      </c>
      <c r="B195" s="2">
        <f t="shared" si="26"/>
        <v>7325.6394393637283</v>
      </c>
      <c r="C195" s="12">
        <v>8.5000000000000006E-2</v>
      </c>
      <c r="D195" s="2">
        <f t="shared" ca="1" si="19"/>
        <v>23.733333333333334</v>
      </c>
      <c r="E195" s="2">
        <f t="shared" ca="1" si="20"/>
        <v>8557.1608251145426</v>
      </c>
      <c r="F195" s="12">
        <f t="shared" ca="1" si="21"/>
        <v>0.16811111111111121</v>
      </c>
      <c r="G195" s="2">
        <f t="shared" ca="1" si="22"/>
        <v>8636.6717382765928</v>
      </c>
      <c r="H195" s="12">
        <f t="shared" ca="1" si="23"/>
        <v>0.1789648957971012</v>
      </c>
      <c r="I195" s="8" t="s">
        <v>13</v>
      </c>
    </row>
    <row r="196" spans="1:9" ht="15.75" x14ac:dyDescent="0.3">
      <c r="A196" s="9">
        <v>45536</v>
      </c>
      <c r="B196" s="2">
        <f t="shared" si="26"/>
        <v>7325.6394393637283</v>
      </c>
      <c r="C196" s="12">
        <v>8.5000000000000006E-2</v>
      </c>
      <c r="D196" s="2">
        <f t="shared" ca="1" si="19"/>
        <v>22.733333333333334</v>
      </c>
      <c r="E196" s="2">
        <f t="shared" ca="1" si="20"/>
        <v>8505.2708790857159</v>
      </c>
      <c r="F196" s="12">
        <f t="shared" ca="1" si="21"/>
        <v>0.16102777777777785</v>
      </c>
      <c r="G196" s="2">
        <f t="shared" ca="1" si="22"/>
        <v>8576.9669385942016</v>
      </c>
      <c r="H196" s="12">
        <f t="shared" ca="1" si="23"/>
        <v>0.17081478137001482</v>
      </c>
      <c r="I196" s="8" t="s">
        <v>13</v>
      </c>
    </row>
    <row r="197" spans="1:9" ht="15.75" x14ac:dyDescent="0.3">
      <c r="A197" s="9">
        <v>45566</v>
      </c>
      <c r="B197" s="2">
        <f t="shared" si="26"/>
        <v>7325.6394393637283</v>
      </c>
      <c r="C197" s="12">
        <v>8.5000000000000006E-2</v>
      </c>
      <c r="D197" s="2">
        <f t="shared" ca="1" si="19"/>
        <v>21.733333333333334</v>
      </c>
      <c r="E197" s="2">
        <f t="shared" ca="1" si="20"/>
        <v>8453.3809330568893</v>
      </c>
      <c r="F197" s="12">
        <f t="shared" ca="1" si="21"/>
        <v>0.15394444444444449</v>
      </c>
      <c r="G197" s="2">
        <f t="shared" ca="1" si="22"/>
        <v>8517.674874652279</v>
      </c>
      <c r="H197" s="12">
        <f t="shared" ca="1" si="23"/>
        <v>0.16272100820076471</v>
      </c>
      <c r="I197" s="8" t="s">
        <v>13</v>
      </c>
    </row>
    <row r="198" spans="1:9" ht="15.75" x14ac:dyDescent="0.3">
      <c r="A198" s="9">
        <v>45597</v>
      </c>
      <c r="B198" s="2">
        <f t="shared" si="26"/>
        <v>7325.6394393637283</v>
      </c>
      <c r="C198" s="12">
        <v>8.5000000000000006E-2</v>
      </c>
      <c r="D198" s="2">
        <f t="shared" ca="1" si="19"/>
        <v>20.733333333333334</v>
      </c>
      <c r="E198" s="2">
        <f t="shared" ca="1" si="20"/>
        <v>8401.4909870280626</v>
      </c>
      <c r="F198" s="12">
        <f t="shared" ca="1" si="21"/>
        <v>0.14686111111111111</v>
      </c>
      <c r="G198" s="2">
        <f t="shared" ca="1" si="22"/>
        <v>8458.7926932331266</v>
      </c>
      <c r="H198" s="12">
        <f t="shared" ca="1" si="23"/>
        <v>0.15468318680557649</v>
      </c>
      <c r="I198" s="8" t="s">
        <v>13</v>
      </c>
    </row>
    <row r="199" spans="1:9" ht="15.75" x14ac:dyDescent="0.3">
      <c r="A199" s="9">
        <v>45627</v>
      </c>
      <c r="B199" s="2">
        <f t="shared" si="26"/>
        <v>7325.6394393637283</v>
      </c>
      <c r="C199" s="12">
        <v>8.5000000000000006E-2</v>
      </c>
      <c r="D199" s="2">
        <f t="shared" ca="1" si="19"/>
        <v>19.733333333333334</v>
      </c>
      <c r="E199" s="2">
        <f t="shared" ca="1" si="20"/>
        <v>8349.6010409992359</v>
      </c>
      <c r="F199" s="12">
        <f t="shared" ca="1" si="21"/>
        <v>0.13977777777777775</v>
      </c>
      <c r="G199" s="2">
        <f t="shared" ca="1" si="22"/>
        <v>8400.3175608431629</v>
      </c>
      <c r="H199" s="12">
        <f t="shared" ca="1" si="23"/>
        <v>0.14670093039315299</v>
      </c>
      <c r="I199" s="8" t="s">
        <v>13</v>
      </c>
    </row>
    <row r="200" spans="1:9" ht="15.75" x14ac:dyDescent="0.3">
      <c r="A200" s="9">
        <v>45658</v>
      </c>
      <c r="B200" s="2">
        <f t="shared" si="26"/>
        <v>7325.6394393637283</v>
      </c>
      <c r="C200" s="12">
        <v>8.5000000000000006E-2</v>
      </c>
      <c r="D200" s="2">
        <f t="shared" ca="1" si="19"/>
        <v>18.733333333333334</v>
      </c>
      <c r="E200" s="2">
        <f t="shared" ca="1" si="20"/>
        <v>8297.7110949704092</v>
      </c>
      <c r="F200" s="12">
        <f t="shared" ca="1" si="21"/>
        <v>0.13269444444444436</v>
      </c>
      <c r="G200" s="2">
        <f t="shared" ca="1" si="22"/>
        <v>8342.2466635765832</v>
      </c>
      <c r="H200" s="12">
        <f t="shared" ca="1" si="23"/>
        <v>0.13877385484606278</v>
      </c>
      <c r="I200" s="8" t="s">
        <v>13</v>
      </c>
    </row>
    <row r="201" spans="1:9" ht="15.75" x14ac:dyDescent="0.3">
      <c r="A201" s="9">
        <v>45689</v>
      </c>
      <c r="B201" s="2">
        <f t="shared" si="26"/>
        <v>7325.6394393637283</v>
      </c>
      <c r="C201" s="12">
        <v>8.5000000000000006E-2</v>
      </c>
      <c r="D201" s="2">
        <f t="shared" ca="1" si="19"/>
        <v>17.733333333333334</v>
      </c>
      <c r="E201" s="2">
        <f t="shared" ca="1" si="20"/>
        <v>8245.8211489415844</v>
      </c>
      <c r="F201" s="12">
        <f t="shared" ca="1" si="21"/>
        <v>0.12561111111111126</v>
      </c>
      <c r="G201" s="2">
        <f t="shared" ca="1" si="22"/>
        <v>8284.5772069799459</v>
      </c>
      <c r="H201" s="12">
        <f t="shared" ca="1" si="23"/>
        <v>0.13090157870225544</v>
      </c>
      <c r="I201" s="8" t="s">
        <v>13</v>
      </c>
    </row>
    <row r="202" spans="1:9" ht="15.75" x14ac:dyDescent="0.3">
      <c r="A202" s="9">
        <v>45717</v>
      </c>
      <c r="B202" s="2">
        <f t="shared" ref="B202:B213" si="27">4019.75*1.11*1.08*1.06*1.11*1.05*1.15*1.07*1.1115</f>
        <v>8142.4482368527833</v>
      </c>
      <c r="C202" s="12">
        <v>8.5000000000000006E-2</v>
      </c>
      <c r="D202" s="2">
        <f t="shared" ca="1" si="19"/>
        <v>16.733333333333334</v>
      </c>
      <c r="E202" s="2">
        <f t="shared" ca="1" si="20"/>
        <v>9107.5545320375277</v>
      </c>
      <c r="F202" s="12">
        <f t="shared" ca="1" si="21"/>
        <v>0.11852777777777768</v>
      </c>
      <c r="G202" s="2">
        <f t="shared" ca="1" si="22"/>
        <v>9144.6510812925208</v>
      </c>
      <c r="H202" s="12">
        <f t="shared" ca="1" si="23"/>
        <v>0.12308372313670471</v>
      </c>
      <c r="I202" s="8" t="s">
        <v>13</v>
      </c>
    </row>
    <row r="203" spans="1:9" ht="15.75" x14ac:dyDescent="0.3">
      <c r="A203" s="9">
        <v>45748</v>
      </c>
      <c r="B203" s="2">
        <f t="shared" si="27"/>
        <v>8142.4482368527833</v>
      </c>
      <c r="C203" s="12">
        <v>8.5000000000000006E-2</v>
      </c>
      <c r="D203" s="2">
        <f t="shared" ca="1" si="19"/>
        <v>15.733333333333333</v>
      </c>
      <c r="E203" s="2">
        <f t="shared" ca="1" si="20"/>
        <v>9049.8788570264878</v>
      </c>
      <c r="F203" s="12">
        <f t="shared" ca="1" si="21"/>
        <v>0.11144444444444443</v>
      </c>
      <c r="G203" s="2">
        <f t="shared" ca="1" si="22"/>
        <v>9081.4346505285448</v>
      </c>
      <c r="H203" s="12">
        <f t="shared" ca="1" si="23"/>
        <v>0.11531991194317966</v>
      </c>
      <c r="I203" s="8" t="s">
        <v>13</v>
      </c>
    </row>
    <row r="204" spans="1:9" ht="15.75" x14ac:dyDescent="0.3">
      <c r="A204" s="9">
        <v>45778</v>
      </c>
      <c r="B204" s="2">
        <f t="shared" si="27"/>
        <v>8142.4482368527833</v>
      </c>
      <c r="C204" s="12">
        <v>8.5000000000000006E-2</v>
      </c>
      <c r="D204" s="2">
        <f t="shared" ca="1" si="19"/>
        <v>14.733333333333333</v>
      </c>
      <c r="E204" s="2">
        <f t="shared" ca="1" si="20"/>
        <v>8992.203182015448</v>
      </c>
      <c r="F204" s="12">
        <f t="shared" ca="1" si="21"/>
        <v>0.10436111111111118</v>
      </c>
      <c r="G204" s="2">
        <f t="shared" ca="1" si="22"/>
        <v>9018.6552312025124</v>
      </c>
      <c r="H204" s="12">
        <f t="shared" ca="1" si="23"/>
        <v>0.1076097715161405</v>
      </c>
      <c r="I204" s="8" t="s">
        <v>13</v>
      </c>
    </row>
    <row r="205" spans="1:9" ht="15.75" x14ac:dyDescent="0.3">
      <c r="A205" s="9">
        <v>45809</v>
      </c>
      <c r="B205" s="2">
        <f t="shared" si="27"/>
        <v>8142.4482368527833</v>
      </c>
      <c r="C205" s="12">
        <v>8.5000000000000006E-2</v>
      </c>
      <c r="D205" s="2">
        <f t="shared" ca="1" si="19"/>
        <v>13.733333333333333</v>
      </c>
      <c r="E205" s="2">
        <f t="shared" ca="1" si="20"/>
        <v>8934.5275070044063</v>
      </c>
      <c r="F205" s="12">
        <f t="shared" ca="1" si="21"/>
        <v>9.7277777777777699E-2</v>
      </c>
      <c r="G205" s="2">
        <f t="shared" ca="1" si="22"/>
        <v>8956.3098022802642</v>
      </c>
      <c r="H205" s="12">
        <f t="shared" ca="1" si="23"/>
        <v>9.9952930832760731E-2</v>
      </c>
      <c r="I205" s="8" t="s">
        <v>13</v>
      </c>
    </row>
    <row r="206" spans="1:9" ht="15.75" x14ac:dyDescent="0.3">
      <c r="A206" s="9">
        <v>45839</v>
      </c>
      <c r="B206" s="2">
        <f t="shared" si="27"/>
        <v>8142.4482368527833</v>
      </c>
      <c r="C206" s="12">
        <v>8.5000000000000006E-2</v>
      </c>
      <c r="D206" s="2">
        <f t="shared" ca="1" si="19"/>
        <v>12.733333333333333</v>
      </c>
      <c r="E206" s="2">
        <f t="shared" ca="1" si="20"/>
        <v>8876.8518319933664</v>
      </c>
      <c r="F206" s="12">
        <f t="shared" ca="1" si="21"/>
        <v>9.0194444444444452E-2</v>
      </c>
      <c r="G206" s="2">
        <f t="shared" ca="1" si="22"/>
        <v>8894.3953636118677</v>
      </c>
      <c r="H206" s="12">
        <f t="shared" ca="1" si="23"/>
        <v>9.2349021435072301E-2</v>
      </c>
      <c r="I206" s="8" t="s">
        <v>13</v>
      </c>
    </row>
    <row r="207" spans="1:9" ht="15.75" x14ac:dyDescent="0.3">
      <c r="A207" s="9">
        <v>45870</v>
      </c>
      <c r="B207" s="2">
        <f t="shared" si="27"/>
        <v>8142.4482368527833</v>
      </c>
      <c r="C207" s="12">
        <v>8.5000000000000006E-2</v>
      </c>
      <c r="D207" s="2">
        <f t="shared" ca="1" si="19"/>
        <v>11.733333333333333</v>
      </c>
      <c r="E207" s="2">
        <f t="shared" ca="1" si="20"/>
        <v>8819.1761569823266</v>
      </c>
      <c r="F207" s="12">
        <f t="shared" ca="1" si="21"/>
        <v>8.3111111111111205E-2</v>
      </c>
      <c r="G207" s="2">
        <f t="shared" ca="1" si="22"/>
        <v>8832.9089357872508</v>
      </c>
      <c r="H207" s="12">
        <f t="shared" ca="1" si="23"/>
        <v>8.4797677412235428E-2</v>
      </c>
      <c r="I207" s="8" t="s">
        <v>13</v>
      </c>
    </row>
    <row r="208" spans="1:9" ht="15.75" x14ac:dyDescent="0.3">
      <c r="A208" s="9">
        <v>45901</v>
      </c>
      <c r="B208" s="2">
        <f t="shared" si="27"/>
        <v>8142.4482368527833</v>
      </c>
      <c r="C208" s="12">
        <v>8.5000000000000006E-2</v>
      </c>
      <c r="D208" s="2">
        <f t="shared" ca="1" si="19"/>
        <v>10.733333333333333</v>
      </c>
      <c r="E208" s="2">
        <f t="shared" ca="1" si="20"/>
        <v>8761.5004819712849</v>
      </c>
      <c r="F208" s="12">
        <f t="shared" ca="1" si="21"/>
        <v>7.6027777777777736E-2</v>
      </c>
      <c r="G208" s="2">
        <f t="shared" ca="1" si="22"/>
        <v>8771.8475599928242</v>
      </c>
      <c r="H208" s="12">
        <f t="shared" ca="1" si="23"/>
        <v>7.7298535382930009E-2</v>
      </c>
      <c r="I208" s="8" t="s">
        <v>13</v>
      </c>
    </row>
    <row r="209" spans="1:9" ht="15.75" x14ac:dyDescent="0.3">
      <c r="A209" s="9">
        <v>45931</v>
      </c>
      <c r="B209" s="2">
        <f t="shared" si="27"/>
        <v>8142.4482368527833</v>
      </c>
      <c r="C209" s="12">
        <v>8.5000000000000006E-2</v>
      </c>
      <c r="D209" s="2">
        <f t="shared" ca="1" si="19"/>
        <v>9.7333333333333325</v>
      </c>
      <c r="E209" s="2">
        <f t="shared" ca="1" si="20"/>
        <v>8703.824806960245</v>
      </c>
      <c r="F209" s="12">
        <f t="shared" ca="1" si="21"/>
        <v>6.8944444444444489E-2</v>
      </c>
      <c r="G209" s="2">
        <f t="shared" ca="1" si="22"/>
        <v>8711.2082978691069</v>
      </c>
      <c r="H209" s="12">
        <f t="shared" ca="1" si="23"/>
        <v>6.9851234477870075E-2</v>
      </c>
      <c r="I209" s="8" t="s">
        <v>13</v>
      </c>
    </row>
    <row r="210" spans="1:9" ht="15.75" x14ac:dyDescent="0.3">
      <c r="A210" s="9">
        <v>45962</v>
      </c>
      <c r="B210" s="2">
        <f t="shared" si="27"/>
        <v>8142.4482368527833</v>
      </c>
      <c r="C210" s="12">
        <v>8.5000000000000006E-2</v>
      </c>
      <c r="D210" s="2">
        <f t="shared" ca="1" si="19"/>
        <v>8.7333333333333325</v>
      </c>
      <c r="E210" s="2">
        <f t="shared" ca="1" si="20"/>
        <v>8646.1491319492034</v>
      </c>
      <c r="F210" s="12">
        <f t="shared" ca="1" si="21"/>
        <v>6.186111111111102E-2</v>
      </c>
      <c r="G210" s="2">
        <f t="shared" ca="1" si="22"/>
        <v>8650.9882313693161</v>
      </c>
      <c r="H210" s="12">
        <f t="shared" ca="1" si="23"/>
        <v>6.2455416322436882E-2</v>
      </c>
      <c r="I210" s="8" t="s">
        <v>13</v>
      </c>
    </row>
    <row r="211" spans="1:9" ht="15.75" x14ac:dyDescent="0.3">
      <c r="A211" s="9">
        <v>45992</v>
      </c>
      <c r="B211" s="2">
        <f t="shared" si="27"/>
        <v>8142.4482368527833</v>
      </c>
      <c r="C211" s="12">
        <v>8.5000000000000006E-2</v>
      </c>
      <c r="D211" s="2">
        <f t="shared" ca="1" si="19"/>
        <v>7.7333333333333334</v>
      </c>
      <c r="E211" s="2">
        <f t="shared" ca="1" si="20"/>
        <v>8588.4734569381635</v>
      </c>
      <c r="F211" s="12">
        <f t="shared" ca="1" si="21"/>
        <v>5.4777777777777766E-2</v>
      </c>
      <c r="G211" s="2">
        <f t="shared" ca="1" si="22"/>
        <v>8591.1844626189577</v>
      </c>
      <c r="H211" s="12">
        <f t="shared" ca="1" si="23"/>
        <v>5.5110725019434662E-2</v>
      </c>
      <c r="I211" s="8" t="s">
        <v>13</v>
      </c>
    </row>
    <row r="212" spans="1:9" ht="15.75" x14ac:dyDescent="0.3">
      <c r="A212" s="9">
        <v>46023</v>
      </c>
      <c r="B212" s="2">
        <f t="shared" si="27"/>
        <v>8142.4482368527833</v>
      </c>
      <c r="C212" s="12">
        <v>8.5000000000000006E-2</v>
      </c>
      <c r="D212" s="2">
        <f t="shared" ref="D212" ca="1" si="28">(DAYS360(A212,NOW(),TRUE))/30</f>
        <v>6.7333333333333334</v>
      </c>
      <c r="E212" s="2">
        <f t="shared" ref="E212" ca="1" si="29">SUM(B212,B212* C212*D212/12)</f>
        <v>8530.7977819271237</v>
      </c>
      <c r="F212" s="12">
        <f t="shared" ref="F212" ca="1" si="30">(E212-B212)/B212</f>
        <v>4.7694444444444518E-2</v>
      </c>
      <c r="G212" s="2">
        <f t="shared" ref="G212" ca="1" si="31">PRODUCT(B212,POWER((1+C212/2),2*D212/12))</f>
        <v>8531.7941137763719</v>
      </c>
      <c r="H212" s="12">
        <f t="shared" ref="H212" ca="1" si="32">(G212-B212)/B212</f>
        <v>4.7816807131963839E-2</v>
      </c>
      <c r="I212" s="8" t="s">
        <v>13</v>
      </c>
    </row>
    <row r="213" spans="1:9" ht="15.75" x14ac:dyDescent="0.3">
      <c r="A213" s="9">
        <v>46054</v>
      </c>
      <c r="B213" s="2">
        <f t="shared" si="27"/>
        <v>8142.4482368527833</v>
      </c>
      <c r="C213" s="12">
        <v>8.5000000000000006E-2</v>
      </c>
      <c r="D213" s="2">
        <f t="shared" ca="1" si="19"/>
        <v>5.7333333333333334</v>
      </c>
      <c r="E213" s="2">
        <f t="shared" ca="1" si="20"/>
        <v>8473.122106916082</v>
      </c>
      <c r="F213" s="12">
        <f t="shared" ca="1" si="21"/>
        <v>4.0611111111111049E-2</v>
      </c>
      <c r="G213" s="2">
        <f t="shared" ca="1" si="22"/>
        <v>8472.8143268942458</v>
      </c>
      <c r="H213" s="12">
        <f t="shared" ca="1" si="23"/>
        <v>4.057331166641294E-2</v>
      </c>
      <c r="I213" s="8" t="s">
        <v>13</v>
      </c>
    </row>
    <row r="214" spans="1:9" ht="15.75" x14ac:dyDescent="0.3">
      <c r="A214" s="9">
        <v>46082</v>
      </c>
      <c r="B214" s="2">
        <f>4019.75*1.11*1.08*1.06*1.11*1.05*1.15*1.07*1.1115*1.0503</f>
        <v>8552.0133831664789</v>
      </c>
      <c r="C214" s="12">
        <v>8.5000000000000006E-2</v>
      </c>
      <c r="D214" s="2">
        <f t="shared" ref="D214:D217" ca="1" si="33">(DAYS360(A214,NOW(),TRUE))/30</f>
        <v>4.7333333333333334</v>
      </c>
      <c r="E214" s="2">
        <f t="shared" ref="E214:E217" ca="1" si="34">SUM(B214,B214* C214*D214/12)</f>
        <v>8838.7433874298658</v>
      </c>
      <c r="F214" s="12">
        <f t="shared" ref="F214:F217" ca="1" si="35">(E214-B214)/B214</f>
        <v>3.3527777777777747E-2</v>
      </c>
      <c r="G214" s="2">
        <f t="shared" ref="G214:G217" ca="1" si="36">PRODUCT(B214,POWER((1+C214/2),2*D214/12))</f>
        <v>8837.4786496503257</v>
      </c>
      <c r="H214" s="12">
        <f t="shared" ref="H214:H217" ca="1" si="37">(G214-B214)/B214</f>
        <v>3.337989005556842E-2</v>
      </c>
      <c r="I214" s="8" t="s">
        <v>13</v>
      </c>
    </row>
    <row r="215" spans="1:9" ht="15.75" x14ac:dyDescent="0.3">
      <c r="A215" s="9">
        <v>46113</v>
      </c>
      <c r="B215" s="2">
        <f>4019.75*1.11*1.08*1.06*1.11*1.05*1.15*1.07*1.1115*1.0503</f>
        <v>8552.0133831664789</v>
      </c>
      <c r="C215" s="12">
        <v>8.5000000000000006E-2</v>
      </c>
      <c r="D215" s="2">
        <f t="shared" ca="1" si="33"/>
        <v>3.7333333333333334</v>
      </c>
      <c r="E215" s="2">
        <f t="shared" ca="1" si="34"/>
        <v>8778.1666259657704</v>
      </c>
      <c r="F215" s="12">
        <f t="shared" ca="1" si="35"/>
        <v>2.6444444444444468E-2</v>
      </c>
      <c r="G215" s="2">
        <f t="shared" ca="1" si="36"/>
        <v>8776.3856836948908</v>
      </c>
      <c r="H215" s="12">
        <f t="shared" ca="1" si="37"/>
        <v>2.6236196141841805E-2</v>
      </c>
      <c r="I215" s="8" t="s">
        <v>13</v>
      </c>
    </row>
    <row r="216" spans="1:9" ht="15.75" x14ac:dyDescent="0.3">
      <c r="A216" s="9">
        <v>46143</v>
      </c>
      <c r="B216" s="2">
        <f>4019.75*1.11*1.08*1.06*1.11*1.05*1.15*1.07*1.1115*1.0503</f>
        <v>8552.0133831664789</v>
      </c>
      <c r="C216" s="12">
        <v>8.5000000000000006E-2</v>
      </c>
      <c r="D216" s="2">
        <f t="shared" ca="1" si="33"/>
        <v>2.7333333333333334</v>
      </c>
      <c r="E216" s="2">
        <f t="shared" ca="1" si="34"/>
        <v>8717.589864501675</v>
      </c>
      <c r="F216" s="12">
        <f t="shared" ca="1" si="35"/>
        <v>1.9361111111111193E-2</v>
      </c>
      <c r="G216" s="2">
        <f t="shared" ca="1" si="36"/>
        <v>8715.7150497910734</v>
      </c>
      <c r="H216" s="12">
        <f t="shared" ca="1" si="37"/>
        <v>1.9141886160611004E-2</v>
      </c>
      <c r="I216" s="8" t="s">
        <v>13</v>
      </c>
    </row>
    <row r="217" spans="1:9" ht="15.75" x14ac:dyDescent="0.3">
      <c r="A217" s="9">
        <v>46174</v>
      </c>
      <c r="B217" s="2">
        <f>4019.75*1.11*1.08*1.06*1.11*1.05*1.15*1.07*1.1115*1.0503</f>
        <v>8552.0133831664789</v>
      </c>
      <c r="C217" s="12">
        <v>8.5000000000000006E-2</v>
      </c>
      <c r="D217" s="2">
        <f t="shared" ca="1" si="33"/>
        <v>1.7333333333333334</v>
      </c>
      <c r="E217" s="2">
        <f t="shared" ca="1" si="34"/>
        <v>8657.0131030375778</v>
      </c>
      <c r="F217" s="12">
        <f t="shared" ca="1" si="35"/>
        <v>1.2277777777777705E-2</v>
      </c>
      <c r="G217" s="2">
        <f t="shared" ca="1" si="36"/>
        <v>8655.4638283824388</v>
      </c>
      <c r="H217" s="12">
        <f t="shared" ca="1" si="37"/>
        <v>1.2096618723678404E-2</v>
      </c>
      <c r="I217" s="8" t="s">
        <v>13</v>
      </c>
    </row>
    <row r="218" spans="1:9" ht="15.75" x14ac:dyDescent="0.3">
      <c r="A218" s="9">
        <v>46204</v>
      </c>
      <c r="B218" s="2">
        <f>4019.75*1.11*1.08*1.06*1.11*1.05*1.15*1.07*1.1115*1.0503</f>
        <v>8552.0133831664789</v>
      </c>
      <c r="C218" s="12">
        <v>8.5000000000000006E-2</v>
      </c>
      <c r="D218" s="2">
        <f t="shared" ca="1" si="0"/>
        <v>0.73333333333333328</v>
      </c>
      <c r="E218" s="2">
        <f t="shared" ca="1" si="1"/>
        <v>8596.4363415734824</v>
      </c>
      <c r="F218" s="12">
        <f t="shared" ca="1" si="2"/>
        <v>5.1944444444444304E-3</v>
      </c>
      <c r="G218" s="2">
        <f t="shared" ca="1" si="3"/>
        <v>8595.6291200952746</v>
      </c>
      <c r="H218" s="12">
        <f t="shared" ca="1" si="4"/>
        <v>5.1000548028429914E-3</v>
      </c>
      <c r="I218" s="8" t="s">
        <v>13</v>
      </c>
    </row>
    <row r="219" spans="1:9" ht="15.75" x14ac:dyDescent="0.3">
      <c r="A219" s="13"/>
      <c r="B219" s="2">
        <f>SUM(B2:B218)</f>
        <v>1010324.4033906562</v>
      </c>
      <c r="C219" s="16"/>
      <c r="D219" s="16"/>
      <c r="E219" s="2">
        <f ca="1">SUM(E2:E218)</f>
        <v>1594387.0914315011</v>
      </c>
      <c r="F219" s="13"/>
      <c r="G219" s="2">
        <f ca="1">SUM(G2:G218)</f>
        <v>1932204.1877639587</v>
      </c>
      <c r="H219" s="15"/>
      <c r="I219" s="16"/>
    </row>
    <row r="224" spans="1:9" ht="15.75" x14ac:dyDescent="0.3">
      <c r="E224" s="30" t="s">
        <v>35</v>
      </c>
      <c r="F224" s="2">
        <v>218123.76249999998</v>
      </c>
    </row>
    <row r="225" spans="5:6" ht="15.75" x14ac:dyDescent="0.3">
      <c r="E225" s="30" t="s">
        <v>36</v>
      </c>
      <c r="F225" s="2">
        <f ca="1">(TODAY()-DATE(2008,6,16))/365</f>
        <v>18.112328767123287</v>
      </c>
    </row>
    <row r="226" spans="5:6" x14ac:dyDescent="0.25">
      <c r="E226" s="31" t="s">
        <v>37</v>
      </c>
      <c r="F226" s="32">
        <f ca="1">F224*F225*15/26</f>
        <v>2279266.9028780293</v>
      </c>
    </row>
  </sheetData>
  <autoFilter ref="A1:I1" xr:uid="{00000000-0009-0000-0000-000001000000}"/>
  <pageMargins left="0.7" right="0.7" top="0.75" bottom="0.75" header="0.3" footer="0.3"/>
  <pageSetup orientation="portrait" r:id="rId1"/>
  <headerFooter>
    <oddFooter>&amp;LLevel 1 –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P572"/>
  <sheetViews>
    <sheetView zoomScale="85" zoomScaleNormal="85" workbookViewId="0">
      <pane xSplit="2" ySplit="1" topLeftCell="C534" activePane="bottomRight" state="frozen"/>
      <selection pane="topRight" activeCell="C1" sqref="C1"/>
      <selection pane="bottomLeft" activeCell="A2" sqref="A2"/>
      <selection pane="bottomRight" activeCell="L549" sqref="L549"/>
    </sheetView>
  </sheetViews>
  <sheetFormatPr defaultRowHeight="15" x14ac:dyDescent="0.25"/>
  <cols>
    <col min="1" max="1" width="56.7109375" style="33" bestFit="1" customWidth="1"/>
    <col min="2" max="2" width="15.42578125" style="33" bestFit="1" customWidth="1"/>
    <col min="3" max="3" width="19.85546875" style="33" bestFit="1" customWidth="1"/>
    <col min="4" max="4" width="20" style="33" bestFit="1" customWidth="1"/>
    <col min="5" max="5" width="20" style="33" customWidth="1"/>
    <col min="6" max="6" width="14.42578125" style="33" bestFit="1" customWidth="1"/>
    <col min="7" max="7" width="10.7109375" style="33" bestFit="1" customWidth="1"/>
    <col min="8" max="8" width="11.85546875" style="33" bestFit="1" customWidth="1"/>
    <col min="9" max="9" width="12.5703125" style="33" bestFit="1" customWidth="1"/>
    <col min="10" max="10" width="18.28515625" style="33" bestFit="1" customWidth="1"/>
    <col min="11" max="11" width="15.5703125" style="33" bestFit="1" customWidth="1"/>
    <col min="12" max="12" width="18.28515625" style="33" bestFit="1" customWidth="1"/>
    <col min="13" max="13" width="21" style="33" bestFit="1" customWidth="1"/>
    <col min="14" max="14" width="15.42578125" style="33" bestFit="1" customWidth="1"/>
    <col min="15" max="15" width="15.5703125" style="33" bestFit="1" customWidth="1"/>
    <col min="16" max="16" width="14.42578125" style="33" bestFit="1" customWidth="1"/>
    <col min="17" max="17" width="9.140625" style="33"/>
    <col min="18" max="18" width="11.42578125" style="33" bestFit="1" customWidth="1"/>
    <col min="19" max="16384" width="9.140625" style="33"/>
  </cols>
  <sheetData>
    <row r="1" spans="1:16" ht="26.25" x14ac:dyDescent="0.25">
      <c r="A1" s="53" t="s">
        <v>54</v>
      </c>
      <c r="B1" s="53" t="s">
        <v>53</v>
      </c>
      <c r="C1" s="54" t="s">
        <v>52</v>
      </c>
      <c r="D1" s="53" t="s">
        <v>51</v>
      </c>
      <c r="E1" s="53" t="s">
        <v>50</v>
      </c>
      <c r="F1" s="54" t="s">
        <v>1</v>
      </c>
      <c r="G1" s="54" t="s">
        <v>49</v>
      </c>
      <c r="H1" s="54" t="s">
        <v>48</v>
      </c>
      <c r="I1" s="53" t="s">
        <v>47</v>
      </c>
      <c r="J1" s="54" t="s">
        <v>46</v>
      </c>
      <c r="K1" s="53" t="s">
        <v>45</v>
      </c>
      <c r="L1" s="54" t="s">
        <v>17</v>
      </c>
      <c r="M1" s="54" t="s">
        <v>18</v>
      </c>
      <c r="N1" s="54" t="s">
        <v>3</v>
      </c>
      <c r="O1" s="53" t="s">
        <v>19</v>
      </c>
      <c r="P1" s="53" t="s">
        <v>60</v>
      </c>
    </row>
    <row r="2" spans="1:16" ht="15.75" x14ac:dyDescent="0.3">
      <c r="A2" s="52" t="s">
        <v>44</v>
      </c>
      <c r="B2" s="50">
        <v>42550</v>
      </c>
      <c r="C2" s="47">
        <v>33840</v>
      </c>
      <c r="D2" s="47">
        <v>162.13</v>
      </c>
      <c r="E2" s="47">
        <v>11.08</v>
      </c>
      <c r="F2" s="47">
        <f t="shared" ref="F2:F10" si="0">SUM(C2:E2)</f>
        <v>34013.21</v>
      </c>
      <c r="G2" s="47">
        <f t="shared" ref="G2:G10" si="1">F2/H2</f>
        <v>20.514831163321833</v>
      </c>
      <c r="H2" s="49">
        <f>1660.3244*0.999177025*0.999411364803949</f>
        <v>1657.9814734625611</v>
      </c>
      <c r="I2" s="56">
        <v>74.919499999999999</v>
      </c>
      <c r="J2" s="47">
        <f t="shared" ref="J2:J10" si="2">PRODUCT(H2:I2)</f>
        <v>124215.14300107835</v>
      </c>
      <c r="K2" s="49">
        <f>0</f>
        <v>0</v>
      </c>
      <c r="L2" s="48">
        <f t="shared" ref="L2:L10" si="3">SUM(-F2,J2)+K2</f>
        <v>90201.933001078345</v>
      </c>
      <c r="M2" s="46">
        <f t="shared" ref="M2:M10" si="4">L2/F2</f>
        <v>2.6519676620077419</v>
      </c>
      <c r="N2" s="47">
        <f t="shared" ref="N2:N10" ca="1" si="5">(DAYS360(B2,NOW(),TRUE))/30</f>
        <v>120.8</v>
      </c>
      <c r="O2" s="46">
        <f t="shared" ref="O2:O10" ca="1" si="6">M2*12/N2</f>
        <v>0.26344049622593463</v>
      </c>
      <c r="P2" s="47">
        <f>-F2</f>
        <v>-34013.21</v>
      </c>
    </row>
    <row r="3" spans="1:16" ht="15.75" x14ac:dyDescent="0.3">
      <c r="A3" s="51" t="s">
        <v>43</v>
      </c>
      <c r="B3" s="50">
        <v>42550</v>
      </c>
      <c r="C3" s="47">
        <v>20445</v>
      </c>
      <c r="D3" s="47">
        <v>97.95</v>
      </c>
      <c r="E3" s="47">
        <v>6.65</v>
      </c>
      <c r="F3" s="47">
        <f t="shared" si="0"/>
        <v>20549.600000000002</v>
      </c>
      <c r="G3" s="47">
        <f t="shared" si="1"/>
        <v>20.339562682088062</v>
      </c>
      <c r="H3" s="49">
        <f>1011.7542*0.999177217*0.999411225111679</f>
        <v>1010.3265405060507</v>
      </c>
      <c r="I3" s="56">
        <v>46.404400000000003</v>
      </c>
      <c r="J3" s="47">
        <f t="shared" si="2"/>
        <v>46883.596916258983</v>
      </c>
      <c r="K3" s="49">
        <f>0</f>
        <v>0</v>
      </c>
      <c r="L3" s="48">
        <f t="shared" si="3"/>
        <v>26333.99691625898</v>
      </c>
      <c r="M3" s="46">
        <f t="shared" si="4"/>
        <v>1.2814846476943094</v>
      </c>
      <c r="N3" s="47">
        <f t="shared" ca="1" si="5"/>
        <v>120.8</v>
      </c>
      <c r="O3" s="46">
        <f t="shared" ca="1" si="6"/>
        <v>0.12729979943983205</v>
      </c>
      <c r="P3" s="47">
        <f t="shared" ref="P3:P66" si="7">-F3</f>
        <v>-20549.600000000002</v>
      </c>
    </row>
    <row r="4" spans="1:16" ht="15.75" x14ac:dyDescent="0.3">
      <c r="A4" s="51" t="s">
        <v>42</v>
      </c>
      <c r="B4" s="50">
        <v>42550</v>
      </c>
      <c r="C4" s="47">
        <v>16215</v>
      </c>
      <c r="D4" s="47">
        <v>77.69</v>
      </c>
      <c r="E4" s="47">
        <v>5.28</v>
      </c>
      <c r="F4" s="47">
        <f t="shared" si="0"/>
        <v>16297.970000000001</v>
      </c>
      <c r="G4" s="47">
        <f t="shared" si="1"/>
        <v>17.731893352731557</v>
      </c>
      <c r="H4" s="49">
        <f>920.432*0.999176266*0.999412058004736</f>
        <v>919.13309401273477</v>
      </c>
      <c r="I4" s="56">
        <v>38.984900000000003</v>
      </c>
      <c r="J4" s="47">
        <f t="shared" si="2"/>
        <v>35832.311756777068</v>
      </c>
      <c r="K4" s="49">
        <f>0</f>
        <v>0</v>
      </c>
      <c r="L4" s="48">
        <f t="shared" si="3"/>
        <v>19534.341756777067</v>
      </c>
      <c r="M4" s="46">
        <f t="shared" si="4"/>
        <v>1.1985751450503999</v>
      </c>
      <c r="N4" s="47">
        <f t="shared" ca="1" si="5"/>
        <v>120.8</v>
      </c>
      <c r="O4" s="46">
        <f t="shared" ca="1" si="6"/>
        <v>0.11906375613083442</v>
      </c>
      <c r="P4" s="47">
        <f t="shared" si="7"/>
        <v>-16297.970000000001</v>
      </c>
    </row>
    <row r="5" spans="1:16" ht="15.75" x14ac:dyDescent="0.3">
      <c r="A5" s="52" t="s">
        <v>44</v>
      </c>
      <c r="B5" s="50">
        <v>42556</v>
      </c>
      <c r="C5" s="47">
        <f>8332.98*48%</f>
        <v>3999.8303999999998</v>
      </c>
      <c r="D5" s="47">
        <f t="shared" ref="D5:D10" si="8">C5*0.25%*1.155</f>
        <v>11.54951028</v>
      </c>
      <c r="E5" s="47">
        <v>0</v>
      </c>
      <c r="F5" s="47">
        <f t="shared" si="0"/>
        <v>4011.3799102799999</v>
      </c>
      <c r="G5" s="47">
        <f t="shared" si="1"/>
        <v>21.850964139026843</v>
      </c>
      <c r="H5" s="49">
        <f>183.8385*0.999177025*0.999411364803949</f>
        <v>183.57908075623482</v>
      </c>
      <c r="I5" s="56">
        <v>74.919499999999999</v>
      </c>
      <c r="J5" s="47">
        <f t="shared" si="2"/>
        <v>13753.652940716735</v>
      </c>
      <c r="K5" s="49">
        <f>0</f>
        <v>0</v>
      </c>
      <c r="L5" s="48">
        <f t="shared" si="3"/>
        <v>9742.2730304367342</v>
      </c>
      <c r="M5" s="46">
        <f t="shared" si="4"/>
        <v>2.4286587778609854</v>
      </c>
      <c r="N5" s="47">
        <f t="shared" ca="1" si="5"/>
        <v>120.6</v>
      </c>
      <c r="O5" s="46">
        <f t="shared" ca="1" si="6"/>
        <v>0.24165758983691399</v>
      </c>
      <c r="P5" s="47">
        <f t="shared" si="7"/>
        <v>-4011.3799102799999</v>
      </c>
    </row>
    <row r="6" spans="1:16" ht="15.75" x14ac:dyDescent="0.3">
      <c r="A6" s="51" t="s">
        <v>43</v>
      </c>
      <c r="B6" s="50">
        <v>42556</v>
      </c>
      <c r="C6" s="47">
        <f>8332.98*29%</f>
        <v>2416.5641999999998</v>
      </c>
      <c r="D6" s="47">
        <f t="shared" si="8"/>
        <v>6.9778291274999997</v>
      </c>
      <c r="E6" s="47">
        <v>0</v>
      </c>
      <c r="F6" s="47">
        <f t="shared" si="0"/>
        <v>2423.5420291275</v>
      </c>
      <c r="G6" s="47">
        <f t="shared" si="1"/>
        <v>21.392031842148853</v>
      </c>
      <c r="H6" s="49">
        <f>113.4519*0.999177217*0.999411225111679</f>
        <v>113.29181103556418</v>
      </c>
      <c r="I6" s="56">
        <v>46.404400000000003</v>
      </c>
      <c r="J6" s="47">
        <f t="shared" si="2"/>
        <v>5257.238516018735</v>
      </c>
      <c r="K6" s="49">
        <f>0</f>
        <v>0</v>
      </c>
      <c r="L6" s="48">
        <f t="shared" si="3"/>
        <v>2833.6964868912351</v>
      </c>
      <c r="M6" s="46">
        <f t="shared" si="4"/>
        <v>1.169237608770249</v>
      </c>
      <c r="N6" s="47">
        <f t="shared" ca="1" si="5"/>
        <v>120.6</v>
      </c>
      <c r="O6" s="46">
        <f t="shared" ca="1" si="6"/>
        <v>0.11634205062390536</v>
      </c>
      <c r="P6" s="47">
        <f t="shared" si="7"/>
        <v>-2423.5420291275</v>
      </c>
    </row>
    <row r="7" spans="1:16" ht="15.75" x14ac:dyDescent="0.3">
      <c r="A7" s="51" t="s">
        <v>42</v>
      </c>
      <c r="B7" s="50">
        <v>42556</v>
      </c>
      <c r="C7" s="47">
        <f>8332.98*23%</f>
        <v>1916.5853999999999</v>
      </c>
      <c r="D7" s="47">
        <f t="shared" si="8"/>
        <v>5.5341403424999998</v>
      </c>
      <c r="E7" s="47">
        <v>0</v>
      </c>
      <c r="F7" s="47">
        <f t="shared" si="0"/>
        <v>1922.1195403424999</v>
      </c>
      <c r="G7" s="47">
        <f t="shared" si="1"/>
        <v>18.607929420123</v>
      </c>
      <c r="H7" s="49">
        <f>103.4417*0.999176266*0.999412058004736</f>
        <v>103.29572393282405</v>
      </c>
      <c r="I7" s="56">
        <v>38.984900000000003</v>
      </c>
      <c r="J7" s="47">
        <f t="shared" si="2"/>
        <v>4026.9734679487524</v>
      </c>
      <c r="K7" s="49">
        <f>0</f>
        <v>0</v>
      </c>
      <c r="L7" s="48">
        <f t="shared" si="3"/>
        <v>2104.8539276062525</v>
      </c>
      <c r="M7" s="46">
        <f t="shared" si="4"/>
        <v>1.0950692105399393</v>
      </c>
      <c r="N7" s="47">
        <f t="shared" ca="1" si="5"/>
        <v>120.6</v>
      </c>
      <c r="O7" s="46">
        <f t="shared" ca="1" si="6"/>
        <v>0.10896211050148651</v>
      </c>
      <c r="P7" s="47">
        <f t="shared" si="7"/>
        <v>-1922.1195403424999</v>
      </c>
    </row>
    <row r="8" spans="1:16" ht="15.75" x14ac:dyDescent="0.3">
      <c r="A8" s="52" t="s">
        <v>44</v>
      </c>
      <c r="B8" s="50">
        <v>42577</v>
      </c>
      <c r="C8" s="47">
        <f>16665.95*48%</f>
        <v>7999.6559999999999</v>
      </c>
      <c r="D8" s="47">
        <f t="shared" si="8"/>
        <v>23.0990067</v>
      </c>
      <c r="E8" s="47">
        <v>0</v>
      </c>
      <c r="F8" s="47">
        <f t="shared" si="0"/>
        <v>8022.7550067000002</v>
      </c>
      <c r="G8" s="47">
        <f t="shared" si="1"/>
        <v>22.502112902772875</v>
      </c>
      <c r="H8" s="49">
        <f>356.7434*0.999411364803949</f>
        <v>356.53340827880112</v>
      </c>
      <c r="I8" s="56">
        <v>74.919499999999999</v>
      </c>
      <c r="J8" s="47">
        <f t="shared" si="2"/>
        <v>26711.304681543639</v>
      </c>
      <c r="K8" s="49">
        <f>0</f>
        <v>0</v>
      </c>
      <c r="L8" s="48">
        <f t="shared" si="3"/>
        <v>18688.549674843638</v>
      </c>
      <c r="M8" s="46">
        <f t="shared" si="4"/>
        <v>2.3294428982608055</v>
      </c>
      <c r="N8" s="47">
        <f t="shared" ca="1" si="5"/>
        <v>119.9</v>
      </c>
      <c r="O8" s="46">
        <f t="shared" ca="1" si="6"/>
        <v>0.23313857196938836</v>
      </c>
      <c r="P8" s="47">
        <f t="shared" si="7"/>
        <v>-8022.7550067000002</v>
      </c>
    </row>
    <row r="9" spans="1:16" ht="15.75" x14ac:dyDescent="0.3">
      <c r="A9" s="51" t="s">
        <v>43</v>
      </c>
      <c r="B9" s="50">
        <v>42577</v>
      </c>
      <c r="C9" s="47">
        <f>16665.95*29%</f>
        <v>4833.1255000000001</v>
      </c>
      <c r="D9" s="47">
        <f t="shared" si="8"/>
        <v>13.95564988125</v>
      </c>
      <c r="E9" s="47">
        <v>0</v>
      </c>
      <c r="F9" s="47">
        <f t="shared" si="0"/>
        <v>4847.08114988125</v>
      </c>
      <c r="G9" s="47">
        <f t="shared" si="1"/>
        <v>21.678775668689298</v>
      </c>
      <c r="H9" s="49">
        <f>223.7182*0.999411225111679</f>
        <v>223.58648034177963</v>
      </c>
      <c r="I9" s="56">
        <v>46.404400000000003</v>
      </c>
      <c r="J9" s="47">
        <f t="shared" si="2"/>
        <v>10375.396468372079</v>
      </c>
      <c r="K9" s="49">
        <f>0</f>
        <v>0</v>
      </c>
      <c r="L9" s="48">
        <f t="shared" si="3"/>
        <v>5528.3153184908288</v>
      </c>
      <c r="M9" s="46">
        <f t="shared" si="4"/>
        <v>1.1405452369259939</v>
      </c>
      <c r="N9" s="47">
        <f t="shared" ca="1" si="5"/>
        <v>119.9</v>
      </c>
      <c r="O9" s="46">
        <f t="shared" ca="1" si="6"/>
        <v>0.11414964839959904</v>
      </c>
      <c r="P9" s="47">
        <f t="shared" si="7"/>
        <v>-4847.08114988125</v>
      </c>
    </row>
    <row r="10" spans="1:16" ht="15.75" x14ac:dyDescent="0.3">
      <c r="A10" s="51" t="s">
        <v>42</v>
      </c>
      <c r="B10" s="50">
        <v>42577</v>
      </c>
      <c r="C10" s="47">
        <f>16665.95*23%</f>
        <v>3833.1685000000002</v>
      </c>
      <c r="D10" s="47">
        <f t="shared" si="8"/>
        <v>11.06827404375</v>
      </c>
      <c r="E10" s="47">
        <v>0</v>
      </c>
      <c r="F10" s="47">
        <f t="shared" si="0"/>
        <v>3844.2367740437503</v>
      </c>
      <c r="G10" s="47">
        <f t="shared" si="1"/>
        <v>19.023772143548477</v>
      </c>
      <c r="H10" s="49">
        <f>202.1943*0.999412058004736</f>
        <v>202.07542147982699</v>
      </c>
      <c r="I10" s="56">
        <v>38.984900000000003</v>
      </c>
      <c r="J10" s="47">
        <f t="shared" si="2"/>
        <v>7877.8900988489077</v>
      </c>
      <c r="K10" s="49">
        <f>0</f>
        <v>0</v>
      </c>
      <c r="L10" s="48">
        <f t="shared" si="3"/>
        <v>4033.6533248051574</v>
      </c>
      <c r="M10" s="46">
        <f t="shared" si="4"/>
        <v>1.0492728627019923</v>
      </c>
      <c r="N10" s="47">
        <f t="shared" ca="1" si="5"/>
        <v>119.9</v>
      </c>
      <c r="O10" s="46">
        <f t="shared" ca="1" si="6"/>
        <v>0.10501479860236786</v>
      </c>
      <c r="P10" s="47">
        <f t="shared" si="7"/>
        <v>-3844.2367740437503</v>
      </c>
    </row>
    <row r="11" spans="1:16" ht="15.75" x14ac:dyDescent="0.3">
      <c r="A11" s="52" t="s">
        <v>44</v>
      </c>
      <c r="B11" s="50">
        <v>42587</v>
      </c>
      <c r="C11" s="47">
        <f>9249.33*48%</f>
        <v>4439.6783999999998</v>
      </c>
      <c r="D11" s="47">
        <f t="shared" ref="D11:D19" si="9">C11*0.25%*1.155</f>
        <v>12.819571379999999</v>
      </c>
      <c r="E11" s="47">
        <v>0</v>
      </c>
      <c r="F11" s="47">
        <f t="shared" ref="F11:F13" si="10">SUM(C11:E11)</f>
        <v>4452.4979713799994</v>
      </c>
      <c r="G11" s="47">
        <f t="shared" ref="G11:G28" si="11">F11/H11</f>
        <v>22.826870994810587</v>
      </c>
      <c r="H11" s="49">
        <f>195.17*0.999411364803949</f>
        <v>195.0551160687867</v>
      </c>
      <c r="I11" s="56">
        <v>74.919499999999999</v>
      </c>
      <c r="J11" s="47">
        <f t="shared" ref="J11:J28" si="12">PRODUCT(H11:I11)</f>
        <v>14613.431768315466</v>
      </c>
      <c r="K11" s="49">
        <f>0</f>
        <v>0</v>
      </c>
      <c r="L11" s="48">
        <f t="shared" ref="L11:L28" si="13">SUM(-F11,J11)+K11</f>
        <v>10160.933796935467</v>
      </c>
      <c r="M11" s="46">
        <f t="shared" ref="M11:M28" si="14">L11/F11</f>
        <v>2.2820748852101564</v>
      </c>
      <c r="N11" s="47">
        <f t="shared" ref="N11:N28" ca="1" si="15">(DAYS360(B11,NOW(),TRUE))/30</f>
        <v>119.6</v>
      </c>
      <c r="O11" s="46">
        <f t="shared" ref="O11:O28" ca="1" si="16">M11*12/N11</f>
        <v>0.22897072426857759</v>
      </c>
      <c r="P11" s="47">
        <f t="shared" si="7"/>
        <v>-4452.4979713799994</v>
      </c>
    </row>
    <row r="12" spans="1:16" ht="15.75" x14ac:dyDescent="0.3">
      <c r="A12" s="51" t="s">
        <v>43</v>
      </c>
      <c r="B12" s="50">
        <v>42587</v>
      </c>
      <c r="C12" s="47">
        <f>9249.33*29%</f>
        <v>2682.3056999999999</v>
      </c>
      <c r="D12" s="47">
        <f t="shared" si="9"/>
        <v>7.7451577087499999</v>
      </c>
      <c r="E12" s="47">
        <v>0</v>
      </c>
      <c r="F12" s="47">
        <f t="shared" si="10"/>
        <v>2690.0508577087498</v>
      </c>
      <c r="G12" s="47">
        <f t="shared" si="11"/>
        <v>21.890940585323293</v>
      </c>
      <c r="H12" s="49">
        <f>122.9566*0.999411225111679</f>
        <v>122.88420624156667</v>
      </c>
      <c r="I12" s="56">
        <v>46.404400000000003</v>
      </c>
      <c r="J12" s="47">
        <f t="shared" si="12"/>
        <v>5702.3678601161564</v>
      </c>
      <c r="K12" s="49">
        <f>0</f>
        <v>0</v>
      </c>
      <c r="L12" s="48">
        <f t="shared" si="13"/>
        <v>3012.3170024074066</v>
      </c>
      <c r="M12" s="46">
        <f t="shared" si="14"/>
        <v>1.1197992758297317</v>
      </c>
      <c r="N12" s="47">
        <f t="shared" ca="1" si="15"/>
        <v>119.6</v>
      </c>
      <c r="O12" s="46">
        <f t="shared" ca="1" si="16"/>
        <v>0.11235444239094299</v>
      </c>
      <c r="P12" s="47">
        <f t="shared" si="7"/>
        <v>-2690.0508577087498</v>
      </c>
    </row>
    <row r="13" spans="1:16" ht="15.75" x14ac:dyDescent="0.3">
      <c r="A13" s="51" t="s">
        <v>42</v>
      </c>
      <c r="B13" s="50">
        <v>42587</v>
      </c>
      <c r="C13" s="47">
        <f>9249.33*23%</f>
        <v>2127.3459000000003</v>
      </c>
      <c r="D13" s="47">
        <f t="shared" si="9"/>
        <v>6.1427112862500008</v>
      </c>
      <c r="E13" s="47">
        <v>0</v>
      </c>
      <c r="F13" s="47">
        <f t="shared" si="10"/>
        <v>2133.48861128625</v>
      </c>
      <c r="G13" s="47">
        <f t="shared" si="11"/>
        <v>19.321640452755073</v>
      </c>
      <c r="H13" s="49">
        <f>110.4846*0.999412058004736</f>
        <v>110.41964146383005</v>
      </c>
      <c r="I13" s="56">
        <v>38.984900000000003</v>
      </c>
      <c r="J13" s="47">
        <f t="shared" si="12"/>
        <v>4304.6986805032684</v>
      </c>
      <c r="K13" s="49">
        <f>0</f>
        <v>0</v>
      </c>
      <c r="L13" s="48">
        <f t="shared" si="13"/>
        <v>2171.2100692170184</v>
      </c>
      <c r="M13" s="46">
        <f t="shared" si="14"/>
        <v>1.017680646491957</v>
      </c>
      <c r="N13" s="47">
        <f t="shared" ca="1" si="15"/>
        <v>119.6</v>
      </c>
      <c r="O13" s="46">
        <f t="shared" ca="1" si="16"/>
        <v>0.10210842606942712</v>
      </c>
      <c r="P13" s="47">
        <f t="shared" si="7"/>
        <v>-2133.48861128625</v>
      </c>
    </row>
    <row r="14" spans="1:16" ht="15.75" x14ac:dyDescent="0.3">
      <c r="A14" s="52" t="s">
        <v>44</v>
      </c>
      <c r="B14" s="50">
        <v>42625</v>
      </c>
      <c r="C14" s="47">
        <f>9249.33*48%</f>
        <v>4439.6783999999998</v>
      </c>
      <c r="D14" s="47">
        <f t="shared" si="9"/>
        <v>12.819571379999999</v>
      </c>
      <c r="E14" s="47">
        <v>0</v>
      </c>
      <c r="F14" s="47">
        <f t="shared" ref="F14:F16" si="17">SUM(C14:E14)</f>
        <v>4452.4979713799994</v>
      </c>
      <c r="G14" s="47">
        <f t="shared" si="11"/>
        <v>22.927818241904237</v>
      </c>
      <c r="H14" s="49">
        <f>194.3107*0.999411364803949</f>
        <v>194.19632188301068</v>
      </c>
      <c r="I14" s="56">
        <v>74.919499999999999</v>
      </c>
      <c r="J14" s="47">
        <f t="shared" si="12"/>
        <v>14549.091337314219</v>
      </c>
      <c r="K14" s="49">
        <f>0</f>
        <v>0</v>
      </c>
      <c r="L14" s="48">
        <f t="shared" si="13"/>
        <v>10096.593365934219</v>
      </c>
      <c r="M14" s="46">
        <f t="shared" si="14"/>
        <v>2.2676244730112471</v>
      </c>
      <c r="N14" s="47">
        <f t="shared" ca="1" si="15"/>
        <v>118.36666666666666</v>
      </c>
      <c r="O14" s="46">
        <f t="shared" ca="1" si="16"/>
        <v>0.22989152641060234</v>
      </c>
      <c r="P14" s="47">
        <f t="shared" si="7"/>
        <v>-4452.4979713799994</v>
      </c>
    </row>
    <row r="15" spans="1:16" ht="15.75" x14ac:dyDescent="0.3">
      <c r="A15" s="51" t="s">
        <v>43</v>
      </c>
      <c r="B15" s="50">
        <v>42625</v>
      </c>
      <c r="C15" s="47">
        <f>9249.33*29%</f>
        <v>2682.3056999999999</v>
      </c>
      <c r="D15" s="47">
        <f t="shared" si="9"/>
        <v>7.7451577087499999</v>
      </c>
      <c r="E15" s="47">
        <v>0</v>
      </c>
      <c r="F15" s="47">
        <f t="shared" si="17"/>
        <v>2690.0508577087498</v>
      </c>
      <c r="G15" s="47">
        <f t="shared" si="11"/>
        <v>22.308677403466781</v>
      </c>
      <c r="H15" s="49">
        <f>120.6542*0.999411225111679</f>
        <v>120.58316183686955</v>
      </c>
      <c r="I15" s="56">
        <v>46.404400000000003</v>
      </c>
      <c r="J15" s="47">
        <f t="shared" si="12"/>
        <v>5595.58927514283</v>
      </c>
      <c r="K15" s="49">
        <f>0</f>
        <v>0</v>
      </c>
      <c r="L15" s="48">
        <f t="shared" si="13"/>
        <v>2905.5384174340802</v>
      </c>
      <c r="M15" s="46">
        <f t="shared" si="14"/>
        <v>1.0801053850367988</v>
      </c>
      <c r="N15" s="47">
        <f t="shared" ca="1" si="15"/>
        <v>118.36666666666666</v>
      </c>
      <c r="O15" s="46">
        <f t="shared" ca="1" si="16"/>
        <v>0.10950096835067519</v>
      </c>
      <c r="P15" s="47">
        <f t="shared" si="7"/>
        <v>-2690.0508577087498</v>
      </c>
    </row>
    <row r="16" spans="1:16" ht="15.75" x14ac:dyDescent="0.3">
      <c r="A16" s="51" t="s">
        <v>42</v>
      </c>
      <c r="B16" s="50">
        <v>42625</v>
      </c>
      <c r="C16" s="47">
        <f>9249.33*23%</f>
        <v>2127.3459000000003</v>
      </c>
      <c r="D16" s="47">
        <f t="shared" si="9"/>
        <v>6.1427112862500008</v>
      </c>
      <c r="E16" s="47">
        <v>0</v>
      </c>
      <c r="F16" s="47">
        <f t="shared" si="17"/>
        <v>2133.48861128625</v>
      </c>
      <c r="G16" s="47">
        <f t="shared" si="11"/>
        <v>19.70917142082298</v>
      </c>
      <c r="H16" s="49">
        <f>108.3122*0.999412058004736</f>
        <v>108.24851870902057</v>
      </c>
      <c r="I16" s="56">
        <v>38.984900000000003</v>
      </c>
      <c r="J16" s="47">
        <f t="shared" si="12"/>
        <v>4220.0576770192965</v>
      </c>
      <c r="K16" s="49">
        <f>0</f>
        <v>0</v>
      </c>
      <c r="L16" s="48">
        <f t="shared" si="13"/>
        <v>2086.5690657330465</v>
      </c>
      <c r="M16" s="46">
        <f t="shared" si="14"/>
        <v>0.9780080637388936</v>
      </c>
      <c r="N16" s="47">
        <f t="shared" ca="1" si="15"/>
        <v>118.36666666666666</v>
      </c>
      <c r="O16" s="46">
        <f t="shared" ca="1" si="16"/>
        <v>9.9150352843143261E-2</v>
      </c>
      <c r="P16" s="47">
        <f t="shared" si="7"/>
        <v>-2133.48861128625</v>
      </c>
    </row>
    <row r="17" spans="1:16" ht="15.75" x14ac:dyDescent="0.3">
      <c r="A17" s="52" t="s">
        <v>44</v>
      </c>
      <c r="B17" s="50">
        <v>42653</v>
      </c>
      <c r="C17" s="47">
        <f>9249.33*48%</f>
        <v>4439.6783999999998</v>
      </c>
      <c r="D17" s="47">
        <f t="shared" si="9"/>
        <v>12.819571379999999</v>
      </c>
      <c r="E17" s="47">
        <v>0</v>
      </c>
      <c r="F17" s="47">
        <f t="shared" ref="F17:F22" si="18">SUM(C17:E17)</f>
        <v>4452.4979713799994</v>
      </c>
      <c r="G17" s="47">
        <f t="shared" si="11"/>
        <v>22.967275145657208</v>
      </c>
      <c r="H17" s="49">
        <f>193.8627</f>
        <v>193.86269999999999</v>
      </c>
      <c r="I17" s="56">
        <v>74.919499999999999</v>
      </c>
      <c r="J17" s="47">
        <f t="shared" si="12"/>
        <v>14524.096552649999</v>
      </c>
      <c r="K17" s="49">
        <f>0</f>
        <v>0</v>
      </c>
      <c r="L17" s="48">
        <f t="shared" si="13"/>
        <v>10071.598581269998</v>
      </c>
      <c r="M17" s="46">
        <f t="shared" si="14"/>
        <v>2.2620108186480374</v>
      </c>
      <c r="N17" s="47">
        <f t="shared" ca="1" si="15"/>
        <v>117.43333333333334</v>
      </c>
      <c r="O17" s="46">
        <f t="shared" ca="1" si="16"/>
        <v>0.23114501694955816</v>
      </c>
      <c r="P17" s="47">
        <f t="shared" si="7"/>
        <v>-4452.4979713799994</v>
      </c>
    </row>
    <row r="18" spans="1:16" ht="15.75" x14ac:dyDescent="0.3">
      <c r="A18" s="51" t="s">
        <v>43</v>
      </c>
      <c r="B18" s="50">
        <v>42653</v>
      </c>
      <c r="C18" s="47">
        <f>9249.33*29%</f>
        <v>2682.3056999999999</v>
      </c>
      <c r="D18" s="47">
        <f t="shared" si="9"/>
        <v>7.7451577087499999</v>
      </c>
      <c r="E18" s="47">
        <v>0</v>
      </c>
      <c r="F18" s="47">
        <f t="shared" si="18"/>
        <v>2690.0508577087498</v>
      </c>
      <c r="G18" s="47">
        <f t="shared" si="11"/>
        <v>22.699107981654993</v>
      </c>
      <c r="H18" s="49">
        <f>118.5091</f>
        <v>118.5091</v>
      </c>
      <c r="I18" s="56">
        <v>46.404400000000003</v>
      </c>
      <c r="J18" s="47">
        <f t="shared" si="12"/>
        <v>5499.3436800400004</v>
      </c>
      <c r="K18" s="49">
        <f>0</f>
        <v>0</v>
      </c>
      <c r="L18" s="48">
        <f t="shared" si="13"/>
        <v>2809.2928223312506</v>
      </c>
      <c r="M18" s="46">
        <f t="shared" si="14"/>
        <v>1.0443270298332072</v>
      </c>
      <c r="N18" s="47">
        <f t="shared" ca="1" si="15"/>
        <v>117.43333333333334</v>
      </c>
      <c r="O18" s="46">
        <f t="shared" ca="1" si="16"/>
        <v>0.10671522303149436</v>
      </c>
      <c r="P18" s="47">
        <f t="shared" si="7"/>
        <v>-2690.0508577087498</v>
      </c>
    </row>
    <row r="19" spans="1:16" ht="15.75" x14ac:dyDescent="0.3">
      <c r="A19" s="51" t="s">
        <v>42</v>
      </c>
      <c r="B19" s="50">
        <v>42653</v>
      </c>
      <c r="C19" s="47">
        <f>9249.33*23%</f>
        <v>2127.3459000000003</v>
      </c>
      <c r="D19" s="47">
        <f t="shared" si="9"/>
        <v>6.1427112862500008</v>
      </c>
      <c r="E19" s="47">
        <v>0</v>
      </c>
      <c r="F19" s="47">
        <f t="shared" si="18"/>
        <v>2133.48861128625</v>
      </c>
      <c r="G19" s="47">
        <f t="shared" si="11"/>
        <v>20.03335885478484</v>
      </c>
      <c r="H19" s="49">
        <f>106.4968</f>
        <v>106.49679999999999</v>
      </c>
      <c r="I19" s="56">
        <v>38.984900000000003</v>
      </c>
      <c r="J19" s="47">
        <f t="shared" si="12"/>
        <v>4151.7670983200005</v>
      </c>
      <c r="K19" s="49">
        <f>0</f>
        <v>0</v>
      </c>
      <c r="L19" s="48">
        <f t="shared" si="13"/>
        <v>2018.2784870337505</v>
      </c>
      <c r="M19" s="46">
        <f t="shared" si="14"/>
        <v>0.94599918478916045</v>
      </c>
      <c r="N19" s="47">
        <f t="shared" ca="1" si="15"/>
        <v>117.43333333333334</v>
      </c>
      <c r="O19" s="46">
        <f t="shared" ca="1" si="16"/>
        <v>9.6667529527135324E-2</v>
      </c>
      <c r="P19" s="47">
        <f t="shared" si="7"/>
        <v>-2133.48861128625</v>
      </c>
    </row>
    <row r="20" spans="1:16" ht="15.75" x14ac:dyDescent="0.3">
      <c r="A20" s="52" t="s">
        <v>44</v>
      </c>
      <c r="B20" s="50">
        <v>42667</v>
      </c>
      <c r="C20" s="47">
        <f>-2423.82</f>
        <v>-2423.8200000000002</v>
      </c>
      <c r="D20" s="47">
        <v>0</v>
      </c>
      <c r="E20" s="47">
        <v>0</v>
      </c>
      <c r="F20" s="47">
        <f t="shared" si="18"/>
        <v>-2423.8200000000002</v>
      </c>
      <c r="G20" s="47">
        <f t="shared" si="11"/>
        <v>22.917899792929344</v>
      </c>
      <c r="H20" s="49">
        <f>-105.761</f>
        <v>-105.761</v>
      </c>
      <c r="I20" s="56">
        <v>74.919499999999999</v>
      </c>
      <c r="J20" s="47">
        <f t="shared" si="12"/>
        <v>-7923.5612394999998</v>
      </c>
      <c r="K20" s="49">
        <f>0</f>
        <v>0</v>
      </c>
      <c r="L20" s="48">
        <f t="shared" si="13"/>
        <v>-5499.7412394999992</v>
      </c>
      <c r="M20" s="46">
        <f t="shared" si="14"/>
        <v>2.2690386412769921</v>
      </c>
      <c r="N20" s="47">
        <f t="shared" ca="1" si="15"/>
        <v>116.96666666666667</v>
      </c>
      <c r="O20" s="46">
        <f t="shared" ca="1" si="16"/>
        <v>0.23278823335985097</v>
      </c>
      <c r="P20" s="47">
        <f t="shared" si="7"/>
        <v>2423.8200000000002</v>
      </c>
    </row>
    <row r="21" spans="1:16" ht="15.75" x14ac:dyDescent="0.3">
      <c r="A21" s="51" t="s">
        <v>43</v>
      </c>
      <c r="B21" s="50">
        <v>42667</v>
      </c>
      <c r="C21" s="47">
        <f>-1304.47</f>
        <v>-1304.47</v>
      </c>
      <c r="D21" s="47">
        <v>0</v>
      </c>
      <c r="E21" s="47">
        <v>0</v>
      </c>
      <c r="F21" s="47">
        <f t="shared" si="18"/>
        <v>-1304.47</v>
      </c>
      <c r="G21" s="47">
        <f t="shared" si="11"/>
        <v>22.587833976900836</v>
      </c>
      <c r="H21" s="49">
        <f>-57.751</f>
        <v>-57.750999999999998</v>
      </c>
      <c r="I21" s="56">
        <v>46.404400000000003</v>
      </c>
      <c r="J21" s="47">
        <f t="shared" si="12"/>
        <v>-2679.9005044</v>
      </c>
      <c r="K21" s="49">
        <f>0</f>
        <v>0</v>
      </c>
      <c r="L21" s="48">
        <f t="shared" si="13"/>
        <v>-1375.4305044</v>
      </c>
      <c r="M21" s="46">
        <f t="shared" si="14"/>
        <v>1.0543979580979248</v>
      </c>
      <c r="N21" s="47">
        <f t="shared" ca="1" si="15"/>
        <v>116.96666666666667</v>
      </c>
      <c r="O21" s="46">
        <f t="shared" ca="1" si="16"/>
        <v>0.10817419917790053</v>
      </c>
      <c r="P21" s="47">
        <f t="shared" si="7"/>
        <v>1304.47</v>
      </c>
    </row>
    <row r="22" spans="1:16" ht="15.75" x14ac:dyDescent="0.3">
      <c r="A22" s="51" t="s">
        <v>42</v>
      </c>
      <c r="B22" s="50">
        <v>42667</v>
      </c>
      <c r="C22" s="47">
        <f>3728.29</f>
        <v>3728.29</v>
      </c>
      <c r="D22" s="47">
        <v>0</v>
      </c>
      <c r="E22" s="47">
        <v>0</v>
      </c>
      <c r="F22" s="47">
        <f t="shared" si="18"/>
        <v>3728.29</v>
      </c>
      <c r="G22" s="47">
        <f t="shared" si="11"/>
        <v>19.933403657986936</v>
      </c>
      <c r="H22" s="49">
        <f>187.0373</f>
        <v>187.03729999999999</v>
      </c>
      <c r="I22" s="56">
        <v>38.984900000000003</v>
      </c>
      <c r="J22" s="47">
        <f t="shared" si="12"/>
        <v>7291.6304367700004</v>
      </c>
      <c r="K22" s="49">
        <f>0</f>
        <v>0</v>
      </c>
      <c r="L22" s="48">
        <f t="shared" si="13"/>
        <v>3563.3404367700005</v>
      </c>
      <c r="M22" s="46">
        <f t="shared" si="14"/>
        <v>0.95575731414938225</v>
      </c>
      <c r="N22" s="47">
        <f t="shared" ca="1" si="15"/>
        <v>116.96666666666667</v>
      </c>
      <c r="O22" s="46">
        <f t="shared" ca="1" si="16"/>
        <v>9.8054326900478092E-2</v>
      </c>
      <c r="P22" s="47">
        <f t="shared" si="7"/>
        <v>-3728.29</v>
      </c>
    </row>
    <row r="23" spans="1:16" ht="15.75" x14ac:dyDescent="0.3">
      <c r="A23" s="52" t="s">
        <v>44</v>
      </c>
      <c r="B23" s="50">
        <v>42677</v>
      </c>
      <c r="C23" s="47">
        <f>9249.33*46%</f>
        <v>4254.6918000000005</v>
      </c>
      <c r="D23" s="47">
        <f t="shared" ref="D23:D25" si="19">C23*0.25%*1.155</f>
        <v>12.285422572500002</v>
      </c>
      <c r="E23" s="47">
        <v>0</v>
      </c>
      <c r="F23" s="47">
        <f t="shared" ref="F23:F25" si="20">SUM(C23:E23)</f>
        <v>4266.9772225725001</v>
      </c>
      <c r="G23" s="47">
        <f t="shared" si="11"/>
        <v>22.292796429019241</v>
      </c>
      <c r="H23" s="49">
        <f>191.4061</f>
        <v>191.40610000000001</v>
      </c>
      <c r="I23" s="56">
        <v>74.919499999999999</v>
      </c>
      <c r="J23" s="47">
        <f t="shared" si="12"/>
        <v>14340.049308950001</v>
      </c>
      <c r="K23" s="49">
        <f>0</f>
        <v>0</v>
      </c>
      <c r="L23" s="48">
        <f t="shared" si="13"/>
        <v>10073.072086377502</v>
      </c>
      <c r="M23" s="46">
        <f t="shared" si="14"/>
        <v>2.3607044427353632</v>
      </c>
      <c r="N23" s="47">
        <f t="shared" ca="1" si="15"/>
        <v>116.66666666666667</v>
      </c>
      <c r="O23" s="46">
        <f t="shared" ca="1" si="16"/>
        <v>0.24281531410992305</v>
      </c>
      <c r="P23" s="47">
        <f t="shared" si="7"/>
        <v>-4266.9772225725001</v>
      </c>
    </row>
    <row r="24" spans="1:16" ht="15.75" x14ac:dyDescent="0.3">
      <c r="A24" s="51" t="s">
        <v>43</v>
      </c>
      <c r="B24" s="50">
        <v>42677</v>
      </c>
      <c r="C24" s="47">
        <f>9249.33*28%</f>
        <v>2589.8124000000003</v>
      </c>
      <c r="D24" s="47">
        <f t="shared" si="19"/>
        <v>7.4780833050000011</v>
      </c>
      <c r="E24" s="47">
        <v>0</v>
      </c>
      <c r="F24" s="47">
        <f t="shared" si="20"/>
        <v>2597.2904833050002</v>
      </c>
      <c r="G24" s="47">
        <f t="shared" si="11"/>
        <v>22.646536289740361</v>
      </c>
      <c r="H24" s="49">
        <f>114.6882</f>
        <v>114.68819999999999</v>
      </c>
      <c r="I24" s="56">
        <v>46.404400000000003</v>
      </c>
      <c r="J24" s="47">
        <f t="shared" si="12"/>
        <v>5322.0371080799996</v>
      </c>
      <c r="K24" s="49">
        <f>0</f>
        <v>0</v>
      </c>
      <c r="L24" s="48">
        <f t="shared" si="13"/>
        <v>2724.7466247749994</v>
      </c>
      <c r="M24" s="46">
        <f t="shared" si="14"/>
        <v>1.0490727326378273</v>
      </c>
      <c r="N24" s="47">
        <f t="shared" ca="1" si="15"/>
        <v>116.66666666666667</v>
      </c>
      <c r="O24" s="46">
        <f t="shared" ca="1" si="16"/>
        <v>0.10790462392846223</v>
      </c>
      <c r="P24" s="47">
        <f t="shared" si="7"/>
        <v>-2597.2904833050002</v>
      </c>
    </row>
    <row r="25" spans="1:16" ht="15.75" x14ac:dyDescent="0.3">
      <c r="A25" s="51" t="s">
        <v>42</v>
      </c>
      <c r="B25" s="50">
        <v>42677</v>
      </c>
      <c r="C25" s="47">
        <f>9249.33*26%</f>
        <v>2404.8258000000001</v>
      </c>
      <c r="D25" s="47">
        <f t="shared" si="19"/>
        <v>6.9439344974999999</v>
      </c>
      <c r="E25" s="47">
        <v>0</v>
      </c>
      <c r="F25" s="47">
        <f t="shared" si="20"/>
        <v>2411.7697344974999</v>
      </c>
      <c r="G25" s="47">
        <f t="shared" si="11"/>
        <v>19.96706390316788</v>
      </c>
      <c r="H25" s="49">
        <f>120.7874</f>
        <v>120.78740000000001</v>
      </c>
      <c r="I25" s="56">
        <v>38.984900000000003</v>
      </c>
      <c r="J25" s="47">
        <f t="shared" si="12"/>
        <v>4708.8847102600002</v>
      </c>
      <c r="K25" s="49">
        <f>0</f>
        <v>0</v>
      </c>
      <c r="L25" s="48">
        <f t="shared" si="13"/>
        <v>2297.1149757625003</v>
      </c>
      <c r="M25" s="46">
        <f t="shared" si="14"/>
        <v>0.95246032110984746</v>
      </c>
      <c r="N25" s="47">
        <f t="shared" ca="1" si="15"/>
        <v>116.66666666666667</v>
      </c>
      <c r="O25" s="46">
        <f t="shared" ca="1" si="16"/>
        <v>9.7967347314155739E-2</v>
      </c>
      <c r="P25" s="47">
        <f t="shared" si="7"/>
        <v>-2411.7697344974999</v>
      </c>
    </row>
    <row r="26" spans="1:16" ht="15.75" x14ac:dyDescent="0.3">
      <c r="A26" s="55" t="s">
        <v>44</v>
      </c>
      <c r="B26" s="50">
        <v>42703</v>
      </c>
      <c r="C26" s="48">
        <f>30000*46%</f>
        <v>13800</v>
      </c>
      <c r="D26" s="47">
        <f>17.94*46%</f>
        <v>8.2524000000000015</v>
      </c>
      <c r="E26" s="48">
        <v>0</v>
      </c>
      <c r="F26" s="48">
        <f t="shared" ref="F26:F28" si="21">SUM(C26:E26)</f>
        <v>13808.252399999999</v>
      </c>
      <c r="G26" s="48">
        <f t="shared" si="11"/>
        <v>21.464229787416606</v>
      </c>
      <c r="H26" s="48">
        <f>643.3146</f>
        <v>643.31460000000004</v>
      </c>
      <c r="I26" s="56">
        <v>74.919499999999999</v>
      </c>
      <c r="J26" s="47">
        <f t="shared" si="12"/>
        <v>48196.808174700003</v>
      </c>
      <c r="K26" s="49">
        <f>0</f>
        <v>0</v>
      </c>
      <c r="L26" s="48">
        <f t="shared" si="13"/>
        <v>34388.555774700006</v>
      </c>
      <c r="M26" s="46">
        <f t="shared" si="14"/>
        <v>2.4904350513392997</v>
      </c>
      <c r="N26" s="47">
        <f t="shared" ca="1" si="15"/>
        <v>115.8</v>
      </c>
      <c r="O26" s="46">
        <f t="shared" ca="1" si="16"/>
        <v>0.25807617112324349</v>
      </c>
      <c r="P26" s="47">
        <f t="shared" si="7"/>
        <v>-13808.252399999999</v>
      </c>
    </row>
    <row r="27" spans="1:16" ht="15.75" x14ac:dyDescent="0.3">
      <c r="A27" s="57" t="s">
        <v>43</v>
      </c>
      <c r="B27" s="50">
        <v>42703</v>
      </c>
      <c r="C27" s="48">
        <f>30000*28%</f>
        <v>8400</v>
      </c>
      <c r="D27" s="47">
        <f>17.94*28%</f>
        <v>5.023200000000001</v>
      </c>
      <c r="E27" s="48">
        <v>0</v>
      </c>
      <c r="F27" s="48">
        <f t="shared" si="21"/>
        <v>8405.0231999999996</v>
      </c>
      <c r="G27" s="48">
        <f t="shared" si="11"/>
        <v>23.179857269836784</v>
      </c>
      <c r="H27" s="48">
        <f>362.6003</f>
        <v>362.6003</v>
      </c>
      <c r="I27" s="56">
        <v>46.404400000000003</v>
      </c>
      <c r="J27" s="47">
        <f t="shared" si="12"/>
        <v>16826.249361320002</v>
      </c>
      <c r="K27" s="49">
        <f>0</f>
        <v>0</v>
      </c>
      <c r="L27" s="48">
        <f t="shared" si="13"/>
        <v>8421.2261613200026</v>
      </c>
      <c r="M27" s="46">
        <f t="shared" si="14"/>
        <v>1.0019277711595136</v>
      </c>
      <c r="N27" s="47">
        <f t="shared" ca="1" si="15"/>
        <v>115.8</v>
      </c>
      <c r="O27" s="46">
        <f t="shared" ca="1" si="16"/>
        <v>0.10382671203725531</v>
      </c>
      <c r="P27" s="47">
        <f t="shared" si="7"/>
        <v>-8405.0231999999996</v>
      </c>
    </row>
    <row r="28" spans="1:16" ht="15.75" x14ac:dyDescent="0.3">
      <c r="A28" s="57" t="s">
        <v>42</v>
      </c>
      <c r="B28" s="50">
        <v>42703</v>
      </c>
      <c r="C28" s="48">
        <f>30000*26%</f>
        <v>7800</v>
      </c>
      <c r="D28" s="47">
        <f>17.94*26%</f>
        <v>4.6644000000000005</v>
      </c>
      <c r="E28" s="48">
        <v>0</v>
      </c>
      <c r="F28" s="48">
        <f t="shared" si="21"/>
        <v>7804.6643999999997</v>
      </c>
      <c r="G28" s="48">
        <f t="shared" si="11"/>
        <v>20.93000923856275</v>
      </c>
      <c r="H28" s="48">
        <f>372.8935</f>
        <v>372.89350000000002</v>
      </c>
      <c r="I28" s="56">
        <v>38.984900000000003</v>
      </c>
      <c r="J28" s="47">
        <f t="shared" si="12"/>
        <v>14537.215808150002</v>
      </c>
      <c r="K28" s="49">
        <f>0</f>
        <v>0</v>
      </c>
      <c r="L28" s="48">
        <f t="shared" si="13"/>
        <v>6732.5514081500023</v>
      </c>
      <c r="M28" s="46">
        <f t="shared" si="14"/>
        <v>0.86263176263543151</v>
      </c>
      <c r="N28" s="47">
        <f t="shared" ca="1" si="15"/>
        <v>115.8</v>
      </c>
      <c r="O28" s="46">
        <f t="shared" ca="1" si="16"/>
        <v>8.9391892501080983E-2</v>
      </c>
      <c r="P28" s="47">
        <f t="shared" si="7"/>
        <v>-7804.6643999999997</v>
      </c>
    </row>
    <row r="29" spans="1:16" ht="15.75" x14ac:dyDescent="0.3">
      <c r="A29" s="55" t="s">
        <v>44</v>
      </c>
      <c r="B29" s="50">
        <v>42711</v>
      </c>
      <c r="C29" s="47">
        <f>9249.33*46%</f>
        <v>4254.6918000000005</v>
      </c>
      <c r="D29" s="47">
        <f t="shared" ref="D29:D31" si="22">C29*0.25%*1.155</f>
        <v>12.285422572500002</v>
      </c>
      <c r="E29" s="48">
        <v>0</v>
      </c>
      <c r="F29" s="48">
        <f t="shared" ref="F29:F31" si="23">SUM(C29:E29)</f>
        <v>4266.9772225725001</v>
      </c>
      <c r="G29" s="48">
        <f t="shared" ref="G29:G55" si="24">F29/H29</f>
        <v>21.41657965596016</v>
      </c>
      <c r="H29" s="48">
        <f>199.2371</f>
        <v>199.2371</v>
      </c>
      <c r="I29" s="56">
        <v>74.919499999999999</v>
      </c>
      <c r="J29" s="47">
        <f t="shared" ref="J29:J55" si="25">PRODUCT(H29:I29)</f>
        <v>14926.74391345</v>
      </c>
      <c r="K29" s="49">
        <f>0</f>
        <v>0</v>
      </c>
      <c r="L29" s="48">
        <f t="shared" ref="L29:L55" si="26">SUM(-F29,J29)+K29</f>
        <v>10659.766690877499</v>
      </c>
      <c r="M29" s="46">
        <f t="shared" ref="M29:M55" si="27">L29/F29</f>
        <v>2.49820098276758</v>
      </c>
      <c r="N29" s="47">
        <f t="shared" ref="N29:N55" ca="1" si="28">(DAYS360(B29,NOW(),TRUE))/30</f>
        <v>115.53333333333333</v>
      </c>
      <c r="O29" s="46">
        <f t="shared" ref="O29:O55" ca="1" si="29">M29*12/N29</f>
        <v>0.25947846329957552</v>
      </c>
      <c r="P29" s="47">
        <f t="shared" si="7"/>
        <v>-4266.9772225725001</v>
      </c>
    </row>
    <row r="30" spans="1:16" ht="15.75" x14ac:dyDescent="0.3">
      <c r="A30" s="57" t="s">
        <v>43</v>
      </c>
      <c r="B30" s="50">
        <v>42711</v>
      </c>
      <c r="C30" s="47">
        <f>9249.33*28%</f>
        <v>2589.8124000000003</v>
      </c>
      <c r="D30" s="47">
        <f t="shared" si="22"/>
        <v>7.4780833050000011</v>
      </c>
      <c r="E30" s="48">
        <v>0</v>
      </c>
      <c r="F30" s="48">
        <f t="shared" si="23"/>
        <v>2597.2904833050002</v>
      </c>
      <c r="G30" s="48">
        <f t="shared" si="24"/>
        <v>23.131624289897591</v>
      </c>
      <c r="H30" s="48">
        <f>112.2831</f>
        <v>112.2831</v>
      </c>
      <c r="I30" s="56">
        <v>46.404400000000003</v>
      </c>
      <c r="J30" s="47">
        <f t="shared" si="25"/>
        <v>5210.4298856400001</v>
      </c>
      <c r="K30" s="49">
        <f>0</f>
        <v>0</v>
      </c>
      <c r="L30" s="48">
        <f t="shared" si="26"/>
        <v>2613.1394023349999</v>
      </c>
      <c r="M30" s="46">
        <f t="shared" si="27"/>
        <v>1.0061020972170323</v>
      </c>
      <c r="N30" s="47">
        <f t="shared" ca="1" si="28"/>
        <v>115.53333333333333</v>
      </c>
      <c r="O30" s="46">
        <f t="shared" ca="1" si="29"/>
        <v>0.10449992931279044</v>
      </c>
      <c r="P30" s="47">
        <f t="shared" si="7"/>
        <v>-2597.2904833050002</v>
      </c>
    </row>
    <row r="31" spans="1:16" ht="15.75" x14ac:dyDescent="0.3">
      <c r="A31" s="57" t="s">
        <v>42</v>
      </c>
      <c r="B31" s="50">
        <v>42711</v>
      </c>
      <c r="C31" s="47">
        <f>9249.33*26%</f>
        <v>2404.8258000000001</v>
      </c>
      <c r="D31" s="47">
        <f t="shared" si="22"/>
        <v>6.9439344974999999</v>
      </c>
      <c r="E31" s="48">
        <v>0</v>
      </c>
      <c r="F31" s="48">
        <f t="shared" si="23"/>
        <v>2411.7697344974999</v>
      </c>
      <c r="G31" s="48">
        <f t="shared" si="24"/>
        <v>20.802559808735321</v>
      </c>
      <c r="H31" s="48">
        <f>115.9362</f>
        <v>115.9362</v>
      </c>
      <c r="I31" s="56">
        <v>38.984900000000003</v>
      </c>
      <c r="J31" s="47">
        <f t="shared" si="25"/>
        <v>4519.7611633800007</v>
      </c>
      <c r="K31" s="49">
        <f>0</f>
        <v>0</v>
      </c>
      <c r="L31" s="48">
        <f t="shared" si="26"/>
        <v>2107.9914288825007</v>
      </c>
      <c r="M31" s="46">
        <f t="shared" si="27"/>
        <v>0.87404340419824844</v>
      </c>
      <c r="N31" s="47">
        <f t="shared" ca="1" si="28"/>
        <v>115.53333333333333</v>
      </c>
      <c r="O31" s="46">
        <f t="shared" ca="1" si="29"/>
        <v>9.0783504186777095E-2</v>
      </c>
      <c r="P31" s="47">
        <f t="shared" si="7"/>
        <v>-2411.7697344974999</v>
      </c>
    </row>
    <row r="32" spans="1:16" ht="15.75" x14ac:dyDescent="0.3">
      <c r="A32" s="55" t="s">
        <v>44</v>
      </c>
      <c r="B32" s="50">
        <v>42742</v>
      </c>
      <c r="C32" s="47">
        <v>-34.619999999999997</v>
      </c>
      <c r="D32" s="47">
        <v>0</v>
      </c>
      <c r="E32" s="48">
        <v>0</v>
      </c>
      <c r="F32" s="48">
        <f t="shared" ref="F32:F34" si="30">SUM(C32:E32)</f>
        <v>-34.619999999999997</v>
      </c>
      <c r="G32" s="48">
        <f t="shared" si="24"/>
        <v>21.720308676830413</v>
      </c>
      <c r="H32" s="48">
        <f>-1.5939</f>
        <v>-1.5939000000000001</v>
      </c>
      <c r="I32" s="56">
        <v>74.919499999999999</v>
      </c>
      <c r="J32" s="47">
        <f t="shared" si="25"/>
        <v>-119.41419105</v>
      </c>
      <c r="K32" s="49">
        <f>0</f>
        <v>0</v>
      </c>
      <c r="L32" s="48">
        <f t="shared" si="26"/>
        <v>-84.794191049999995</v>
      </c>
      <c r="M32" s="46">
        <f t="shared" si="27"/>
        <v>2.4492833925476605</v>
      </c>
      <c r="N32" s="47">
        <f t="shared" ca="1" si="28"/>
        <v>114.53333333333333</v>
      </c>
      <c r="O32" s="46">
        <f t="shared" ca="1" si="29"/>
        <v>0.25661874892816</v>
      </c>
      <c r="P32" s="47">
        <f t="shared" si="7"/>
        <v>34.619999999999997</v>
      </c>
    </row>
    <row r="33" spans="1:16" ht="15.75" x14ac:dyDescent="0.3">
      <c r="A33" s="57" t="s">
        <v>43</v>
      </c>
      <c r="B33" s="50">
        <v>42742</v>
      </c>
      <c r="C33" s="47">
        <v>-22.3</v>
      </c>
      <c r="D33" s="47">
        <v>0</v>
      </c>
      <c r="E33" s="48">
        <v>0</v>
      </c>
      <c r="F33" s="48">
        <f t="shared" si="30"/>
        <v>-22.3</v>
      </c>
      <c r="G33" s="48">
        <f t="shared" si="24"/>
        <v>23.164017866417367</v>
      </c>
      <c r="H33" s="48">
        <f>-0.9627</f>
        <v>-0.9627</v>
      </c>
      <c r="I33" s="56">
        <v>46.404400000000003</v>
      </c>
      <c r="J33" s="47">
        <f t="shared" si="25"/>
        <v>-44.673515880000004</v>
      </c>
      <c r="K33" s="49">
        <f>0</f>
        <v>0</v>
      </c>
      <c r="L33" s="48">
        <f t="shared" si="26"/>
        <v>-22.373515880000003</v>
      </c>
      <c r="M33" s="46">
        <f t="shared" si="27"/>
        <v>1.0032966762331839</v>
      </c>
      <c r="N33" s="47">
        <f t="shared" ca="1" si="28"/>
        <v>114.53333333333333</v>
      </c>
      <c r="O33" s="46">
        <f t="shared" ca="1" si="29"/>
        <v>0.10511839448310424</v>
      </c>
      <c r="P33" s="47">
        <f t="shared" si="7"/>
        <v>22.3</v>
      </c>
    </row>
    <row r="34" spans="1:16" ht="15.75" x14ac:dyDescent="0.3">
      <c r="A34" s="57" t="s">
        <v>42</v>
      </c>
      <c r="B34" s="50">
        <v>42742</v>
      </c>
      <c r="C34" s="47">
        <v>-20.67</v>
      </c>
      <c r="D34" s="47">
        <v>0</v>
      </c>
      <c r="E34" s="48">
        <v>0</v>
      </c>
      <c r="F34" s="48">
        <f t="shared" si="30"/>
        <v>-20.67</v>
      </c>
      <c r="G34" s="48">
        <f t="shared" si="24"/>
        <v>20.485629335976217</v>
      </c>
      <c r="H34" s="48">
        <f>-1.009</f>
        <v>-1.0089999999999999</v>
      </c>
      <c r="I34" s="56">
        <v>38.984900000000003</v>
      </c>
      <c r="J34" s="47">
        <f t="shared" si="25"/>
        <v>-39.335764099999999</v>
      </c>
      <c r="K34" s="49">
        <f>0</f>
        <v>0</v>
      </c>
      <c r="L34" s="48">
        <f t="shared" si="26"/>
        <v>-18.665764099999997</v>
      </c>
      <c r="M34" s="46">
        <f t="shared" si="27"/>
        <v>0.90303648282535054</v>
      </c>
      <c r="N34" s="47">
        <f t="shared" ca="1" si="28"/>
        <v>114.53333333333333</v>
      </c>
      <c r="O34" s="46">
        <f t="shared" ca="1" si="29"/>
        <v>9.46138340562067E-2</v>
      </c>
      <c r="P34" s="47">
        <f t="shared" si="7"/>
        <v>20.67</v>
      </c>
    </row>
    <row r="35" spans="1:16" ht="15.75" x14ac:dyDescent="0.3">
      <c r="A35" s="55" t="s">
        <v>44</v>
      </c>
      <c r="B35" s="50">
        <v>42744</v>
      </c>
      <c r="C35" s="47">
        <f>9249.33*46%</f>
        <v>4254.6918000000005</v>
      </c>
      <c r="D35" s="47">
        <f t="shared" ref="D35:D46" si="31">C35*0.25%*1.155</f>
        <v>12.285422572500002</v>
      </c>
      <c r="E35" s="48">
        <v>0</v>
      </c>
      <c r="F35" s="48">
        <f t="shared" ref="F35:F46" si="32">SUM(C35:E35)</f>
        <v>4266.9772225725001</v>
      </c>
      <c r="G35" s="48">
        <f t="shared" si="24"/>
        <v>21.765683401588436</v>
      </c>
      <c r="H35" s="48">
        <f>196.0415</f>
        <v>196.04150000000001</v>
      </c>
      <c r="I35" s="56">
        <v>74.919499999999999</v>
      </c>
      <c r="J35" s="47">
        <f t="shared" si="25"/>
        <v>14687.331159250001</v>
      </c>
      <c r="K35" s="49">
        <f>0</f>
        <v>0</v>
      </c>
      <c r="L35" s="48">
        <f t="shared" si="26"/>
        <v>10420.3539366775</v>
      </c>
      <c r="M35" s="46">
        <f t="shared" si="27"/>
        <v>2.4420927024295707</v>
      </c>
      <c r="N35" s="47">
        <f t="shared" ca="1" si="28"/>
        <v>114.46666666666667</v>
      </c>
      <c r="O35" s="46">
        <f t="shared" ca="1" si="29"/>
        <v>0.25601437765714774</v>
      </c>
      <c r="P35" s="47">
        <f t="shared" si="7"/>
        <v>-4266.9772225725001</v>
      </c>
    </row>
    <row r="36" spans="1:16" ht="15.75" x14ac:dyDescent="0.3">
      <c r="A36" s="57" t="s">
        <v>43</v>
      </c>
      <c r="B36" s="50">
        <v>42744</v>
      </c>
      <c r="C36" s="47">
        <f>9249.33*28%</f>
        <v>2589.8124000000003</v>
      </c>
      <c r="D36" s="47">
        <f t="shared" si="31"/>
        <v>7.4780833050000011</v>
      </c>
      <c r="E36" s="48">
        <v>0</v>
      </c>
      <c r="F36" s="48">
        <f t="shared" si="32"/>
        <v>2597.2904833050002</v>
      </c>
      <c r="G36" s="48">
        <f t="shared" si="24"/>
        <v>23.272628314925793</v>
      </c>
      <c r="H36" s="48">
        <f>111.6028</f>
        <v>111.6028</v>
      </c>
      <c r="I36" s="56">
        <v>46.404400000000003</v>
      </c>
      <c r="J36" s="47">
        <f t="shared" si="25"/>
        <v>5178.8609723200007</v>
      </c>
      <c r="K36" s="49">
        <f>0</f>
        <v>0</v>
      </c>
      <c r="L36" s="48">
        <f t="shared" si="26"/>
        <v>2581.5704890150005</v>
      </c>
      <c r="M36" s="46">
        <f t="shared" si="27"/>
        <v>0.99394754095044602</v>
      </c>
      <c r="N36" s="47">
        <f t="shared" ca="1" si="28"/>
        <v>114.46666666666667</v>
      </c>
      <c r="O36" s="46">
        <f t="shared" ca="1" si="29"/>
        <v>0.10419950924349462</v>
      </c>
      <c r="P36" s="47">
        <f t="shared" si="7"/>
        <v>-2597.2904833050002</v>
      </c>
    </row>
    <row r="37" spans="1:16" ht="15.75" x14ac:dyDescent="0.3">
      <c r="A37" s="57" t="s">
        <v>42</v>
      </c>
      <c r="B37" s="50">
        <v>42744</v>
      </c>
      <c r="C37" s="47">
        <f>9249.33*26%</f>
        <v>2404.8258000000001</v>
      </c>
      <c r="D37" s="47">
        <f t="shared" si="31"/>
        <v>6.9439344974999999</v>
      </c>
      <c r="E37" s="48">
        <v>0</v>
      </c>
      <c r="F37" s="48">
        <f t="shared" si="32"/>
        <v>2411.7697344974999</v>
      </c>
      <c r="G37" s="48">
        <f t="shared" si="24"/>
        <v>20.508315797821592</v>
      </c>
      <c r="H37" s="48">
        <f>117.5996</f>
        <v>117.5996</v>
      </c>
      <c r="I37" s="56">
        <v>38.984900000000003</v>
      </c>
      <c r="J37" s="47">
        <f t="shared" si="25"/>
        <v>4584.6086460400002</v>
      </c>
      <c r="K37" s="49">
        <f>0</f>
        <v>0</v>
      </c>
      <c r="L37" s="48">
        <f t="shared" si="26"/>
        <v>2172.8389115425002</v>
      </c>
      <c r="M37" s="46">
        <f t="shared" si="27"/>
        <v>0.90093132875109172</v>
      </c>
      <c r="N37" s="47">
        <f t="shared" ca="1" si="28"/>
        <v>114.46666666666667</v>
      </c>
      <c r="O37" s="46">
        <f t="shared" ca="1" si="29"/>
        <v>9.444824646196652E-2</v>
      </c>
      <c r="P37" s="47">
        <f t="shared" si="7"/>
        <v>-2411.7697344974999</v>
      </c>
    </row>
    <row r="38" spans="1:16" ht="15.75" x14ac:dyDescent="0.3">
      <c r="A38" s="55" t="s">
        <v>44</v>
      </c>
      <c r="B38" s="50">
        <v>42775</v>
      </c>
      <c r="C38" s="47">
        <f>9249.33*46%</f>
        <v>4254.6918000000005</v>
      </c>
      <c r="D38" s="47">
        <f t="shared" si="31"/>
        <v>12.285422572500002</v>
      </c>
      <c r="E38" s="48">
        <v>0</v>
      </c>
      <c r="F38" s="48">
        <f t="shared" si="32"/>
        <v>4266.9772225725001</v>
      </c>
      <c r="G38" s="48">
        <f t="shared" si="24"/>
        <v>23.337908812514154</v>
      </c>
      <c r="H38" s="48">
        <f>182.8346</f>
        <v>182.83459999999999</v>
      </c>
      <c r="I38" s="56">
        <v>74.919499999999999</v>
      </c>
      <c r="J38" s="47">
        <f t="shared" si="25"/>
        <v>13697.876814699999</v>
      </c>
      <c r="K38" s="49">
        <f>0</f>
        <v>0</v>
      </c>
      <c r="L38" s="48">
        <f t="shared" si="26"/>
        <v>9430.8995921274982</v>
      </c>
      <c r="M38" s="46">
        <f t="shared" si="27"/>
        <v>2.2102062186405913</v>
      </c>
      <c r="N38" s="47">
        <f t="shared" ca="1" si="28"/>
        <v>113.46666666666667</v>
      </c>
      <c r="O38" s="46">
        <f t="shared" ca="1" si="29"/>
        <v>0.23374683863414009</v>
      </c>
      <c r="P38" s="47">
        <f t="shared" si="7"/>
        <v>-4266.9772225725001</v>
      </c>
    </row>
    <row r="39" spans="1:16" ht="15.75" x14ac:dyDescent="0.3">
      <c r="A39" s="57" t="s">
        <v>43</v>
      </c>
      <c r="B39" s="50">
        <v>42775</v>
      </c>
      <c r="C39" s="47">
        <f>9249.33*28%</f>
        <v>2589.8124000000003</v>
      </c>
      <c r="D39" s="47">
        <f t="shared" si="31"/>
        <v>7.4780833050000011</v>
      </c>
      <c r="E39" s="48">
        <v>0</v>
      </c>
      <c r="F39" s="48">
        <f t="shared" si="32"/>
        <v>2597.2904833050002</v>
      </c>
      <c r="G39" s="48">
        <f t="shared" si="24"/>
        <v>23.016096025005606</v>
      </c>
      <c r="H39" s="48">
        <f>112.8467</f>
        <v>112.8467</v>
      </c>
      <c r="I39" s="56">
        <v>46.404400000000003</v>
      </c>
      <c r="J39" s="47">
        <f t="shared" si="25"/>
        <v>5236.5834054799998</v>
      </c>
      <c r="K39" s="49">
        <f>0</f>
        <v>0</v>
      </c>
      <c r="L39" s="48">
        <f t="shared" si="26"/>
        <v>2639.2929221749996</v>
      </c>
      <c r="M39" s="46">
        <f t="shared" si="27"/>
        <v>1.0161716369963179</v>
      </c>
      <c r="N39" s="47">
        <f t="shared" ca="1" si="28"/>
        <v>113.46666666666667</v>
      </c>
      <c r="O39" s="46">
        <f t="shared" ca="1" si="29"/>
        <v>0.10746821072816522</v>
      </c>
      <c r="P39" s="47">
        <f t="shared" si="7"/>
        <v>-2597.2904833050002</v>
      </c>
    </row>
    <row r="40" spans="1:16" ht="15.75" x14ac:dyDescent="0.3">
      <c r="A40" s="57" t="s">
        <v>42</v>
      </c>
      <c r="B40" s="50">
        <v>42775</v>
      </c>
      <c r="C40" s="47">
        <f>9249.33*26%</f>
        <v>2404.8258000000001</v>
      </c>
      <c r="D40" s="47">
        <f t="shared" si="31"/>
        <v>6.9439344974999999</v>
      </c>
      <c r="E40" s="48">
        <v>0</v>
      </c>
      <c r="F40" s="48">
        <f t="shared" si="32"/>
        <v>2411.7697344974999</v>
      </c>
      <c r="G40" s="48">
        <f t="shared" si="24"/>
        <v>19.794466987994969</v>
      </c>
      <c r="H40" s="48">
        <f>121.8406</f>
        <v>121.84059999999999</v>
      </c>
      <c r="I40" s="56">
        <v>38.984900000000003</v>
      </c>
      <c r="J40" s="47">
        <f t="shared" si="25"/>
        <v>4749.9436069399999</v>
      </c>
      <c r="K40" s="49">
        <f>0</f>
        <v>0</v>
      </c>
      <c r="L40" s="48">
        <f t="shared" si="26"/>
        <v>2338.1738724424999</v>
      </c>
      <c r="M40" s="46">
        <f t="shared" si="27"/>
        <v>0.9694847061880334</v>
      </c>
      <c r="N40" s="47">
        <f t="shared" ca="1" si="28"/>
        <v>113.46666666666667</v>
      </c>
      <c r="O40" s="46">
        <f t="shared" ca="1" si="29"/>
        <v>0.10253069748169566</v>
      </c>
      <c r="P40" s="47">
        <f t="shared" si="7"/>
        <v>-2411.7697344974999</v>
      </c>
    </row>
    <row r="41" spans="1:16" ht="15.75" x14ac:dyDescent="0.3">
      <c r="A41" s="55" t="s">
        <v>44</v>
      </c>
      <c r="B41" s="50">
        <v>42800</v>
      </c>
      <c r="C41" s="47">
        <f>9249.33*46%</f>
        <v>4254.6918000000005</v>
      </c>
      <c r="D41" s="47">
        <f t="shared" si="31"/>
        <v>12.285422572500002</v>
      </c>
      <c r="E41" s="48">
        <v>0</v>
      </c>
      <c r="F41" s="48">
        <f t="shared" si="32"/>
        <v>4266.9772225725001</v>
      </c>
      <c r="G41" s="48">
        <f t="shared" si="24"/>
        <v>23.795229566762234</v>
      </c>
      <c r="H41" s="48">
        <f>179.3207</f>
        <v>179.32069999999999</v>
      </c>
      <c r="I41" s="56">
        <v>74.919499999999999</v>
      </c>
      <c r="J41" s="47">
        <f t="shared" si="25"/>
        <v>13434.61718365</v>
      </c>
      <c r="K41" s="49">
        <f>0</f>
        <v>0</v>
      </c>
      <c r="L41" s="48">
        <f t="shared" si="26"/>
        <v>9167.6399610775006</v>
      </c>
      <c r="M41" s="46">
        <f t="shared" si="27"/>
        <v>2.1485092333233644</v>
      </c>
      <c r="N41" s="47">
        <f t="shared" ca="1" si="28"/>
        <v>112.56666666666666</v>
      </c>
      <c r="O41" s="46">
        <f t="shared" ca="1" si="29"/>
        <v>0.22903859164833021</v>
      </c>
      <c r="P41" s="47">
        <f t="shared" si="7"/>
        <v>-4266.9772225725001</v>
      </c>
    </row>
    <row r="42" spans="1:16" ht="15.75" x14ac:dyDescent="0.3">
      <c r="A42" s="57" t="s">
        <v>43</v>
      </c>
      <c r="B42" s="50">
        <v>42800</v>
      </c>
      <c r="C42" s="47">
        <f>9249.33*28%</f>
        <v>2589.8124000000003</v>
      </c>
      <c r="D42" s="47">
        <f t="shared" si="31"/>
        <v>7.4780833050000011</v>
      </c>
      <c r="E42" s="48">
        <v>0</v>
      </c>
      <c r="F42" s="48">
        <f t="shared" si="32"/>
        <v>2597.2904833050002</v>
      </c>
      <c r="G42" s="48">
        <f t="shared" si="24"/>
        <v>23.002968559379902</v>
      </c>
      <c r="H42" s="48">
        <f>112.9111</f>
        <v>112.9111</v>
      </c>
      <c r="I42" s="56">
        <v>46.404400000000003</v>
      </c>
      <c r="J42" s="47">
        <f t="shared" si="25"/>
        <v>5239.5718488400007</v>
      </c>
      <c r="K42" s="49">
        <f>0</f>
        <v>0</v>
      </c>
      <c r="L42" s="48">
        <f t="shared" si="26"/>
        <v>2642.2813655350005</v>
      </c>
      <c r="M42" s="46">
        <f t="shared" si="27"/>
        <v>1.0173222373543487</v>
      </c>
      <c r="N42" s="47">
        <f t="shared" ca="1" si="28"/>
        <v>112.56666666666666</v>
      </c>
      <c r="O42" s="46">
        <f t="shared" ca="1" si="29"/>
        <v>0.10845010525542362</v>
      </c>
      <c r="P42" s="47">
        <f t="shared" si="7"/>
        <v>-2597.2904833050002</v>
      </c>
    </row>
    <row r="43" spans="1:16" ht="15.75" x14ac:dyDescent="0.3">
      <c r="A43" s="57" t="s">
        <v>42</v>
      </c>
      <c r="B43" s="50">
        <v>42800</v>
      </c>
      <c r="C43" s="47">
        <f>9249.33*26%</f>
        <v>2404.8258000000001</v>
      </c>
      <c r="D43" s="47">
        <f t="shared" si="31"/>
        <v>6.9439344974999999</v>
      </c>
      <c r="E43" s="48">
        <v>0</v>
      </c>
      <c r="F43" s="48">
        <f t="shared" si="32"/>
        <v>2411.7697344974999</v>
      </c>
      <c r="G43" s="48">
        <f t="shared" si="24"/>
        <v>19.691468701680058</v>
      </c>
      <c r="H43" s="48">
        <f>122.4779</f>
        <v>122.47790000000001</v>
      </c>
      <c r="I43" s="56">
        <v>38.984900000000003</v>
      </c>
      <c r="J43" s="47">
        <f t="shared" si="25"/>
        <v>4774.7886837100004</v>
      </c>
      <c r="K43" s="49">
        <f>0</f>
        <v>0</v>
      </c>
      <c r="L43" s="48">
        <f t="shared" si="26"/>
        <v>2363.0189492125005</v>
      </c>
      <c r="M43" s="46">
        <f t="shared" si="27"/>
        <v>0.97978630190615734</v>
      </c>
      <c r="N43" s="47">
        <f t="shared" ca="1" si="28"/>
        <v>112.56666666666666</v>
      </c>
      <c r="O43" s="46">
        <f t="shared" ca="1" si="29"/>
        <v>0.10444864337761821</v>
      </c>
      <c r="P43" s="47">
        <f t="shared" si="7"/>
        <v>-2411.7697344974999</v>
      </c>
    </row>
    <row r="44" spans="1:16" ht="15.75" x14ac:dyDescent="0.3">
      <c r="A44" s="55" t="s">
        <v>44</v>
      </c>
      <c r="B44" s="50">
        <v>42823</v>
      </c>
      <c r="C44" s="47">
        <f>9249.33*46%</f>
        <v>4254.6918000000005</v>
      </c>
      <c r="D44" s="47">
        <f t="shared" si="31"/>
        <v>12.285422572500002</v>
      </c>
      <c r="E44" s="48">
        <v>0</v>
      </c>
      <c r="F44" s="48">
        <f t="shared" si="32"/>
        <v>4266.9772225725001</v>
      </c>
      <c r="G44" s="48">
        <f t="shared" si="24"/>
        <v>24.154159624199007</v>
      </c>
      <c r="H44" s="48">
        <f>176.656</f>
        <v>176.65600000000001</v>
      </c>
      <c r="I44" s="56">
        <v>74.919499999999999</v>
      </c>
      <c r="J44" s="47">
        <f t="shared" si="25"/>
        <v>13234.979192000001</v>
      </c>
      <c r="K44" s="49">
        <f>0</f>
        <v>0</v>
      </c>
      <c r="L44" s="48">
        <f t="shared" si="26"/>
        <v>8968.0019694274997</v>
      </c>
      <c r="M44" s="46">
        <f t="shared" si="27"/>
        <v>2.1017224844759821</v>
      </c>
      <c r="N44" s="47">
        <f t="shared" ca="1" si="28"/>
        <v>111.8</v>
      </c>
      <c r="O44" s="46">
        <f t="shared" ca="1" si="29"/>
        <v>0.22558738652693908</v>
      </c>
      <c r="P44" s="47">
        <f t="shared" si="7"/>
        <v>-4266.9772225725001</v>
      </c>
    </row>
    <row r="45" spans="1:16" ht="15.75" x14ac:dyDescent="0.3">
      <c r="A45" s="57" t="s">
        <v>43</v>
      </c>
      <c r="B45" s="50">
        <v>42823</v>
      </c>
      <c r="C45" s="47">
        <f>9249.33*28%</f>
        <v>2589.8124000000003</v>
      </c>
      <c r="D45" s="47">
        <f t="shared" si="31"/>
        <v>7.4780833050000011</v>
      </c>
      <c r="E45" s="48">
        <v>0</v>
      </c>
      <c r="F45" s="48">
        <f t="shared" si="32"/>
        <v>2597.2904833050002</v>
      </c>
      <c r="G45" s="48">
        <f t="shared" si="24"/>
        <v>23.186698405813793</v>
      </c>
      <c r="H45" s="48">
        <f>112.0164</f>
        <v>112.0164</v>
      </c>
      <c r="I45" s="56">
        <v>46.404400000000003</v>
      </c>
      <c r="J45" s="47">
        <f t="shared" si="25"/>
        <v>5198.0538321600006</v>
      </c>
      <c r="K45" s="49">
        <f>0</f>
        <v>0</v>
      </c>
      <c r="L45" s="48">
        <f t="shared" si="26"/>
        <v>2600.7633488550005</v>
      </c>
      <c r="M45" s="46">
        <f t="shared" si="27"/>
        <v>1.0013371109517104</v>
      </c>
      <c r="N45" s="47">
        <f t="shared" ca="1" si="28"/>
        <v>111.8</v>
      </c>
      <c r="O45" s="46">
        <f t="shared" ca="1" si="29"/>
        <v>0.10747804410930702</v>
      </c>
      <c r="P45" s="47">
        <f t="shared" si="7"/>
        <v>-2597.2904833050002</v>
      </c>
    </row>
    <row r="46" spans="1:16" ht="15.75" x14ac:dyDescent="0.3">
      <c r="A46" s="57" t="s">
        <v>42</v>
      </c>
      <c r="B46" s="50">
        <v>42823</v>
      </c>
      <c r="C46" s="47">
        <f>9249.33*26%</f>
        <v>2404.8258000000001</v>
      </c>
      <c r="D46" s="47">
        <f t="shared" si="31"/>
        <v>6.9439344974999999</v>
      </c>
      <c r="E46" s="48">
        <v>0</v>
      </c>
      <c r="F46" s="48">
        <f t="shared" si="32"/>
        <v>2411.7697344974999</v>
      </c>
      <c r="G46" s="48">
        <f t="shared" si="24"/>
        <v>20.034954318912657</v>
      </c>
      <c r="H46" s="48">
        <f>120.3781</f>
        <v>120.3781</v>
      </c>
      <c r="I46" s="56">
        <v>38.984900000000003</v>
      </c>
      <c r="J46" s="47">
        <f t="shared" si="25"/>
        <v>4692.9281906900005</v>
      </c>
      <c r="K46" s="49">
        <f>0</f>
        <v>0</v>
      </c>
      <c r="L46" s="48">
        <f t="shared" si="26"/>
        <v>2281.1584561925006</v>
      </c>
      <c r="M46" s="46">
        <f t="shared" si="27"/>
        <v>0.94584421703417199</v>
      </c>
      <c r="N46" s="47">
        <f t="shared" ca="1" si="28"/>
        <v>111.8</v>
      </c>
      <c r="O46" s="46">
        <f t="shared" ca="1" si="29"/>
        <v>0.10152174064767498</v>
      </c>
      <c r="P46" s="47">
        <f t="shared" si="7"/>
        <v>-2411.7697344974999</v>
      </c>
    </row>
    <row r="47" spans="1:16" ht="15.75" x14ac:dyDescent="0.3">
      <c r="A47" s="55" t="s">
        <v>44</v>
      </c>
      <c r="B47" s="50">
        <v>42833</v>
      </c>
      <c r="C47" s="47">
        <v>-34.770000000000003</v>
      </c>
      <c r="D47" s="47">
        <v>0</v>
      </c>
      <c r="E47" s="48">
        <v>0</v>
      </c>
      <c r="F47" s="48">
        <f t="shared" ref="F47:F49" si="33">SUM(C47:E47)</f>
        <v>-34.770000000000003</v>
      </c>
      <c r="G47" s="48">
        <f t="shared" si="24"/>
        <v>24.240100390407143</v>
      </c>
      <c r="H47" s="48">
        <f>-1.4344</f>
        <v>-1.4343999999999999</v>
      </c>
      <c r="I47" s="56">
        <v>74.919499999999999</v>
      </c>
      <c r="J47" s="47">
        <f t="shared" si="25"/>
        <v>-107.46453079999999</v>
      </c>
      <c r="K47" s="49">
        <f>0</f>
        <v>0</v>
      </c>
      <c r="L47" s="48">
        <f t="shared" si="26"/>
        <v>-72.694530799999995</v>
      </c>
      <c r="M47" s="46">
        <f t="shared" si="27"/>
        <v>2.0907256485475982</v>
      </c>
      <c r="N47" s="47">
        <f t="shared" ca="1" si="28"/>
        <v>111.5</v>
      </c>
      <c r="O47" s="46">
        <f t="shared" ca="1" si="29"/>
        <v>0.22501083213068321</v>
      </c>
      <c r="P47" s="47">
        <f t="shared" si="7"/>
        <v>34.770000000000003</v>
      </c>
    </row>
    <row r="48" spans="1:16" ht="15.75" x14ac:dyDescent="0.3">
      <c r="A48" s="57" t="s">
        <v>43</v>
      </c>
      <c r="B48" s="50">
        <v>42833</v>
      </c>
      <c r="C48" s="47">
        <v>-20.100000000000001</v>
      </c>
      <c r="D48" s="47">
        <v>0</v>
      </c>
      <c r="E48" s="48">
        <v>0</v>
      </c>
      <c r="F48" s="48">
        <f t="shared" si="33"/>
        <v>-20.100000000000001</v>
      </c>
      <c r="G48" s="48">
        <f t="shared" si="24"/>
        <v>23.151347615756741</v>
      </c>
      <c r="H48" s="48">
        <f>-0.8682</f>
        <v>-0.86819999999999997</v>
      </c>
      <c r="I48" s="56">
        <v>46.404400000000003</v>
      </c>
      <c r="J48" s="47">
        <f t="shared" si="25"/>
        <v>-40.288300079999999</v>
      </c>
      <c r="K48" s="49">
        <f>0</f>
        <v>0</v>
      </c>
      <c r="L48" s="48">
        <f t="shared" si="26"/>
        <v>-20.188300079999998</v>
      </c>
      <c r="M48" s="46">
        <f t="shared" si="27"/>
        <v>1.0043930388059699</v>
      </c>
      <c r="N48" s="47">
        <f t="shared" ca="1" si="28"/>
        <v>111.5</v>
      </c>
      <c r="O48" s="46">
        <f t="shared" ca="1" si="29"/>
        <v>0.10809611179974564</v>
      </c>
      <c r="P48" s="47">
        <f t="shared" si="7"/>
        <v>20.100000000000001</v>
      </c>
    </row>
    <row r="49" spans="1:16" ht="15.75" x14ac:dyDescent="0.3">
      <c r="A49" s="57" t="s">
        <v>42</v>
      </c>
      <c r="B49" s="50">
        <v>42833</v>
      </c>
      <c r="C49" s="47">
        <v>-18.12</v>
      </c>
      <c r="D49" s="47">
        <v>0</v>
      </c>
      <c r="E49" s="48">
        <v>0</v>
      </c>
      <c r="F49" s="48">
        <f t="shared" si="33"/>
        <v>-18.12</v>
      </c>
      <c r="G49" s="48">
        <f t="shared" si="24"/>
        <v>19.829284307288248</v>
      </c>
      <c r="H49" s="48">
        <f>-0.9138</f>
        <v>-0.91379999999999995</v>
      </c>
      <c r="I49" s="56">
        <v>38.984900000000003</v>
      </c>
      <c r="J49" s="47">
        <f t="shared" si="25"/>
        <v>-35.62440162</v>
      </c>
      <c r="K49" s="49">
        <f>0</f>
        <v>0</v>
      </c>
      <c r="L49" s="48">
        <f t="shared" si="26"/>
        <v>-17.504401619999999</v>
      </c>
      <c r="M49" s="46">
        <f t="shared" si="27"/>
        <v>0.96602657947019854</v>
      </c>
      <c r="N49" s="47">
        <f t="shared" ca="1" si="28"/>
        <v>111.5</v>
      </c>
      <c r="O49" s="46">
        <f t="shared" ca="1" si="29"/>
        <v>0.10396698613132183</v>
      </c>
      <c r="P49" s="47">
        <f t="shared" si="7"/>
        <v>18.12</v>
      </c>
    </row>
    <row r="50" spans="1:16" ht="15.75" x14ac:dyDescent="0.3">
      <c r="A50" s="55" t="s">
        <v>44</v>
      </c>
      <c r="B50" s="50">
        <v>42860</v>
      </c>
      <c r="C50" s="47">
        <f>9249.33*46%</f>
        <v>4254.6918000000005</v>
      </c>
      <c r="D50" s="47">
        <f t="shared" ref="D50:D55" si="34">C50*0.25%*1.155</f>
        <v>12.285422572500002</v>
      </c>
      <c r="E50" s="48">
        <v>0</v>
      </c>
      <c r="F50" s="48">
        <f t="shared" ref="F50:F55" si="35">SUM(C50:E50)</f>
        <v>4266.9772225725001</v>
      </c>
      <c r="G50" s="48">
        <f t="shared" si="24"/>
        <v>24.43406645032162</v>
      </c>
      <c r="H50" s="48">
        <f>174.6323</f>
        <v>174.63229999999999</v>
      </c>
      <c r="I50" s="56">
        <v>74.919499999999999</v>
      </c>
      <c r="J50" s="47">
        <f t="shared" si="25"/>
        <v>13083.36459985</v>
      </c>
      <c r="K50" s="49">
        <f>0</f>
        <v>0</v>
      </c>
      <c r="L50" s="48">
        <f t="shared" si="26"/>
        <v>8816.3873772775005</v>
      </c>
      <c r="M50" s="46">
        <f t="shared" si="27"/>
        <v>2.0661904006982783</v>
      </c>
      <c r="N50" s="47">
        <f t="shared" ca="1" si="28"/>
        <v>110.6</v>
      </c>
      <c r="O50" s="46">
        <f t="shared" ca="1" si="29"/>
        <v>0.22417979031084392</v>
      </c>
      <c r="P50" s="47">
        <f t="shared" si="7"/>
        <v>-4266.9772225725001</v>
      </c>
    </row>
    <row r="51" spans="1:16" ht="15.75" x14ac:dyDescent="0.3">
      <c r="A51" s="57" t="s">
        <v>43</v>
      </c>
      <c r="B51" s="50">
        <v>42860</v>
      </c>
      <c r="C51" s="47">
        <f>9249.33*28%</f>
        <v>2589.8124000000003</v>
      </c>
      <c r="D51" s="47">
        <f t="shared" si="34"/>
        <v>7.4780833050000011</v>
      </c>
      <c r="E51" s="48">
        <v>0</v>
      </c>
      <c r="F51" s="48">
        <f t="shared" si="35"/>
        <v>2597.2904833050002</v>
      </c>
      <c r="G51" s="48">
        <f t="shared" si="24"/>
        <v>23.340934389429187</v>
      </c>
      <c r="H51" s="48">
        <f>111.2762</f>
        <v>111.2762</v>
      </c>
      <c r="I51" s="56">
        <v>46.404400000000003</v>
      </c>
      <c r="J51" s="47">
        <f t="shared" si="25"/>
        <v>5163.7052952800004</v>
      </c>
      <c r="K51" s="49">
        <f>0</f>
        <v>0</v>
      </c>
      <c r="L51" s="48">
        <f t="shared" si="26"/>
        <v>2566.4148119750002</v>
      </c>
      <c r="M51" s="46">
        <f t="shared" si="27"/>
        <v>0.98811235342043402</v>
      </c>
      <c r="N51" s="47">
        <f t="shared" ca="1" si="28"/>
        <v>110.6</v>
      </c>
      <c r="O51" s="46">
        <f t="shared" ca="1" si="29"/>
        <v>0.10720929693530931</v>
      </c>
      <c r="P51" s="47">
        <f t="shared" si="7"/>
        <v>-2597.2904833050002</v>
      </c>
    </row>
    <row r="52" spans="1:16" ht="15.75" x14ac:dyDescent="0.3">
      <c r="A52" s="57" t="s">
        <v>42</v>
      </c>
      <c r="B52" s="50">
        <v>42860</v>
      </c>
      <c r="C52" s="47">
        <f>9249.33*26%</f>
        <v>2404.8258000000001</v>
      </c>
      <c r="D52" s="47">
        <f t="shared" si="34"/>
        <v>6.9439344974999999</v>
      </c>
      <c r="E52" s="48">
        <v>0</v>
      </c>
      <c r="F52" s="48">
        <f t="shared" si="35"/>
        <v>2411.7697344974999</v>
      </c>
      <c r="G52" s="48">
        <f t="shared" si="24"/>
        <v>20.024923400655439</v>
      </c>
      <c r="H52" s="48">
        <f>120.4384</f>
        <v>120.4384</v>
      </c>
      <c r="I52" s="56">
        <v>38.984900000000003</v>
      </c>
      <c r="J52" s="47">
        <f t="shared" si="25"/>
        <v>4695.2789801600002</v>
      </c>
      <c r="K52" s="49">
        <f>0</f>
        <v>0</v>
      </c>
      <c r="L52" s="48">
        <f t="shared" si="26"/>
        <v>2283.5092456625002</v>
      </c>
      <c r="M52" s="46">
        <f t="shared" si="27"/>
        <v>0.94681893258697714</v>
      </c>
      <c r="N52" s="47">
        <f t="shared" ca="1" si="28"/>
        <v>110.6</v>
      </c>
      <c r="O52" s="46">
        <f t="shared" ca="1" si="29"/>
        <v>0.10272899811070278</v>
      </c>
      <c r="P52" s="47">
        <f t="shared" si="7"/>
        <v>-2411.7697344974999</v>
      </c>
    </row>
    <row r="53" spans="1:16" ht="15.75" x14ac:dyDescent="0.3">
      <c r="A53" s="55" t="s">
        <v>44</v>
      </c>
      <c r="B53" s="50">
        <v>42895</v>
      </c>
      <c r="C53" s="47">
        <f>9249.33*46%</f>
        <v>4254.6918000000005</v>
      </c>
      <c r="D53" s="47">
        <f t="shared" si="34"/>
        <v>12.285422572500002</v>
      </c>
      <c r="E53" s="48">
        <v>0</v>
      </c>
      <c r="F53" s="48">
        <f t="shared" si="35"/>
        <v>4266.9772225725001</v>
      </c>
      <c r="G53" s="48">
        <f t="shared" si="24"/>
        <v>25.319415131872905</v>
      </c>
      <c r="H53" s="48">
        <f>168.5259</f>
        <v>168.52590000000001</v>
      </c>
      <c r="I53" s="56">
        <v>74.919499999999999</v>
      </c>
      <c r="J53" s="47">
        <f t="shared" si="25"/>
        <v>12625.87616505</v>
      </c>
      <c r="K53" s="49">
        <f>0</f>
        <v>0</v>
      </c>
      <c r="L53" s="48">
        <f t="shared" si="26"/>
        <v>8358.8989424774991</v>
      </c>
      <c r="M53" s="46">
        <f t="shared" si="27"/>
        <v>1.9589743526772418</v>
      </c>
      <c r="N53" s="47">
        <f t="shared" ca="1" si="28"/>
        <v>109.46666666666667</v>
      </c>
      <c r="O53" s="46">
        <f t="shared" ca="1" si="29"/>
        <v>0.21474749298532494</v>
      </c>
      <c r="P53" s="47">
        <f t="shared" si="7"/>
        <v>-4266.9772225725001</v>
      </c>
    </row>
    <row r="54" spans="1:16" ht="15.75" x14ac:dyDescent="0.3">
      <c r="A54" s="57" t="s">
        <v>43</v>
      </c>
      <c r="B54" s="50">
        <v>42895</v>
      </c>
      <c r="C54" s="47">
        <f>9249.33*28%</f>
        <v>2589.8124000000003</v>
      </c>
      <c r="D54" s="47">
        <f t="shared" si="34"/>
        <v>7.4780833050000011</v>
      </c>
      <c r="E54" s="48">
        <v>0</v>
      </c>
      <c r="F54" s="48">
        <f t="shared" si="35"/>
        <v>2597.2904833050002</v>
      </c>
      <c r="G54" s="48">
        <f t="shared" si="24"/>
        <v>23.861737598980227</v>
      </c>
      <c r="H54" s="48">
        <f>108.8475</f>
        <v>108.8475</v>
      </c>
      <c r="I54" s="56">
        <v>46.404400000000003</v>
      </c>
      <c r="J54" s="47">
        <f t="shared" si="25"/>
        <v>5051.0029290000002</v>
      </c>
      <c r="K54" s="49">
        <f>0</f>
        <v>0</v>
      </c>
      <c r="L54" s="48">
        <f t="shared" si="26"/>
        <v>2453.712445695</v>
      </c>
      <c r="M54" s="46">
        <f t="shared" si="27"/>
        <v>0.9447200694212301</v>
      </c>
      <c r="N54" s="47">
        <f t="shared" ca="1" si="28"/>
        <v>109.46666666666667</v>
      </c>
      <c r="O54" s="46">
        <f t="shared" ca="1" si="29"/>
        <v>0.10356249238478772</v>
      </c>
      <c r="P54" s="47">
        <f t="shared" si="7"/>
        <v>-2597.2904833050002</v>
      </c>
    </row>
    <row r="55" spans="1:16" ht="15.75" x14ac:dyDescent="0.3">
      <c r="A55" s="57" t="s">
        <v>42</v>
      </c>
      <c r="B55" s="50">
        <v>42895</v>
      </c>
      <c r="C55" s="47">
        <f>9249.33*26%</f>
        <v>2404.8258000000001</v>
      </c>
      <c r="D55" s="47">
        <f t="shared" si="34"/>
        <v>6.9439344974999999</v>
      </c>
      <c r="E55" s="48">
        <v>0</v>
      </c>
      <c r="F55" s="48">
        <f t="shared" si="35"/>
        <v>2411.7697344974999</v>
      </c>
      <c r="G55" s="48">
        <f t="shared" si="24"/>
        <v>20.892120999604121</v>
      </c>
      <c r="H55" s="48">
        <f>115.4392</f>
        <v>115.4392</v>
      </c>
      <c r="I55" s="56">
        <v>38.984900000000003</v>
      </c>
      <c r="J55" s="47">
        <f t="shared" si="25"/>
        <v>4500.38566808</v>
      </c>
      <c r="K55" s="49">
        <f>0</f>
        <v>0</v>
      </c>
      <c r="L55" s="48">
        <f t="shared" si="26"/>
        <v>2088.6159335825</v>
      </c>
      <c r="M55" s="46">
        <f t="shared" si="27"/>
        <v>0.86600967899519232</v>
      </c>
      <c r="N55" s="47">
        <f t="shared" ca="1" si="28"/>
        <v>109.46666666666667</v>
      </c>
      <c r="O55" s="46">
        <f t="shared" ca="1" si="29"/>
        <v>9.4934069560983311E-2</v>
      </c>
      <c r="P55" s="47">
        <f t="shared" si="7"/>
        <v>-2411.7697344974999</v>
      </c>
    </row>
    <row r="56" spans="1:16" ht="15.75" x14ac:dyDescent="0.3">
      <c r="A56" s="55" t="s">
        <v>44</v>
      </c>
      <c r="B56" s="50">
        <v>42923</v>
      </c>
      <c r="C56" s="47">
        <v>-17.059999999999999</v>
      </c>
      <c r="D56" s="47">
        <v>0</v>
      </c>
      <c r="E56" s="48">
        <v>0</v>
      </c>
      <c r="F56" s="48">
        <f t="shared" ref="F56:F58" si="36">SUM(C56:E56)</f>
        <v>-17.059999999999999</v>
      </c>
      <c r="G56" s="48">
        <f t="shared" ref="G56:G67" si="37">F56/H56</f>
        <v>25.277818936138683</v>
      </c>
      <c r="H56" s="48">
        <f>-0.6749</f>
        <v>-0.67490000000000006</v>
      </c>
      <c r="I56" s="56">
        <v>74.919499999999999</v>
      </c>
      <c r="J56" s="47">
        <f t="shared" ref="J56:J67" si="38">PRODUCT(H56:I56)</f>
        <v>-50.563170550000002</v>
      </c>
      <c r="K56" s="49">
        <f>0</f>
        <v>0</v>
      </c>
      <c r="L56" s="48">
        <f t="shared" ref="L56:L67" si="39">SUM(-F56,J56)+K56</f>
        <v>-33.503170550000007</v>
      </c>
      <c r="M56" s="46">
        <f t="shared" ref="M56:M67" si="40">L56/F56</f>
        <v>1.9638435257913254</v>
      </c>
      <c r="N56" s="47">
        <f t="shared" ref="N56:N67" ca="1" si="41">(DAYS360(B56,NOW(),TRUE))/30</f>
        <v>108.53333333333333</v>
      </c>
      <c r="O56" s="46">
        <f t="shared" ref="O56:O67" ca="1" si="42">M56*12/N56</f>
        <v>0.21713257656169443</v>
      </c>
      <c r="P56" s="47">
        <f t="shared" si="7"/>
        <v>17.059999999999999</v>
      </c>
    </row>
    <row r="57" spans="1:16" ht="15.75" x14ac:dyDescent="0.3">
      <c r="A57" s="57" t="s">
        <v>43</v>
      </c>
      <c r="B57" s="50">
        <v>42923</v>
      </c>
      <c r="C57" s="47">
        <v>-9.83</v>
      </c>
      <c r="D57" s="47">
        <v>0</v>
      </c>
      <c r="E57" s="48">
        <v>0</v>
      </c>
      <c r="F57" s="48">
        <f t="shared" si="36"/>
        <v>-9.83</v>
      </c>
      <c r="G57" s="48">
        <f t="shared" si="37"/>
        <v>23.946406820950063</v>
      </c>
      <c r="H57" s="48">
        <f>-0.4105</f>
        <v>-0.41049999999999998</v>
      </c>
      <c r="I57" s="56">
        <v>46.404400000000003</v>
      </c>
      <c r="J57" s="47">
        <f t="shared" si="38"/>
        <v>-19.049006200000001</v>
      </c>
      <c r="K57" s="49">
        <f>0</f>
        <v>0</v>
      </c>
      <c r="L57" s="48">
        <f t="shared" si="39"/>
        <v>-9.2190062000000008</v>
      </c>
      <c r="M57" s="46">
        <f t="shared" si="40"/>
        <v>0.93784396744659215</v>
      </c>
      <c r="N57" s="47">
        <f t="shared" ca="1" si="41"/>
        <v>108.53333333333333</v>
      </c>
      <c r="O57" s="46">
        <f t="shared" ca="1" si="42"/>
        <v>0.10369282195355442</v>
      </c>
      <c r="P57" s="47">
        <f t="shared" si="7"/>
        <v>9.83</v>
      </c>
    </row>
    <row r="58" spans="1:16" ht="15.75" x14ac:dyDescent="0.3">
      <c r="A58" s="57" t="s">
        <v>42</v>
      </c>
      <c r="B58" s="50">
        <v>42923</v>
      </c>
      <c r="C58" s="47">
        <v>-9.01</v>
      </c>
      <c r="D58" s="47">
        <v>0</v>
      </c>
      <c r="E58" s="48">
        <v>0</v>
      </c>
      <c r="F58" s="48">
        <f t="shared" si="36"/>
        <v>-9.01</v>
      </c>
      <c r="G58" s="48">
        <f t="shared" si="37"/>
        <v>20.822740929050152</v>
      </c>
      <c r="H58" s="48">
        <f>-0.4327</f>
        <v>-0.43269999999999997</v>
      </c>
      <c r="I58" s="56">
        <v>38.984900000000003</v>
      </c>
      <c r="J58" s="47">
        <f t="shared" si="38"/>
        <v>-16.868766230000002</v>
      </c>
      <c r="K58" s="49">
        <f>0</f>
        <v>0</v>
      </c>
      <c r="L58" s="48">
        <f t="shared" si="39"/>
        <v>-7.8587662300000023</v>
      </c>
      <c r="M58" s="46">
        <f t="shared" si="40"/>
        <v>0.87222710654827995</v>
      </c>
      <c r="N58" s="47">
        <f t="shared" ca="1" si="41"/>
        <v>108.53333333333333</v>
      </c>
      <c r="O58" s="46">
        <f t="shared" ca="1" si="42"/>
        <v>9.6437886473397044E-2</v>
      </c>
      <c r="P58" s="47">
        <f t="shared" si="7"/>
        <v>9.01</v>
      </c>
    </row>
    <row r="59" spans="1:16" ht="15.75" x14ac:dyDescent="0.3">
      <c r="A59" s="55" t="s">
        <v>44</v>
      </c>
      <c r="B59" s="50">
        <v>42926</v>
      </c>
      <c r="C59" s="47">
        <f>9248.63*46%</f>
        <v>4254.3697999999995</v>
      </c>
      <c r="D59" s="47">
        <f t="shared" ref="D59:D61" si="43">C59*0.25%*1.155</f>
        <v>12.2844927975</v>
      </c>
      <c r="E59" s="48">
        <v>0</v>
      </c>
      <c r="F59" s="48">
        <f t="shared" ref="F59:F61" si="44">SUM(C59:E59)</f>
        <v>4266.6542927974997</v>
      </c>
      <c r="G59" s="48">
        <f t="shared" si="37"/>
        <v>25.657542333849893</v>
      </c>
      <c r="H59" s="48">
        <f>166.2924</f>
        <v>166.29239999999999</v>
      </c>
      <c r="I59" s="56">
        <v>74.919499999999999</v>
      </c>
      <c r="J59" s="47">
        <f t="shared" si="38"/>
        <v>12458.543461799998</v>
      </c>
      <c r="K59" s="49">
        <f>0</f>
        <v>0</v>
      </c>
      <c r="L59" s="48">
        <f t="shared" si="39"/>
        <v>8191.8891690024984</v>
      </c>
      <c r="M59" s="46">
        <f t="shared" si="40"/>
        <v>1.9199795921669005</v>
      </c>
      <c r="N59" s="47">
        <f t="shared" ca="1" si="41"/>
        <v>108.43333333333334</v>
      </c>
      <c r="O59" s="46">
        <f t="shared" ca="1" si="42"/>
        <v>0.21247852849064994</v>
      </c>
      <c r="P59" s="47">
        <f t="shared" si="7"/>
        <v>-4266.6542927974997</v>
      </c>
    </row>
    <row r="60" spans="1:16" ht="15.75" x14ac:dyDescent="0.3">
      <c r="A60" s="57" t="s">
        <v>43</v>
      </c>
      <c r="B60" s="50">
        <v>42926</v>
      </c>
      <c r="C60" s="47">
        <f>9248.63*28%</f>
        <v>2589.6163999999999</v>
      </c>
      <c r="D60" s="47">
        <f t="shared" si="43"/>
        <v>7.4775173549999998</v>
      </c>
      <c r="E60" s="48">
        <v>0</v>
      </c>
      <c r="F60" s="48">
        <f t="shared" si="44"/>
        <v>2597.093917355</v>
      </c>
      <c r="G60" s="48">
        <f t="shared" si="37"/>
        <v>24.04810110536706</v>
      </c>
      <c r="H60" s="48">
        <f>107.9958</f>
        <v>107.9958</v>
      </c>
      <c r="I60" s="56">
        <v>46.404400000000003</v>
      </c>
      <c r="J60" s="47">
        <f t="shared" si="38"/>
        <v>5011.4803015200005</v>
      </c>
      <c r="K60" s="49">
        <f>0</f>
        <v>0</v>
      </c>
      <c r="L60" s="48">
        <f t="shared" si="39"/>
        <v>2414.3863841650004</v>
      </c>
      <c r="M60" s="46">
        <f t="shared" si="40"/>
        <v>0.92964923910950537</v>
      </c>
      <c r="N60" s="47">
        <f t="shared" ca="1" si="41"/>
        <v>108.43333333333334</v>
      </c>
      <c r="O60" s="46">
        <f t="shared" ca="1" si="42"/>
        <v>0.10288156350427971</v>
      </c>
      <c r="P60" s="47">
        <f t="shared" si="7"/>
        <v>-2597.093917355</v>
      </c>
    </row>
    <row r="61" spans="1:16" ht="15.75" x14ac:dyDescent="0.3">
      <c r="A61" s="57" t="s">
        <v>42</v>
      </c>
      <c r="B61" s="50">
        <v>42926</v>
      </c>
      <c r="C61" s="47">
        <f>9248.63*26%</f>
        <v>2404.6437999999998</v>
      </c>
      <c r="D61" s="47">
        <f t="shared" si="43"/>
        <v>6.9434089724999994</v>
      </c>
      <c r="E61" s="48">
        <v>0</v>
      </c>
      <c r="F61" s="48">
        <f t="shared" si="44"/>
        <v>2411.5872089724999</v>
      </c>
      <c r="G61" s="48">
        <f t="shared" si="37"/>
        <v>20.957202525136434</v>
      </c>
      <c r="H61" s="48">
        <f>115.072</f>
        <v>115.072</v>
      </c>
      <c r="I61" s="56">
        <v>38.984900000000003</v>
      </c>
      <c r="J61" s="47">
        <f t="shared" si="38"/>
        <v>4486.0704128000007</v>
      </c>
      <c r="K61" s="49">
        <f>0</f>
        <v>0</v>
      </c>
      <c r="L61" s="48">
        <f t="shared" si="39"/>
        <v>2074.4832038275008</v>
      </c>
      <c r="M61" s="46">
        <f t="shared" si="40"/>
        <v>0.86021488093369503</v>
      </c>
      <c r="N61" s="47">
        <f t="shared" ca="1" si="41"/>
        <v>108.43333333333334</v>
      </c>
      <c r="O61" s="46">
        <f t="shared" ca="1" si="42"/>
        <v>9.5197466073203257E-2</v>
      </c>
      <c r="P61" s="47">
        <f t="shared" si="7"/>
        <v>-2411.5872089724999</v>
      </c>
    </row>
    <row r="62" spans="1:16" ht="15.75" x14ac:dyDescent="0.3">
      <c r="A62" s="55" t="s">
        <v>44</v>
      </c>
      <c r="B62" s="50">
        <v>42958</v>
      </c>
      <c r="C62" s="47">
        <f>9833*46%</f>
        <v>4523.18</v>
      </c>
      <c r="D62" s="47">
        <v>0</v>
      </c>
      <c r="E62" s="48">
        <v>0</v>
      </c>
      <c r="F62" s="48">
        <f t="shared" ref="F62:F67" si="45">SUM(C62:E62)</f>
        <v>4523.18</v>
      </c>
      <c r="G62" s="48">
        <f t="shared" si="37"/>
        <v>25.228106439074288</v>
      </c>
      <c r="H62" s="48">
        <f>179.2913</f>
        <v>179.29130000000001</v>
      </c>
      <c r="I62" s="56">
        <v>74.919499999999999</v>
      </c>
      <c r="J62" s="47">
        <f t="shared" si="38"/>
        <v>13432.41455035</v>
      </c>
      <c r="K62" s="49">
        <f>0</f>
        <v>0</v>
      </c>
      <c r="L62" s="48">
        <f t="shared" si="39"/>
        <v>8909.2345503500001</v>
      </c>
      <c r="M62" s="46">
        <f t="shared" si="40"/>
        <v>1.9696838397653862</v>
      </c>
      <c r="N62" s="47">
        <f t="shared" ca="1" si="41"/>
        <v>107.4</v>
      </c>
      <c r="O62" s="46">
        <f t="shared" ca="1" si="42"/>
        <v>0.22007640667769679</v>
      </c>
      <c r="P62" s="47">
        <f t="shared" si="7"/>
        <v>-4523.18</v>
      </c>
    </row>
    <row r="63" spans="1:16" ht="15.75" x14ac:dyDescent="0.3">
      <c r="A63" s="57" t="s">
        <v>43</v>
      </c>
      <c r="B63" s="50">
        <v>42958</v>
      </c>
      <c r="C63" s="47">
        <f>9833*28%</f>
        <v>2753.2400000000002</v>
      </c>
      <c r="D63" s="47">
        <v>0</v>
      </c>
      <c r="E63" s="48">
        <v>0</v>
      </c>
      <c r="F63" s="48">
        <f t="shared" si="45"/>
        <v>2753.2400000000002</v>
      </c>
      <c r="G63" s="48">
        <f t="shared" si="37"/>
        <v>24.242904527559926</v>
      </c>
      <c r="H63" s="48">
        <f>113.5689</f>
        <v>113.5689</v>
      </c>
      <c r="I63" s="56">
        <v>46.404400000000003</v>
      </c>
      <c r="J63" s="47">
        <f t="shared" si="38"/>
        <v>5270.0966631600004</v>
      </c>
      <c r="K63" s="49">
        <f>0</f>
        <v>0</v>
      </c>
      <c r="L63" s="48">
        <f t="shared" si="39"/>
        <v>2516.8566631600002</v>
      </c>
      <c r="M63" s="46">
        <f t="shared" si="40"/>
        <v>0.9141435774433031</v>
      </c>
      <c r="N63" s="47">
        <f t="shared" ca="1" si="41"/>
        <v>107.4</v>
      </c>
      <c r="O63" s="46">
        <f t="shared" ca="1" si="42"/>
        <v>0.10213894720036906</v>
      </c>
      <c r="P63" s="47">
        <f t="shared" si="7"/>
        <v>-2753.2400000000002</v>
      </c>
    </row>
    <row r="64" spans="1:16" ht="15.75" x14ac:dyDescent="0.3">
      <c r="A64" s="57" t="s">
        <v>42</v>
      </c>
      <c r="B64" s="50">
        <v>42958</v>
      </c>
      <c r="C64" s="47">
        <f>9833*26%</f>
        <v>2556.58</v>
      </c>
      <c r="D64" s="47">
        <v>0</v>
      </c>
      <c r="E64" s="48">
        <v>0</v>
      </c>
      <c r="F64" s="48">
        <f t="shared" si="45"/>
        <v>2556.58</v>
      </c>
      <c r="G64" s="48">
        <f t="shared" si="37"/>
        <v>21.02850130246782</v>
      </c>
      <c r="H64" s="48">
        <f>121.5769</f>
        <v>121.57689999999999</v>
      </c>
      <c r="I64" s="56">
        <v>38.984900000000003</v>
      </c>
      <c r="J64" s="47">
        <f t="shared" si="38"/>
        <v>4739.6632888100003</v>
      </c>
      <c r="K64" s="49">
        <f>0</f>
        <v>0</v>
      </c>
      <c r="L64" s="48">
        <f t="shared" si="39"/>
        <v>2183.0832888100003</v>
      </c>
      <c r="M64" s="46">
        <f t="shared" si="40"/>
        <v>0.85390767697862002</v>
      </c>
      <c r="N64" s="47">
        <f t="shared" ca="1" si="41"/>
        <v>107.4</v>
      </c>
      <c r="O64" s="46">
        <f t="shared" ca="1" si="42"/>
        <v>9.540867899202457E-2</v>
      </c>
      <c r="P64" s="47">
        <f t="shared" si="7"/>
        <v>-2556.58</v>
      </c>
    </row>
    <row r="65" spans="1:16" ht="15.75" x14ac:dyDescent="0.3">
      <c r="A65" s="55" t="s">
        <v>44</v>
      </c>
      <c r="B65" s="50">
        <v>42990</v>
      </c>
      <c r="C65" s="47">
        <f>9833*46%</f>
        <v>4523.18</v>
      </c>
      <c r="D65" s="47">
        <v>0</v>
      </c>
      <c r="E65" s="48">
        <v>0</v>
      </c>
      <c r="F65" s="48">
        <f t="shared" si="45"/>
        <v>4523.18</v>
      </c>
      <c r="G65" s="48">
        <f t="shared" si="37"/>
        <v>26.162305106391845</v>
      </c>
      <c r="H65" s="48">
        <f>172.8892</f>
        <v>172.88919999999999</v>
      </c>
      <c r="I65" s="56">
        <v>74.919499999999999</v>
      </c>
      <c r="J65" s="47">
        <f t="shared" si="38"/>
        <v>12952.772419399998</v>
      </c>
      <c r="K65" s="49">
        <f>0</f>
        <v>0</v>
      </c>
      <c r="L65" s="48">
        <f t="shared" si="39"/>
        <v>8429.5924193999981</v>
      </c>
      <c r="M65" s="46">
        <f t="shared" si="40"/>
        <v>1.8636429280727271</v>
      </c>
      <c r="N65" s="47">
        <f t="shared" ca="1" si="41"/>
        <v>106.36666666666666</v>
      </c>
      <c r="O65" s="46">
        <f t="shared" ca="1" si="42"/>
        <v>0.210251160797926</v>
      </c>
      <c r="P65" s="47">
        <f t="shared" si="7"/>
        <v>-4523.18</v>
      </c>
    </row>
    <row r="66" spans="1:16" ht="15.75" x14ac:dyDescent="0.3">
      <c r="A66" s="57" t="s">
        <v>43</v>
      </c>
      <c r="B66" s="50">
        <v>42990</v>
      </c>
      <c r="C66" s="47">
        <f>9833*28%</f>
        <v>2753.2400000000002</v>
      </c>
      <c r="D66" s="47">
        <v>0</v>
      </c>
      <c r="E66" s="48">
        <v>0</v>
      </c>
      <c r="F66" s="48">
        <f t="shared" si="45"/>
        <v>2753.2400000000002</v>
      </c>
      <c r="G66" s="48">
        <f t="shared" si="37"/>
        <v>24.365214497853078</v>
      </c>
      <c r="H66" s="48">
        <f>112.9988</f>
        <v>112.9988</v>
      </c>
      <c r="I66" s="56">
        <v>46.404400000000003</v>
      </c>
      <c r="J66" s="47">
        <f t="shared" si="38"/>
        <v>5243.6415147200005</v>
      </c>
      <c r="K66" s="49">
        <f>0</f>
        <v>0</v>
      </c>
      <c r="L66" s="48">
        <f t="shared" si="39"/>
        <v>2490.4015147200003</v>
      </c>
      <c r="M66" s="46">
        <f t="shared" si="40"/>
        <v>0.9045348442998068</v>
      </c>
      <c r="N66" s="47">
        <f t="shared" ca="1" si="41"/>
        <v>106.36666666666666</v>
      </c>
      <c r="O66" s="46">
        <f t="shared" ca="1" si="42"/>
        <v>0.10204717767092775</v>
      </c>
      <c r="P66" s="47">
        <f t="shared" si="7"/>
        <v>-2753.2400000000002</v>
      </c>
    </row>
    <row r="67" spans="1:16" ht="15.75" x14ac:dyDescent="0.3">
      <c r="A67" s="57" t="s">
        <v>42</v>
      </c>
      <c r="B67" s="50">
        <v>42990</v>
      </c>
      <c r="C67" s="47">
        <f>9833*26%</f>
        <v>2556.58</v>
      </c>
      <c r="D67" s="47">
        <v>0</v>
      </c>
      <c r="E67" s="48">
        <v>0</v>
      </c>
      <c r="F67" s="48">
        <f t="shared" si="45"/>
        <v>2556.58</v>
      </c>
      <c r="G67" s="48">
        <f t="shared" si="37"/>
        <v>21.142704031253672</v>
      </c>
      <c r="H67" s="48">
        <f>120.9202</f>
        <v>120.92019999999999</v>
      </c>
      <c r="I67" s="56">
        <v>38.984900000000003</v>
      </c>
      <c r="J67" s="47">
        <f t="shared" si="38"/>
        <v>4714.0619049799998</v>
      </c>
      <c r="K67" s="49">
        <f>0</f>
        <v>0</v>
      </c>
      <c r="L67" s="48">
        <f t="shared" si="39"/>
        <v>2157.4819049799999</v>
      </c>
      <c r="M67" s="46">
        <f t="shared" si="40"/>
        <v>0.84389375845074277</v>
      </c>
      <c r="N67" s="47">
        <f t="shared" ca="1" si="41"/>
        <v>106.36666666666666</v>
      </c>
      <c r="O67" s="46">
        <f t="shared" ca="1" si="42"/>
        <v>9.5205814178084436E-2</v>
      </c>
      <c r="P67" s="47">
        <f t="shared" ref="P67:P130" si="46">-F67</f>
        <v>-2556.58</v>
      </c>
    </row>
    <row r="68" spans="1:16" ht="15.75" x14ac:dyDescent="0.3">
      <c r="A68" s="55" t="s">
        <v>44</v>
      </c>
      <c r="B68" s="50">
        <v>43015</v>
      </c>
      <c r="C68" s="47">
        <v>-19.7</v>
      </c>
      <c r="D68" s="47">
        <v>0</v>
      </c>
      <c r="E68" s="48">
        <v>0</v>
      </c>
      <c r="F68" s="48">
        <f t="shared" ref="F68:F70" si="47">SUM(C68:E68)</f>
        <v>-19.7</v>
      </c>
      <c r="G68" s="48">
        <f t="shared" ref="G68:G124" si="48">F68/H68</f>
        <v>25.951785008562769</v>
      </c>
      <c r="H68" s="48">
        <f>-0.7591</f>
        <v>-0.7591</v>
      </c>
      <c r="I68" s="56">
        <v>74.919499999999999</v>
      </c>
      <c r="J68" s="47">
        <f t="shared" ref="J68:J124" si="49">PRODUCT(H68:I68)</f>
        <v>-56.871392450000002</v>
      </c>
      <c r="K68" s="49">
        <f>0</f>
        <v>0</v>
      </c>
      <c r="L68" s="48">
        <f t="shared" ref="L68:L124" si="50">SUM(-F68,J68)+K68</f>
        <v>-37.171392449999999</v>
      </c>
      <c r="M68" s="46">
        <f t="shared" ref="M68:M124" si="51">L68/F68</f>
        <v>1.8868727131979695</v>
      </c>
      <c r="N68" s="47">
        <f t="shared" ref="N68:N124" ca="1" si="52">(DAYS360(B68,NOW(),TRUE))/30</f>
        <v>105.53333333333333</v>
      </c>
      <c r="O68" s="46">
        <f t="shared" ref="O68:O124" ca="1" si="53">M68*12/N68</f>
        <v>0.21455280377487967</v>
      </c>
      <c r="P68" s="47">
        <f t="shared" si="46"/>
        <v>19.7</v>
      </c>
    </row>
    <row r="69" spans="1:16" ht="15.75" x14ac:dyDescent="0.3">
      <c r="A69" s="57" t="s">
        <v>43</v>
      </c>
      <c r="B69" s="50">
        <v>43015</v>
      </c>
      <c r="C69" s="47">
        <v>-11.31</v>
      </c>
      <c r="D69" s="47">
        <v>0</v>
      </c>
      <c r="E69" s="48">
        <v>0</v>
      </c>
      <c r="F69" s="48">
        <f t="shared" si="47"/>
        <v>-11.31</v>
      </c>
      <c r="G69" s="48">
        <f t="shared" si="48"/>
        <v>24.369747899159663</v>
      </c>
      <c r="H69" s="48">
        <f>-0.4641</f>
        <v>-0.46410000000000001</v>
      </c>
      <c r="I69" s="56">
        <v>46.404400000000003</v>
      </c>
      <c r="J69" s="47">
        <f t="shared" si="49"/>
        <v>-21.536282040000003</v>
      </c>
      <c r="K69" s="49">
        <f>0</f>
        <v>0</v>
      </c>
      <c r="L69" s="48">
        <f t="shared" si="50"/>
        <v>-10.226282040000003</v>
      </c>
      <c r="M69" s="46">
        <f t="shared" si="51"/>
        <v>0.90418055172413814</v>
      </c>
      <c r="N69" s="47">
        <f t="shared" ca="1" si="52"/>
        <v>105.53333333333333</v>
      </c>
      <c r="O69" s="46">
        <f t="shared" ca="1" si="53"/>
        <v>0.10281269697431766</v>
      </c>
      <c r="P69" s="47">
        <f t="shared" si="46"/>
        <v>11.31</v>
      </c>
    </row>
    <row r="70" spans="1:16" ht="15.75" x14ac:dyDescent="0.3">
      <c r="A70" s="57" t="s">
        <v>42</v>
      </c>
      <c r="B70" s="50">
        <v>43015</v>
      </c>
      <c r="C70" s="47">
        <v>-10.27</v>
      </c>
      <c r="D70" s="47">
        <v>0</v>
      </c>
      <c r="E70" s="48">
        <v>0</v>
      </c>
      <c r="F70" s="48">
        <f t="shared" si="47"/>
        <v>-10.27</v>
      </c>
      <c r="G70" s="48">
        <f t="shared" si="48"/>
        <v>20.967741935483868</v>
      </c>
      <c r="H70" s="48">
        <f>-0.4898</f>
        <v>-0.48980000000000001</v>
      </c>
      <c r="I70" s="56">
        <v>38.984900000000003</v>
      </c>
      <c r="J70" s="47">
        <f t="shared" si="49"/>
        <v>-19.094804020000002</v>
      </c>
      <c r="K70" s="49">
        <f>0</f>
        <v>0</v>
      </c>
      <c r="L70" s="48">
        <f t="shared" si="50"/>
        <v>-8.824804020000002</v>
      </c>
      <c r="M70" s="46">
        <f t="shared" si="51"/>
        <v>0.85927984615384634</v>
      </c>
      <c r="N70" s="47">
        <f t="shared" ca="1" si="52"/>
        <v>105.53333333333333</v>
      </c>
      <c r="O70" s="46">
        <f t="shared" ca="1" si="53"/>
        <v>9.7707120851353343E-2</v>
      </c>
      <c r="P70" s="47">
        <f t="shared" si="46"/>
        <v>10.27</v>
      </c>
    </row>
    <row r="71" spans="1:16" ht="15.75" x14ac:dyDescent="0.3">
      <c r="A71" s="55" t="s">
        <v>44</v>
      </c>
      <c r="B71" s="50">
        <v>43017</v>
      </c>
      <c r="C71" s="47">
        <f>9833*46%</f>
        <v>4523.18</v>
      </c>
      <c r="D71" s="47">
        <v>0</v>
      </c>
      <c r="E71" s="48">
        <v>0</v>
      </c>
      <c r="F71" s="48">
        <f t="shared" ref="F71:F91" si="54">SUM(C71:E71)</f>
        <v>4523.18</v>
      </c>
      <c r="G71" s="48">
        <f t="shared" si="48"/>
        <v>25.974507750121745</v>
      </c>
      <c r="H71" s="48">
        <f>174.1392</f>
        <v>174.13919999999999</v>
      </c>
      <c r="I71" s="56">
        <v>74.919499999999999</v>
      </c>
      <c r="J71" s="47">
        <f t="shared" si="49"/>
        <v>13046.421794399999</v>
      </c>
      <c r="K71" s="49">
        <f>0</f>
        <v>0</v>
      </c>
      <c r="L71" s="48">
        <f t="shared" si="50"/>
        <v>8523.241794399999</v>
      </c>
      <c r="M71" s="46">
        <f t="shared" si="51"/>
        <v>1.8843472500320568</v>
      </c>
      <c r="N71" s="47">
        <f t="shared" ca="1" si="52"/>
        <v>105.46666666666667</v>
      </c>
      <c r="O71" s="46">
        <f t="shared" ca="1" si="53"/>
        <v>0.21440107775333134</v>
      </c>
      <c r="P71" s="47">
        <f t="shared" si="46"/>
        <v>-4523.18</v>
      </c>
    </row>
    <row r="72" spans="1:16" ht="15.75" x14ac:dyDescent="0.3">
      <c r="A72" s="57" t="s">
        <v>43</v>
      </c>
      <c r="B72" s="50">
        <v>43017</v>
      </c>
      <c r="C72" s="47">
        <f>9833*28%</f>
        <v>2753.2400000000002</v>
      </c>
      <c r="D72" s="47">
        <v>0</v>
      </c>
      <c r="E72" s="48">
        <v>0</v>
      </c>
      <c r="F72" s="48">
        <f t="shared" si="54"/>
        <v>2753.2400000000002</v>
      </c>
      <c r="G72" s="48">
        <f t="shared" si="48"/>
        <v>24.33351598819225</v>
      </c>
      <c r="H72" s="48">
        <f>113.146</f>
        <v>113.146</v>
      </c>
      <c r="I72" s="56">
        <v>46.404400000000003</v>
      </c>
      <c r="J72" s="47">
        <f t="shared" si="49"/>
        <v>5250.4722424000001</v>
      </c>
      <c r="K72" s="49">
        <f>0</f>
        <v>0</v>
      </c>
      <c r="L72" s="48">
        <f t="shared" si="50"/>
        <v>2497.2322423999999</v>
      </c>
      <c r="M72" s="46">
        <f t="shared" si="51"/>
        <v>0.90701582223126198</v>
      </c>
      <c r="N72" s="47">
        <f t="shared" ca="1" si="52"/>
        <v>105.46666666666667</v>
      </c>
      <c r="O72" s="46">
        <f t="shared" ca="1" si="53"/>
        <v>0.10320028318686925</v>
      </c>
      <c r="P72" s="47">
        <f t="shared" si="46"/>
        <v>-2753.2400000000002</v>
      </c>
    </row>
    <row r="73" spans="1:16" ht="15.75" x14ac:dyDescent="0.3">
      <c r="A73" s="57" t="s">
        <v>42</v>
      </c>
      <c r="B73" s="50">
        <v>43017</v>
      </c>
      <c r="C73" s="47">
        <f>9833*26%</f>
        <v>2556.58</v>
      </c>
      <c r="D73" s="47">
        <v>0</v>
      </c>
      <c r="E73" s="48">
        <v>0</v>
      </c>
      <c r="F73" s="48">
        <f t="shared" si="54"/>
        <v>2556.58</v>
      </c>
      <c r="G73" s="48">
        <f t="shared" si="48"/>
        <v>20.966607017791329</v>
      </c>
      <c r="H73" s="48">
        <f>121.9358</f>
        <v>121.9358</v>
      </c>
      <c r="I73" s="56">
        <v>38.984900000000003</v>
      </c>
      <c r="J73" s="47">
        <f t="shared" si="49"/>
        <v>4753.6549694200003</v>
      </c>
      <c r="K73" s="49">
        <f>0</f>
        <v>0</v>
      </c>
      <c r="L73" s="48">
        <f t="shared" si="50"/>
        <v>2197.0749694200003</v>
      </c>
      <c r="M73" s="46">
        <f t="shared" si="51"/>
        <v>0.85938048855111138</v>
      </c>
      <c r="N73" s="47">
        <f t="shared" ca="1" si="52"/>
        <v>105.46666666666667</v>
      </c>
      <c r="O73" s="46">
        <f t="shared" ca="1" si="53"/>
        <v>9.7780333716308496E-2</v>
      </c>
      <c r="P73" s="47">
        <f t="shared" si="46"/>
        <v>-2556.58</v>
      </c>
    </row>
    <row r="74" spans="1:16" ht="15.75" x14ac:dyDescent="0.3">
      <c r="A74" s="55" t="s">
        <v>44</v>
      </c>
      <c r="B74" s="50">
        <v>43032</v>
      </c>
      <c r="C74" s="47">
        <v>-12688.32</v>
      </c>
      <c r="D74" s="47">
        <v>0</v>
      </c>
      <c r="E74" s="48">
        <v>0</v>
      </c>
      <c r="F74" s="48">
        <f t="shared" si="54"/>
        <v>-12688.32</v>
      </c>
      <c r="G74" s="48">
        <f t="shared" si="48"/>
        <v>26.577796955611923</v>
      </c>
      <c r="H74" s="48">
        <f>-477.403</f>
        <v>-477.40300000000002</v>
      </c>
      <c r="I74" s="56">
        <v>74.919499999999999</v>
      </c>
      <c r="J74" s="47">
        <f t="shared" si="49"/>
        <v>-35766.794058500003</v>
      </c>
      <c r="K74" s="49">
        <f>0</f>
        <v>0</v>
      </c>
      <c r="L74" s="48">
        <f t="shared" si="50"/>
        <v>-23078.474058500004</v>
      </c>
      <c r="M74" s="46">
        <f t="shared" si="51"/>
        <v>1.818875474333876</v>
      </c>
      <c r="N74" s="47">
        <f t="shared" ca="1" si="52"/>
        <v>104.96666666666667</v>
      </c>
      <c r="O74" s="46">
        <f t="shared" ca="1" si="53"/>
        <v>0.20793749468408873</v>
      </c>
      <c r="P74" s="47">
        <f t="shared" si="46"/>
        <v>12688.32</v>
      </c>
    </row>
    <row r="75" spans="1:16" ht="15.75" x14ac:dyDescent="0.3">
      <c r="A75" s="57" t="s">
        <v>43</v>
      </c>
      <c r="B75" s="50">
        <v>43032</v>
      </c>
      <c r="C75" s="47">
        <v>-483.36</v>
      </c>
      <c r="D75" s="47">
        <v>0</v>
      </c>
      <c r="E75" s="48">
        <v>0</v>
      </c>
      <c r="F75" s="48">
        <f t="shared" si="54"/>
        <v>-483.36</v>
      </c>
      <c r="G75" s="48">
        <f t="shared" si="48"/>
        <v>24.430876228215599</v>
      </c>
      <c r="H75" s="48">
        <f>-19.7848</f>
        <v>-19.784800000000001</v>
      </c>
      <c r="I75" s="56">
        <v>46.404400000000003</v>
      </c>
      <c r="J75" s="47">
        <f t="shared" si="49"/>
        <v>-918.10177312000008</v>
      </c>
      <c r="K75" s="49">
        <f>0</f>
        <v>0</v>
      </c>
      <c r="L75" s="48">
        <f t="shared" si="50"/>
        <v>-434.74177312000006</v>
      </c>
      <c r="M75" s="46">
        <f t="shared" si="51"/>
        <v>0.89941611453161219</v>
      </c>
      <c r="N75" s="47">
        <f t="shared" ca="1" si="52"/>
        <v>104.96666666666667</v>
      </c>
      <c r="O75" s="46">
        <f t="shared" ca="1" si="53"/>
        <v>0.10282305532911412</v>
      </c>
      <c r="P75" s="47">
        <f t="shared" si="46"/>
        <v>483.36</v>
      </c>
    </row>
    <row r="76" spans="1:16" ht="15.75" x14ac:dyDescent="0.3">
      <c r="A76" s="57" t="s">
        <v>42</v>
      </c>
      <c r="B76" s="50">
        <v>43032</v>
      </c>
      <c r="C76" s="47">
        <v>13171.68</v>
      </c>
      <c r="D76" s="47">
        <v>0</v>
      </c>
      <c r="E76" s="48">
        <v>0</v>
      </c>
      <c r="F76" s="48">
        <f t="shared" si="54"/>
        <v>13171.68</v>
      </c>
      <c r="G76" s="48">
        <f t="shared" si="48"/>
        <v>20.997300349830667</v>
      </c>
      <c r="H76" s="48">
        <f>627.3035</f>
        <v>627.30349999999999</v>
      </c>
      <c r="I76" s="56">
        <v>38.984900000000003</v>
      </c>
      <c r="J76" s="47">
        <f t="shared" si="49"/>
        <v>24455.364217150003</v>
      </c>
      <c r="K76" s="49">
        <f>0</f>
        <v>0</v>
      </c>
      <c r="L76" s="48">
        <f t="shared" si="50"/>
        <v>11283.684217150003</v>
      </c>
      <c r="M76" s="46">
        <f t="shared" si="51"/>
        <v>0.85666249234342184</v>
      </c>
      <c r="N76" s="47">
        <f t="shared" ca="1" si="52"/>
        <v>104.96666666666667</v>
      </c>
      <c r="O76" s="46">
        <f t="shared" ca="1" si="53"/>
        <v>9.7935375434624272E-2</v>
      </c>
      <c r="P76" s="47">
        <f t="shared" si="46"/>
        <v>-13171.68</v>
      </c>
    </row>
    <row r="77" spans="1:16" ht="15.75" x14ac:dyDescent="0.3">
      <c r="A77" s="55" t="s">
        <v>44</v>
      </c>
      <c r="B77" s="50">
        <v>43046</v>
      </c>
      <c r="C77" s="47">
        <f>50000*44%</f>
        <v>22000</v>
      </c>
      <c r="D77" s="47">
        <f>30.21*44%</f>
        <v>13.292400000000001</v>
      </c>
      <c r="E77" s="48">
        <v>0</v>
      </c>
      <c r="F77" s="48">
        <f t="shared" si="54"/>
        <v>22013.292399999998</v>
      </c>
      <c r="G77" s="48">
        <f t="shared" si="48"/>
        <v>27.118475600471676</v>
      </c>
      <c r="H77" s="48">
        <f>811.7452</f>
        <v>811.74519999999995</v>
      </c>
      <c r="I77" s="56">
        <v>74.919499999999999</v>
      </c>
      <c r="J77" s="47">
        <f t="shared" si="49"/>
        <v>60815.544511399996</v>
      </c>
      <c r="K77" s="49">
        <f>0</f>
        <v>0</v>
      </c>
      <c r="L77" s="48">
        <f t="shared" si="50"/>
        <v>38802.252111399997</v>
      </c>
      <c r="M77" s="46">
        <f t="shared" si="51"/>
        <v>1.7626737248717961</v>
      </c>
      <c r="N77" s="47">
        <f t="shared" ca="1" si="52"/>
        <v>104.53333333333333</v>
      </c>
      <c r="O77" s="46">
        <f t="shared" ca="1" si="53"/>
        <v>0.20234774902865008</v>
      </c>
      <c r="P77" s="47">
        <f t="shared" si="46"/>
        <v>-22013.292399999998</v>
      </c>
    </row>
    <row r="78" spans="1:16" ht="15.75" x14ac:dyDescent="0.3">
      <c r="A78" s="57" t="s">
        <v>43</v>
      </c>
      <c r="B78" s="50">
        <v>43046</v>
      </c>
      <c r="C78" s="47">
        <f>50000*27%</f>
        <v>13500</v>
      </c>
      <c r="D78" s="47">
        <f>30.21*27%</f>
        <v>8.1567000000000007</v>
      </c>
      <c r="E78" s="48">
        <v>0</v>
      </c>
      <c r="F78" s="48">
        <f t="shared" si="54"/>
        <v>13508.1567</v>
      </c>
      <c r="G78" s="48">
        <f t="shared" si="48"/>
        <v>24.462674390513776</v>
      </c>
      <c r="H78" s="48">
        <f>552.1946</f>
        <v>552.19460000000004</v>
      </c>
      <c r="I78" s="56">
        <v>46.404400000000003</v>
      </c>
      <c r="J78" s="47">
        <f t="shared" si="49"/>
        <v>25624.259096240003</v>
      </c>
      <c r="K78" s="49">
        <f>0</f>
        <v>0</v>
      </c>
      <c r="L78" s="48">
        <f t="shared" si="50"/>
        <v>12116.102396240003</v>
      </c>
      <c r="M78" s="46">
        <f t="shared" si="51"/>
        <v>0.89694713093163947</v>
      </c>
      <c r="N78" s="47">
        <f t="shared" ca="1" si="52"/>
        <v>104.53333333333333</v>
      </c>
      <c r="O78" s="46">
        <f t="shared" ca="1" si="53"/>
        <v>0.10296586962225453</v>
      </c>
      <c r="P78" s="47">
        <f t="shared" si="46"/>
        <v>-13508.1567</v>
      </c>
    </row>
    <row r="79" spans="1:16" ht="15.75" x14ac:dyDescent="0.3">
      <c r="A79" s="57" t="s">
        <v>42</v>
      </c>
      <c r="B79" s="50">
        <v>43046</v>
      </c>
      <c r="C79" s="47">
        <f>50000*29%</f>
        <v>14499.999999999998</v>
      </c>
      <c r="D79" s="47">
        <f>30.21*29%</f>
        <v>8.7608999999999995</v>
      </c>
      <c r="E79" s="48">
        <v>0</v>
      </c>
      <c r="F79" s="48">
        <f t="shared" si="54"/>
        <v>14508.760899999997</v>
      </c>
      <c r="G79" s="48">
        <f t="shared" si="48"/>
        <v>20.970963214569629</v>
      </c>
      <c r="H79" s="48">
        <f>691.85</f>
        <v>691.85</v>
      </c>
      <c r="I79" s="56">
        <v>38.984900000000003</v>
      </c>
      <c r="J79" s="47">
        <f t="shared" si="49"/>
        <v>26971.703065000002</v>
      </c>
      <c r="K79" s="49">
        <f>0</f>
        <v>0</v>
      </c>
      <c r="L79" s="48">
        <f t="shared" si="50"/>
        <v>12462.942165000004</v>
      </c>
      <c r="M79" s="46">
        <f t="shared" si="51"/>
        <v>0.85899424843371741</v>
      </c>
      <c r="N79" s="47">
        <f t="shared" ca="1" si="52"/>
        <v>104.53333333333333</v>
      </c>
      <c r="O79" s="46">
        <f t="shared" ca="1" si="53"/>
        <v>9.8609033621217576E-2</v>
      </c>
      <c r="P79" s="47">
        <f t="shared" si="46"/>
        <v>-14508.760899999997</v>
      </c>
    </row>
    <row r="80" spans="1:16" ht="15.75" x14ac:dyDescent="0.3">
      <c r="A80" s="55" t="s">
        <v>44</v>
      </c>
      <c r="B80" s="50">
        <v>43048</v>
      </c>
      <c r="C80" s="47">
        <f>9833*44%</f>
        <v>4326.5200000000004</v>
      </c>
      <c r="D80" s="47">
        <v>0</v>
      </c>
      <c r="E80" s="48">
        <v>0</v>
      </c>
      <c r="F80" s="48">
        <f t="shared" si="54"/>
        <v>4326.5200000000004</v>
      </c>
      <c r="G80" s="48">
        <f t="shared" si="48"/>
        <v>26.991002209053438</v>
      </c>
      <c r="H80" s="48">
        <f>160.2949</f>
        <v>160.29490000000001</v>
      </c>
      <c r="I80" s="56">
        <v>74.919499999999999</v>
      </c>
      <c r="J80" s="47">
        <f t="shared" si="49"/>
        <v>12009.213760550001</v>
      </c>
      <c r="K80" s="49">
        <f>0</f>
        <v>0</v>
      </c>
      <c r="L80" s="48">
        <f t="shared" si="50"/>
        <v>7682.6937605500007</v>
      </c>
      <c r="M80" s="46">
        <f t="shared" si="51"/>
        <v>1.7757213096322217</v>
      </c>
      <c r="N80" s="47">
        <f t="shared" ca="1" si="52"/>
        <v>104.46666666666667</v>
      </c>
      <c r="O80" s="46">
        <f t="shared" ca="1" si="53"/>
        <v>0.20397564501199739</v>
      </c>
      <c r="P80" s="47">
        <f t="shared" si="46"/>
        <v>-4326.5200000000004</v>
      </c>
    </row>
    <row r="81" spans="1:16" ht="15.75" x14ac:dyDescent="0.3">
      <c r="A81" s="57" t="s">
        <v>43</v>
      </c>
      <c r="B81" s="50">
        <v>43048</v>
      </c>
      <c r="C81" s="47">
        <f>9833*27%</f>
        <v>2654.9100000000003</v>
      </c>
      <c r="D81" s="47">
        <v>0</v>
      </c>
      <c r="E81" s="48">
        <v>0</v>
      </c>
      <c r="F81" s="48">
        <f t="shared" si="54"/>
        <v>2654.9100000000003</v>
      </c>
      <c r="G81" s="48">
        <f t="shared" si="48"/>
        <v>24.439213794677872</v>
      </c>
      <c r="H81" s="48">
        <f>108.6332</f>
        <v>108.6332</v>
      </c>
      <c r="I81" s="56">
        <v>46.404400000000003</v>
      </c>
      <c r="J81" s="47">
        <f t="shared" si="49"/>
        <v>5041.0584660800005</v>
      </c>
      <c r="K81" s="49">
        <f>0</f>
        <v>0</v>
      </c>
      <c r="L81" s="48">
        <f t="shared" si="50"/>
        <v>2386.1484660800002</v>
      </c>
      <c r="M81" s="46">
        <f t="shared" si="51"/>
        <v>0.89876811872342188</v>
      </c>
      <c r="N81" s="47">
        <f t="shared" ca="1" si="52"/>
        <v>104.46666666666667</v>
      </c>
      <c r="O81" s="46">
        <f t="shared" ca="1" si="53"/>
        <v>0.10324075390568982</v>
      </c>
      <c r="P81" s="47">
        <f t="shared" si="46"/>
        <v>-2654.9100000000003</v>
      </c>
    </row>
    <row r="82" spans="1:16" ht="15.75" x14ac:dyDescent="0.3">
      <c r="A82" s="57" t="s">
        <v>42</v>
      </c>
      <c r="B82" s="50">
        <v>43048</v>
      </c>
      <c r="C82" s="47">
        <f>9833*29%</f>
        <v>2851.5699999999997</v>
      </c>
      <c r="D82" s="47">
        <v>0</v>
      </c>
      <c r="E82" s="48">
        <v>0</v>
      </c>
      <c r="F82" s="48">
        <f t="shared" si="54"/>
        <v>2851.5699999999997</v>
      </c>
      <c r="G82" s="48">
        <f t="shared" si="48"/>
        <v>20.959705285038378</v>
      </c>
      <c r="H82" s="48">
        <f>136.0501</f>
        <v>136.05009999999999</v>
      </c>
      <c r="I82" s="56">
        <v>38.984900000000003</v>
      </c>
      <c r="J82" s="47">
        <f t="shared" si="49"/>
        <v>5303.8995434899998</v>
      </c>
      <c r="K82" s="49">
        <f>0</f>
        <v>0</v>
      </c>
      <c r="L82" s="48">
        <f t="shared" si="50"/>
        <v>2452.3295434900001</v>
      </c>
      <c r="M82" s="46">
        <f t="shared" si="51"/>
        <v>0.85999275609225811</v>
      </c>
      <c r="N82" s="47">
        <f t="shared" ca="1" si="52"/>
        <v>104.46666666666667</v>
      </c>
      <c r="O82" s="46">
        <f t="shared" ca="1" si="53"/>
        <v>9.8786659921254918E-2</v>
      </c>
      <c r="P82" s="47">
        <f t="shared" si="46"/>
        <v>-2851.5699999999997</v>
      </c>
    </row>
    <row r="83" spans="1:16" ht="15.75" x14ac:dyDescent="0.3">
      <c r="A83" s="55" t="s">
        <v>44</v>
      </c>
      <c r="B83" s="50">
        <v>43081</v>
      </c>
      <c r="C83" s="47">
        <f>9833*44%</f>
        <v>4326.5200000000004</v>
      </c>
      <c r="D83" s="47">
        <v>0</v>
      </c>
      <c r="E83" s="48">
        <v>0</v>
      </c>
      <c r="F83" s="48">
        <f t="shared" si="54"/>
        <v>4326.5200000000004</v>
      </c>
      <c r="G83" s="48">
        <f t="shared" si="48"/>
        <v>26.919410756017253</v>
      </c>
      <c r="H83" s="48">
        <f>160.7212</f>
        <v>160.72120000000001</v>
      </c>
      <c r="I83" s="56">
        <v>74.919499999999999</v>
      </c>
      <c r="J83" s="47">
        <f t="shared" si="49"/>
        <v>12041.1519434</v>
      </c>
      <c r="K83" s="49">
        <f>0</f>
        <v>0</v>
      </c>
      <c r="L83" s="48">
        <f t="shared" si="50"/>
        <v>7714.6319433999997</v>
      </c>
      <c r="M83" s="46">
        <f t="shared" si="51"/>
        <v>1.7831032662278226</v>
      </c>
      <c r="N83" s="47">
        <f t="shared" ca="1" si="52"/>
        <v>103.36666666666666</v>
      </c>
      <c r="O83" s="46">
        <f t="shared" ca="1" si="53"/>
        <v>0.20700328147114355</v>
      </c>
      <c r="P83" s="47">
        <f t="shared" si="46"/>
        <v>-4326.5200000000004</v>
      </c>
    </row>
    <row r="84" spans="1:16" ht="15.75" x14ac:dyDescent="0.3">
      <c r="A84" s="57" t="s">
        <v>43</v>
      </c>
      <c r="B84" s="50">
        <v>43081</v>
      </c>
      <c r="C84" s="47">
        <f>9833*27%</f>
        <v>2654.9100000000003</v>
      </c>
      <c r="D84" s="47">
        <v>0</v>
      </c>
      <c r="E84" s="48">
        <v>0</v>
      </c>
      <c r="F84" s="48">
        <f t="shared" si="54"/>
        <v>2654.9100000000003</v>
      </c>
      <c r="G84" s="48">
        <f t="shared" si="48"/>
        <v>24.399817661471616</v>
      </c>
      <c r="H84" s="48">
        <f>108.8086</f>
        <v>108.8086</v>
      </c>
      <c r="I84" s="56">
        <v>46.404400000000003</v>
      </c>
      <c r="J84" s="47">
        <f t="shared" si="49"/>
        <v>5049.19779784</v>
      </c>
      <c r="K84" s="49">
        <f>0</f>
        <v>0</v>
      </c>
      <c r="L84" s="48">
        <f t="shared" si="50"/>
        <v>2394.2877978399997</v>
      </c>
      <c r="M84" s="46">
        <f t="shared" si="51"/>
        <v>0.90183388432752876</v>
      </c>
      <c r="N84" s="47">
        <f t="shared" ca="1" si="52"/>
        <v>103.36666666666666</v>
      </c>
      <c r="O84" s="46">
        <f t="shared" ca="1" si="53"/>
        <v>0.10469532355946803</v>
      </c>
      <c r="P84" s="47">
        <f t="shared" si="46"/>
        <v>-2654.9100000000003</v>
      </c>
    </row>
    <row r="85" spans="1:16" ht="15.75" x14ac:dyDescent="0.3">
      <c r="A85" s="57" t="s">
        <v>42</v>
      </c>
      <c r="B85" s="50">
        <v>43081</v>
      </c>
      <c r="C85" s="47">
        <f>9833*29%</f>
        <v>2851.5699999999997</v>
      </c>
      <c r="D85" s="47">
        <v>0</v>
      </c>
      <c r="E85" s="48">
        <v>0</v>
      </c>
      <c r="F85" s="48">
        <f t="shared" si="54"/>
        <v>2851.5699999999997</v>
      </c>
      <c r="G85" s="48">
        <f t="shared" si="48"/>
        <v>20.809108933722626</v>
      </c>
      <c r="H85" s="48">
        <f>137.0347</f>
        <v>137.03469999999999</v>
      </c>
      <c r="I85" s="56">
        <v>38.984900000000003</v>
      </c>
      <c r="J85" s="47">
        <f t="shared" si="49"/>
        <v>5342.2840760299996</v>
      </c>
      <c r="K85" s="49">
        <f>0</f>
        <v>0</v>
      </c>
      <c r="L85" s="48">
        <f t="shared" si="50"/>
        <v>2490.7140760299999</v>
      </c>
      <c r="M85" s="46">
        <f t="shared" si="51"/>
        <v>0.8734535978531125</v>
      </c>
      <c r="N85" s="47">
        <f t="shared" ca="1" si="52"/>
        <v>103.36666666666666</v>
      </c>
      <c r="O85" s="46">
        <f t="shared" ca="1" si="53"/>
        <v>0.10140061116643681</v>
      </c>
      <c r="P85" s="47">
        <f t="shared" si="46"/>
        <v>-2851.5699999999997</v>
      </c>
    </row>
    <row r="86" spans="1:16" ht="15.75" x14ac:dyDescent="0.3">
      <c r="A86" s="55" t="s">
        <v>44</v>
      </c>
      <c r="B86" s="50">
        <v>43101</v>
      </c>
      <c r="C86" s="47">
        <f>9833*44%</f>
        <v>4326.5200000000004</v>
      </c>
      <c r="D86" s="47">
        <v>0</v>
      </c>
      <c r="E86" s="48">
        <v>0</v>
      </c>
      <c r="F86" s="48">
        <f t="shared" si="54"/>
        <v>4326.5200000000004</v>
      </c>
      <c r="G86" s="48">
        <f t="shared" si="48"/>
        <v>27.493411842606111</v>
      </c>
      <c r="H86" s="48">
        <f>157.3657</f>
        <v>157.3657</v>
      </c>
      <c r="I86" s="56">
        <v>74.919499999999999</v>
      </c>
      <c r="J86" s="47">
        <f t="shared" si="49"/>
        <v>11789.75956115</v>
      </c>
      <c r="K86" s="49">
        <f>0</f>
        <v>0</v>
      </c>
      <c r="L86" s="48">
        <f t="shared" si="50"/>
        <v>7463.2395611499996</v>
      </c>
      <c r="M86" s="46">
        <f t="shared" si="51"/>
        <v>1.7249982806389428</v>
      </c>
      <c r="N86" s="47">
        <f t="shared" ca="1" si="52"/>
        <v>102.73333333333333</v>
      </c>
      <c r="O86" s="46">
        <f t="shared" ca="1" si="53"/>
        <v>0.20149233647956502</v>
      </c>
      <c r="P86" s="47">
        <f t="shared" si="46"/>
        <v>-4326.5200000000004</v>
      </c>
    </row>
    <row r="87" spans="1:16" ht="15.75" x14ac:dyDescent="0.3">
      <c r="A87" s="57" t="s">
        <v>43</v>
      </c>
      <c r="B87" s="50">
        <v>43101</v>
      </c>
      <c r="C87" s="47">
        <f>9833*27%</f>
        <v>2654.9100000000003</v>
      </c>
      <c r="D87" s="47">
        <v>0</v>
      </c>
      <c r="E87" s="48">
        <v>0</v>
      </c>
      <c r="F87" s="48">
        <f t="shared" si="54"/>
        <v>2654.9100000000003</v>
      </c>
      <c r="G87" s="48">
        <f t="shared" si="48"/>
        <v>24.416108740435551</v>
      </c>
      <c r="H87" s="48">
        <f>108.736</f>
        <v>108.736</v>
      </c>
      <c r="I87" s="56">
        <v>46.404400000000003</v>
      </c>
      <c r="J87" s="47">
        <f t="shared" si="49"/>
        <v>5045.8288384000007</v>
      </c>
      <c r="K87" s="49">
        <f>0</f>
        <v>0</v>
      </c>
      <c r="L87" s="48">
        <f t="shared" si="50"/>
        <v>2390.9188384000004</v>
      </c>
      <c r="M87" s="46">
        <f t="shared" si="51"/>
        <v>0.90056493003529314</v>
      </c>
      <c r="N87" s="47">
        <f t="shared" ca="1" si="52"/>
        <v>102.73333333333333</v>
      </c>
      <c r="O87" s="46">
        <f t="shared" ca="1" si="53"/>
        <v>0.10519252914104656</v>
      </c>
      <c r="P87" s="47">
        <f t="shared" si="46"/>
        <v>-2654.9100000000003</v>
      </c>
    </row>
    <row r="88" spans="1:16" ht="15.75" x14ac:dyDescent="0.3">
      <c r="A88" s="57" t="s">
        <v>42</v>
      </c>
      <c r="B88" s="50">
        <v>43101</v>
      </c>
      <c r="C88" s="47">
        <f>9833*29%</f>
        <v>2851.5699999999997</v>
      </c>
      <c r="D88" s="47">
        <v>0</v>
      </c>
      <c r="E88" s="48">
        <v>0</v>
      </c>
      <c r="F88" s="48">
        <f t="shared" si="54"/>
        <v>2851.5699999999997</v>
      </c>
      <c r="G88" s="48">
        <f t="shared" si="48"/>
        <v>20.710404262396519</v>
      </c>
      <c r="H88" s="48">
        <f>137.6878</f>
        <v>137.68780000000001</v>
      </c>
      <c r="I88" s="56">
        <v>38.984900000000003</v>
      </c>
      <c r="J88" s="47">
        <f t="shared" si="49"/>
        <v>5367.7451142200007</v>
      </c>
      <c r="K88" s="49">
        <f>0</f>
        <v>0</v>
      </c>
      <c r="L88" s="48">
        <f t="shared" si="50"/>
        <v>2516.175114220001</v>
      </c>
      <c r="M88" s="46">
        <f t="shared" si="51"/>
        <v>0.88238237680295462</v>
      </c>
      <c r="N88" s="47">
        <f t="shared" ca="1" si="52"/>
        <v>102.73333333333333</v>
      </c>
      <c r="O88" s="46">
        <f t="shared" ca="1" si="53"/>
        <v>0.10306867477257094</v>
      </c>
      <c r="P88" s="47">
        <f t="shared" si="46"/>
        <v>-2851.5699999999997</v>
      </c>
    </row>
    <row r="89" spans="1:16" ht="15.75" x14ac:dyDescent="0.3">
      <c r="A89" s="55" t="s">
        <v>44</v>
      </c>
      <c r="B89" s="50">
        <v>43106</v>
      </c>
      <c r="C89" s="47">
        <v>-22.66</v>
      </c>
      <c r="D89" s="47">
        <v>0</v>
      </c>
      <c r="E89" s="48">
        <v>0</v>
      </c>
      <c r="F89" s="48">
        <f t="shared" si="54"/>
        <v>-22.66</v>
      </c>
      <c r="G89" s="48">
        <f t="shared" si="48"/>
        <v>27.906403940886698</v>
      </c>
      <c r="H89" s="48">
        <f>-0.812</f>
        <v>-0.81200000000000006</v>
      </c>
      <c r="I89" s="56">
        <v>74.919499999999999</v>
      </c>
      <c r="J89" s="47">
        <f t="shared" si="49"/>
        <v>-60.834634000000001</v>
      </c>
      <c r="K89" s="49">
        <f>0</f>
        <v>0</v>
      </c>
      <c r="L89" s="48">
        <f t="shared" si="50"/>
        <v>-38.174633999999998</v>
      </c>
      <c r="M89" s="46">
        <f t="shared" si="51"/>
        <v>1.6846705207413943</v>
      </c>
      <c r="N89" s="47">
        <f t="shared" ca="1" si="52"/>
        <v>102.56666666666666</v>
      </c>
      <c r="O89" s="46">
        <f t="shared" ca="1" si="53"/>
        <v>0.19710152338865841</v>
      </c>
      <c r="P89" s="47">
        <f t="shared" si="46"/>
        <v>22.66</v>
      </c>
    </row>
    <row r="90" spans="1:16" ht="15.75" x14ac:dyDescent="0.3">
      <c r="A90" s="57" t="s">
        <v>43</v>
      </c>
      <c r="B90" s="50">
        <v>43106</v>
      </c>
      <c r="C90" s="47">
        <v>-13.28</v>
      </c>
      <c r="D90" s="47">
        <v>0</v>
      </c>
      <c r="E90" s="48">
        <v>0</v>
      </c>
      <c r="F90" s="48">
        <f t="shared" si="54"/>
        <v>-13.28</v>
      </c>
      <c r="G90" s="48">
        <f t="shared" si="48"/>
        <v>24.416252987681556</v>
      </c>
      <c r="H90" s="48">
        <f>-0.5439</f>
        <v>-0.54390000000000005</v>
      </c>
      <c r="I90" s="56">
        <v>46.404400000000003</v>
      </c>
      <c r="J90" s="47">
        <f t="shared" si="49"/>
        <v>-25.239353160000004</v>
      </c>
      <c r="K90" s="49">
        <f>0</f>
        <v>0</v>
      </c>
      <c r="L90" s="48">
        <f t="shared" si="50"/>
        <v>-11.959353160000004</v>
      </c>
      <c r="M90" s="46">
        <f t="shared" si="51"/>
        <v>0.90055370180722927</v>
      </c>
      <c r="N90" s="47">
        <f t="shared" ca="1" si="52"/>
        <v>102.56666666666666</v>
      </c>
      <c r="O90" s="46">
        <f t="shared" ca="1" si="53"/>
        <v>0.10536214905771939</v>
      </c>
      <c r="P90" s="47">
        <f t="shared" si="46"/>
        <v>13.28</v>
      </c>
    </row>
    <row r="91" spans="1:16" ht="15.75" x14ac:dyDescent="0.3">
      <c r="A91" s="57" t="s">
        <v>42</v>
      </c>
      <c r="B91" s="50">
        <v>43106</v>
      </c>
      <c r="C91" s="47">
        <v>-14.18</v>
      </c>
      <c r="D91" s="47">
        <v>0</v>
      </c>
      <c r="E91" s="48">
        <v>0</v>
      </c>
      <c r="F91" s="48">
        <f t="shared" si="54"/>
        <v>-14.18</v>
      </c>
      <c r="G91" s="48">
        <f t="shared" si="48"/>
        <v>20.816206694069287</v>
      </c>
      <c r="H91" s="48">
        <f>-0.6812</f>
        <v>-0.68120000000000003</v>
      </c>
      <c r="I91" s="56">
        <v>38.984900000000003</v>
      </c>
      <c r="J91" s="47">
        <f t="shared" si="49"/>
        <v>-26.556513880000004</v>
      </c>
      <c r="K91" s="49">
        <f>0</f>
        <v>0</v>
      </c>
      <c r="L91" s="48">
        <f t="shared" si="50"/>
        <v>-12.376513880000005</v>
      </c>
      <c r="M91" s="46">
        <f t="shared" si="51"/>
        <v>0.87281480112835008</v>
      </c>
      <c r="N91" s="47">
        <f t="shared" ca="1" si="52"/>
        <v>102.56666666666666</v>
      </c>
      <c r="O91" s="46">
        <f t="shared" ca="1" si="53"/>
        <v>0.10211677881254665</v>
      </c>
      <c r="P91" s="47">
        <f t="shared" si="46"/>
        <v>14.18</v>
      </c>
    </row>
    <row r="92" spans="1:16" ht="15.75" x14ac:dyDescent="0.3">
      <c r="A92" s="55" t="s">
        <v>44</v>
      </c>
      <c r="B92" s="50">
        <v>43137</v>
      </c>
      <c r="C92" s="47">
        <f>9833*44%</f>
        <v>4326.5200000000004</v>
      </c>
      <c r="D92" s="47">
        <v>0</v>
      </c>
      <c r="E92" s="48">
        <v>0</v>
      </c>
      <c r="F92" s="48">
        <f t="shared" ref="F92:F94" si="55">SUM(C92:E92)</f>
        <v>4326.5200000000004</v>
      </c>
      <c r="G92" s="48">
        <f t="shared" si="48"/>
        <v>27.473509284053755</v>
      </c>
      <c r="H92" s="48">
        <f>157.4797</f>
        <v>157.47970000000001</v>
      </c>
      <c r="I92" s="56">
        <v>74.919499999999999</v>
      </c>
      <c r="J92" s="47">
        <f t="shared" si="49"/>
        <v>11798.300384150001</v>
      </c>
      <c r="K92" s="49">
        <f>0</f>
        <v>0</v>
      </c>
      <c r="L92" s="48">
        <f t="shared" si="50"/>
        <v>7471.7803841500008</v>
      </c>
      <c r="M92" s="46">
        <f t="shared" si="51"/>
        <v>1.7269723436272109</v>
      </c>
      <c r="N92" s="47">
        <f t="shared" ca="1" si="52"/>
        <v>101.56666666666666</v>
      </c>
      <c r="O92" s="46">
        <f t="shared" ca="1" si="53"/>
        <v>0.20404005372687756</v>
      </c>
      <c r="P92" s="47">
        <f t="shared" si="46"/>
        <v>-4326.5200000000004</v>
      </c>
    </row>
    <row r="93" spans="1:16" ht="15.75" x14ac:dyDescent="0.3">
      <c r="A93" s="57" t="s">
        <v>43</v>
      </c>
      <c r="B93" s="50">
        <v>43137</v>
      </c>
      <c r="C93" s="47">
        <f>9833*27%</f>
        <v>2654.9100000000003</v>
      </c>
      <c r="D93" s="47">
        <v>0</v>
      </c>
      <c r="E93" s="48">
        <v>0</v>
      </c>
      <c r="F93" s="48">
        <f t="shared" si="55"/>
        <v>2654.9100000000003</v>
      </c>
      <c r="G93" s="48">
        <f t="shared" si="48"/>
        <v>24.379204522289136</v>
      </c>
      <c r="H93" s="48">
        <f>108.9006</f>
        <v>108.9006</v>
      </c>
      <c r="I93" s="56">
        <v>46.404400000000003</v>
      </c>
      <c r="J93" s="47">
        <f t="shared" si="49"/>
        <v>5053.4670026399999</v>
      </c>
      <c r="K93" s="49">
        <f>0</f>
        <v>0</v>
      </c>
      <c r="L93" s="48">
        <f t="shared" si="50"/>
        <v>2398.5570026399996</v>
      </c>
      <c r="M93" s="46">
        <f t="shared" si="51"/>
        <v>0.90344192557939795</v>
      </c>
      <c r="N93" s="47">
        <f t="shared" ca="1" si="52"/>
        <v>101.56666666666666</v>
      </c>
      <c r="O93" s="46">
        <f t="shared" ca="1" si="53"/>
        <v>0.10674075917577397</v>
      </c>
      <c r="P93" s="47">
        <f t="shared" si="46"/>
        <v>-2654.9100000000003</v>
      </c>
    </row>
    <row r="94" spans="1:16" ht="15.75" x14ac:dyDescent="0.3">
      <c r="A94" s="57" t="s">
        <v>42</v>
      </c>
      <c r="B94" s="50">
        <v>43137</v>
      </c>
      <c r="C94" s="47">
        <f>9833*29%</f>
        <v>2851.5699999999997</v>
      </c>
      <c r="D94" s="47">
        <v>0</v>
      </c>
      <c r="E94" s="48">
        <v>0</v>
      </c>
      <c r="F94" s="48">
        <f t="shared" si="55"/>
        <v>2851.5699999999997</v>
      </c>
      <c r="G94" s="48">
        <f t="shared" si="48"/>
        <v>20.472400808394088</v>
      </c>
      <c r="H94" s="48">
        <f>139.2885</f>
        <v>139.2885</v>
      </c>
      <c r="I94" s="56">
        <v>38.984900000000003</v>
      </c>
      <c r="J94" s="47">
        <f t="shared" si="49"/>
        <v>5430.14824365</v>
      </c>
      <c r="K94" s="49">
        <f>0</f>
        <v>0</v>
      </c>
      <c r="L94" s="48">
        <f t="shared" si="50"/>
        <v>2578.5782436500003</v>
      </c>
      <c r="M94" s="46">
        <f t="shared" si="51"/>
        <v>0.90426615641558883</v>
      </c>
      <c r="N94" s="47">
        <f t="shared" ca="1" si="52"/>
        <v>101.56666666666666</v>
      </c>
      <c r="O94" s="46">
        <f t="shared" ca="1" si="53"/>
        <v>0.10683814122402757</v>
      </c>
      <c r="P94" s="47">
        <f t="shared" si="46"/>
        <v>-2851.5699999999997</v>
      </c>
    </row>
    <row r="95" spans="1:16" ht="15.75" x14ac:dyDescent="0.3">
      <c r="A95" s="55" t="s">
        <v>44</v>
      </c>
      <c r="B95" s="50">
        <v>43164</v>
      </c>
      <c r="C95" s="47">
        <f>9833*44%</f>
        <v>4326.5200000000004</v>
      </c>
      <c r="D95" s="47">
        <v>0</v>
      </c>
      <c r="E95" s="48">
        <v>0</v>
      </c>
      <c r="F95" s="48">
        <f t="shared" ref="F95:F103" si="56">SUM(C95:E95)</f>
        <v>4326.5200000000004</v>
      </c>
      <c r="G95" s="48">
        <f t="shared" si="48"/>
        <v>27.105107690071616</v>
      </c>
      <c r="H95" s="48">
        <f>159.6201</f>
        <v>159.62010000000001</v>
      </c>
      <c r="I95" s="56">
        <v>74.919499999999999</v>
      </c>
      <c r="J95" s="47">
        <f t="shared" si="49"/>
        <v>11958.658081950001</v>
      </c>
      <c r="K95" s="49">
        <f>0</f>
        <v>0</v>
      </c>
      <c r="L95" s="48">
        <f t="shared" si="50"/>
        <v>7632.1380819500009</v>
      </c>
      <c r="M95" s="46">
        <f t="shared" si="51"/>
        <v>1.7640362420490372</v>
      </c>
      <c r="N95" s="47">
        <f t="shared" ca="1" si="52"/>
        <v>100.6</v>
      </c>
      <c r="O95" s="46">
        <f t="shared" ca="1" si="53"/>
        <v>0.21042181813706209</v>
      </c>
      <c r="P95" s="47">
        <f t="shared" si="46"/>
        <v>-4326.5200000000004</v>
      </c>
    </row>
    <row r="96" spans="1:16" ht="15.75" x14ac:dyDescent="0.3">
      <c r="A96" s="57" t="s">
        <v>43</v>
      </c>
      <c r="B96" s="50">
        <v>43164</v>
      </c>
      <c r="C96" s="47">
        <f>9833*27%</f>
        <v>2654.9100000000003</v>
      </c>
      <c r="D96" s="47">
        <v>0</v>
      </c>
      <c r="E96" s="48">
        <v>0</v>
      </c>
      <c r="F96" s="48">
        <f t="shared" si="56"/>
        <v>2654.9100000000003</v>
      </c>
      <c r="G96" s="48">
        <f t="shared" si="48"/>
        <v>24.218615305041752</v>
      </c>
      <c r="H96" s="48">
        <f>109.6227</f>
        <v>109.62269999999999</v>
      </c>
      <c r="I96" s="56">
        <v>46.404400000000003</v>
      </c>
      <c r="J96" s="47">
        <f t="shared" si="49"/>
        <v>5086.9756198799996</v>
      </c>
      <c r="K96" s="49">
        <f>0</f>
        <v>0</v>
      </c>
      <c r="L96" s="48">
        <f t="shared" si="50"/>
        <v>2432.0656198799993</v>
      </c>
      <c r="M96" s="46">
        <f t="shared" si="51"/>
        <v>0.91606330153564486</v>
      </c>
      <c r="N96" s="47">
        <f t="shared" ca="1" si="52"/>
        <v>100.6</v>
      </c>
      <c r="O96" s="46">
        <f t="shared" ca="1" si="53"/>
        <v>0.10927196439789005</v>
      </c>
      <c r="P96" s="47">
        <f t="shared" si="46"/>
        <v>-2654.9100000000003</v>
      </c>
    </row>
    <row r="97" spans="1:16" ht="15.75" x14ac:dyDescent="0.3">
      <c r="A97" s="57" t="s">
        <v>42</v>
      </c>
      <c r="B97" s="50">
        <v>43164</v>
      </c>
      <c r="C97" s="47">
        <f>9833*29%</f>
        <v>2851.5699999999997</v>
      </c>
      <c r="D97" s="47">
        <v>0</v>
      </c>
      <c r="E97" s="48">
        <v>0</v>
      </c>
      <c r="F97" s="48">
        <f t="shared" si="56"/>
        <v>2851.5699999999997</v>
      </c>
      <c r="G97" s="48">
        <f t="shared" si="48"/>
        <v>20.389503971261618</v>
      </c>
      <c r="H97" s="48">
        <f>139.8548</f>
        <v>139.85480000000001</v>
      </c>
      <c r="I97" s="56">
        <v>38.984900000000003</v>
      </c>
      <c r="J97" s="47">
        <f t="shared" si="49"/>
        <v>5452.2253925200012</v>
      </c>
      <c r="K97" s="49">
        <f>0</f>
        <v>0</v>
      </c>
      <c r="L97" s="48">
        <f t="shared" si="50"/>
        <v>2600.6553925200014</v>
      </c>
      <c r="M97" s="46">
        <f t="shared" si="51"/>
        <v>0.91200825949214004</v>
      </c>
      <c r="N97" s="47">
        <f t="shared" ca="1" si="52"/>
        <v>100.6</v>
      </c>
      <c r="O97" s="46">
        <f t="shared" ca="1" si="53"/>
        <v>0.10878826156963899</v>
      </c>
      <c r="P97" s="47">
        <f t="shared" si="46"/>
        <v>-2851.5699999999997</v>
      </c>
    </row>
    <row r="98" spans="1:16" ht="15.75" x14ac:dyDescent="0.3">
      <c r="A98" s="55" t="s">
        <v>44</v>
      </c>
      <c r="B98" s="50">
        <v>43181</v>
      </c>
      <c r="C98" s="47">
        <f>9833*44%</f>
        <v>4326.5200000000004</v>
      </c>
      <c r="D98" s="47">
        <v>0</v>
      </c>
      <c r="E98" s="48">
        <v>0</v>
      </c>
      <c r="F98" s="48">
        <f t="shared" si="56"/>
        <v>4326.5200000000004</v>
      </c>
      <c r="G98" s="48">
        <f t="shared" si="48"/>
        <v>26.535204598882665</v>
      </c>
      <c r="H98" s="48">
        <f>163.0483</f>
        <v>163.04830000000001</v>
      </c>
      <c r="I98" s="56">
        <v>74.919499999999999</v>
      </c>
      <c r="J98" s="47">
        <f t="shared" si="49"/>
        <v>12215.497111850002</v>
      </c>
      <c r="K98" s="49">
        <f>0</f>
        <v>0</v>
      </c>
      <c r="L98" s="48">
        <f t="shared" si="50"/>
        <v>7888.9771118500012</v>
      </c>
      <c r="M98" s="46">
        <f t="shared" si="51"/>
        <v>1.8234001257014876</v>
      </c>
      <c r="N98" s="47">
        <f t="shared" ca="1" si="52"/>
        <v>100.03333333333333</v>
      </c>
      <c r="O98" s="46">
        <f t="shared" ca="1" si="53"/>
        <v>0.21873510338305083</v>
      </c>
      <c r="P98" s="47">
        <f t="shared" si="46"/>
        <v>-4326.5200000000004</v>
      </c>
    </row>
    <row r="99" spans="1:16" ht="15.75" x14ac:dyDescent="0.3">
      <c r="A99" s="57" t="s">
        <v>43</v>
      </c>
      <c r="B99" s="50">
        <v>43181</v>
      </c>
      <c r="C99" s="47">
        <f>9833*27%</f>
        <v>2654.9100000000003</v>
      </c>
      <c r="D99" s="47">
        <v>0</v>
      </c>
      <c r="E99" s="48">
        <v>0</v>
      </c>
      <c r="F99" s="48">
        <f t="shared" si="56"/>
        <v>2654.9100000000003</v>
      </c>
      <c r="G99" s="48">
        <f t="shared" si="48"/>
        <v>24.415704566397338</v>
      </c>
      <c r="H99" s="48">
        <f>108.7378</f>
        <v>108.73779999999999</v>
      </c>
      <c r="I99" s="56">
        <v>46.404400000000003</v>
      </c>
      <c r="J99" s="47">
        <f t="shared" si="49"/>
        <v>5045.9123663199998</v>
      </c>
      <c r="K99" s="49">
        <f>0</f>
        <v>0</v>
      </c>
      <c r="L99" s="48">
        <f t="shared" si="50"/>
        <v>2391.0023663199995</v>
      </c>
      <c r="M99" s="46">
        <f t="shared" si="51"/>
        <v>0.90059639171195982</v>
      </c>
      <c r="N99" s="47">
        <f t="shared" ca="1" si="52"/>
        <v>100.03333333333333</v>
      </c>
      <c r="O99" s="46">
        <f t="shared" ca="1" si="53"/>
        <v>0.10803555515371727</v>
      </c>
      <c r="P99" s="47">
        <f t="shared" si="46"/>
        <v>-2654.9100000000003</v>
      </c>
    </row>
    <row r="100" spans="1:16" ht="15.75" x14ac:dyDescent="0.3">
      <c r="A100" s="57" t="s">
        <v>42</v>
      </c>
      <c r="B100" s="50">
        <v>43181</v>
      </c>
      <c r="C100" s="47">
        <f>9833*29%</f>
        <v>2851.5699999999997</v>
      </c>
      <c r="D100" s="47">
        <v>0</v>
      </c>
      <c r="E100" s="48">
        <v>0</v>
      </c>
      <c r="F100" s="48">
        <f t="shared" si="56"/>
        <v>2851.5699999999997</v>
      </c>
      <c r="G100" s="48">
        <f t="shared" si="48"/>
        <v>20.681909666189188</v>
      </c>
      <c r="H100" s="48">
        <f>137.8775</f>
        <v>137.8775</v>
      </c>
      <c r="I100" s="56">
        <v>38.984900000000003</v>
      </c>
      <c r="J100" s="47">
        <f t="shared" si="49"/>
        <v>5375.14054975</v>
      </c>
      <c r="K100" s="49">
        <f>0</f>
        <v>0</v>
      </c>
      <c r="L100" s="48">
        <f t="shared" si="50"/>
        <v>2523.5705497500003</v>
      </c>
      <c r="M100" s="46">
        <f t="shared" si="51"/>
        <v>0.88497583778409805</v>
      </c>
      <c r="N100" s="47">
        <f t="shared" ca="1" si="52"/>
        <v>100.03333333333333</v>
      </c>
      <c r="O100" s="46">
        <f t="shared" ca="1" si="53"/>
        <v>0.10616171329632633</v>
      </c>
      <c r="P100" s="47">
        <f t="shared" si="46"/>
        <v>-2851.5699999999997</v>
      </c>
    </row>
    <row r="101" spans="1:16" ht="15.75" x14ac:dyDescent="0.3">
      <c r="A101" s="55" t="s">
        <v>44</v>
      </c>
      <c r="B101" s="50">
        <v>43197</v>
      </c>
      <c r="C101" s="47">
        <v>-20.7</v>
      </c>
      <c r="D101" s="47">
        <v>0</v>
      </c>
      <c r="E101" s="48">
        <v>0</v>
      </c>
      <c r="F101" s="48">
        <f t="shared" si="56"/>
        <v>-20.7</v>
      </c>
      <c r="G101" s="48">
        <f t="shared" si="48"/>
        <v>27.995672166621585</v>
      </c>
      <c r="H101" s="48">
        <f>-0.7394</f>
        <v>-0.73939999999999995</v>
      </c>
      <c r="I101" s="56">
        <v>74.919499999999999</v>
      </c>
      <c r="J101" s="47">
        <f t="shared" si="49"/>
        <v>-55.395478299999994</v>
      </c>
      <c r="K101" s="49">
        <f>0</f>
        <v>0</v>
      </c>
      <c r="L101" s="48">
        <f t="shared" si="50"/>
        <v>-34.695478299999991</v>
      </c>
      <c r="M101" s="46">
        <f t="shared" si="51"/>
        <v>1.6761100628019319</v>
      </c>
      <c r="N101" s="47">
        <f t="shared" ca="1" si="52"/>
        <v>99.533333333333331</v>
      </c>
      <c r="O101" s="46">
        <f t="shared" ca="1" si="53"/>
        <v>0.20207622994263078</v>
      </c>
      <c r="P101" s="47">
        <f t="shared" si="46"/>
        <v>20.7</v>
      </c>
    </row>
    <row r="102" spans="1:16" ht="15.75" x14ac:dyDescent="0.3">
      <c r="A102" s="57" t="s">
        <v>43</v>
      </c>
      <c r="B102" s="50">
        <v>43197</v>
      </c>
      <c r="C102" s="47">
        <v>-12.36</v>
      </c>
      <c r="D102" s="47">
        <v>0</v>
      </c>
      <c r="E102" s="48">
        <v>0</v>
      </c>
      <c r="F102" s="48">
        <f t="shared" si="56"/>
        <v>-12.36</v>
      </c>
      <c r="G102" s="48">
        <f t="shared" si="48"/>
        <v>24.909310761789602</v>
      </c>
      <c r="H102" s="48">
        <f>-0.4962</f>
        <v>-0.49619999999999997</v>
      </c>
      <c r="I102" s="56">
        <v>46.404400000000003</v>
      </c>
      <c r="J102" s="47">
        <f t="shared" si="49"/>
        <v>-23.025863279999999</v>
      </c>
      <c r="K102" s="49">
        <f>0</f>
        <v>0</v>
      </c>
      <c r="L102" s="48">
        <f t="shared" si="50"/>
        <v>-10.66586328</v>
      </c>
      <c r="M102" s="46">
        <f t="shared" si="51"/>
        <v>0.86293392233009714</v>
      </c>
      <c r="N102" s="47">
        <f t="shared" ca="1" si="52"/>
        <v>99.533333333333331</v>
      </c>
      <c r="O102" s="46">
        <f t="shared" ca="1" si="53"/>
        <v>0.10403757938340086</v>
      </c>
      <c r="P102" s="47">
        <f t="shared" si="46"/>
        <v>12.36</v>
      </c>
    </row>
    <row r="103" spans="1:16" ht="15.75" x14ac:dyDescent="0.3">
      <c r="A103" s="57" t="s">
        <v>42</v>
      </c>
      <c r="B103" s="50">
        <v>43197</v>
      </c>
      <c r="C103" s="47">
        <v>-13.29</v>
      </c>
      <c r="D103" s="47">
        <v>0</v>
      </c>
      <c r="E103" s="48">
        <v>0</v>
      </c>
      <c r="F103" s="48">
        <f t="shared" si="56"/>
        <v>-13.29</v>
      </c>
      <c r="G103" s="48">
        <f t="shared" si="48"/>
        <v>21.366559485530544</v>
      </c>
      <c r="H103" s="48">
        <f>-0.622</f>
        <v>-0.622</v>
      </c>
      <c r="I103" s="56">
        <v>38.984900000000003</v>
      </c>
      <c r="J103" s="47">
        <f t="shared" si="49"/>
        <v>-24.248607800000002</v>
      </c>
      <c r="K103" s="49">
        <f>0</f>
        <v>0</v>
      </c>
      <c r="L103" s="48">
        <f t="shared" si="50"/>
        <v>-10.958607800000003</v>
      </c>
      <c r="M103" s="46">
        <f t="shared" si="51"/>
        <v>0.82457545522949616</v>
      </c>
      <c r="N103" s="47">
        <f t="shared" ca="1" si="52"/>
        <v>99.533333333333331</v>
      </c>
      <c r="O103" s="46">
        <f t="shared" ca="1" si="53"/>
        <v>9.9412981876295589E-2</v>
      </c>
      <c r="P103" s="47">
        <f t="shared" si="46"/>
        <v>13.29</v>
      </c>
    </row>
    <row r="104" spans="1:16" ht="15.75" x14ac:dyDescent="0.3">
      <c r="A104" s="55" t="s">
        <v>44</v>
      </c>
      <c r="B104" s="50">
        <v>43227</v>
      </c>
      <c r="C104" s="47">
        <f>9833*44%</f>
        <v>4326.5200000000004</v>
      </c>
      <c r="D104" s="47">
        <v>0</v>
      </c>
      <c r="E104" s="48">
        <v>0</v>
      </c>
      <c r="F104" s="48">
        <f t="shared" ref="F104:F109" si="57">SUM(C104:E104)</f>
        <v>4326.5200000000004</v>
      </c>
      <c r="G104" s="48">
        <f t="shared" si="48"/>
        <v>27.998001677348551</v>
      </c>
      <c r="H104" s="48">
        <f>154.5296</f>
        <v>154.52959999999999</v>
      </c>
      <c r="I104" s="56">
        <v>74.919499999999999</v>
      </c>
      <c r="J104" s="47">
        <f t="shared" si="49"/>
        <v>11577.280367199999</v>
      </c>
      <c r="K104" s="49">
        <f>0</f>
        <v>0</v>
      </c>
      <c r="L104" s="48">
        <f t="shared" si="50"/>
        <v>7250.7603671999987</v>
      </c>
      <c r="M104" s="46">
        <f t="shared" si="51"/>
        <v>1.6758874030860826</v>
      </c>
      <c r="N104" s="47">
        <f t="shared" ca="1" si="52"/>
        <v>98.533333333333331</v>
      </c>
      <c r="O104" s="46">
        <f t="shared" ca="1" si="53"/>
        <v>0.20409995436772319</v>
      </c>
      <c r="P104" s="47">
        <f t="shared" si="46"/>
        <v>-4326.5200000000004</v>
      </c>
    </row>
    <row r="105" spans="1:16" ht="15.75" x14ac:dyDescent="0.3">
      <c r="A105" s="57" t="s">
        <v>43</v>
      </c>
      <c r="B105" s="50">
        <v>43227</v>
      </c>
      <c r="C105" s="47">
        <f>9833*27%</f>
        <v>2654.9100000000003</v>
      </c>
      <c r="D105" s="47">
        <v>0</v>
      </c>
      <c r="E105" s="48">
        <v>0</v>
      </c>
      <c r="F105" s="48">
        <f t="shared" si="57"/>
        <v>2654.9100000000003</v>
      </c>
      <c r="G105" s="48">
        <f t="shared" si="48"/>
        <v>24.543412343305111</v>
      </c>
      <c r="H105" s="48">
        <f>108.172</f>
        <v>108.172</v>
      </c>
      <c r="I105" s="56">
        <v>46.404400000000003</v>
      </c>
      <c r="J105" s="47">
        <f t="shared" si="49"/>
        <v>5019.6567568</v>
      </c>
      <c r="K105" s="49">
        <f>0</f>
        <v>0</v>
      </c>
      <c r="L105" s="48">
        <f t="shared" si="50"/>
        <v>2364.7467567999997</v>
      </c>
      <c r="M105" s="46">
        <f t="shared" si="51"/>
        <v>0.89070693801296441</v>
      </c>
      <c r="N105" s="47">
        <f t="shared" ca="1" si="52"/>
        <v>98.533333333333331</v>
      </c>
      <c r="O105" s="46">
        <f t="shared" ca="1" si="53"/>
        <v>0.10847581112471827</v>
      </c>
      <c r="P105" s="47">
        <f t="shared" si="46"/>
        <v>-2654.9100000000003</v>
      </c>
    </row>
    <row r="106" spans="1:16" ht="15.75" x14ac:dyDescent="0.3">
      <c r="A106" s="57" t="s">
        <v>42</v>
      </c>
      <c r="B106" s="50">
        <v>43227</v>
      </c>
      <c r="C106" s="47">
        <f>9833*29%</f>
        <v>2851.5699999999997</v>
      </c>
      <c r="D106" s="47">
        <v>0</v>
      </c>
      <c r="E106" s="48">
        <v>0</v>
      </c>
      <c r="F106" s="48">
        <f t="shared" si="57"/>
        <v>2851.5699999999997</v>
      </c>
      <c r="G106" s="48">
        <f t="shared" si="48"/>
        <v>20.834103527207876</v>
      </c>
      <c r="H106" s="48">
        <f>136.8703</f>
        <v>136.87029999999999</v>
      </c>
      <c r="I106" s="56">
        <v>38.984900000000003</v>
      </c>
      <c r="J106" s="47">
        <f t="shared" si="49"/>
        <v>5335.8749584699999</v>
      </c>
      <c r="K106" s="49">
        <f>0</f>
        <v>0</v>
      </c>
      <c r="L106" s="48">
        <f t="shared" si="50"/>
        <v>2484.3049584700002</v>
      </c>
      <c r="M106" s="46">
        <f t="shared" si="51"/>
        <v>0.871206022811995</v>
      </c>
      <c r="N106" s="47">
        <f t="shared" ca="1" si="52"/>
        <v>98.533333333333331</v>
      </c>
      <c r="O106" s="46">
        <f t="shared" ca="1" si="53"/>
        <v>0.10610086881336882</v>
      </c>
      <c r="P106" s="47">
        <f t="shared" si="46"/>
        <v>-2851.5699999999997</v>
      </c>
    </row>
    <row r="107" spans="1:16" ht="15.75" x14ac:dyDescent="0.3">
      <c r="A107" s="55" t="s">
        <v>44</v>
      </c>
      <c r="B107" s="50">
        <v>43262</v>
      </c>
      <c r="C107" s="47">
        <f>9833*44%</f>
        <v>4326.5200000000004</v>
      </c>
      <c r="D107" s="47">
        <v>0</v>
      </c>
      <c r="E107" s="48">
        <v>0</v>
      </c>
      <c r="F107" s="48">
        <f t="shared" si="57"/>
        <v>4326.5200000000004</v>
      </c>
      <c r="G107" s="48">
        <f t="shared" si="48"/>
        <v>28.093811403184105</v>
      </c>
      <c r="H107" s="48">
        <f>154.0026</f>
        <v>154.0026</v>
      </c>
      <c r="I107" s="56">
        <v>74.919499999999999</v>
      </c>
      <c r="J107" s="47">
        <f t="shared" si="49"/>
        <v>11537.7977907</v>
      </c>
      <c r="K107" s="49">
        <f>0</f>
        <v>0</v>
      </c>
      <c r="L107" s="48">
        <f t="shared" si="50"/>
        <v>7211.2777907</v>
      </c>
      <c r="M107" s="46">
        <f t="shared" si="51"/>
        <v>1.6667616908508454</v>
      </c>
      <c r="N107" s="47">
        <f t="shared" ca="1" si="52"/>
        <v>97.4</v>
      </c>
      <c r="O107" s="46">
        <f t="shared" ca="1" si="53"/>
        <v>0.20535051632659285</v>
      </c>
      <c r="P107" s="47">
        <f t="shared" si="46"/>
        <v>-4326.5200000000004</v>
      </c>
    </row>
    <row r="108" spans="1:16" ht="15.75" x14ac:dyDescent="0.3">
      <c r="A108" s="57" t="s">
        <v>43</v>
      </c>
      <c r="B108" s="50">
        <v>43262</v>
      </c>
      <c r="C108" s="47">
        <f>9833*27%</f>
        <v>2654.9100000000003</v>
      </c>
      <c r="D108" s="47">
        <v>0</v>
      </c>
      <c r="E108" s="48">
        <v>0</v>
      </c>
      <c r="F108" s="48">
        <f t="shared" si="57"/>
        <v>2654.9100000000003</v>
      </c>
      <c r="G108" s="48">
        <f t="shared" si="48"/>
        <v>24.269202571982795</v>
      </c>
      <c r="H108" s="48">
        <f>109.3942</f>
        <v>109.3942</v>
      </c>
      <c r="I108" s="56">
        <v>46.404400000000003</v>
      </c>
      <c r="J108" s="47">
        <f t="shared" si="49"/>
        <v>5076.3722144800004</v>
      </c>
      <c r="K108" s="49">
        <f>0</f>
        <v>0</v>
      </c>
      <c r="L108" s="48">
        <f t="shared" si="50"/>
        <v>2421.4622144800001</v>
      </c>
      <c r="M108" s="46">
        <f t="shared" si="51"/>
        <v>0.91206941646986139</v>
      </c>
      <c r="N108" s="47">
        <f t="shared" ca="1" si="52"/>
        <v>97.4</v>
      </c>
      <c r="O108" s="46">
        <f t="shared" ca="1" si="53"/>
        <v>0.11236994864105067</v>
      </c>
      <c r="P108" s="47">
        <f t="shared" si="46"/>
        <v>-2654.9100000000003</v>
      </c>
    </row>
    <row r="109" spans="1:16" ht="15.75" x14ac:dyDescent="0.3">
      <c r="A109" s="57" t="s">
        <v>42</v>
      </c>
      <c r="B109" s="50">
        <v>43262</v>
      </c>
      <c r="C109" s="47">
        <f>9833*29%</f>
        <v>2851.5699999999997</v>
      </c>
      <c r="D109" s="47">
        <v>0</v>
      </c>
      <c r="E109" s="48">
        <v>0</v>
      </c>
      <c r="F109" s="48">
        <f t="shared" si="57"/>
        <v>2851.5699999999997</v>
      </c>
      <c r="G109" s="48">
        <f t="shared" si="48"/>
        <v>20.583305663428082</v>
      </c>
      <c r="H109" s="48">
        <f>138.538</f>
        <v>138.53800000000001</v>
      </c>
      <c r="I109" s="56">
        <v>38.984900000000003</v>
      </c>
      <c r="J109" s="47">
        <f t="shared" si="49"/>
        <v>5400.8900762000012</v>
      </c>
      <c r="K109" s="49">
        <f>0</f>
        <v>0</v>
      </c>
      <c r="L109" s="48">
        <f t="shared" si="50"/>
        <v>2549.3200762000015</v>
      </c>
      <c r="M109" s="46">
        <f t="shared" si="51"/>
        <v>0.89400578495355254</v>
      </c>
      <c r="N109" s="47">
        <f t="shared" ca="1" si="52"/>
        <v>97.4</v>
      </c>
      <c r="O109" s="46">
        <f t="shared" ca="1" si="53"/>
        <v>0.1101444498916081</v>
      </c>
      <c r="P109" s="47">
        <f t="shared" si="46"/>
        <v>-2851.5699999999997</v>
      </c>
    </row>
    <row r="110" spans="1:16" ht="15.75" x14ac:dyDescent="0.3">
      <c r="A110" s="55" t="s">
        <v>44</v>
      </c>
      <c r="B110" s="50">
        <v>43288</v>
      </c>
      <c r="C110" s="47">
        <v>-16.62</v>
      </c>
      <c r="D110" s="47">
        <v>0</v>
      </c>
      <c r="E110" s="48">
        <v>0</v>
      </c>
      <c r="F110" s="48">
        <f t="shared" ref="F110:F112" si="58">SUM(C110:E110)</f>
        <v>-16.62</v>
      </c>
      <c r="G110" s="48">
        <f t="shared" si="48"/>
        <v>27.909319899244334</v>
      </c>
      <c r="H110" s="48">
        <f>-0.5955</f>
        <v>-0.59550000000000003</v>
      </c>
      <c r="I110" s="56">
        <v>74.919499999999999</v>
      </c>
      <c r="J110" s="47">
        <f t="shared" si="49"/>
        <v>-44.614562249999999</v>
      </c>
      <c r="K110" s="49">
        <f>0</f>
        <v>0</v>
      </c>
      <c r="L110" s="48">
        <f t="shared" si="50"/>
        <v>-27.994562249999998</v>
      </c>
      <c r="M110" s="46">
        <f t="shared" si="51"/>
        <v>1.6843900270758121</v>
      </c>
      <c r="N110" s="47">
        <f t="shared" ca="1" si="52"/>
        <v>96.533333333333331</v>
      </c>
      <c r="O110" s="46">
        <f t="shared" ca="1" si="53"/>
        <v>0.20938550060334679</v>
      </c>
      <c r="P110" s="47">
        <f t="shared" si="46"/>
        <v>16.62</v>
      </c>
    </row>
    <row r="111" spans="1:16" ht="15.75" x14ac:dyDescent="0.3">
      <c r="A111" s="57" t="s">
        <v>43</v>
      </c>
      <c r="B111" s="50">
        <v>43288</v>
      </c>
      <c r="C111" s="47">
        <v>-9.83</v>
      </c>
      <c r="D111" s="47">
        <v>0</v>
      </c>
      <c r="E111" s="48">
        <v>0</v>
      </c>
      <c r="F111" s="48">
        <f t="shared" si="58"/>
        <v>-9.83</v>
      </c>
      <c r="G111" s="48">
        <f t="shared" si="48"/>
        <v>24.574999999999999</v>
      </c>
      <c r="H111" s="48">
        <f>-0.4</f>
        <v>-0.4</v>
      </c>
      <c r="I111" s="56">
        <v>46.404400000000003</v>
      </c>
      <c r="J111" s="47">
        <f t="shared" si="49"/>
        <v>-18.561760000000003</v>
      </c>
      <c r="K111" s="49">
        <f>0</f>
        <v>0</v>
      </c>
      <c r="L111" s="48">
        <f t="shared" si="50"/>
        <v>-8.7317600000000031</v>
      </c>
      <c r="M111" s="46">
        <f t="shared" si="51"/>
        <v>0.88827670396744685</v>
      </c>
      <c r="N111" s="47">
        <f t="shared" ca="1" si="52"/>
        <v>96.533333333333331</v>
      </c>
      <c r="O111" s="46">
        <f t="shared" ca="1" si="53"/>
        <v>0.1104211372335224</v>
      </c>
      <c r="P111" s="47">
        <f t="shared" si="46"/>
        <v>9.83</v>
      </c>
    </row>
    <row r="112" spans="1:16" ht="15.75" x14ac:dyDescent="0.3">
      <c r="A112" s="57" t="s">
        <v>42</v>
      </c>
      <c r="B112" s="50">
        <v>43288</v>
      </c>
      <c r="C112" s="47">
        <v>-10.42</v>
      </c>
      <c r="D112" s="47">
        <v>0</v>
      </c>
      <c r="E112" s="48">
        <v>0</v>
      </c>
      <c r="F112" s="48">
        <f t="shared" si="58"/>
        <v>-10.42</v>
      </c>
      <c r="G112" s="48">
        <f t="shared" si="48"/>
        <v>20.744574955206055</v>
      </c>
      <c r="H112" s="48">
        <f>-0.5023</f>
        <v>-0.50229999999999997</v>
      </c>
      <c r="I112" s="56">
        <v>38.984900000000003</v>
      </c>
      <c r="J112" s="47">
        <f t="shared" si="49"/>
        <v>-19.582115269999999</v>
      </c>
      <c r="K112" s="49">
        <f>0</f>
        <v>0</v>
      </c>
      <c r="L112" s="48">
        <f t="shared" si="50"/>
        <v>-9.1621152699999993</v>
      </c>
      <c r="M112" s="46">
        <f t="shared" si="51"/>
        <v>0.87928169577735116</v>
      </c>
      <c r="N112" s="47">
        <f t="shared" ca="1" si="52"/>
        <v>96.533333333333331</v>
      </c>
      <c r="O112" s="46">
        <f t="shared" ca="1" si="53"/>
        <v>0.10930297323199117</v>
      </c>
      <c r="P112" s="47">
        <f t="shared" si="46"/>
        <v>10.42</v>
      </c>
    </row>
    <row r="113" spans="1:16" ht="15.75" x14ac:dyDescent="0.3">
      <c r="A113" s="55" t="s">
        <v>44</v>
      </c>
      <c r="B113" s="50">
        <v>43290</v>
      </c>
      <c r="C113" s="47">
        <f>9833*44%</f>
        <v>4326.5200000000004</v>
      </c>
      <c r="D113" s="47">
        <v>0</v>
      </c>
      <c r="E113" s="48">
        <v>0</v>
      </c>
      <c r="F113" s="48">
        <f t="shared" ref="F113:F118" si="59">SUM(C113:E113)</f>
        <v>4326.5200000000004</v>
      </c>
      <c r="G113" s="48">
        <f t="shared" si="48"/>
        <v>28.136710026416459</v>
      </c>
      <c r="H113" s="48">
        <f>153.7678</f>
        <v>153.76779999999999</v>
      </c>
      <c r="I113" s="56">
        <v>74.919499999999999</v>
      </c>
      <c r="J113" s="47">
        <f t="shared" si="49"/>
        <v>11520.206692099999</v>
      </c>
      <c r="K113" s="49">
        <f>0</f>
        <v>0</v>
      </c>
      <c r="L113" s="48">
        <f t="shared" si="50"/>
        <v>7193.6866920999983</v>
      </c>
      <c r="M113" s="46">
        <f t="shared" si="51"/>
        <v>1.6626958137486936</v>
      </c>
      <c r="N113" s="47">
        <f t="shared" ca="1" si="52"/>
        <v>96.466666666666669</v>
      </c>
      <c r="O113" s="46">
        <f t="shared" ca="1" si="53"/>
        <v>0.20683154559417058</v>
      </c>
      <c r="P113" s="47">
        <f t="shared" si="46"/>
        <v>-4326.5200000000004</v>
      </c>
    </row>
    <row r="114" spans="1:16" ht="15.75" x14ac:dyDescent="0.3">
      <c r="A114" s="57" t="s">
        <v>43</v>
      </c>
      <c r="B114" s="50">
        <v>43290</v>
      </c>
      <c r="C114" s="47">
        <f>9833*27%</f>
        <v>2654.9100000000003</v>
      </c>
      <c r="D114" s="47">
        <v>0</v>
      </c>
      <c r="E114" s="48">
        <v>0</v>
      </c>
      <c r="F114" s="48">
        <f t="shared" si="59"/>
        <v>2654.9100000000003</v>
      </c>
      <c r="G114" s="48">
        <f t="shared" si="48"/>
        <v>24.582113059331476</v>
      </c>
      <c r="H114" s="48">
        <f>108.0017</f>
        <v>108.0017</v>
      </c>
      <c r="I114" s="56">
        <v>46.404400000000003</v>
      </c>
      <c r="J114" s="47">
        <f t="shared" si="49"/>
        <v>5011.7540874800006</v>
      </c>
      <c r="K114" s="49">
        <f>0</f>
        <v>0</v>
      </c>
      <c r="L114" s="48">
        <f t="shared" si="50"/>
        <v>2356.8440874800003</v>
      </c>
      <c r="M114" s="46">
        <f t="shared" si="51"/>
        <v>0.88773031382608081</v>
      </c>
      <c r="N114" s="47">
        <f t="shared" ca="1" si="52"/>
        <v>96.466666666666669</v>
      </c>
      <c r="O114" s="46">
        <f t="shared" ca="1" si="53"/>
        <v>0.11042947925963685</v>
      </c>
      <c r="P114" s="47">
        <f t="shared" si="46"/>
        <v>-2654.9100000000003</v>
      </c>
    </row>
    <row r="115" spans="1:16" ht="15.75" x14ac:dyDescent="0.3">
      <c r="A115" s="57" t="s">
        <v>42</v>
      </c>
      <c r="B115" s="50">
        <v>43290</v>
      </c>
      <c r="C115" s="47">
        <f>9833*29%</f>
        <v>2851.5699999999997</v>
      </c>
      <c r="D115" s="47">
        <v>0</v>
      </c>
      <c r="E115" s="48">
        <v>0</v>
      </c>
      <c r="F115" s="48">
        <f t="shared" si="59"/>
        <v>2851.5699999999997</v>
      </c>
      <c r="G115" s="48">
        <f t="shared" si="48"/>
        <v>20.73881157126732</v>
      </c>
      <c r="H115" s="48">
        <f>137.4992</f>
        <v>137.4992</v>
      </c>
      <c r="I115" s="56">
        <v>38.984900000000003</v>
      </c>
      <c r="J115" s="47">
        <f t="shared" si="49"/>
        <v>5360.3925620800001</v>
      </c>
      <c r="K115" s="49">
        <f>0</f>
        <v>0</v>
      </c>
      <c r="L115" s="48">
        <f t="shared" si="50"/>
        <v>2508.8225620800004</v>
      </c>
      <c r="M115" s="46">
        <f t="shared" si="51"/>
        <v>0.87980395434094227</v>
      </c>
      <c r="N115" s="47">
        <f t="shared" ca="1" si="52"/>
        <v>96.466666666666669</v>
      </c>
      <c r="O115" s="46">
        <f t="shared" ca="1" si="53"/>
        <v>0.10944347738864521</v>
      </c>
      <c r="P115" s="47">
        <f t="shared" si="46"/>
        <v>-2851.5699999999997</v>
      </c>
    </row>
    <row r="116" spans="1:16" ht="15.75" x14ac:dyDescent="0.3">
      <c r="A116" s="55" t="s">
        <v>44</v>
      </c>
      <c r="B116" s="50">
        <v>43318</v>
      </c>
      <c r="C116" s="47">
        <f>10423*44%</f>
        <v>4586.12</v>
      </c>
      <c r="D116" s="47">
        <v>0</v>
      </c>
      <c r="E116" s="48">
        <v>0</v>
      </c>
      <c r="F116" s="48">
        <f t="shared" si="59"/>
        <v>4586.12</v>
      </c>
      <c r="G116" s="48">
        <f t="shared" si="48"/>
        <v>29.525809620809937</v>
      </c>
      <c r="H116" s="48">
        <f>155.3258</f>
        <v>155.32579999999999</v>
      </c>
      <c r="I116" s="56">
        <v>74.919499999999999</v>
      </c>
      <c r="J116" s="47">
        <f t="shared" si="49"/>
        <v>11636.931273099999</v>
      </c>
      <c r="K116" s="49">
        <f>0</f>
        <v>0</v>
      </c>
      <c r="L116" s="48">
        <f t="shared" si="50"/>
        <v>7050.8112730999992</v>
      </c>
      <c r="M116" s="46">
        <f t="shared" si="51"/>
        <v>1.5374240693876304</v>
      </c>
      <c r="N116" s="47">
        <f t="shared" ca="1" si="52"/>
        <v>95.566666666666663</v>
      </c>
      <c r="O116" s="46">
        <f t="shared" ca="1" si="53"/>
        <v>0.1930494122705082</v>
      </c>
      <c r="P116" s="47">
        <f t="shared" si="46"/>
        <v>-4586.12</v>
      </c>
    </row>
    <row r="117" spans="1:16" ht="15.75" x14ac:dyDescent="0.3">
      <c r="A117" s="57" t="s">
        <v>43</v>
      </c>
      <c r="B117" s="50">
        <v>43318</v>
      </c>
      <c r="C117" s="47">
        <f>10423*27%</f>
        <v>2814.21</v>
      </c>
      <c r="D117" s="47">
        <v>0</v>
      </c>
      <c r="E117" s="48">
        <v>0</v>
      </c>
      <c r="F117" s="48">
        <f t="shared" si="59"/>
        <v>2814.21</v>
      </c>
      <c r="G117" s="48">
        <f t="shared" si="48"/>
        <v>24.835501350230334</v>
      </c>
      <c r="H117" s="48">
        <f>113.314</f>
        <v>113.31399999999999</v>
      </c>
      <c r="I117" s="56">
        <v>46.404400000000003</v>
      </c>
      <c r="J117" s="47">
        <f t="shared" si="49"/>
        <v>5258.2681816000004</v>
      </c>
      <c r="K117" s="49">
        <f>0</f>
        <v>0</v>
      </c>
      <c r="L117" s="48">
        <f t="shared" si="50"/>
        <v>2444.0581816000004</v>
      </c>
      <c r="M117" s="46">
        <f t="shared" si="51"/>
        <v>0.86847043454468587</v>
      </c>
      <c r="N117" s="47">
        <f t="shared" ca="1" si="52"/>
        <v>95.566666666666663</v>
      </c>
      <c r="O117" s="46">
        <f t="shared" ca="1" si="53"/>
        <v>0.10905104863484022</v>
      </c>
      <c r="P117" s="47">
        <f t="shared" si="46"/>
        <v>-2814.21</v>
      </c>
    </row>
    <row r="118" spans="1:16" ht="15.75" x14ac:dyDescent="0.3">
      <c r="A118" s="57" t="s">
        <v>42</v>
      </c>
      <c r="B118" s="50">
        <v>43318</v>
      </c>
      <c r="C118" s="47">
        <f>10423*29%</f>
        <v>3022.6699999999996</v>
      </c>
      <c r="D118" s="47">
        <v>0</v>
      </c>
      <c r="E118" s="48">
        <v>0</v>
      </c>
      <c r="F118" s="48">
        <f t="shared" si="59"/>
        <v>3022.6699999999996</v>
      </c>
      <c r="G118" s="48">
        <f t="shared" si="48"/>
        <v>21.008504403718693</v>
      </c>
      <c r="H118" s="48">
        <f>143.8784</f>
        <v>143.8784</v>
      </c>
      <c r="I118" s="56">
        <v>38.984900000000003</v>
      </c>
      <c r="J118" s="47">
        <f t="shared" si="49"/>
        <v>5609.0850361600005</v>
      </c>
      <c r="K118" s="49">
        <f>0</f>
        <v>0</v>
      </c>
      <c r="L118" s="48">
        <f t="shared" si="50"/>
        <v>2586.4150361600009</v>
      </c>
      <c r="M118" s="46">
        <f t="shared" si="51"/>
        <v>0.85567231492686968</v>
      </c>
      <c r="N118" s="47">
        <f t="shared" ca="1" si="52"/>
        <v>95.566666666666663</v>
      </c>
      <c r="O118" s="46">
        <f t="shared" ca="1" si="53"/>
        <v>0.1074440297780513</v>
      </c>
      <c r="P118" s="47">
        <f t="shared" si="46"/>
        <v>-3022.6699999999996</v>
      </c>
    </row>
    <row r="119" spans="1:16" ht="15.75" x14ac:dyDescent="0.3">
      <c r="A119" s="55" t="s">
        <v>44</v>
      </c>
      <c r="B119" s="50">
        <v>43353</v>
      </c>
      <c r="C119" s="47">
        <f>10423*44%</f>
        <v>4586.12</v>
      </c>
      <c r="D119" s="47">
        <v>0</v>
      </c>
      <c r="E119" s="48">
        <v>0</v>
      </c>
      <c r="F119" s="48">
        <f t="shared" ref="F119:F136" si="60">SUM(C119:E119)</f>
        <v>4586.12</v>
      </c>
      <c r="G119" s="48">
        <f t="shared" si="48"/>
        <v>29.660318688098801</v>
      </c>
      <c r="H119" s="48">
        <f>154.6214</f>
        <v>154.62139999999999</v>
      </c>
      <c r="I119" s="56">
        <v>74.919499999999999</v>
      </c>
      <c r="J119" s="47">
        <f t="shared" si="49"/>
        <v>11584.157977299999</v>
      </c>
      <c r="K119" s="49">
        <f>0</f>
        <v>0</v>
      </c>
      <c r="L119" s="48">
        <f t="shared" si="50"/>
        <v>6998.0379772999995</v>
      </c>
      <c r="M119" s="46">
        <f t="shared" si="51"/>
        <v>1.5259168921223167</v>
      </c>
      <c r="N119" s="47">
        <f t="shared" ca="1" si="52"/>
        <v>94.433333333333337</v>
      </c>
      <c r="O119" s="46">
        <f t="shared" ca="1" si="53"/>
        <v>0.19390401735405363</v>
      </c>
      <c r="P119" s="47">
        <f t="shared" si="46"/>
        <v>-4586.12</v>
      </c>
    </row>
    <row r="120" spans="1:16" ht="15.75" x14ac:dyDescent="0.3">
      <c r="A120" s="57" t="s">
        <v>43</v>
      </c>
      <c r="B120" s="50">
        <v>43353</v>
      </c>
      <c r="C120" s="47">
        <f>10423*27%</f>
        <v>2814.21</v>
      </c>
      <c r="D120" s="47">
        <v>0</v>
      </c>
      <c r="E120" s="48">
        <v>0</v>
      </c>
      <c r="F120" s="48">
        <f t="shared" si="60"/>
        <v>2814.21</v>
      </c>
      <c r="G120" s="48">
        <f t="shared" si="48"/>
        <v>24.718316539483112</v>
      </c>
      <c r="H120" s="48">
        <f>113.8512</f>
        <v>113.85120000000001</v>
      </c>
      <c r="I120" s="56">
        <v>46.404400000000003</v>
      </c>
      <c r="J120" s="47">
        <f t="shared" si="49"/>
        <v>5283.1966252800003</v>
      </c>
      <c r="K120" s="49">
        <f>0</f>
        <v>0</v>
      </c>
      <c r="L120" s="48">
        <f t="shared" si="50"/>
        <v>2468.9866252800002</v>
      </c>
      <c r="M120" s="46">
        <f t="shared" si="51"/>
        <v>0.87732849548541159</v>
      </c>
      <c r="N120" s="47">
        <f t="shared" ca="1" si="52"/>
        <v>94.433333333333337</v>
      </c>
      <c r="O120" s="46">
        <f t="shared" ca="1" si="53"/>
        <v>0.11148544241960753</v>
      </c>
      <c r="P120" s="47">
        <f t="shared" si="46"/>
        <v>-2814.21</v>
      </c>
    </row>
    <row r="121" spans="1:16" ht="15.75" x14ac:dyDescent="0.3">
      <c r="A121" s="57" t="s">
        <v>42</v>
      </c>
      <c r="B121" s="50">
        <v>43353</v>
      </c>
      <c r="C121" s="47">
        <f>10423*29%</f>
        <v>3022.6699999999996</v>
      </c>
      <c r="D121" s="47">
        <v>0</v>
      </c>
      <c r="E121" s="48">
        <v>0</v>
      </c>
      <c r="F121" s="48">
        <f t="shared" si="60"/>
        <v>3022.6699999999996</v>
      </c>
      <c r="G121" s="48">
        <f t="shared" si="48"/>
        <v>20.701503505531388</v>
      </c>
      <c r="H121" s="48">
        <f>146.0121</f>
        <v>146.0121</v>
      </c>
      <c r="I121" s="56">
        <v>38.984900000000003</v>
      </c>
      <c r="J121" s="47">
        <f t="shared" si="49"/>
        <v>5692.2671172900009</v>
      </c>
      <c r="K121" s="49">
        <f>0</f>
        <v>0</v>
      </c>
      <c r="L121" s="48">
        <f t="shared" si="50"/>
        <v>2669.5971172900013</v>
      </c>
      <c r="M121" s="46">
        <f t="shared" si="51"/>
        <v>0.8831917203300399</v>
      </c>
      <c r="N121" s="47">
        <f t="shared" ca="1" si="52"/>
        <v>94.433333333333337</v>
      </c>
      <c r="O121" s="46">
        <f t="shared" ca="1" si="53"/>
        <v>0.11223050452481974</v>
      </c>
      <c r="P121" s="47">
        <f t="shared" si="46"/>
        <v>-3022.6699999999996</v>
      </c>
    </row>
    <row r="122" spans="1:16" ht="15.75" x14ac:dyDescent="0.3">
      <c r="A122" s="55" t="s">
        <v>44</v>
      </c>
      <c r="B122" s="50">
        <v>43376</v>
      </c>
      <c r="C122" s="47">
        <f>10423*44%</f>
        <v>4586.12</v>
      </c>
      <c r="D122" s="47">
        <v>0</v>
      </c>
      <c r="E122" s="48">
        <v>0</v>
      </c>
      <c r="F122" s="48">
        <f t="shared" si="60"/>
        <v>4586.12</v>
      </c>
      <c r="G122" s="48">
        <f t="shared" si="48"/>
        <v>28.044500676022334</v>
      </c>
      <c r="H122" s="48">
        <f>163.5301</f>
        <v>163.5301</v>
      </c>
      <c r="I122" s="56">
        <v>74.919499999999999</v>
      </c>
      <c r="J122" s="47">
        <f t="shared" si="49"/>
        <v>12251.59332695</v>
      </c>
      <c r="K122" s="49">
        <f>0</f>
        <v>0</v>
      </c>
      <c r="L122" s="48">
        <f t="shared" si="50"/>
        <v>7665.4733269500002</v>
      </c>
      <c r="M122" s="46">
        <f t="shared" si="51"/>
        <v>1.6714506656934403</v>
      </c>
      <c r="N122" s="47">
        <f t="shared" ca="1" si="52"/>
        <v>93.666666666666671</v>
      </c>
      <c r="O122" s="46">
        <f t="shared" ca="1" si="53"/>
        <v>0.21413602834506706</v>
      </c>
      <c r="P122" s="47">
        <f t="shared" si="46"/>
        <v>-4586.12</v>
      </c>
    </row>
    <row r="123" spans="1:16" ht="15.75" x14ac:dyDescent="0.3">
      <c r="A123" s="57" t="s">
        <v>43</v>
      </c>
      <c r="B123" s="50">
        <v>43376</v>
      </c>
      <c r="C123" s="47">
        <f>10423*27%</f>
        <v>2814.21</v>
      </c>
      <c r="D123" s="47">
        <v>0</v>
      </c>
      <c r="E123" s="48">
        <v>0</v>
      </c>
      <c r="F123" s="48">
        <f t="shared" si="60"/>
        <v>2814.21</v>
      </c>
      <c r="G123" s="48">
        <f t="shared" si="48"/>
        <v>24.841310824230391</v>
      </c>
      <c r="H123" s="48">
        <f>113.2875</f>
        <v>113.28749999999999</v>
      </c>
      <c r="I123" s="56">
        <v>46.404400000000003</v>
      </c>
      <c r="J123" s="47">
        <f t="shared" si="49"/>
        <v>5257.0384649999996</v>
      </c>
      <c r="K123" s="49">
        <f>0</f>
        <v>0</v>
      </c>
      <c r="L123" s="48">
        <f t="shared" si="50"/>
        <v>2442.8284649999996</v>
      </c>
      <c r="M123" s="46">
        <f t="shared" si="51"/>
        <v>0.86803346765166767</v>
      </c>
      <c r="N123" s="47">
        <f t="shared" ca="1" si="52"/>
        <v>93.666666666666671</v>
      </c>
      <c r="O123" s="46">
        <f t="shared" ca="1" si="53"/>
        <v>0.11120713464576525</v>
      </c>
      <c r="P123" s="47">
        <f t="shared" si="46"/>
        <v>-2814.21</v>
      </c>
    </row>
    <row r="124" spans="1:16" ht="15.75" x14ac:dyDescent="0.3">
      <c r="A124" s="57" t="s">
        <v>42</v>
      </c>
      <c r="B124" s="50">
        <v>43376</v>
      </c>
      <c r="C124" s="47">
        <f>10423*29%</f>
        <v>3022.6699999999996</v>
      </c>
      <c r="D124" s="47">
        <v>0</v>
      </c>
      <c r="E124" s="48">
        <v>0</v>
      </c>
      <c r="F124" s="48">
        <f t="shared" si="60"/>
        <v>3022.6699999999996</v>
      </c>
      <c r="G124" s="48">
        <f t="shared" si="48"/>
        <v>20.903303884787604</v>
      </c>
      <c r="H124" s="48">
        <f>144.6025</f>
        <v>144.60249999999999</v>
      </c>
      <c r="I124" s="56">
        <v>38.984900000000003</v>
      </c>
      <c r="J124" s="47">
        <f t="shared" si="49"/>
        <v>5637.3140022500002</v>
      </c>
      <c r="K124" s="49">
        <f>0</f>
        <v>0</v>
      </c>
      <c r="L124" s="48">
        <f t="shared" si="50"/>
        <v>2614.6440022500005</v>
      </c>
      <c r="M124" s="46">
        <f t="shared" si="51"/>
        <v>0.86501139795280357</v>
      </c>
      <c r="N124" s="47">
        <f t="shared" ca="1" si="52"/>
        <v>93.666666666666671</v>
      </c>
      <c r="O124" s="46">
        <f t="shared" ca="1" si="53"/>
        <v>0.11081996557402465</v>
      </c>
      <c r="P124" s="47">
        <f t="shared" si="46"/>
        <v>-3022.6699999999996</v>
      </c>
    </row>
    <row r="125" spans="1:16" ht="15.75" x14ac:dyDescent="0.3">
      <c r="A125" s="55" t="s">
        <v>44</v>
      </c>
      <c r="B125" s="50">
        <v>43379</v>
      </c>
      <c r="C125" s="47">
        <v>-17.95</v>
      </c>
      <c r="D125" s="47">
        <v>0</v>
      </c>
      <c r="E125" s="48">
        <v>0</v>
      </c>
      <c r="F125" s="48">
        <f t="shared" si="60"/>
        <v>-17.95</v>
      </c>
      <c r="G125" s="48">
        <f t="shared" ref="G125:G127" si="61">F125/H125</f>
        <v>26.60836050993181</v>
      </c>
      <c r="H125" s="48">
        <f>-0.6746</f>
        <v>-0.67459999999999998</v>
      </c>
      <c r="I125" s="56">
        <v>74.919499999999999</v>
      </c>
      <c r="J125" s="47">
        <f t="shared" ref="J125:J127" si="62">PRODUCT(H125:I125)</f>
        <v>-50.540694699999996</v>
      </c>
      <c r="K125" s="49">
        <f>0</f>
        <v>0</v>
      </c>
      <c r="L125" s="48">
        <f t="shared" ref="L125:L127" si="63">SUM(-F125,J125)+K125</f>
        <v>-32.5906947</v>
      </c>
      <c r="M125" s="46">
        <f t="shared" ref="M125:M127" si="64">L125/F125</f>
        <v>1.8156375877437327</v>
      </c>
      <c r="N125" s="47">
        <f t="shared" ref="N125:N127" ca="1" si="65">(DAYS360(B125,NOW(),TRUE))/30</f>
        <v>93.566666666666663</v>
      </c>
      <c r="O125" s="46">
        <f t="shared" ref="O125:O127" ca="1" si="66">M125*12/N125</f>
        <v>0.23285697598423363</v>
      </c>
      <c r="P125" s="47">
        <f t="shared" si="46"/>
        <v>17.95</v>
      </c>
    </row>
    <row r="126" spans="1:16" ht="15.75" x14ac:dyDescent="0.3">
      <c r="A126" s="57" t="s">
        <v>43</v>
      </c>
      <c r="B126" s="50">
        <v>43379</v>
      </c>
      <c r="C126" s="47">
        <v>-11.32</v>
      </c>
      <c r="D126" s="47">
        <v>0</v>
      </c>
      <c r="E126" s="48">
        <v>0</v>
      </c>
      <c r="F126" s="48">
        <f t="shared" si="60"/>
        <v>-11.32</v>
      </c>
      <c r="G126" s="48">
        <f t="shared" si="61"/>
        <v>24.840904103576914</v>
      </c>
      <c r="H126" s="48">
        <f>-0.4557</f>
        <v>-0.45569999999999999</v>
      </c>
      <c r="I126" s="56">
        <v>46.404400000000003</v>
      </c>
      <c r="J126" s="47">
        <f t="shared" si="62"/>
        <v>-21.146485080000001</v>
      </c>
      <c r="K126" s="49">
        <f>0</f>
        <v>0</v>
      </c>
      <c r="L126" s="48">
        <f t="shared" si="63"/>
        <v>-9.8264850800000012</v>
      </c>
      <c r="M126" s="46">
        <f t="shared" si="64"/>
        <v>0.86806405300353362</v>
      </c>
      <c r="N126" s="47">
        <f t="shared" ca="1" si="65"/>
        <v>93.566666666666663</v>
      </c>
      <c r="O126" s="46">
        <f t="shared" ca="1" si="66"/>
        <v>0.11132991060964451</v>
      </c>
      <c r="P126" s="47">
        <f t="shared" si="46"/>
        <v>11.32</v>
      </c>
    </row>
    <row r="127" spans="1:16" ht="15.75" x14ac:dyDescent="0.3">
      <c r="A127" s="57" t="s">
        <v>42</v>
      </c>
      <c r="B127" s="50">
        <v>43379</v>
      </c>
      <c r="C127" s="47">
        <v>-12.02</v>
      </c>
      <c r="D127" s="47">
        <v>0</v>
      </c>
      <c r="E127" s="48">
        <v>0</v>
      </c>
      <c r="F127" s="48">
        <f t="shared" si="60"/>
        <v>-12.02</v>
      </c>
      <c r="G127" s="48">
        <f t="shared" si="61"/>
        <v>20.984636871508378</v>
      </c>
      <c r="H127" s="48">
        <f>-0.5728</f>
        <v>-0.57279999999999998</v>
      </c>
      <c r="I127" s="56">
        <v>38.984900000000003</v>
      </c>
      <c r="J127" s="47">
        <f t="shared" si="62"/>
        <v>-22.330550720000002</v>
      </c>
      <c r="K127" s="49">
        <f>0</f>
        <v>0</v>
      </c>
      <c r="L127" s="48">
        <f t="shared" si="63"/>
        <v>-10.310550720000002</v>
      </c>
      <c r="M127" s="46">
        <f t="shared" si="64"/>
        <v>0.85778292179700522</v>
      </c>
      <c r="N127" s="47">
        <f t="shared" ca="1" si="65"/>
        <v>93.566666666666663</v>
      </c>
      <c r="O127" s="46">
        <f t="shared" ca="1" si="66"/>
        <v>0.11001134729138649</v>
      </c>
      <c r="P127" s="47">
        <f t="shared" si="46"/>
        <v>12.02</v>
      </c>
    </row>
    <row r="128" spans="1:16" ht="15.75" x14ac:dyDescent="0.3">
      <c r="A128" s="55" t="s">
        <v>44</v>
      </c>
      <c r="B128" s="50">
        <v>43397</v>
      </c>
      <c r="C128" s="47">
        <v>-3877.13</v>
      </c>
      <c r="D128" s="47">
        <v>0</v>
      </c>
      <c r="E128" s="48">
        <v>0</v>
      </c>
      <c r="F128" s="48">
        <f t="shared" si="60"/>
        <v>-3877.13</v>
      </c>
      <c r="G128" s="48">
        <f t="shared" ref="G128:G136" si="67">F128/H128</f>
        <v>26.329575196022105</v>
      </c>
      <c r="H128" s="48">
        <f>-147.2538</f>
        <v>-147.25380000000001</v>
      </c>
      <c r="I128" s="56">
        <v>74.919499999999999</v>
      </c>
      <c r="J128" s="47">
        <f t="shared" ref="J128:J181" si="68">PRODUCT(H128:I128)</f>
        <v>-11032.181069100001</v>
      </c>
      <c r="K128" s="49">
        <f>0</f>
        <v>0</v>
      </c>
      <c r="L128" s="48">
        <f t="shared" ref="L128:L181" si="69">SUM(-F128,J128)+K128</f>
        <v>-7155.0510691000009</v>
      </c>
      <c r="M128" s="46">
        <f t="shared" ref="M128:M181" si="70">L128/F128</f>
        <v>1.845450389618094</v>
      </c>
      <c r="N128" s="47">
        <f t="shared" ref="N128:N181" ca="1" si="71">(DAYS360(B128,NOW(),TRUE))/30</f>
        <v>92.966666666666669</v>
      </c>
      <c r="O128" s="46">
        <f t="shared" ref="O128:O181" ca="1" si="72">M128*12/N128</f>
        <v>0.23820801013356538</v>
      </c>
      <c r="P128" s="47">
        <f t="shared" si="46"/>
        <v>3877.13</v>
      </c>
    </row>
    <row r="129" spans="1:16" ht="15.75" x14ac:dyDescent="0.3">
      <c r="A129" s="57" t="s">
        <v>43</v>
      </c>
      <c r="B129" s="50">
        <v>43397</v>
      </c>
      <c r="C129" s="47">
        <v>-7988.46</v>
      </c>
      <c r="D129" s="47">
        <v>0</v>
      </c>
      <c r="E129" s="48">
        <v>0</v>
      </c>
      <c r="F129" s="48">
        <f t="shared" si="60"/>
        <v>-7988.46</v>
      </c>
      <c r="G129" s="48">
        <f t="shared" si="67"/>
        <v>25.025288558982879</v>
      </c>
      <c r="H129" s="48">
        <f>-319.2155</f>
        <v>-319.21550000000002</v>
      </c>
      <c r="I129" s="56">
        <v>46.404400000000003</v>
      </c>
      <c r="J129" s="47">
        <f t="shared" si="68"/>
        <v>-14813.003748200003</v>
      </c>
      <c r="K129" s="49">
        <f>0</f>
        <v>0</v>
      </c>
      <c r="L129" s="48">
        <f t="shared" si="69"/>
        <v>-6824.5437482000025</v>
      </c>
      <c r="M129" s="46">
        <f t="shared" si="70"/>
        <v>0.85430029670299434</v>
      </c>
      <c r="N129" s="47">
        <f t="shared" ca="1" si="71"/>
        <v>92.966666666666669</v>
      </c>
      <c r="O129" s="46">
        <f t="shared" ca="1" si="72"/>
        <v>0.11027182029870131</v>
      </c>
      <c r="P129" s="47">
        <f t="shared" si="46"/>
        <v>7988.46</v>
      </c>
    </row>
    <row r="130" spans="1:16" ht="15.75" x14ac:dyDescent="0.3">
      <c r="A130" s="57" t="s">
        <v>42</v>
      </c>
      <c r="B130" s="50">
        <v>43397</v>
      </c>
      <c r="C130" s="47">
        <v>11865.59</v>
      </c>
      <c r="D130" s="47">
        <v>0</v>
      </c>
      <c r="E130" s="48">
        <v>0</v>
      </c>
      <c r="F130" s="48">
        <f t="shared" si="60"/>
        <v>11865.59</v>
      </c>
      <c r="G130" s="48">
        <f t="shared" si="67"/>
        <v>21.368803242637945</v>
      </c>
      <c r="H130" s="48">
        <f>555.2763</f>
        <v>555.27629999999999</v>
      </c>
      <c r="I130" s="56">
        <v>38.984900000000003</v>
      </c>
      <c r="J130" s="47">
        <f t="shared" si="68"/>
        <v>21647.391027870002</v>
      </c>
      <c r="K130" s="49">
        <f>0</f>
        <v>0</v>
      </c>
      <c r="L130" s="48">
        <f t="shared" si="69"/>
        <v>9781.8010278700021</v>
      </c>
      <c r="M130" s="46">
        <f t="shared" si="70"/>
        <v>0.82438387200889307</v>
      </c>
      <c r="N130" s="47">
        <f t="shared" ca="1" si="71"/>
        <v>92.966666666666669</v>
      </c>
      <c r="O130" s="46">
        <f t="shared" ca="1" si="72"/>
        <v>0.10641025239268609</v>
      </c>
      <c r="P130" s="47">
        <f t="shared" si="46"/>
        <v>-11865.59</v>
      </c>
    </row>
    <row r="131" spans="1:16" ht="15.75" x14ac:dyDescent="0.3">
      <c r="A131" s="55" t="s">
        <v>44</v>
      </c>
      <c r="B131" s="50">
        <v>43410</v>
      </c>
      <c r="C131" s="47">
        <f>10423*42%</f>
        <v>4377.66</v>
      </c>
      <c r="D131" s="47">
        <v>0</v>
      </c>
      <c r="E131" s="48">
        <v>0</v>
      </c>
      <c r="F131" s="48">
        <f t="shared" si="60"/>
        <v>4377.66</v>
      </c>
      <c r="G131" s="48">
        <f t="shared" si="67"/>
        <v>27.160912052117261</v>
      </c>
      <c r="H131" s="48">
        <f>161.175</f>
        <v>161.17500000000001</v>
      </c>
      <c r="I131" s="56">
        <v>74.919499999999999</v>
      </c>
      <c r="J131" s="47">
        <f t="shared" si="68"/>
        <v>12075.150412500001</v>
      </c>
      <c r="K131" s="49">
        <f>0</f>
        <v>0</v>
      </c>
      <c r="L131" s="48">
        <f t="shared" si="69"/>
        <v>7697.4904125000012</v>
      </c>
      <c r="M131" s="46">
        <f t="shared" si="70"/>
        <v>1.7583572987623528</v>
      </c>
      <c r="N131" s="47">
        <f t="shared" ca="1" si="71"/>
        <v>92.566666666666663</v>
      </c>
      <c r="O131" s="46">
        <f t="shared" ca="1" si="72"/>
        <v>0.22794693106029781</v>
      </c>
      <c r="P131" s="47">
        <f t="shared" ref="P131:P194" si="73">-F131</f>
        <v>-4377.66</v>
      </c>
    </row>
    <row r="132" spans="1:16" ht="15.75" x14ac:dyDescent="0.3">
      <c r="A132" s="57" t="s">
        <v>43</v>
      </c>
      <c r="B132" s="50">
        <v>43410</v>
      </c>
      <c r="C132" s="47">
        <f>10423*26%</f>
        <v>2709.98</v>
      </c>
      <c r="D132" s="47">
        <v>0</v>
      </c>
      <c r="E132" s="48">
        <v>0</v>
      </c>
      <c r="F132" s="48">
        <f t="shared" si="60"/>
        <v>2709.98</v>
      </c>
      <c r="G132" s="48">
        <f t="shared" si="67"/>
        <v>25.166812622874851</v>
      </c>
      <c r="H132" s="48">
        <f>107.6807</f>
        <v>107.6807</v>
      </c>
      <c r="I132" s="56">
        <v>46.404400000000003</v>
      </c>
      <c r="J132" s="47">
        <f t="shared" si="68"/>
        <v>4996.8582750800006</v>
      </c>
      <c r="K132" s="49">
        <f>0</f>
        <v>0</v>
      </c>
      <c r="L132" s="48">
        <f t="shared" si="69"/>
        <v>2286.8782750800005</v>
      </c>
      <c r="M132" s="46">
        <f t="shared" si="70"/>
        <v>0.8438727500129154</v>
      </c>
      <c r="N132" s="47">
        <f t="shared" ca="1" si="71"/>
        <v>92.566666666666663</v>
      </c>
      <c r="O132" s="46">
        <f t="shared" ca="1" si="72"/>
        <v>0.10939653943271499</v>
      </c>
      <c r="P132" s="47">
        <f t="shared" si="73"/>
        <v>-2709.98</v>
      </c>
    </row>
    <row r="133" spans="1:16" ht="15.75" x14ac:dyDescent="0.3">
      <c r="A133" s="57" t="s">
        <v>42</v>
      </c>
      <c r="B133" s="50">
        <v>43410</v>
      </c>
      <c r="C133" s="47">
        <f>10423*32%</f>
        <v>3335.36</v>
      </c>
      <c r="D133" s="47">
        <v>0</v>
      </c>
      <c r="E133" s="48">
        <v>0</v>
      </c>
      <c r="F133" s="48">
        <f t="shared" si="60"/>
        <v>3335.36</v>
      </c>
      <c r="G133" s="48">
        <f t="shared" si="67"/>
        <v>21.527104119914004</v>
      </c>
      <c r="H133" s="48">
        <f>154.9377</f>
        <v>154.93770000000001</v>
      </c>
      <c r="I133" s="56">
        <v>38.984900000000003</v>
      </c>
      <c r="J133" s="47">
        <f t="shared" si="68"/>
        <v>6040.2307407300004</v>
      </c>
      <c r="K133" s="49">
        <f>0</f>
        <v>0</v>
      </c>
      <c r="L133" s="48">
        <f t="shared" si="69"/>
        <v>2704.8707407300003</v>
      </c>
      <c r="M133" s="46">
        <f t="shared" si="70"/>
        <v>0.81096815358162244</v>
      </c>
      <c r="N133" s="47">
        <f t="shared" ca="1" si="71"/>
        <v>92.566666666666663</v>
      </c>
      <c r="O133" s="46">
        <f t="shared" ca="1" si="72"/>
        <v>0.10513090935879874</v>
      </c>
      <c r="P133" s="47">
        <f t="shared" si="73"/>
        <v>-3335.36</v>
      </c>
    </row>
    <row r="134" spans="1:16" ht="15.75" x14ac:dyDescent="0.3">
      <c r="A134" s="55" t="s">
        <v>44</v>
      </c>
      <c r="B134" s="50">
        <v>43438</v>
      </c>
      <c r="C134" s="47">
        <f>10423*42%</f>
        <v>4377.66</v>
      </c>
      <c r="D134" s="47">
        <v>0</v>
      </c>
      <c r="E134" s="48">
        <v>0</v>
      </c>
      <c r="F134" s="48">
        <f t="shared" si="60"/>
        <v>4377.66</v>
      </c>
      <c r="G134" s="48">
        <f t="shared" si="67"/>
        <v>27.882403295703813</v>
      </c>
      <c r="H134" s="48">
        <f>157.0044</f>
        <v>157.0044</v>
      </c>
      <c r="I134" s="56">
        <v>74.919499999999999</v>
      </c>
      <c r="J134" s="47">
        <f t="shared" si="68"/>
        <v>11762.6911458</v>
      </c>
      <c r="K134" s="49">
        <f>0</f>
        <v>0</v>
      </c>
      <c r="L134" s="48">
        <f t="shared" si="69"/>
        <v>7385.0311457999996</v>
      </c>
      <c r="M134" s="46">
        <f t="shared" si="70"/>
        <v>1.6869814343279286</v>
      </c>
      <c r="N134" s="47">
        <f t="shared" ca="1" si="71"/>
        <v>91.63333333333334</v>
      </c>
      <c r="O134" s="46">
        <f t="shared" ca="1" si="72"/>
        <v>0.22092154105422127</v>
      </c>
      <c r="P134" s="47">
        <f t="shared" si="73"/>
        <v>-4377.66</v>
      </c>
    </row>
    <row r="135" spans="1:16" ht="15.75" x14ac:dyDescent="0.3">
      <c r="A135" s="57" t="s">
        <v>43</v>
      </c>
      <c r="B135" s="50">
        <v>43438</v>
      </c>
      <c r="C135" s="47">
        <f>10423*26%</f>
        <v>2709.98</v>
      </c>
      <c r="D135" s="47">
        <v>0</v>
      </c>
      <c r="E135" s="48">
        <v>0</v>
      </c>
      <c r="F135" s="48">
        <f t="shared" si="60"/>
        <v>2709.98</v>
      </c>
      <c r="G135" s="48">
        <f t="shared" si="67"/>
        <v>25.495519905468313</v>
      </c>
      <c r="H135" s="48">
        <f>106.2924</f>
        <v>106.2924</v>
      </c>
      <c r="I135" s="56">
        <v>46.404400000000003</v>
      </c>
      <c r="J135" s="47">
        <f t="shared" si="68"/>
        <v>4932.43504656</v>
      </c>
      <c r="K135" s="49">
        <f>0</f>
        <v>0</v>
      </c>
      <c r="L135" s="48">
        <f t="shared" si="69"/>
        <v>2222.45504656</v>
      </c>
      <c r="M135" s="46">
        <f t="shared" si="70"/>
        <v>0.82010016552151677</v>
      </c>
      <c r="N135" s="47">
        <f t="shared" ca="1" si="71"/>
        <v>91.63333333333334</v>
      </c>
      <c r="O135" s="46">
        <f t="shared" ca="1" si="72"/>
        <v>0.10739762080310879</v>
      </c>
      <c r="P135" s="47">
        <f t="shared" si="73"/>
        <v>-2709.98</v>
      </c>
    </row>
    <row r="136" spans="1:16" ht="15.75" x14ac:dyDescent="0.3">
      <c r="A136" s="57" t="s">
        <v>42</v>
      </c>
      <c r="B136" s="50">
        <v>43438</v>
      </c>
      <c r="C136" s="47">
        <f>10423*32%</f>
        <v>3335.36</v>
      </c>
      <c r="D136" s="47">
        <v>0</v>
      </c>
      <c r="E136" s="48">
        <v>0</v>
      </c>
      <c r="F136" s="48">
        <f t="shared" si="60"/>
        <v>3335.36</v>
      </c>
      <c r="G136" s="48">
        <f t="shared" si="67"/>
        <v>22.049109669094122</v>
      </c>
      <c r="H136" s="48">
        <f>151.2696</f>
        <v>151.2696</v>
      </c>
      <c r="I136" s="56">
        <v>38.984900000000003</v>
      </c>
      <c r="J136" s="47">
        <f t="shared" si="68"/>
        <v>5897.2302290400003</v>
      </c>
      <c r="K136" s="49">
        <f>0</f>
        <v>0</v>
      </c>
      <c r="L136" s="48">
        <f t="shared" si="69"/>
        <v>2561.8702290400001</v>
      </c>
      <c r="M136" s="46">
        <f t="shared" si="70"/>
        <v>0.76809406751894849</v>
      </c>
      <c r="N136" s="47">
        <f t="shared" ca="1" si="71"/>
        <v>91.63333333333334</v>
      </c>
      <c r="O136" s="46">
        <f t="shared" ca="1" si="72"/>
        <v>0.1005870732291093</v>
      </c>
      <c r="P136" s="47">
        <f t="shared" si="73"/>
        <v>-3335.36</v>
      </c>
    </row>
    <row r="137" spans="1:16" ht="15.75" x14ac:dyDescent="0.3">
      <c r="A137" s="55" t="s">
        <v>44</v>
      </c>
      <c r="B137" s="50">
        <v>43452</v>
      </c>
      <c r="C137" s="47">
        <f>50000*42%</f>
        <v>21000</v>
      </c>
      <c r="D137" s="47">
        <f>59.71*42%</f>
        <v>25.078199999999999</v>
      </c>
      <c r="E137" s="48">
        <v>0</v>
      </c>
      <c r="F137" s="48">
        <f t="shared" ref="F137:F139" si="74">SUM(C137:E137)</f>
        <v>21025.0782</v>
      </c>
      <c r="G137" s="48">
        <f t="shared" ref="G137:G139" si="75">F137/H137</f>
        <v>28.086802524797111</v>
      </c>
      <c r="H137" s="48">
        <f>748.575</f>
        <v>748.57500000000005</v>
      </c>
      <c r="I137" s="56">
        <v>74.919499999999999</v>
      </c>
      <c r="J137" s="47">
        <f t="shared" si="68"/>
        <v>56082.864712500006</v>
      </c>
      <c r="K137" s="49">
        <f>0</f>
        <v>0</v>
      </c>
      <c r="L137" s="48">
        <f t="shared" si="69"/>
        <v>35057.78651250001</v>
      </c>
      <c r="M137" s="46">
        <f t="shared" si="70"/>
        <v>1.667427163838088</v>
      </c>
      <c r="N137" s="47">
        <f t="shared" ca="1" si="71"/>
        <v>91.166666666666671</v>
      </c>
      <c r="O137" s="46">
        <f t="shared" ca="1" si="72"/>
        <v>0.21947852979221633</v>
      </c>
      <c r="P137" s="47">
        <f t="shared" si="73"/>
        <v>-21025.0782</v>
      </c>
    </row>
    <row r="138" spans="1:16" ht="15.75" x14ac:dyDescent="0.3">
      <c r="A138" s="57" t="s">
        <v>43</v>
      </c>
      <c r="B138" s="50">
        <v>43452</v>
      </c>
      <c r="C138" s="47">
        <f>50000*26%</f>
        <v>13000</v>
      </c>
      <c r="D138" s="47">
        <f>59.71*26%</f>
        <v>15.524600000000001</v>
      </c>
      <c r="E138" s="48">
        <v>0</v>
      </c>
      <c r="F138" s="48">
        <f t="shared" si="74"/>
        <v>13015.524600000001</v>
      </c>
      <c r="G138" s="48">
        <f t="shared" si="75"/>
        <v>25.63468064099284</v>
      </c>
      <c r="H138" s="48">
        <f>507.7311</f>
        <v>507.73110000000003</v>
      </c>
      <c r="I138" s="56">
        <v>46.404400000000003</v>
      </c>
      <c r="J138" s="47">
        <f t="shared" si="68"/>
        <v>23560.957056840001</v>
      </c>
      <c r="K138" s="49">
        <f>0</f>
        <v>0</v>
      </c>
      <c r="L138" s="48">
        <f t="shared" si="69"/>
        <v>10545.432456840001</v>
      </c>
      <c r="M138" s="46">
        <f t="shared" si="70"/>
        <v>0.81021954788053641</v>
      </c>
      <c r="N138" s="47">
        <f t="shared" ca="1" si="71"/>
        <v>91.166666666666671</v>
      </c>
      <c r="O138" s="46">
        <f t="shared" ca="1" si="72"/>
        <v>0.10664681434624976</v>
      </c>
      <c r="P138" s="47">
        <f t="shared" si="73"/>
        <v>-13015.524600000001</v>
      </c>
    </row>
    <row r="139" spans="1:16" ht="15.75" x14ac:dyDescent="0.3">
      <c r="A139" s="57" t="s">
        <v>42</v>
      </c>
      <c r="B139" s="50">
        <v>43452</v>
      </c>
      <c r="C139" s="47">
        <f>50000*32%</f>
        <v>16000</v>
      </c>
      <c r="D139" s="47">
        <f>59.71*32%</f>
        <v>19.107200000000002</v>
      </c>
      <c r="E139" s="48">
        <v>0</v>
      </c>
      <c r="F139" s="48">
        <f t="shared" si="74"/>
        <v>16019.1072</v>
      </c>
      <c r="G139" s="48">
        <f t="shared" si="75"/>
        <v>22.40232169233381</v>
      </c>
      <c r="H139" s="48">
        <f>715.0646</f>
        <v>715.06460000000004</v>
      </c>
      <c r="I139" s="56">
        <v>38.984900000000003</v>
      </c>
      <c r="J139" s="47">
        <f t="shared" si="68"/>
        <v>27876.721924540005</v>
      </c>
      <c r="K139" s="49">
        <f>0</f>
        <v>0</v>
      </c>
      <c r="L139" s="48">
        <f t="shared" si="69"/>
        <v>11857.614724540004</v>
      </c>
      <c r="M139" s="46">
        <f t="shared" si="70"/>
        <v>0.74021695319824088</v>
      </c>
      <c r="N139" s="47">
        <f t="shared" ca="1" si="71"/>
        <v>91.166666666666671</v>
      </c>
      <c r="O139" s="46">
        <f t="shared" ca="1" si="72"/>
        <v>9.7432578848762955E-2</v>
      </c>
      <c r="P139" s="47">
        <f t="shared" si="73"/>
        <v>-16019.1072</v>
      </c>
    </row>
    <row r="140" spans="1:16" ht="15.75" x14ac:dyDescent="0.3">
      <c r="A140" s="55" t="s">
        <v>44</v>
      </c>
      <c r="B140" s="50">
        <v>43468</v>
      </c>
      <c r="C140" s="47">
        <f>10423*42%</f>
        <v>4377.66</v>
      </c>
      <c r="D140" s="47">
        <v>0</v>
      </c>
      <c r="E140" s="48">
        <v>0</v>
      </c>
      <c r="F140" s="48">
        <f t="shared" ref="F140:F142" si="76">SUM(C140:E140)</f>
        <v>4377.66</v>
      </c>
      <c r="G140" s="48">
        <f t="shared" ref="G140:G142" si="77">F140/H140</f>
        <v>27.470600785652429</v>
      </c>
      <c r="H140" s="48">
        <f>159.358</f>
        <v>159.358</v>
      </c>
      <c r="I140" s="56">
        <v>74.919499999999999</v>
      </c>
      <c r="J140" s="47">
        <f t="shared" si="68"/>
        <v>11939.021681</v>
      </c>
      <c r="K140" s="49">
        <f>0</f>
        <v>0</v>
      </c>
      <c r="L140" s="48">
        <f t="shared" si="69"/>
        <v>7561.3616810000003</v>
      </c>
      <c r="M140" s="46">
        <f t="shared" si="70"/>
        <v>1.7272610666429098</v>
      </c>
      <c r="N140" s="47">
        <f t="shared" ca="1" si="71"/>
        <v>90.666666666666671</v>
      </c>
      <c r="O140" s="46">
        <f t="shared" ca="1" si="72"/>
        <v>0.22860808234979685</v>
      </c>
      <c r="P140" s="47">
        <f t="shared" si="73"/>
        <v>-4377.66</v>
      </c>
    </row>
    <row r="141" spans="1:16" ht="15.75" x14ac:dyDescent="0.3">
      <c r="A141" s="57" t="s">
        <v>43</v>
      </c>
      <c r="B141" s="50">
        <v>43468</v>
      </c>
      <c r="C141" s="47">
        <f>10423*26%</f>
        <v>2709.98</v>
      </c>
      <c r="D141" s="47">
        <v>0</v>
      </c>
      <c r="E141" s="48">
        <v>0</v>
      </c>
      <c r="F141" s="48">
        <f t="shared" si="76"/>
        <v>2709.98</v>
      </c>
      <c r="G141" s="48">
        <f t="shared" si="77"/>
        <v>25.827215605471597</v>
      </c>
      <c r="H141" s="48">
        <f>104.9273</f>
        <v>104.9273</v>
      </c>
      <c r="I141" s="56">
        <v>46.404400000000003</v>
      </c>
      <c r="J141" s="47">
        <f t="shared" si="68"/>
        <v>4869.0884001200002</v>
      </c>
      <c r="K141" s="49">
        <f>0</f>
        <v>0</v>
      </c>
      <c r="L141" s="48">
        <f t="shared" si="69"/>
        <v>2159.1084001200002</v>
      </c>
      <c r="M141" s="46">
        <f t="shared" si="70"/>
        <v>0.79672484672211608</v>
      </c>
      <c r="N141" s="47">
        <f t="shared" ca="1" si="71"/>
        <v>90.666666666666671</v>
      </c>
      <c r="O141" s="46">
        <f t="shared" ca="1" si="72"/>
        <v>0.10544887677204476</v>
      </c>
      <c r="P141" s="47">
        <f t="shared" si="73"/>
        <v>-2709.98</v>
      </c>
    </row>
    <row r="142" spans="1:16" ht="15.75" x14ac:dyDescent="0.3">
      <c r="A142" s="57" t="s">
        <v>42</v>
      </c>
      <c r="B142" s="50">
        <v>43468</v>
      </c>
      <c r="C142" s="47">
        <f>10423*32%</f>
        <v>3335.36</v>
      </c>
      <c r="D142" s="47">
        <v>0</v>
      </c>
      <c r="E142" s="48">
        <v>0</v>
      </c>
      <c r="F142" s="48">
        <f t="shared" si="76"/>
        <v>3335.36</v>
      </c>
      <c r="G142" s="48">
        <f t="shared" si="77"/>
        <v>22.41580698276152</v>
      </c>
      <c r="H142" s="48">
        <f>148.795</f>
        <v>148.79499999999999</v>
      </c>
      <c r="I142" s="56">
        <v>38.984900000000003</v>
      </c>
      <c r="J142" s="47">
        <f t="shared" si="68"/>
        <v>5800.7581954999996</v>
      </c>
      <c r="K142" s="49">
        <f>0</f>
        <v>0</v>
      </c>
      <c r="L142" s="48">
        <f t="shared" si="69"/>
        <v>2465.3981954999995</v>
      </c>
      <c r="M142" s="46">
        <f t="shared" si="70"/>
        <v>0.73917004326369551</v>
      </c>
      <c r="N142" s="47">
        <f t="shared" ca="1" si="71"/>
        <v>90.666666666666671</v>
      </c>
      <c r="O142" s="46">
        <f t="shared" ca="1" si="72"/>
        <v>9.7831329255489111E-2</v>
      </c>
      <c r="P142" s="47">
        <f t="shared" si="73"/>
        <v>-3335.36</v>
      </c>
    </row>
    <row r="143" spans="1:16" ht="15.75" x14ac:dyDescent="0.3">
      <c r="A143" s="55" t="s">
        <v>44</v>
      </c>
      <c r="B143" s="50">
        <v>43470</v>
      </c>
      <c r="C143" s="47">
        <v>-21.13</v>
      </c>
      <c r="D143" s="47">
        <v>0</v>
      </c>
      <c r="E143" s="48">
        <v>0</v>
      </c>
      <c r="F143" s="48">
        <f t="shared" ref="F143:F145" si="78">SUM(C143:E143)</f>
        <v>-21.13</v>
      </c>
      <c r="G143" s="48">
        <f t="shared" ref="G143:G145" si="79">F143/H143</f>
        <v>27.602873938602222</v>
      </c>
      <c r="H143" s="48">
        <f>-0.7655</f>
        <v>-0.76549999999999996</v>
      </c>
      <c r="I143" s="56">
        <v>74.919499999999999</v>
      </c>
      <c r="J143" s="47">
        <f t="shared" si="68"/>
        <v>-57.350877249999996</v>
      </c>
      <c r="K143" s="49">
        <f>0</f>
        <v>0</v>
      </c>
      <c r="L143" s="48">
        <f t="shared" si="69"/>
        <v>-36.220877250000001</v>
      </c>
      <c r="M143" s="46">
        <f t="shared" si="70"/>
        <v>1.7141920137245623</v>
      </c>
      <c r="N143" s="47">
        <f t="shared" ca="1" si="71"/>
        <v>90.6</v>
      </c>
      <c r="O143" s="46">
        <f t="shared" ca="1" si="72"/>
        <v>0.22704529983106786</v>
      </c>
      <c r="P143" s="47">
        <f t="shared" si="73"/>
        <v>21.13</v>
      </c>
    </row>
    <row r="144" spans="1:16" ht="15.75" x14ac:dyDescent="0.3">
      <c r="A144" s="57" t="s">
        <v>43</v>
      </c>
      <c r="B144" s="50">
        <v>43470</v>
      </c>
      <c r="C144" s="47">
        <v>-12.88</v>
      </c>
      <c r="D144" s="47">
        <v>0</v>
      </c>
      <c r="E144" s="48">
        <v>0</v>
      </c>
      <c r="F144" s="48">
        <f t="shared" si="78"/>
        <v>-12.88</v>
      </c>
      <c r="G144" s="48">
        <f t="shared" si="79"/>
        <v>25.853071055800886</v>
      </c>
      <c r="H144" s="48">
        <f>-0.4982</f>
        <v>-0.49819999999999998</v>
      </c>
      <c r="I144" s="56">
        <v>46.404400000000003</v>
      </c>
      <c r="J144" s="47">
        <f t="shared" si="68"/>
        <v>-23.11867208</v>
      </c>
      <c r="K144" s="49">
        <f>0</f>
        <v>0</v>
      </c>
      <c r="L144" s="48">
        <f t="shared" si="69"/>
        <v>-10.238672079999999</v>
      </c>
      <c r="M144" s="46">
        <f t="shared" si="70"/>
        <v>0.79492795652173898</v>
      </c>
      <c r="N144" s="47">
        <f t="shared" ca="1" si="71"/>
        <v>90.6</v>
      </c>
      <c r="O144" s="46">
        <f t="shared" ca="1" si="72"/>
        <v>0.10528847106248199</v>
      </c>
      <c r="P144" s="47">
        <f t="shared" si="73"/>
        <v>12.88</v>
      </c>
    </row>
    <row r="145" spans="1:16" ht="15.75" x14ac:dyDescent="0.3">
      <c r="A145" s="57" t="s">
        <v>42</v>
      </c>
      <c r="B145" s="50">
        <v>43470</v>
      </c>
      <c r="C145" s="47">
        <v>-16.13</v>
      </c>
      <c r="D145" s="47">
        <v>0</v>
      </c>
      <c r="E145" s="48">
        <v>0</v>
      </c>
      <c r="F145" s="48">
        <f t="shared" si="78"/>
        <v>-16.13</v>
      </c>
      <c r="G145" s="48">
        <f t="shared" si="79"/>
        <v>22.384124340827086</v>
      </c>
      <c r="H145" s="48">
        <f>-0.7206</f>
        <v>-0.72060000000000002</v>
      </c>
      <c r="I145" s="56">
        <v>38.984900000000003</v>
      </c>
      <c r="J145" s="47">
        <f t="shared" si="68"/>
        <v>-28.092518940000001</v>
      </c>
      <c r="K145" s="49">
        <f>0</f>
        <v>0</v>
      </c>
      <c r="L145" s="48">
        <f t="shared" si="69"/>
        <v>-11.962518940000002</v>
      </c>
      <c r="M145" s="46">
        <f t="shared" si="70"/>
        <v>0.7416316763794174</v>
      </c>
      <c r="N145" s="47">
        <f t="shared" ca="1" si="71"/>
        <v>90.6</v>
      </c>
      <c r="O145" s="46">
        <f t="shared" ca="1" si="72"/>
        <v>9.8229361109856625E-2</v>
      </c>
      <c r="P145" s="47">
        <f t="shared" si="73"/>
        <v>16.13</v>
      </c>
    </row>
    <row r="146" spans="1:16" ht="15.75" x14ac:dyDescent="0.3">
      <c r="A146" s="55" t="s">
        <v>44</v>
      </c>
      <c r="B146" s="50">
        <v>43501</v>
      </c>
      <c r="C146" s="47">
        <f>10423*42%</f>
        <v>4377.66</v>
      </c>
      <c r="D146" s="47">
        <v>0</v>
      </c>
      <c r="E146" s="48">
        <v>0</v>
      </c>
      <c r="F146" s="48">
        <f t="shared" ref="F146:F154" si="80">SUM(C146:E146)</f>
        <v>4377.66</v>
      </c>
      <c r="G146" s="48">
        <f t="shared" ref="G146:G154" si="81">F146/H146</f>
        <v>28.058811426681526</v>
      </c>
      <c r="H146" s="48">
        <f>156.0173</f>
        <v>156.01730000000001</v>
      </c>
      <c r="I146" s="56">
        <v>74.919499999999999</v>
      </c>
      <c r="J146" s="47">
        <f t="shared" si="68"/>
        <v>11688.73810735</v>
      </c>
      <c r="K146" s="49">
        <f>0</f>
        <v>0</v>
      </c>
      <c r="L146" s="48">
        <f t="shared" si="69"/>
        <v>7311.0781073500002</v>
      </c>
      <c r="M146" s="46">
        <f t="shared" si="70"/>
        <v>1.6700881537967773</v>
      </c>
      <c r="N146" s="47">
        <f t="shared" ca="1" si="71"/>
        <v>89.6</v>
      </c>
      <c r="O146" s="46">
        <f t="shared" ca="1" si="72"/>
        <v>0.22367252059778267</v>
      </c>
      <c r="P146" s="47">
        <f t="shared" si="73"/>
        <v>-4377.66</v>
      </c>
    </row>
    <row r="147" spans="1:16" ht="15.75" x14ac:dyDescent="0.3">
      <c r="A147" s="57" t="s">
        <v>43</v>
      </c>
      <c r="B147" s="50">
        <v>43501</v>
      </c>
      <c r="C147" s="47">
        <f>10423*26%</f>
        <v>2709.98</v>
      </c>
      <c r="D147" s="47">
        <v>0</v>
      </c>
      <c r="E147" s="48">
        <v>0</v>
      </c>
      <c r="F147" s="48">
        <f t="shared" si="80"/>
        <v>2709.98</v>
      </c>
      <c r="G147" s="48">
        <f t="shared" si="81"/>
        <v>25.873203183477692</v>
      </c>
      <c r="H147" s="48">
        <f>104.7408</f>
        <v>104.74079999999999</v>
      </c>
      <c r="I147" s="56">
        <v>46.404400000000003</v>
      </c>
      <c r="J147" s="47">
        <f t="shared" si="68"/>
        <v>4860.4339795200003</v>
      </c>
      <c r="K147" s="49">
        <f>0</f>
        <v>0</v>
      </c>
      <c r="L147" s="48">
        <f t="shared" si="69"/>
        <v>2150.4539795200003</v>
      </c>
      <c r="M147" s="46">
        <f t="shared" si="70"/>
        <v>0.79353131001704824</v>
      </c>
      <c r="N147" s="47">
        <f t="shared" ca="1" si="71"/>
        <v>89.6</v>
      </c>
      <c r="O147" s="46">
        <f t="shared" ca="1" si="72"/>
        <v>0.10627651473442611</v>
      </c>
      <c r="P147" s="47">
        <f t="shared" si="73"/>
        <v>-2709.98</v>
      </c>
    </row>
    <row r="148" spans="1:16" ht="15.75" x14ac:dyDescent="0.3">
      <c r="A148" s="57" t="s">
        <v>42</v>
      </c>
      <c r="B148" s="50">
        <v>43501</v>
      </c>
      <c r="C148" s="47">
        <f>10423*32%</f>
        <v>3335.36</v>
      </c>
      <c r="D148" s="47">
        <v>0</v>
      </c>
      <c r="E148" s="48">
        <v>0</v>
      </c>
      <c r="F148" s="48">
        <f t="shared" si="80"/>
        <v>3335.36</v>
      </c>
      <c r="G148" s="48">
        <f t="shared" si="81"/>
        <v>22.3672077806681</v>
      </c>
      <c r="H148" s="48">
        <f>149.1183</f>
        <v>149.1183</v>
      </c>
      <c r="I148" s="56">
        <v>38.984900000000003</v>
      </c>
      <c r="J148" s="47">
        <f t="shared" si="68"/>
        <v>5813.362013670001</v>
      </c>
      <c r="K148" s="49">
        <f>0</f>
        <v>0</v>
      </c>
      <c r="L148" s="48">
        <f t="shared" si="69"/>
        <v>2478.0020136700009</v>
      </c>
      <c r="M148" s="46">
        <f t="shared" si="70"/>
        <v>0.74294889117516572</v>
      </c>
      <c r="N148" s="47">
        <f t="shared" ca="1" si="71"/>
        <v>89.6</v>
      </c>
      <c r="O148" s="46">
        <f t="shared" ca="1" si="72"/>
        <v>9.9502083639531128E-2</v>
      </c>
      <c r="P148" s="47">
        <f t="shared" si="73"/>
        <v>-3335.36</v>
      </c>
    </row>
    <row r="149" spans="1:16" ht="15.75" x14ac:dyDescent="0.3">
      <c r="A149" s="55" t="s">
        <v>44</v>
      </c>
      <c r="B149" s="50">
        <v>43532</v>
      </c>
      <c r="C149" s="47">
        <f>10423*42%</f>
        <v>4377.66</v>
      </c>
      <c r="D149" s="47">
        <v>0</v>
      </c>
      <c r="E149" s="48">
        <v>0</v>
      </c>
      <c r="F149" s="48">
        <f t="shared" si="80"/>
        <v>4377.66</v>
      </c>
      <c r="G149" s="48">
        <f t="shared" si="81"/>
        <v>28.447606979237744</v>
      </c>
      <c r="H149" s="48">
        <f>153.885</f>
        <v>153.88499999999999</v>
      </c>
      <c r="I149" s="56">
        <v>74.919499999999999</v>
      </c>
      <c r="J149" s="47">
        <f t="shared" si="68"/>
        <v>11528.987257499999</v>
      </c>
      <c r="K149" s="49">
        <f>0</f>
        <v>0</v>
      </c>
      <c r="L149" s="48">
        <f t="shared" si="69"/>
        <v>7151.3272574999992</v>
      </c>
      <c r="M149" s="46">
        <f t="shared" si="70"/>
        <v>1.6335958611449952</v>
      </c>
      <c r="N149" s="47">
        <f t="shared" ca="1" si="71"/>
        <v>88.5</v>
      </c>
      <c r="O149" s="46">
        <f t="shared" ca="1" si="72"/>
        <v>0.2215045235450841</v>
      </c>
      <c r="P149" s="47">
        <f t="shared" si="73"/>
        <v>-4377.66</v>
      </c>
    </row>
    <row r="150" spans="1:16" ht="15.75" x14ac:dyDescent="0.3">
      <c r="A150" s="57" t="s">
        <v>43</v>
      </c>
      <c r="B150" s="50">
        <v>43532</v>
      </c>
      <c r="C150" s="47">
        <f>10423*26%</f>
        <v>2709.98</v>
      </c>
      <c r="D150" s="47">
        <v>0</v>
      </c>
      <c r="E150" s="48">
        <v>0</v>
      </c>
      <c r="F150" s="48">
        <f t="shared" si="80"/>
        <v>2709.98</v>
      </c>
      <c r="G150" s="48">
        <f t="shared" si="81"/>
        <v>26.216614684508286</v>
      </c>
      <c r="H150" s="48">
        <f>103.3688</f>
        <v>103.36879999999999</v>
      </c>
      <c r="I150" s="56">
        <v>46.404400000000003</v>
      </c>
      <c r="J150" s="47">
        <f t="shared" si="68"/>
        <v>4796.7671427200003</v>
      </c>
      <c r="K150" s="49">
        <f>0</f>
        <v>0</v>
      </c>
      <c r="L150" s="48">
        <f t="shared" si="69"/>
        <v>2086.7871427200002</v>
      </c>
      <c r="M150" s="46">
        <f t="shared" si="70"/>
        <v>0.77003783892132049</v>
      </c>
      <c r="N150" s="47">
        <f t="shared" ca="1" si="71"/>
        <v>88.5</v>
      </c>
      <c r="O150" s="46">
        <f t="shared" ca="1" si="72"/>
        <v>0.10441191036221296</v>
      </c>
      <c r="P150" s="47">
        <f t="shared" si="73"/>
        <v>-2709.98</v>
      </c>
    </row>
    <row r="151" spans="1:16" ht="15.75" x14ac:dyDescent="0.3">
      <c r="A151" s="57" t="s">
        <v>42</v>
      </c>
      <c r="B151" s="50">
        <v>43532</v>
      </c>
      <c r="C151" s="47">
        <f>10423*32%</f>
        <v>3335.36</v>
      </c>
      <c r="D151" s="47">
        <v>0</v>
      </c>
      <c r="E151" s="48">
        <v>0</v>
      </c>
      <c r="F151" s="48">
        <f t="shared" si="80"/>
        <v>3335.36</v>
      </c>
      <c r="G151" s="48">
        <f t="shared" si="81"/>
        <v>22.5454019441705</v>
      </c>
      <c r="H151" s="48">
        <f>147.9397</f>
        <v>147.93969999999999</v>
      </c>
      <c r="I151" s="56">
        <v>38.984900000000003</v>
      </c>
      <c r="J151" s="47">
        <f t="shared" si="68"/>
        <v>5767.4144105300002</v>
      </c>
      <c r="K151" s="49">
        <f>0</f>
        <v>0</v>
      </c>
      <c r="L151" s="48">
        <f t="shared" si="69"/>
        <v>2432.05441053</v>
      </c>
      <c r="M151" s="46">
        <f t="shared" si="70"/>
        <v>0.72917298598352198</v>
      </c>
      <c r="N151" s="47">
        <f t="shared" ca="1" si="71"/>
        <v>88.5</v>
      </c>
      <c r="O151" s="46">
        <f t="shared" ca="1" si="72"/>
        <v>9.8870913353697895E-2</v>
      </c>
      <c r="P151" s="47">
        <f t="shared" si="73"/>
        <v>-3335.36</v>
      </c>
    </row>
    <row r="152" spans="1:16" ht="15.75" x14ac:dyDescent="0.3">
      <c r="A152" s="55" t="s">
        <v>44</v>
      </c>
      <c r="B152" s="50">
        <v>43552</v>
      </c>
      <c r="C152" s="47">
        <f>10423*42%</f>
        <v>4377.66</v>
      </c>
      <c r="D152" s="47">
        <v>0</v>
      </c>
      <c r="E152" s="48">
        <v>0</v>
      </c>
      <c r="F152" s="48">
        <f t="shared" si="80"/>
        <v>4377.66</v>
      </c>
      <c r="G152" s="48">
        <f t="shared" si="81"/>
        <v>29.745418421712447</v>
      </c>
      <c r="H152" s="48">
        <f>147.1709</f>
        <v>147.17089999999999</v>
      </c>
      <c r="I152" s="56">
        <v>74.919499999999999</v>
      </c>
      <c r="J152" s="47">
        <f t="shared" si="68"/>
        <v>11025.97024255</v>
      </c>
      <c r="K152" s="49">
        <f>0</f>
        <v>0</v>
      </c>
      <c r="L152" s="48">
        <f t="shared" si="69"/>
        <v>6648.3102425500001</v>
      </c>
      <c r="M152" s="46">
        <f t="shared" si="70"/>
        <v>1.5186904059588913</v>
      </c>
      <c r="N152" s="47">
        <f t="shared" ca="1" si="71"/>
        <v>87.833333333333329</v>
      </c>
      <c r="O152" s="46">
        <f t="shared" ca="1" si="72"/>
        <v>0.20748711428660377</v>
      </c>
      <c r="P152" s="47">
        <f t="shared" si="73"/>
        <v>-4377.66</v>
      </c>
    </row>
    <row r="153" spans="1:16" ht="15.75" x14ac:dyDescent="0.3">
      <c r="A153" s="57" t="s">
        <v>43</v>
      </c>
      <c r="B153" s="50">
        <v>43552</v>
      </c>
      <c r="C153" s="47">
        <f>10423*26%</f>
        <v>2709.98</v>
      </c>
      <c r="D153" s="47">
        <v>0</v>
      </c>
      <c r="E153" s="48">
        <v>0</v>
      </c>
      <c r="F153" s="48">
        <f t="shared" si="80"/>
        <v>2709.98</v>
      </c>
      <c r="G153" s="48">
        <f t="shared" si="81"/>
        <v>26.644603592230339</v>
      </c>
      <c r="H153" s="48">
        <f>101.7084</f>
        <v>101.7084</v>
      </c>
      <c r="I153" s="56">
        <v>46.404400000000003</v>
      </c>
      <c r="J153" s="47">
        <f t="shared" si="68"/>
        <v>4719.7172769600002</v>
      </c>
      <c r="K153" s="49">
        <f>0</f>
        <v>0</v>
      </c>
      <c r="L153" s="48">
        <f t="shared" si="69"/>
        <v>2009.7372769600001</v>
      </c>
      <c r="M153" s="46">
        <f t="shared" si="70"/>
        <v>0.74160594430955218</v>
      </c>
      <c r="N153" s="47">
        <f t="shared" ca="1" si="71"/>
        <v>87.833333333333329</v>
      </c>
      <c r="O153" s="46">
        <f t="shared" ca="1" si="72"/>
        <v>0.10131997721117222</v>
      </c>
      <c r="P153" s="47">
        <f t="shared" si="73"/>
        <v>-2709.98</v>
      </c>
    </row>
    <row r="154" spans="1:16" ht="15.75" x14ac:dyDescent="0.3">
      <c r="A154" s="57" t="s">
        <v>42</v>
      </c>
      <c r="B154" s="50">
        <v>43552</v>
      </c>
      <c r="C154" s="47">
        <f>10423*32%</f>
        <v>3335.36</v>
      </c>
      <c r="D154" s="47">
        <v>0</v>
      </c>
      <c r="E154" s="48">
        <v>0</v>
      </c>
      <c r="F154" s="48">
        <f t="shared" si="80"/>
        <v>3335.36</v>
      </c>
      <c r="G154" s="48">
        <f t="shared" si="81"/>
        <v>22.85941435498518</v>
      </c>
      <c r="H154" s="48">
        <f>145.9075</f>
        <v>145.9075</v>
      </c>
      <c r="I154" s="56">
        <v>38.984900000000003</v>
      </c>
      <c r="J154" s="47">
        <f t="shared" si="68"/>
        <v>5688.1892967500007</v>
      </c>
      <c r="K154" s="49">
        <f>0</f>
        <v>0</v>
      </c>
      <c r="L154" s="48">
        <f t="shared" si="69"/>
        <v>2352.8292967500006</v>
      </c>
      <c r="M154" s="46">
        <f t="shared" si="70"/>
        <v>0.70541989372961256</v>
      </c>
      <c r="N154" s="47">
        <f t="shared" ca="1" si="71"/>
        <v>87.833333333333329</v>
      </c>
      <c r="O154" s="46">
        <f t="shared" ca="1" si="72"/>
        <v>9.6376152464007797E-2</v>
      </c>
      <c r="P154" s="47">
        <f t="shared" si="73"/>
        <v>-3335.36</v>
      </c>
    </row>
    <row r="155" spans="1:16" ht="15.75" x14ac:dyDescent="0.3">
      <c r="A155" s="55" t="s">
        <v>44</v>
      </c>
      <c r="B155" s="50">
        <v>43561</v>
      </c>
      <c r="C155" s="47">
        <v>-19.91</v>
      </c>
      <c r="D155" s="47">
        <v>0</v>
      </c>
      <c r="E155" s="48">
        <v>0</v>
      </c>
      <c r="F155" s="48">
        <f t="shared" ref="F155:F157" si="82">SUM(C155:E155)</f>
        <v>-19.91</v>
      </c>
      <c r="G155" s="48">
        <f t="shared" ref="G155:G157" si="83">F155/H155</f>
        <v>29.962377727614751</v>
      </c>
      <c r="H155" s="48">
        <f>-0.6645</f>
        <v>-0.66449999999999998</v>
      </c>
      <c r="I155" s="56">
        <v>74.919499999999999</v>
      </c>
      <c r="J155" s="47">
        <f t="shared" si="68"/>
        <v>-49.784007750000001</v>
      </c>
      <c r="K155" s="49">
        <f>0</f>
        <v>0</v>
      </c>
      <c r="L155" s="48">
        <f t="shared" si="69"/>
        <v>-29.874007750000001</v>
      </c>
      <c r="M155" s="46">
        <f t="shared" si="70"/>
        <v>1.500452423405324</v>
      </c>
      <c r="N155" s="47">
        <f t="shared" ca="1" si="71"/>
        <v>87.566666666666663</v>
      </c>
      <c r="O155" s="46">
        <f t="shared" ca="1" si="72"/>
        <v>0.20561966974720847</v>
      </c>
      <c r="P155" s="47">
        <f t="shared" si="73"/>
        <v>19.91</v>
      </c>
    </row>
    <row r="156" spans="1:16" ht="15.75" x14ac:dyDescent="0.3">
      <c r="A156" s="57" t="s">
        <v>43</v>
      </c>
      <c r="B156" s="50">
        <v>43561</v>
      </c>
      <c r="C156" s="47">
        <v>-11.52</v>
      </c>
      <c r="D156" s="47">
        <v>0</v>
      </c>
      <c r="E156" s="48">
        <v>0</v>
      </c>
      <c r="F156" s="48">
        <f t="shared" si="82"/>
        <v>-11.52</v>
      </c>
      <c r="G156" s="48">
        <f t="shared" si="83"/>
        <v>26.611226611226609</v>
      </c>
      <c r="H156" s="48">
        <f>-0.4329</f>
        <v>-0.43290000000000001</v>
      </c>
      <c r="I156" s="56">
        <v>46.404400000000003</v>
      </c>
      <c r="J156" s="47">
        <f t="shared" si="68"/>
        <v>-20.088464760000001</v>
      </c>
      <c r="K156" s="49">
        <f>0</f>
        <v>0</v>
      </c>
      <c r="L156" s="48">
        <f t="shared" si="69"/>
        <v>-8.5684647600000012</v>
      </c>
      <c r="M156" s="46">
        <f t="shared" si="70"/>
        <v>0.74379034375000008</v>
      </c>
      <c r="N156" s="47">
        <f t="shared" ca="1" si="71"/>
        <v>87.566666666666663</v>
      </c>
      <c r="O156" s="46">
        <f t="shared" ca="1" si="72"/>
        <v>0.10192787352493339</v>
      </c>
      <c r="P156" s="47">
        <f t="shared" si="73"/>
        <v>11.52</v>
      </c>
    </row>
    <row r="157" spans="1:16" ht="15.75" x14ac:dyDescent="0.3">
      <c r="A157" s="57" t="s">
        <v>42</v>
      </c>
      <c r="B157" s="50">
        <v>43561</v>
      </c>
      <c r="C157" s="47">
        <v>-14.29</v>
      </c>
      <c r="D157" s="47">
        <v>0</v>
      </c>
      <c r="E157" s="48">
        <v>0</v>
      </c>
      <c r="F157" s="48">
        <f t="shared" si="82"/>
        <v>-14.29</v>
      </c>
      <c r="G157" s="48">
        <f t="shared" si="83"/>
        <v>22.81654159348555</v>
      </c>
      <c r="H157" s="48">
        <f>-0.6263</f>
        <v>-0.62629999999999997</v>
      </c>
      <c r="I157" s="56">
        <v>38.984900000000003</v>
      </c>
      <c r="J157" s="47">
        <f t="shared" si="68"/>
        <v>-24.416242870000001</v>
      </c>
      <c r="K157" s="49">
        <f>0</f>
        <v>0</v>
      </c>
      <c r="L157" s="48">
        <f t="shared" si="69"/>
        <v>-10.126242870000002</v>
      </c>
      <c r="M157" s="46">
        <f t="shared" si="70"/>
        <v>0.70862441357592743</v>
      </c>
      <c r="N157" s="47">
        <f t="shared" ca="1" si="71"/>
        <v>87.566666666666663</v>
      </c>
      <c r="O157" s="46">
        <f t="shared" ca="1" si="72"/>
        <v>9.7108789070168955E-2</v>
      </c>
      <c r="P157" s="47">
        <f t="shared" si="73"/>
        <v>14.29</v>
      </c>
    </row>
    <row r="158" spans="1:16" ht="15.75" x14ac:dyDescent="0.3">
      <c r="A158" s="55" t="s">
        <v>44</v>
      </c>
      <c r="B158" s="50">
        <v>43591</v>
      </c>
      <c r="C158" s="47">
        <f>10423*42%</f>
        <v>4377.66</v>
      </c>
      <c r="D158" s="47">
        <v>0</v>
      </c>
      <c r="E158" s="48">
        <v>0</v>
      </c>
      <c r="F158" s="48">
        <f t="shared" ref="F158:F166" si="84">SUM(C158:E158)</f>
        <v>4377.66</v>
      </c>
      <c r="G158" s="48">
        <f t="shared" ref="G158:G166" si="85">F158/H158</f>
        <v>29.708618475879724</v>
      </c>
      <c r="H158" s="48">
        <f>147.3532</f>
        <v>147.35319999999999</v>
      </c>
      <c r="I158" s="56">
        <v>74.919499999999999</v>
      </c>
      <c r="J158" s="47">
        <f t="shared" si="68"/>
        <v>11039.628067399999</v>
      </c>
      <c r="K158" s="49">
        <f>0</f>
        <v>0</v>
      </c>
      <c r="L158" s="48">
        <f t="shared" si="69"/>
        <v>6661.9680673999992</v>
      </c>
      <c r="M158" s="46">
        <f t="shared" si="70"/>
        <v>1.521810297601915</v>
      </c>
      <c r="N158" s="47">
        <f t="shared" ca="1" si="71"/>
        <v>86.566666666666663</v>
      </c>
      <c r="O158" s="46">
        <f t="shared" ca="1" si="72"/>
        <v>0.21095560536645722</v>
      </c>
      <c r="P158" s="47">
        <f t="shared" si="73"/>
        <v>-4377.66</v>
      </c>
    </row>
    <row r="159" spans="1:16" ht="15.75" x14ac:dyDescent="0.3">
      <c r="A159" s="57" t="s">
        <v>43</v>
      </c>
      <c r="B159" s="50">
        <v>43591</v>
      </c>
      <c r="C159" s="47">
        <f>10423*26%</f>
        <v>2709.98</v>
      </c>
      <c r="D159" s="47">
        <v>0</v>
      </c>
      <c r="E159" s="48">
        <v>0</v>
      </c>
      <c r="F159" s="48">
        <f t="shared" si="84"/>
        <v>2709.98</v>
      </c>
      <c r="G159" s="48">
        <f t="shared" si="85"/>
        <v>26.605914410792458</v>
      </c>
      <c r="H159" s="48">
        <f>101.8563</f>
        <v>101.8563</v>
      </c>
      <c r="I159" s="56">
        <v>46.404400000000003</v>
      </c>
      <c r="J159" s="47">
        <f t="shared" si="68"/>
        <v>4726.5804877200007</v>
      </c>
      <c r="K159" s="49">
        <f>0</f>
        <v>0</v>
      </c>
      <c r="L159" s="48">
        <f t="shared" si="69"/>
        <v>2016.6004877200007</v>
      </c>
      <c r="M159" s="46">
        <f t="shared" si="70"/>
        <v>0.74413851309603785</v>
      </c>
      <c r="N159" s="47">
        <f t="shared" ca="1" si="71"/>
        <v>86.566666666666663</v>
      </c>
      <c r="O159" s="46">
        <f t="shared" ca="1" si="72"/>
        <v>0.1031535867210526</v>
      </c>
      <c r="P159" s="47">
        <f t="shared" si="73"/>
        <v>-2709.98</v>
      </c>
    </row>
    <row r="160" spans="1:16" ht="15.75" x14ac:dyDescent="0.3">
      <c r="A160" s="57" t="s">
        <v>42</v>
      </c>
      <c r="B160" s="50">
        <v>43591</v>
      </c>
      <c r="C160" s="47">
        <f>10423*32%</f>
        <v>3335.36</v>
      </c>
      <c r="D160" s="47">
        <v>0</v>
      </c>
      <c r="E160" s="48">
        <v>0</v>
      </c>
      <c r="F160" s="48">
        <f t="shared" si="84"/>
        <v>3335.36</v>
      </c>
      <c r="G160" s="48">
        <f t="shared" si="85"/>
        <v>22.942515769127592</v>
      </c>
      <c r="H160" s="48">
        <f>145.379</f>
        <v>145.37899999999999</v>
      </c>
      <c r="I160" s="56">
        <v>38.984900000000003</v>
      </c>
      <c r="J160" s="47">
        <f t="shared" si="68"/>
        <v>5667.5857771000001</v>
      </c>
      <c r="K160" s="49">
        <f>0</f>
        <v>0</v>
      </c>
      <c r="L160" s="48">
        <f t="shared" si="69"/>
        <v>2332.2257771</v>
      </c>
      <c r="M160" s="46">
        <f t="shared" si="70"/>
        <v>0.69924259363307106</v>
      </c>
      <c r="N160" s="47">
        <f t="shared" ca="1" si="71"/>
        <v>86.566666666666663</v>
      </c>
      <c r="O160" s="46">
        <f t="shared" ca="1" si="72"/>
        <v>9.6930047634927061E-2</v>
      </c>
      <c r="P160" s="47">
        <f t="shared" si="73"/>
        <v>-3335.36</v>
      </c>
    </row>
    <row r="161" spans="1:16" ht="15.75" x14ac:dyDescent="0.3">
      <c r="A161" s="55" t="s">
        <v>44</v>
      </c>
      <c r="B161" s="50">
        <v>43620</v>
      </c>
      <c r="C161" s="47">
        <f>10423*42%</f>
        <v>4377.66</v>
      </c>
      <c r="D161" s="47">
        <v>0</v>
      </c>
      <c r="E161" s="48">
        <v>0</v>
      </c>
      <c r="F161" s="48">
        <f t="shared" si="84"/>
        <v>4377.66</v>
      </c>
      <c r="G161" s="48">
        <f t="shared" si="85"/>
        <v>30.819215562589406</v>
      </c>
      <c r="H161" s="48">
        <f>142.0432</f>
        <v>142.04320000000001</v>
      </c>
      <c r="I161" s="56">
        <v>74.919499999999999</v>
      </c>
      <c r="J161" s="47">
        <f t="shared" si="68"/>
        <v>10641.8055224</v>
      </c>
      <c r="K161" s="49">
        <f>0</f>
        <v>0</v>
      </c>
      <c r="L161" s="48">
        <f t="shared" si="69"/>
        <v>6264.1455224000001</v>
      </c>
      <c r="M161" s="46">
        <f t="shared" si="70"/>
        <v>1.4309346825472971</v>
      </c>
      <c r="N161" s="47">
        <f t="shared" ca="1" si="71"/>
        <v>85.63333333333334</v>
      </c>
      <c r="O161" s="46">
        <f t="shared" ca="1" si="72"/>
        <v>0.200520235779302</v>
      </c>
      <c r="P161" s="47">
        <f t="shared" si="73"/>
        <v>-4377.66</v>
      </c>
    </row>
    <row r="162" spans="1:16" ht="15.75" x14ac:dyDescent="0.3">
      <c r="A162" s="57" t="s">
        <v>43</v>
      </c>
      <c r="B162" s="50">
        <v>43620</v>
      </c>
      <c r="C162" s="47">
        <f>10423*26%</f>
        <v>2709.98</v>
      </c>
      <c r="D162" s="47">
        <v>0</v>
      </c>
      <c r="E162" s="48">
        <v>0</v>
      </c>
      <c r="F162" s="48">
        <f t="shared" si="84"/>
        <v>2709.98</v>
      </c>
      <c r="G162" s="48">
        <f t="shared" si="85"/>
        <v>27.326610870222851</v>
      </c>
      <c r="H162" s="48">
        <f>99.17</f>
        <v>99.17</v>
      </c>
      <c r="I162" s="56">
        <v>46.404400000000003</v>
      </c>
      <c r="J162" s="47">
        <f t="shared" si="68"/>
        <v>4601.9243480000005</v>
      </c>
      <c r="K162" s="49">
        <f>0</f>
        <v>0</v>
      </c>
      <c r="L162" s="48">
        <f t="shared" si="69"/>
        <v>1891.9443480000004</v>
      </c>
      <c r="M162" s="46">
        <f t="shared" si="70"/>
        <v>0.6981395980782148</v>
      </c>
      <c r="N162" s="47">
        <f t="shared" ca="1" si="71"/>
        <v>85.63333333333334</v>
      </c>
      <c r="O162" s="46">
        <f t="shared" ca="1" si="72"/>
        <v>9.7831940563704672E-2</v>
      </c>
      <c r="P162" s="47">
        <f t="shared" si="73"/>
        <v>-2709.98</v>
      </c>
    </row>
    <row r="163" spans="1:16" ht="15.75" x14ac:dyDescent="0.3">
      <c r="A163" s="57" t="s">
        <v>42</v>
      </c>
      <c r="B163" s="50">
        <v>43620</v>
      </c>
      <c r="C163" s="47">
        <f>10423*32%</f>
        <v>3335.36</v>
      </c>
      <c r="D163" s="47">
        <v>0</v>
      </c>
      <c r="E163" s="48">
        <v>0</v>
      </c>
      <c r="F163" s="48">
        <f t="shared" si="84"/>
        <v>3335.36</v>
      </c>
      <c r="G163" s="48">
        <f t="shared" si="85"/>
        <v>23.769516871684832</v>
      </c>
      <c r="H163" s="48">
        <f>140.3209</f>
        <v>140.32089999999999</v>
      </c>
      <c r="I163" s="56">
        <v>38.984900000000003</v>
      </c>
      <c r="J163" s="47">
        <f t="shared" si="68"/>
        <v>5470.3962544100004</v>
      </c>
      <c r="K163" s="49">
        <f>0</f>
        <v>0</v>
      </c>
      <c r="L163" s="48">
        <f t="shared" si="69"/>
        <v>2135.0362544100003</v>
      </c>
      <c r="M163" s="46">
        <f t="shared" si="70"/>
        <v>0.64012168234013722</v>
      </c>
      <c r="N163" s="47">
        <f t="shared" ca="1" si="71"/>
        <v>85.63333333333334</v>
      </c>
      <c r="O163" s="46">
        <f t="shared" ca="1" si="72"/>
        <v>8.9701753850700422E-2</v>
      </c>
      <c r="P163" s="47">
        <f t="shared" si="73"/>
        <v>-3335.36</v>
      </c>
    </row>
    <row r="164" spans="1:16" ht="15.75" x14ac:dyDescent="0.3">
      <c r="A164" s="55" t="s">
        <v>44</v>
      </c>
      <c r="B164" s="50">
        <v>43648</v>
      </c>
      <c r="C164" s="47">
        <f>10423*42%</f>
        <v>4377.66</v>
      </c>
      <c r="D164" s="47">
        <v>0</v>
      </c>
      <c r="E164" s="48">
        <v>0</v>
      </c>
      <c r="F164" s="48">
        <f t="shared" si="84"/>
        <v>4377.66</v>
      </c>
      <c r="G164" s="48">
        <f t="shared" si="85"/>
        <v>30.515719465006313</v>
      </c>
      <c r="H164" s="48">
        <f>143.4559</f>
        <v>143.45590000000001</v>
      </c>
      <c r="I164" s="56">
        <v>74.919499999999999</v>
      </c>
      <c r="J164" s="47">
        <f t="shared" si="68"/>
        <v>10747.64430005</v>
      </c>
      <c r="K164" s="49">
        <f>0</f>
        <v>0</v>
      </c>
      <c r="L164" s="48">
        <f t="shared" si="69"/>
        <v>6369.9843000500005</v>
      </c>
      <c r="M164" s="46">
        <f t="shared" si="70"/>
        <v>1.4551117035242573</v>
      </c>
      <c r="N164" s="47">
        <f t="shared" ca="1" si="71"/>
        <v>84.7</v>
      </c>
      <c r="O164" s="46">
        <f t="shared" ca="1" si="72"/>
        <v>0.20615514099517224</v>
      </c>
      <c r="P164" s="47">
        <f t="shared" si="73"/>
        <v>-4377.66</v>
      </c>
    </row>
    <row r="165" spans="1:16" ht="15.75" x14ac:dyDescent="0.3">
      <c r="A165" s="57" t="s">
        <v>43</v>
      </c>
      <c r="B165" s="50">
        <v>43648</v>
      </c>
      <c r="C165" s="47">
        <f>10423*26%</f>
        <v>2709.98</v>
      </c>
      <c r="D165" s="47">
        <v>0</v>
      </c>
      <c r="E165" s="48">
        <v>0</v>
      </c>
      <c r="F165" s="48">
        <f t="shared" si="84"/>
        <v>2709.98</v>
      </c>
      <c r="G165" s="48">
        <f t="shared" si="85"/>
        <v>27.60311520260429</v>
      </c>
      <c r="H165" s="48">
        <f>98.1766</f>
        <v>98.176599999999993</v>
      </c>
      <c r="I165" s="56">
        <v>46.404400000000003</v>
      </c>
      <c r="J165" s="47">
        <f t="shared" si="68"/>
        <v>4555.8262170400003</v>
      </c>
      <c r="K165" s="49">
        <f>0</f>
        <v>0</v>
      </c>
      <c r="L165" s="48">
        <f t="shared" si="69"/>
        <v>1845.8462170400003</v>
      </c>
      <c r="M165" s="46">
        <f t="shared" si="70"/>
        <v>0.68112909211138095</v>
      </c>
      <c r="N165" s="47">
        <f t="shared" ca="1" si="71"/>
        <v>84.7</v>
      </c>
      <c r="O165" s="46">
        <f t="shared" ca="1" si="72"/>
        <v>9.6499989437267661E-2</v>
      </c>
      <c r="P165" s="47">
        <f t="shared" si="73"/>
        <v>-2709.98</v>
      </c>
    </row>
    <row r="166" spans="1:16" ht="15.75" x14ac:dyDescent="0.3">
      <c r="A166" s="57" t="s">
        <v>42</v>
      </c>
      <c r="B166" s="50">
        <v>43648</v>
      </c>
      <c r="C166" s="47">
        <f>10423*32%</f>
        <v>3335.36</v>
      </c>
      <c r="D166" s="47">
        <v>0</v>
      </c>
      <c r="E166" s="48">
        <v>0</v>
      </c>
      <c r="F166" s="48">
        <f t="shared" si="84"/>
        <v>3335.36</v>
      </c>
      <c r="G166" s="48">
        <f t="shared" si="85"/>
        <v>24.409300147098644</v>
      </c>
      <c r="H166" s="48">
        <f>136.643</f>
        <v>136.643</v>
      </c>
      <c r="I166" s="56">
        <v>38.984900000000003</v>
      </c>
      <c r="J166" s="47">
        <f t="shared" si="68"/>
        <v>5327.0136907000006</v>
      </c>
      <c r="K166" s="49">
        <f>0</f>
        <v>0</v>
      </c>
      <c r="L166" s="48">
        <f t="shared" si="69"/>
        <v>1991.6536907000004</v>
      </c>
      <c r="M166" s="46">
        <f t="shared" si="70"/>
        <v>0.59713305031540831</v>
      </c>
      <c r="N166" s="47">
        <f t="shared" ca="1" si="71"/>
        <v>84.7</v>
      </c>
      <c r="O166" s="46">
        <f t="shared" ca="1" si="72"/>
        <v>8.4599723775500596E-2</v>
      </c>
      <c r="P166" s="47">
        <f t="shared" si="73"/>
        <v>-3335.36</v>
      </c>
    </row>
    <row r="167" spans="1:16" ht="15.75" x14ac:dyDescent="0.3">
      <c r="A167" s="55" t="s">
        <v>44</v>
      </c>
      <c r="B167" s="50">
        <v>43652</v>
      </c>
      <c r="C167" s="47">
        <v>-15.56</v>
      </c>
      <c r="D167" s="47">
        <v>0</v>
      </c>
      <c r="E167" s="48">
        <v>0</v>
      </c>
      <c r="F167" s="48">
        <f t="shared" ref="F167:F169" si="86">SUM(C167:E167)</f>
        <v>-15.56</v>
      </c>
      <c r="G167" s="48">
        <f t="shared" ref="G167:G169" si="87">F167/H167</f>
        <v>30.313656730956559</v>
      </c>
      <c r="H167" s="48">
        <f>-0.5133</f>
        <v>-0.51329999999999998</v>
      </c>
      <c r="I167" s="56">
        <v>74.919499999999999</v>
      </c>
      <c r="J167" s="47">
        <f t="shared" si="68"/>
        <v>-38.456179349999999</v>
      </c>
      <c r="K167" s="49">
        <f>0</f>
        <v>0</v>
      </c>
      <c r="L167" s="48">
        <f t="shared" si="69"/>
        <v>-22.896179349999997</v>
      </c>
      <c r="M167" s="46">
        <f t="shared" si="70"/>
        <v>1.4714768219794343</v>
      </c>
      <c r="N167" s="47">
        <f t="shared" ca="1" si="71"/>
        <v>84.566666666666663</v>
      </c>
      <c r="O167" s="46">
        <f t="shared" ca="1" si="72"/>
        <v>0.20880238703689252</v>
      </c>
      <c r="P167" s="47">
        <f t="shared" si="73"/>
        <v>15.56</v>
      </c>
    </row>
    <row r="168" spans="1:16" ht="15.75" x14ac:dyDescent="0.3">
      <c r="A168" s="57" t="s">
        <v>43</v>
      </c>
      <c r="B168" s="50">
        <v>43652</v>
      </c>
      <c r="C168" s="47">
        <v>-9.34</v>
      </c>
      <c r="D168" s="47">
        <v>0</v>
      </c>
      <c r="E168" s="48">
        <v>0</v>
      </c>
      <c r="F168" s="48">
        <f t="shared" si="86"/>
        <v>-9.34</v>
      </c>
      <c r="G168" s="48">
        <f t="shared" si="87"/>
        <v>27.839046199701937</v>
      </c>
      <c r="H168" s="48">
        <f>-0.3355</f>
        <v>-0.33550000000000002</v>
      </c>
      <c r="I168" s="56">
        <v>46.404400000000003</v>
      </c>
      <c r="J168" s="47">
        <f t="shared" si="68"/>
        <v>-15.568676200000002</v>
      </c>
      <c r="K168" s="49">
        <f>0</f>
        <v>0</v>
      </c>
      <c r="L168" s="48">
        <f t="shared" si="69"/>
        <v>-6.2286762000000024</v>
      </c>
      <c r="M168" s="46">
        <f t="shared" si="70"/>
        <v>0.66688182012847996</v>
      </c>
      <c r="N168" s="47">
        <f t="shared" ca="1" si="71"/>
        <v>84.566666666666663</v>
      </c>
      <c r="O168" s="46">
        <f t="shared" ca="1" si="72"/>
        <v>9.4630451417521799E-2</v>
      </c>
      <c r="P168" s="47">
        <f t="shared" si="73"/>
        <v>9.34</v>
      </c>
    </row>
    <row r="169" spans="1:16" ht="15.75" x14ac:dyDescent="0.3">
      <c r="A169" s="57" t="s">
        <v>42</v>
      </c>
      <c r="B169" s="50">
        <v>43652</v>
      </c>
      <c r="C169" s="47">
        <f>-11.97</f>
        <v>-11.97</v>
      </c>
      <c r="D169" s="47">
        <v>0</v>
      </c>
      <c r="E169" s="48">
        <v>0</v>
      </c>
      <c r="F169" s="48">
        <f t="shared" si="86"/>
        <v>-11.97</v>
      </c>
      <c r="G169" s="48">
        <f t="shared" si="87"/>
        <v>24.675324675324678</v>
      </c>
      <c r="H169" s="48">
        <f>-0.4851</f>
        <v>-0.48509999999999998</v>
      </c>
      <c r="I169" s="56">
        <v>38.984900000000003</v>
      </c>
      <c r="J169" s="47">
        <f t="shared" si="68"/>
        <v>-18.911574990000002</v>
      </c>
      <c r="K169" s="49">
        <f>0</f>
        <v>0</v>
      </c>
      <c r="L169" s="48">
        <f t="shared" si="69"/>
        <v>-6.9415749900000012</v>
      </c>
      <c r="M169" s="46">
        <f t="shared" si="70"/>
        <v>0.57991436842105271</v>
      </c>
      <c r="N169" s="47">
        <f t="shared" ca="1" si="71"/>
        <v>84.566666666666663</v>
      </c>
      <c r="O169" s="46">
        <f t="shared" ca="1" si="72"/>
        <v>8.2289780304130464E-2</v>
      </c>
      <c r="P169" s="47">
        <f t="shared" si="73"/>
        <v>11.97</v>
      </c>
    </row>
    <row r="170" spans="1:16" ht="15.75" x14ac:dyDescent="0.3">
      <c r="A170" s="55" t="s">
        <v>44</v>
      </c>
      <c r="B170" s="50">
        <v>43682</v>
      </c>
      <c r="C170" s="47">
        <f>11569*42%</f>
        <v>4858.9799999999996</v>
      </c>
      <c r="D170" s="47">
        <v>0</v>
      </c>
      <c r="E170" s="48">
        <v>0</v>
      </c>
      <c r="F170" s="48">
        <f t="shared" ref="F170:F184" si="88">SUM(C170:E170)</f>
        <v>4858.9799999999996</v>
      </c>
      <c r="G170" s="48">
        <f t="shared" ref="G170:G184" si="89">F170/H170</f>
        <v>27.833402167680468</v>
      </c>
      <c r="H170" s="48">
        <f>174.5737</f>
        <v>174.5737</v>
      </c>
      <c r="I170" s="56">
        <v>74.919499999999999</v>
      </c>
      <c r="J170" s="47">
        <f t="shared" si="68"/>
        <v>13078.974317149999</v>
      </c>
      <c r="K170" s="49">
        <f>0</f>
        <v>0</v>
      </c>
      <c r="L170" s="48">
        <f t="shared" si="69"/>
        <v>8219.9943171499999</v>
      </c>
      <c r="M170" s="46">
        <f t="shared" si="70"/>
        <v>1.6917119060276027</v>
      </c>
      <c r="N170" s="47">
        <f t="shared" ca="1" si="71"/>
        <v>83.6</v>
      </c>
      <c r="O170" s="46">
        <f t="shared" ca="1" si="72"/>
        <v>0.24282946019534968</v>
      </c>
      <c r="P170" s="47">
        <f t="shared" si="73"/>
        <v>-4858.9799999999996</v>
      </c>
    </row>
    <row r="171" spans="1:16" ht="15.75" x14ac:dyDescent="0.3">
      <c r="A171" s="57" t="s">
        <v>43</v>
      </c>
      <c r="B171" s="50">
        <v>43682</v>
      </c>
      <c r="C171" s="47">
        <f>11569*26%</f>
        <v>3007.94</v>
      </c>
      <c r="D171" s="47">
        <v>0</v>
      </c>
      <c r="E171" s="48">
        <v>0</v>
      </c>
      <c r="F171" s="48">
        <f t="shared" si="88"/>
        <v>3007.94</v>
      </c>
      <c r="G171" s="48">
        <f t="shared" si="89"/>
        <v>28.322925454983729</v>
      </c>
      <c r="H171" s="48">
        <f>106.2016</f>
        <v>106.2016</v>
      </c>
      <c r="I171" s="56">
        <v>46.404400000000003</v>
      </c>
      <c r="J171" s="47">
        <f t="shared" si="68"/>
        <v>4928.2215270400002</v>
      </c>
      <c r="K171" s="49">
        <f>0</f>
        <v>0</v>
      </c>
      <c r="L171" s="48">
        <f t="shared" si="69"/>
        <v>1920.2815270400001</v>
      </c>
      <c r="M171" s="46">
        <f t="shared" si="70"/>
        <v>0.63840419923269753</v>
      </c>
      <c r="N171" s="47">
        <f t="shared" ca="1" si="71"/>
        <v>83.6</v>
      </c>
      <c r="O171" s="46">
        <f t="shared" ca="1" si="72"/>
        <v>9.1636966397037931E-2</v>
      </c>
      <c r="P171" s="47">
        <f t="shared" si="73"/>
        <v>-3007.94</v>
      </c>
    </row>
    <row r="172" spans="1:16" ht="15.75" x14ac:dyDescent="0.3">
      <c r="A172" s="57" t="s">
        <v>42</v>
      </c>
      <c r="B172" s="50">
        <v>43682</v>
      </c>
      <c r="C172" s="47">
        <f>11569*32%</f>
        <v>3702.08</v>
      </c>
      <c r="D172" s="47">
        <v>0</v>
      </c>
      <c r="E172" s="48">
        <v>0</v>
      </c>
      <c r="F172" s="48">
        <f t="shared" si="88"/>
        <v>3702.08</v>
      </c>
      <c r="G172" s="48">
        <f t="shared" si="89"/>
        <v>25.020900989797884</v>
      </c>
      <c r="H172" s="48">
        <f>147.9595</f>
        <v>147.95949999999999</v>
      </c>
      <c r="I172" s="56">
        <v>38.984900000000003</v>
      </c>
      <c r="J172" s="47">
        <f t="shared" si="68"/>
        <v>5768.18631155</v>
      </c>
      <c r="K172" s="49">
        <f>0</f>
        <v>0</v>
      </c>
      <c r="L172" s="48">
        <f t="shared" si="69"/>
        <v>2066.1063115500001</v>
      </c>
      <c r="M172" s="46">
        <f t="shared" si="70"/>
        <v>0.55809337225289568</v>
      </c>
      <c r="N172" s="47">
        <f t="shared" ca="1" si="71"/>
        <v>83.6</v>
      </c>
      <c r="O172" s="46">
        <f t="shared" ca="1" si="72"/>
        <v>8.0109096495630971E-2</v>
      </c>
      <c r="P172" s="47">
        <f t="shared" si="73"/>
        <v>-3702.08</v>
      </c>
    </row>
    <row r="173" spans="1:16" ht="15.75" x14ac:dyDescent="0.3">
      <c r="A173" s="55" t="s">
        <v>44</v>
      </c>
      <c r="B173" s="50">
        <v>43712</v>
      </c>
      <c r="C173" s="47">
        <f>11569*42%</f>
        <v>4858.9799999999996</v>
      </c>
      <c r="D173" s="47">
        <v>0</v>
      </c>
      <c r="E173" s="48">
        <v>0</v>
      </c>
      <c r="F173" s="48">
        <f t="shared" si="88"/>
        <v>4858.9799999999996</v>
      </c>
      <c r="G173" s="48">
        <f t="shared" si="89"/>
        <v>27.829113989299007</v>
      </c>
      <c r="H173" s="48">
        <f>174.6006</f>
        <v>174.60059999999999</v>
      </c>
      <c r="I173" s="56">
        <v>74.919499999999999</v>
      </c>
      <c r="J173" s="47">
        <f t="shared" si="68"/>
        <v>13080.989651699998</v>
      </c>
      <c r="K173" s="49">
        <f>0</f>
        <v>0</v>
      </c>
      <c r="L173" s="48">
        <f t="shared" si="69"/>
        <v>8222.0096516999984</v>
      </c>
      <c r="M173" s="46">
        <f t="shared" si="70"/>
        <v>1.6921266709679808</v>
      </c>
      <c r="N173" s="47">
        <f t="shared" ca="1" si="71"/>
        <v>82.63333333333334</v>
      </c>
      <c r="O173" s="46">
        <f t="shared" ca="1" si="72"/>
        <v>0.24573037577590684</v>
      </c>
      <c r="P173" s="47">
        <f t="shared" si="73"/>
        <v>-4858.9799999999996</v>
      </c>
    </row>
    <row r="174" spans="1:16" ht="15.75" x14ac:dyDescent="0.3">
      <c r="A174" s="57" t="s">
        <v>43</v>
      </c>
      <c r="B174" s="50">
        <v>43712</v>
      </c>
      <c r="C174" s="47">
        <f>11569*26%</f>
        <v>3007.94</v>
      </c>
      <c r="D174" s="47">
        <v>0</v>
      </c>
      <c r="E174" s="48">
        <v>0</v>
      </c>
      <c r="F174" s="48">
        <f t="shared" si="88"/>
        <v>3007.94</v>
      </c>
      <c r="G174" s="48">
        <f t="shared" si="89"/>
        <v>28.513117433161568</v>
      </c>
      <c r="H174" s="48">
        <f>105.4932</f>
        <v>105.4932</v>
      </c>
      <c r="I174" s="56">
        <v>46.404400000000003</v>
      </c>
      <c r="J174" s="47">
        <f t="shared" si="68"/>
        <v>4895.34865008</v>
      </c>
      <c r="K174" s="49">
        <f>0</f>
        <v>0</v>
      </c>
      <c r="L174" s="48">
        <f t="shared" si="69"/>
        <v>1887.4086500799999</v>
      </c>
      <c r="M174" s="46">
        <f t="shared" si="70"/>
        <v>0.62747549820807591</v>
      </c>
      <c r="N174" s="47">
        <f t="shared" ca="1" si="71"/>
        <v>82.63333333333334</v>
      </c>
      <c r="O174" s="46">
        <f t="shared" ca="1" si="72"/>
        <v>9.1121895665553579E-2</v>
      </c>
      <c r="P174" s="47">
        <f t="shared" si="73"/>
        <v>-3007.94</v>
      </c>
    </row>
    <row r="175" spans="1:16" ht="15.75" x14ac:dyDescent="0.3">
      <c r="A175" s="57" t="s">
        <v>42</v>
      </c>
      <c r="B175" s="50">
        <v>43712</v>
      </c>
      <c r="C175" s="47">
        <f>11569*32%</f>
        <v>3702.08</v>
      </c>
      <c r="D175" s="47">
        <v>0</v>
      </c>
      <c r="E175" s="48">
        <v>0</v>
      </c>
      <c r="F175" s="48">
        <f t="shared" si="88"/>
        <v>3702.08</v>
      </c>
      <c r="G175" s="48">
        <f t="shared" si="89"/>
        <v>25.026702684870465</v>
      </c>
      <c r="H175" s="48">
        <f>147.9252</f>
        <v>147.92519999999999</v>
      </c>
      <c r="I175" s="56">
        <v>38.984900000000003</v>
      </c>
      <c r="J175" s="47">
        <f t="shared" si="68"/>
        <v>5766.8491294799996</v>
      </c>
      <c r="K175" s="49">
        <f>0</f>
        <v>0</v>
      </c>
      <c r="L175" s="48">
        <f t="shared" si="69"/>
        <v>2064.7691294799997</v>
      </c>
      <c r="M175" s="46">
        <f t="shared" si="70"/>
        <v>0.55773217474500814</v>
      </c>
      <c r="N175" s="47">
        <f t="shared" ca="1" si="71"/>
        <v>82.63333333333334</v>
      </c>
      <c r="O175" s="46">
        <f t="shared" ca="1" si="72"/>
        <v>8.099378092303465E-2</v>
      </c>
      <c r="P175" s="47">
        <f t="shared" si="73"/>
        <v>-3702.08</v>
      </c>
    </row>
    <row r="176" spans="1:16" ht="15.75" x14ac:dyDescent="0.3">
      <c r="A176" s="55" t="s">
        <v>44</v>
      </c>
      <c r="B176" s="50">
        <v>43743</v>
      </c>
      <c r="C176" s="47">
        <v>-16.760000000000002</v>
      </c>
      <c r="D176" s="47">
        <v>0</v>
      </c>
      <c r="E176" s="48">
        <v>0</v>
      </c>
      <c r="F176" s="48">
        <f t="shared" si="88"/>
        <v>-16.760000000000002</v>
      </c>
      <c r="G176" s="48">
        <f t="shared" si="89"/>
        <v>28.683895259284615</v>
      </c>
      <c r="H176" s="48">
        <f>-0.5843</f>
        <v>-0.58430000000000004</v>
      </c>
      <c r="I176" s="56">
        <v>74.919499999999999</v>
      </c>
      <c r="J176" s="47">
        <f t="shared" si="68"/>
        <v>-43.775463850000001</v>
      </c>
      <c r="K176" s="49">
        <f>0</f>
        <v>0</v>
      </c>
      <c r="L176" s="48">
        <f t="shared" si="69"/>
        <v>-27.01546385</v>
      </c>
      <c r="M176" s="46">
        <f t="shared" si="70"/>
        <v>1.6119011843675417</v>
      </c>
      <c r="N176" s="47">
        <f t="shared" ca="1" si="71"/>
        <v>81.599999999999994</v>
      </c>
      <c r="O176" s="46">
        <f t="shared" ca="1" si="72"/>
        <v>0.23704429181875616</v>
      </c>
      <c r="P176" s="47">
        <f t="shared" si="73"/>
        <v>16.760000000000002</v>
      </c>
    </row>
    <row r="177" spans="1:16" ht="15.75" x14ac:dyDescent="0.3">
      <c r="A177" s="57" t="s">
        <v>43</v>
      </c>
      <c r="B177" s="50">
        <v>43743</v>
      </c>
      <c r="C177" s="47">
        <v>-10.85</v>
      </c>
      <c r="D177" s="47">
        <v>0</v>
      </c>
      <c r="E177" s="48">
        <v>0</v>
      </c>
      <c r="F177" s="48">
        <f t="shared" si="88"/>
        <v>-10.85</v>
      </c>
      <c r="G177" s="48">
        <f t="shared" si="89"/>
        <v>28.470217790606139</v>
      </c>
      <c r="H177" s="48">
        <f>-0.3811</f>
        <v>-0.38109999999999999</v>
      </c>
      <c r="I177" s="56">
        <v>46.404400000000003</v>
      </c>
      <c r="J177" s="47">
        <f t="shared" si="68"/>
        <v>-17.68471684</v>
      </c>
      <c r="K177" s="49">
        <f>0</f>
        <v>0</v>
      </c>
      <c r="L177" s="48">
        <f t="shared" si="69"/>
        <v>-6.8347168400000005</v>
      </c>
      <c r="M177" s="46">
        <f t="shared" si="70"/>
        <v>0.62992781935483877</v>
      </c>
      <c r="N177" s="47">
        <f t="shared" ca="1" si="71"/>
        <v>81.599999999999994</v>
      </c>
      <c r="O177" s="46">
        <f t="shared" ca="1" si="72"/>
        <v>9.2636444022770409E-2</v>
      </c>
      <c r="P177" s="47">
        <f t="shared" si="73"/>
        <v>10.85</v>
      </c>
    </row>
    <row r="178" spans="1:16" ht="15.75" x14ac:dyDescent="0.3">
      <c r="A178" s="57" t="s">
        <v>42</v>
      </c>
      <c r="B178" s="50">
        <v>43743</v>
      </c>
      <c r="C178" s="47">
        <v>-13.68</v>
      </c>
      <c r="D178" s="47">
        <v>0</v>
      </c>
      <c r="E178" s="48">
        <v>0</v>
      </c>
      <c r="F178" s="48">
        <f t="shared" si="88"/>
        <v>-13.68</v>
      </c>
      <c r="G178" s="48">
        <f t="shared" si="89"/>
        <v>24.881775190978541</v>
      </c>
      <c r="H178" s="48">
        <f>-0.5498</f>
        <v>-0.54979999999999996</v>
      </c>
      <c r="I178" s="56">
        <v>38.984900000000003</v>
      </c>
      <c r="J178" s="47">
        <f t="shared" si="68"/>
        <v>-21.433898020000001</v>
      </c>
      <c r="K178" s="49">
        <f>0</f>
        <v>0</v>
      </c>
      <c r="L178" s="48">
        <f t="shared" si="69"/>
        <v>-7.7538980200000012</v>
      </c>
      <c r="M178" s="46">
        <f t="shared" si="70"/>
        <v>0.5668054108187135</v>
      </c>
      <c r="N178" s="47">
        <f t="shared" ca="1" si="71"/>
        <v>81.599999999999994</v>
      </c>
      <c r="O178" s="46">
        <f t="shared" ca="1" si="72"/>
        <v>8.3353736885104932E-2</v>
      </c>
      <c r="P178" s="47">
        <f t="shared" si="73"/>
        <v>13.68</v>
      </c>
    </row>
    <row r="179" spans="1:16" ht="15.75" x14ac:dyDescent="0.3">
      <c r="A179" s="55" t="s">
        <v>44</v>
      </c>
      <c r="B179" s="50">
        <v>43745</v>
      </c>
      <c r="C179" s="47">
        <f>11569*42%</f>
        <v>4858.9799999999996</v>
      </c>
      <c r="D179" s="47">
        <v>0</v>
      </c>
      <c r="E179" s="48">
        <v>0</v>
      </c>
      <c r="F179" s="48">
        <f t="shared" si="88"/>
        <v>4858.9799999999996</v>
      </c>
      <c r="G179" s="48">
        <f t="shared" si="89"/>
        <v>28.529707068749889</v>
      </c>
      <c r="H179" s="48">
        <f>170.313</f>
        <v>170.31299999999999</v>
      </c>
      <c r="I179" s="56">
        <v>74.919499999999999</v>
      </c>
      <c r="J179" s="47">
        <f t="shared" si="68"/>
        <v>12759.764803499998</v>
      </c>
      <c r="K179" s="49">
        <f>0</f>
        <v>0</v>
      </c>
      <c r="L179" s="48">
        <f t="shared" si="69"/>
        <v>7900.7848034999988</v>
      </c>
      <c r="M179" s="46">
        <f t="shared" si="70"/>
        <v>1.6260171483521233</v>
      </c>
      <c r="N179" s="47">
        <f t="shared" ca="1" si="71"/>
        <v>81.533333333333331</v>
      </c>
      <c r="O179" s="46">
        <f t="shared" ca="1" si="72"/>
        <v>0.23931568822844004</v>
      </c>
      <c r="P179" s="47">
        <f t="shared" si="73"/>
        <v>-4858.9799999999996</v>
      </c>
    </row>
    <row r="180" spans="1:16" ht="15.75" x14ac:dyDescent="0.3">
      <c r="A180" s="57" t="s">
        <v>43</v>
      </c>
      <c r="B180" s="50">
        <v>43745</v>
      </c>
      <c r="C180" s="47">
        <f>11569*26%</f>
        <v>3007.94</v>
      </c>
      <c r="D180" s="47">
        <v>0</v>
      </c>
      <c r="E180" s="48">
        <v>0</v>
      </c>
      <c r="F180" s="48">
        <f t="shared" si="88"/>
        <v>3007.94</v>
      </c>
      <c r="G180" s="48">
        <f t="shared" si="89"/>
        <v>28.471123193069872</v>
      </c>
      <c r="H180" s="48">
        <f>105.6488</f>
        <v>105.64879999999999</v>
      </c>
      <c r="I180" s="56">
        <v>46.404400000000003</v>
      </c>
      <c r="J180" s="47">
        <f t="shared" si="68"/>
        <v>4902.5691747199999</v>
      </c>
      <c r="K180" s="49">
        <f>0</f>
        <v>0</v>
      </c>
      <c r="L180" s="48">
        <f t="shared" si="69"/>
        <v>1894.6291747199998</v>
      </c>
      <c r="M180" s="46">
        <f t="shared" si="70"/>
        <v>0.62987598646249587</v>
      </c>
      <c r="N180" s="47">
        <f t="shared" ca="1" si="71"/>
        <v>81.533333333333331</v>
      </c>
      <c r="O180" s="46">
        <f t="shared" ca="1" si="72"/>
        <v>9.2704560558666604E-2</v>
      </c>
      <c r="P180" s="47">
        <f t="shared" si="73"/>
        <v>-3007.94</v>
      </c>
    </row>
    <row r="181" spans="1:16" ht="15.75" x14ac:dyDescent="0.3">
      <c r="A181" s="57" t="s">
        <v>42</v>
      </c>
      <c r="B181" s="50">
        <v>43745</v>
      </c>
      <c r="C181" s="47">
        <f>11569*32%</f>
        <v>3702.08</v>
      </c>
      <c r="D181" s="47">
        <v>0</v>
      </c>
      <c r="E181" s="48">
        <v>0</v>
      </c>
      <c r="F181" s="48">
        <f t="shared" si="88"/>
        <v>3702.08</v>
      </c>
      <c r="G181" s="48">
        <f t="shared" si="89"/>
        <v>24.873802780941247</v>
      </c>
      <c r="H181" s="48">
        <f>148.8345</f>
        <v>148.83449999999999</v>
      </c>
      <c r="I181" s="56">
        <v>38.984900000000003</v>
      </c>
      <c r="J181" s="47">
        <f t="shared" si="68"/>
        <v>5802.29809905</v>
      </c>
      <c r="K181" s="49">
        <f>0</f>
        <v>0</v>
      </c>
      <c r="L181" s="48">
        <f t="shared" si="69"/>
        <v>2100.2180990500001</v>
      </c>
      <c r="M181" s="46">
        <f t="shared" si="70"/>
        <v>0.56730759439288192</v>
      </c>
      <c r="N181" s="47">
        <f t="shared" ca="1" si="71"/>
        <v>81.533333333333331</v>
      </c>
      <c r="O181" s="46">
        <f t="shared" ca="1" si="72"/>
        <v>8.349580293599243E-2</v>
      </c>
      <c r="P181" s="47">
        <f t="shared" si="73"/>
        <v>-3702.08</v>
      </c>
    </row>
    <row r="182" spans="1:16" ht="15.75" x14ac:dyDescent="0.3">
      <c r="A182" s="55" t="s">
        <v>44</v>
      </c>
      <c r="B182" s="50">
        <v>43762</v>
      </c>
      <c r="C182" s="47">
        <v>-10962.89</v>
      </c>
      <c r="D182" s="47">
        <v>0</v>
      </c>
      <c r="E182" s="48">
        <v>0</v>
      </c>
      <c r="F182" s="48">
        <f t="shared" si="88"/>
        <v>-10962.89</v>
      </c>
      <c r="G182" s="48">
        <f t="shared" si="89"/>
        <v>29.722479860601442</v>
      </c>
      <c r="H182" s="48">
        <f>-368.8417</f>
        <v>-368.8417</v>
      </c>
      <c r="I182" s="56">
        <v>74.919499999999999</v>
      </c>
      <c r="J182" s="47">
        <f t="shared" ref="J182:J245" si="90">PRODUCT(H182:I182)</f>
        <v>-27633.435743149999</v>
      </c>
      <c r="K182" s="49">
        <f>0</f>
        <v>0</v>
      </c>
      <c r="L182" s="48">
        <f t="shared" ref="L182:L245" si="91">SUM(-F182,J182)+K182</f>
        <v>-16670.54574315</v>
      </c>
      <c r="M182" s="46">
        <f t="shared" ref="M182:M245" si="92">L182/F182</f>
        <v>1.5206342253867366</v>
      </c>
      <c r="N182" s="47">
        <f t="shared" ref="N182:N245" ca="1" si="93">(DAYS360(B182,NOW(),TRUE))/30</f>
        <v>80.966666666666669</v>
      </c>
      <c r="O182" s="46">
        <f t="shared" ref="O182:O245" ca="1" si="94">M182*12/N182</f>
        <v>0.2253718901355394</v>
      </c>
      <c r="P182" s="47">
        <f t="shared" si="73"/>
        <v>10962.89</v>
      </c>
    </row>
    <row r="183" spans="1:16" ht="15.75" x14ac:dyDescent="0.3">
      <c r="A183" s="57" t="s">
        <v>43</v>
      </c>
      <c r="B183" s="50">
        <v>43762</v>
      </c>
      <c r="C183" s="47">
        <v>-7200.44</v>
      </c>
      <c r="D183" s="47">
        <v>0</v>
      </c>
      <c r="E183" s="48">
        <v>0</v>
      </c>
      <c r="F183" s="48">
        <f t="shared" si="88"/>
        <v>-7200.44</v>
      </c>
      <c r="G183" s="48">
        <f t="shared" si="89"/>
        <v>28.682795238468923</v>
      </c>
      <c r="H183" s="48">
        <f>-251.0369</f>
        <v>-251.0369</v>
      </c>
      <c r="I183" s="56">
        <v>46.404400000000003</v>
      </c>
      <c r="J183" s="47">
        <f t="shared" si="90"/>
        <v>-11649.216722360001</v>
      </c>
      <c r="K183" s="49">
        <f>0</f>
        <v>0</v>
      </c>
      <c r="L183" s="48">
        <f t="shared" si="91"/>
        <v>-4448.7767223600013</v>
      </c>
      <c r="M183" s="46">
        <f t="shared" si="92"/>
        <v>0.61784789851175781</v>
      </c>
      <c r="N183" s="47">
        <f t="shared" ca="1" si="93"/>
        <v>80.966666666666669</v>
      </c>
      <c r="O183" s="46">
        <f t="shared" ca="1" si="94"/>
        <v>9.1570705419610057E-2</v>
      </c>
      <c r="P183" s="47">
        <f t="shared" si="73"/>
        <v>7200.44</v>
      </c>
    </row>
    <row r="184" spans="1:16" ht="15.75" x14ac:dyDescent="0.3">
      <c r="A184" s="57" t="s">
        <v>42</v>
      </c>
      <c r="B184" s="50">
        <v>43762</v>
      </c>
      <c r="C184" s="47">
        <v>18163.330000000002</v>
      </c>
      <c r="D184" s="47">
        <v>0</v>
      </c>
      <c r="E184" s="48">
        <v>0</v>
      </c>
      <c r="F184" s="48">
        <f t="shared" si="88"/>
        <v>18163.330000000002</v>
      </c>
      <c r="G184" s="48">
        <f t="shared" si="89"/>
        <v>24.922002670117056</v>
      </c>
      <c r="H184" s="48">
        <f>728.807</f>
        <v>728.80700000000002</v>
      </c>
      <c r="I184" s="56">
        <v>38.984900000000003</v>
      </c>
      <c r="J184" s="47">
        <f t="shared" si="90"/>
        <v>28412.468014300004</v>
      </c>
      <c r="K184" s="49">
        <f>0</f>
        <v>0</v>
      </c>
      <c r="L184" s="48">
        <f t="shared" si="91"/>
        <v>10249.138014300002</v>
      </c>
      <c r="M184" s="46">
        <f t="shared" si="92"/>
        <v>0.56427637521864116</v>
      </c>
      <c r="N184" s="47">
        <f t="shared" ca="1" si="93"/>
        <v>80.966666666666669</v>
      </c>
      <c r="O184" s="46">
        <f t="shared" ca="1" si="94"/>
        <v>8.3630916047225529E-2</v>
      </c>
      <c r="P184" s="47">
        <f t="shared" si="73"/>
        <v>-18163.330000000002</v>
      </c>
    </row>
    <row r="185" spans="1:16" ht="15.75" x14ac:dyDescent="0.3">
      <c r="A185" s="55" t="s">
        <v>44</v>
      </c>
      <c r="B185" s="50">
        <v>43768</v>
      </c>
      <c r="C185" s="47">
        <f>50000*40%</f>
        <v>20000</v>
      </c>
      <c r="D185" s="47">
        <f>589.62*40%</f>
        <v>235.84800000000001</v>
      </c>
      <c r="E185" s="48">
        <v>0</v>
      </c>
      <c r="F185" s="48">
        <f t="shared" ref="F185:F187" si="95">SUM(C185:E185)</f>
        <v>20235.848000000002</v>
      </c>
      <c r="G185" s="48">
        <f t="shared" ref="G185:G187" si="96">F185/H185</f>
        <v>30.82708959224485</v>
      </c>
      <c r="H185" s="48">
        <f>656.4307</f>
        <v>656.4307</v>
      </c>
      <c r="I185" s="56">
        <v>74.919499999999999</v>
      </c>
      <c r="J185" s="47">
        <f t="shared" si="90"/>
        <v>49179.459828649997</v>
      </c>
      <c r="K185" s="49">
        <f>0</f>
        <v>0</v>
      </c>
      <c r="L185" s="48">
        <f t="shared" si="91"/>
        <v>28943.611828649995</v>
      </c>
      <c r="M185" s="46">
        <f t="shared" si="92"/>
        <v>1.4303137594554967</v>
      </c>
      <c r="N185" s="47">
        <f t="shared" ca="1" si="93"/>
        <v>80.766666666666666</v>
      </c>
      <c r="O185" s="46">
        <f t="shared" ca="1" si="94"/>
        <v>0.21251050491290913</v>
      </c>
      <c r="P185" s="47">
        <f t="shared" si="73"/>
        <v>-20235.848000000002</v>
      </c>
    </row>
    <row r="186" spans="1:16" ht="15.75" x14ac:dyDescent="0.3">
      <c r="A186" s="57" t="s">
        <v>43</v>
      </c>
      <c r="B186" s="50">
        <v>43768</v>
      </c>
      <c r="C186" s="47">
        <f>50000*25%</f>
        <v>12500</v>
      </c>
      <c r="D186" s="47">
        <f>589.62*25%</f>
        <v>147.405</v>
      </c>
      <c r="E186" s="48">
        <v>0</v>
      </c>
      <c r="F186" s="48">
        <f t="shared" si="95"/>
        <v>12647.405000000001</v>
      </c>
      <c r="G186" s="48">
        <f t="shared" si="96"/>
        <v>29.133652310542306</v>
      </c>
      <c r="H186" s="48">
        <f>434.1167</f>
        <v>434.11669999999998</v>
      </c>
      <c r="I186" s="56">
        <v>46.404400000000003</v>
      </c>
      <c r="J186" s="47">
        <f t="shared" si="90"/>
        <v>20144.924993479999</v>
      </c>
      <c r="K186" s="49">
        <f>0</f>
        <v>0</v>
      </c>
      <c r="L186" s="48">
        <f t="shared" si="91"/>
        <v>7497.5199934799984</v>
      </c>
      <c r="M186" s="46">
        <f t="shared" si="92"/>
        <v>0.59281093579908273</v>
      </c>
      <c r="N186" s="47">
        <f t="shared" ca="1" si="93"/>
        <v>80.766666666666666</v>
      </c>
      <c r="O186" s="46">
        <f t="shared" ca="1" si="94"/>
        <v>8.8077563717569043E-2</v>
      </c>
      <c r="P186" s="47">
        <f t="shared" si="73"/>
        <v>-12647.405000000001</v>
      </c>
    </row>
    <row r="187" spans="1:16" ht="15.75" x14ac:dyDescent="0.3">
      <c r="A187" s="57" t="s">
        <v>42</v>
      </c>
      <c r="B187" s="50">
        <v>43768</v>
      </c>
      <c r="C187" s="47">
        <f>50000*35%</f>
        <v>17500</v>
      </c>
      <c r="D187" s="47">
        <f>589.62*35%</f>
        <v>206.36699999999999</v>
      </c>
      <c r="E187" s="48">
        <v>0</v>
      </c>
      <c r="F187" s="48">
        <f t="shared" si="95"/>
        <v>17706.366999999998</v>
      </c>
      <c r="G187" s="48">
        <f t="shared" si="96"/>
        <v>25.215891464257293</v>
      </c>
      <c r="H187" s="48">
        <f>702.1908</f>
        <v>702.19079999999997</v>
      </c>
      <c r="I187" s="56">
        <v>38.984900000000003</v>
      </c>
      <c r="J187" s="47">
        <f t="shared" si="90"/>
        <v>27374.838118920001</v>
      </c>
      <c r="K187" s="49">
        <f>0</f>
        <v>0</v>
      </c>
      <c r="L187" s="48">
        <f t="shared" si="91"/>
        <v>9668.4711189200025</v>
      </c>
      <c r="M187" s="46">
        <f t="shared" si="92"/>
        <v>0.5460448842453115</v>
      </c>
      <c r="N187" s="47">
        <f t="shared" ca="1" si="93"/>
        <v>80.766666666666666</v>
      </c>
      <c r="O187" s="46">
        <f t="shared" ca="1" si="94"/>
        <v>8.1129244048003368E-2</v>
      </c>
      <c r="P187" s="47">
        <f t="shared" si="73"/>
        <v>-17706.366999999998</v>
      </c>
    </row>
    <row r="188" spans="1:16" ht="15.75" x14ac:dyDescent="0.3">
      <c r="A188" s="55" t="s">
        <v>44</v>
      </c>
      <c r="B188" s="50">
        <v>43777</v>
      </c>
      <c r="C188" s="47">
        <f>11569*40%</f>
        <v>4627.6000000000004</v>
      </c>
      <c r="D188" s="47">
        <v>0</v>
      </c>
      <c r="E188" s="48">
        <v>0</v>
      </c>
      <c r="F188" s="48">
        <f t="shared" ref="F188:F196" si="97">SUM(C188:E188)</f>
        <v>4627.6000000000004</v>
      </c>
      <c r="G188" s="48">
        <f t="shared" ref="G188:G196" si="98">F188/H188</f>
        <v>30.595702479338847</v>
      </c>
      <c r="H188" s="48">
        <f>151.25</f>
        <v>151.25</v>
      </c>
      <c r="I188" s="56">
        <v>74.919499999999999</v>
      </c>
      <c r="J188" s="47">
        <f t="shared" si="90"/>
        <v>11331.574375</v>
      </c>
      <c r="K188" s="49">
        <f>0</f>
        <v>0</v>
      </c>
      <c r="L188" s="48">
        <f t="shared" si="91"/>
        <v>6703.9743749999998</v>
      </c>
      <c r="M188" s="46">
        <f t="shared" si="92"/>
        <v>1.4486935722620795</v>
      </c>
      <c r="N188" s="47">
        <f t="shared" ca="1" si="93"/>
        <v>80.5</v>
      </c>
      <c r="O188" s="46">
        <f t="shared" ca="1" si="94"/>
        <v>0.21595432133099321</v>
      </c>
      <c r="P188" s="47">
        <f t="shared" si="73"/>
        <v>-4627.6000000000004</v>
      </c>
    </row>
    <row r="189" spans="1:16" ht="15.75" x14ac:dyDescent="0.3">
      <c r="A189" s="57" t="s">
        <v>43</v>
      </c>
      <c r="B189" s="50">
        <v>43777</v>
      </c>
      <c r="C189" s="47">
        <f>11569*25%</f>
        <v>2892.25</v>
      </c>
      <c r="D189" s="47">
        <v>0</v>
      </c>
      <c r="E189" s="48">
        <v>0</v>
      </c>
      <c r="F189" s="48">
        <f t="shared" si="97"/>
        <v>2892.25</v>
      </c>
      <c r="G189" s="48">
        <f t="shared" si="98"/>
        <v>28.817201944096276</v>
      </c>
      <c r="H189" s="48">
        <f>100.3654</f>
        <v>100.36539999999999</v>
      </c>
      <c r="I189" s="56">
        <v>46.404400000000003</v>
      </c>
      <c r="J189" s="47">
        <f t="shared" si="90"/>
        <v>4657.39616776</v>
      </c>
      <c r="K189" s="49">
        <f>0</f>
        <v>0</v>
      </c>
      <c r="L189" s="48">
        <f t="shared" si="91"/>
        <v>1765.14616776</v>
      </c>
      <c r="M189" s="46">
        <f t="shared" si="92"/>
        <v>0.61030207200622355</v>
      </c>
      <c r="N189" s="47">
        <f t="shared" ca="1" si="93"/>
        <v>80.5</v>
      </c>
      <c r="O189" s="46">
        <f t="shared" ca="1" si="94"/>
        <v>9.09767063860209E-2</v>
      </c>
      <c r="P189" s="47">
        <f t="shared" si="73"/>
        <v>-2892.25</v>
      </c>
    </row>
    <row r="190" spans="1:16" ht="15.75" x14ac:dyDescent="0.3">
      <c r="A190" s="57" t="s">
        <v>42</v>
      </c>
      <c r="B190" s="50">
        <v>43777</v>
      </c>
      <c r="C190" s="47">
        <f>11569*35%</f>
        <v>4049.1499999999996</v>
      </c>
      <c r="D190" s="47">
        <v>0</v>
      </c>
      <c r="E190" s="48">
        <v>0</v>
      </c>
      <c r="F190" s="48">
        <f t="shared" si="97"/>
        <v>4049.1499999999996</v>
      </c>
      <c r="G190" s="48">
        <f t="shared" si="98"/>
        <v>24.885105012604953</v>
      </c>
      <c r="H190" s="48">
        <f>162.7138</f>
        <v>162.71379999999999</v>
      </c>
      <c r="I190" s="56">
        <v>38.984900000000003</v>
      </c>
      <c r="J190" s="47">
        <f t="shared" si="90"/>
        <v>6343.3812216200004</v>
      </c>
      <c r="K190" s="49">
        <f>0</f>
        <v>0</v>
      </c>
      <c r="L190" s="48">
        <f t="shared" si="91"/>
        <v>2294.2312216200007</v>
      </c>
      <c r="M190" s="46">
        <f t="shared" si="92"/>
        <v>0.56659576000395173</v>
      </c>
      <c r="N190" s="47">
        <f t="shared" ca="1" si="93"/>
        <v>80.5</v>
      </c>
      <c r="O190" s="46">
        <f t="shared" ca="1" si="94"/>
        <v>8.4461479752141869E-2</v>
      </c>
      <c r="P190" s="47">
        <f t="shared" si="73"/>
        <v>-4049.1499999999996</v>
      </c>
    </row>
    <row r="191" spans="1:16" ht="15.75" x14ac:dyDescent="0.3">
      <c r="A191" s="55" t="s">
        <v>44</v>
      </c>
      <c r="B191" s="50">
        <v>43805</v>
      </c>
      <c r="C191" s="47">
        <f>11569*40%</f>
        <v>4627.6000000000004</v>
      </c>
      <c r="D191" s="47">
        <v>0</v>
      </c>
      <c r="E191" s="48">
        <v>0</v>
      </c>
      <c r="F191" s="48">
        <f t="shared" si="97"/>
        <v>4627.6000000000004</v>
      </c>
      <c r="G191" s="48">
        <f t="shared" si="98"/>
        <v>30.507900238190516</v>
      </c>
      <c r="H191" s="48">
        <f>151.6853</f>
        <v>151.68530000000001</v>
      </c>
      <c r="I191" s="56">
        <v>74.919499999999999</v>
      </c>
      <c r="J191" s="47">
        <f t="shared" si="90"/>
        <v>11364.186833350001</v>
      </c>
      <c r="K191" s="49">
        <f>0</f>
        <v>0</v>
      </c>
      <c r="L191" s="48">
        <f t="shared" si="91"/>
        <v>6736.5868333500002</v>
      </c>
      <c r="M191" s="46">
        <f t="shared" si="92"/>
        <v>1.4557409528373237</v>
      </c>
      <c r="N191" s="47">
        <f t="shared" ca="1" si="93"/>
        <v>79.566666666666663</v>
      </c>
      <c r="O191" s="46">
        <f t="shared" ca="1" si="94"/>
        <v>0.21955037411874173</v>
      </c>
      <c r="P191" s="47">
        <f t="shared" si="73"/>
        <v>-4627.6000000000004</v>
      </c>
    </row>
    <row r="192" spans="1:16" ht="15.75" x14ac:dyDescent="0.3">
      <c r="A192" s="57" t="s">
        <v>43</v>
      </c>
      <c r="B192" s="50">
        <v>43805</v>
      </c>
      <c r="C192" s="47">
        <f>11569*25%</f>
        <v>2892.25</v>
      </c>
      <c r="D192" s="47">
        <v>0</v>
      </c>
      <c r="E192" s="48">
        <v>0</v>
      </c>
      <c r="F192" s="48">
        <f t="shared" si="97"/>
        <v>2892.25</v>
      </c>
      <c r="G192" s="48">
        <f t="shared" si="98"/>
        <v>28.975815500520959</v>
      </c>
      <c r="H192" s="48">
        <f>99.816</f>
        <v>99.816000000000003</v>
      </c>
      <c r="I192" s="56">
        <v>46.404400000000003</v>
      </c>
      <c r="J192" s="47">
        <f t="shared" si="90"/>
        <v>4631.9015904000007</v>
      </c>
      <c r="K192" s="49">
        <f>0</f>
        <v>0</v>
      </c>
      <c r="L192" s="48">
        <f t="shared" si="91"/>
        <v>1739.6515904000007</v>
      </c>
      <c r="M192" s="46">
        <f t="shared" si="92"/>
        <v>0.60148728166652288</v>
      </c>
      <c r="N192" s="47">
        <f t="shared" ca="1" si="93"/>
        <v>79.566666666666663</v>
      </c>
      <c r="O192" s="46">
        <f t="shared" ca="1" si="94"/>
        <v>9.0714462253853476E-2</v>
      </c>
      <c r="P192" s="47">
        <f t="shared" si="73"/>
        <v>-2892.25</v>
      </c>
    </row>
    <row r="193" spans="1:16" ht="15.75" x14ac:dyDescent="0.3">
      <c r="A193" s="57" t="s">
        <v>42</v>
      </c>
      <c r="B193" s="50">
        <v>43805</v>
      </c>
      <c r="C193" s="47">
        <f>11569*35%</f>
        <v>4049.1499999999996</v>
      </c>
      <c r="D193" s="47">
        <v>0</v>
      </c>
      <c r="E193" s="48">
        <v>0</v>
      </c>
      <c r="F193" s="48">
        <f t="shared" si="97"/>
        <v>4049.1499999999996</v>
      </c>
      <c r="G193" s="48">
        <f t="shared" si="98"/>
        <v>24.865910829934275</v>
      </c>
      <c r="H193" s="48">
        <f>162.8394</f>
        <v>162.83940000000001</v>
      </c>
      <c r="I193" s="56">
        <v>38.984900000000003</v>
      </c>
      <c r="J193" s="47">
        <f t="shared" si="90"/>
        <v>6348.2777250600011</v>
      </c>
      <c r="K193" s="49">
        <f>0</f>
        <v>0</v>
      </c>
      <c r="L193" s="48">
        <f t="shared" si="91"/>
        <v>2299.1277250600015</v>
      </c>
      <c r="M193" s="46">
        <f t="shared" si="92"/>
        <v>0.56780502699578961</v>
      </c>
      <c r="N193" s="47">
        <f t="shared" ca="1" si="93"/>
        <v>79.566666666666663</v>
      </c>
      <c r="O193" s="46">
        <f t="shared" ca="1" si="94"/>
        <v>8.5634608176993837E-2</v>
      </c>
      <c r="P193" s="47">
        <f t="shared" si="73"/>
        <v>-4049.1499999999996</v>
      </c>
    </row>
    <row r="194" spans="1:16" ht="15.75" x14ac:dyDescent="0.3">
      <c r="A194" s="55" t="s">
        <v>44</v>
      </c>
      <c r="B194" s="50">
        <v>43833</v>
      </c>
      <c r="C194" s="47">
        <f>11569*40%</f>
        <v>4627.6000000000004</v>
      </c>
      <c r="D194" s="47">
        <v>0</v>
      </c>
      <c r="E194" s="48">
        <v>0</v>
      </c>
      <c r="F194" s="48">
        <f t="shared" si="97"/>
        <v>4627.6000000000004</v>
      </c>
      <c r="G194" s="48">
        <f t="shared" si="98"/>
        <v>31.326516451565958</v>
      </c>
      <c r="H194" s="48">
        <f>147.7215</f>
        <v>147.72149999999999</v>
      </c>
      <c r="I194" s="56">
        <v>74.919499999999999</v>
      </c>
      <c r="J194" s="47">
        <f t="shared" si="90"/>
        <v>11067.220919249999</v>
      </c>
      <c r="K194" s="49">
        <f>0</f>
        <v>0</v>
      </c>
      <c r="L194" s="48">
        <f t="shared" si="91"/>
        <v>6439.6209192499991</v>
      </c>
      <c r="M194" s="46">
        <f t="shared" si="92"/>
        <v>1.39156818204901</v>
      </c>
      <c r="N194" s="47">
        <f t="shared" ca="1" si="93"/>
        <v>78.666666666666671</v>
      </c>
      <c r="O194" s="46">
        <f t="shared" ca="1" si="94"/>
        <v>0.21227311251595066</v>
      </c>
      <c r="P194" s="47">
        <f t="shared" si="73"/>
        <v>-4627.6000000000004</v>
      </c>
    </row>
    <row r="195" spans="1:16" ht="15.75" x14ac:dyDescent="0.3">
      <c r="A195" s="57" t="s">
        <v>43</v>
      </c>
      <c r="B195" s="50">
        <v>43833</v>
      </c>
      <c r="C195" s="47">
        <f>11569*25%</f>
        <v>2892.25</v>
      </c>
      <c r="D195" s="47">
        <v>0</v>
      </c>
      <c r="E195" s="48">
        <v>0</v>
      </c>
      <c r="F195" s="48">
        <f t="shared" si="97"/>
        <v>2892.25</v>
      </c>
      <c r="G195" s="48">
        <f t="shared" si="98"/>
        <v>28.49962259986323</v>
      </c>
      <c r="H195" s="48">
        <f>101.4838</f>
        <v>101.4838</v>
      </c>
      <c r="I195" s="56">
        <v>46.404400000000003</v>
      </c>
      <c r="J195" s="47">
        <f t="shared" si="90"/>
        <v>4709.2948487200001</v>
      </c>
      <c r="K195" s="49">
        <f>0</f>
        <v>0</v>
      </c>
      <c r="L195" s="48">
        <f t="shared" si="91"/>
        <v>1817.0448487200001</v>
      </c>
      <c r="M195" s="46">
        <f t="shared" si="92"/>
        <v>0.6282461228178754</v>
      </c>
      <c r="N195" s="47">
        <f t="shared" ca="1" si="93"/>
        <v>78.666666666666671</v>
      </c>
      <c r="O195" s="46">
        <f t="shared" ca="1" si="94"/>
        <v>9.5834154328150484E-2</v>
      </c>
      <c r="P195" s="47">
        <f t="shared" ref="P195:P258" si="99">-F195</f>
        <v>-2892.25</v>
      </c>
    </row>
    <row r="196" spans="1:16" ht="15.75" x14ac:dyDescent="0.3">
      <c r="A196" s="57" t="s">
        <v>42</v>
      </c>
      <c r="B196" s="50">
        <v>43833</v>
      </c>
      <c r="C196" s="47">
        <f>11569*35%</f>
        <v>4049.1499999999996</v>
      </c>
      <c r="D196" s="47">
        <v>0</v>
      </c>
      <c r="E196" s="48">
        <v>0</v>
      </c>
      <c r="F196" s="48">
        <f t="shared" si="97"/>
        <v>4049.1499999999996</v>
      </c>
      <c r="G196" s="48">
        <f t="shared" si="98"/>
        <v>25.342001073975371</v>
      </c>
      <c r="H196" s="48">
        <f>159.7802</f>
        <v>159.78020000000001</v>
      </c>
      <c r="I196" s="56">
        <v>38.984900000000003</v>
      </c>
      <c r="J196" s="47">
        <f t="shared" si="90"/>
        <v>6229.0151189800008</v>
      </c>
      <c r="K196" s="49">
        <f>0</f>
        <v>0</v>
      </c>
      <c r="L196" s="48">
        <f t="shared" si="91"/>
        <v>2179.8651189800012</v>
      </c>
      <c r="M196" s="46">
        <f t="shared" si="92"/>
        <v>0.53835128829013534</v>
      </c>
      <c r="N196" s="47">
        <f t="shared" ca="1" si="93"/>
        <v>78.666666666666671</v>
      </c>
      <c r="O196" s="46">
        <f t="shared" ca="1" si="94"/>
        <v>8.2121382959512171E-2</v>
      </c>
      <c r="P196" s="47">
        <f t="shared" si="99"/>
        <v>-4049.1499999999996</v>
      </c>
    </row>
    <row r="197" spans="1:16" ht="15.75" x14ac:dyDescent="0.3">
      <c r="A197" s="55" t="s">
        <v>44</v>
      </c>
      <c r="B197" s="50">
        <v>43834</v>
      </c>
      <c r="C197" s="47">
        <v>-20.52</v>
      </c>
      <c r="D197" s="47">
        <v>0</v>
      </c>
      <c r="E197" s="48">
        <v>0</v>
      </c>
      <c r="F197" s="48">
        <f t="shared" ref="F197:F199" si="100">SUM(C197:E197)</f>
        <v>-20.52</v>
      </c>
      <c r="G197" s="48">
        <f t="shared" ref="G197:G199" si="101">F197/H197</f>
        <v>31.328244274809158</v>
      </c>
      <c r="H197" s="48">
        <f>-0.655</f>
        <v>-0.65500000000000003</v>
      </c>
      <c r="I197" s="56">
        <v>74.919499999999999</v>
      </c>
      <c r="J197" s="47">
        <f t="shared" si="90"/>
        <v>-49.072272500000004</v>
      </c>
      <c r="K197" s="49">
        <f>0</f>
        <v>0</v>
      </c>
      <c r="L197" s="48">
        <f t="shared" si="91"/>
        <v>-28.552272500000004</v>
      </c>
      <c r="M197" s="46">
        <f t="shared" si="92"/>
        <v>1.3914362816764134</v>
      </c>
      <c r="N197" s="47">
        <f t="shared" ca="1" si="93"/>
        <v>78.63333333333334</v>
      </c>
      <c r="O197" s="46">
        <f t="shared" ca="1" si="94"/>
        <v>0.21234296795400967</v>
      </c>
      <c r="P197" s="47">
        <f t="shared" si="99"/>
        <v>20.52</v>
      </c>
    </row>
    <row r="198" spans="1:16" ht="15.75" x14ac:dyDescent="0.3">
      <c r="A198" s="57" t="s">
        <v>43</v>
      </c>
      <c r="B198" s="50">
        <v>43834</v>
      </c>
      <c r="C198" s="47">
        <v>-12.17</v>
      </c>
      <c r="D198" s="47">
        <v>0</v>
      </c>
      <c r="E198" s="48">
        <v>0</v>
      </c>
      <c r="F198" s="48">
        <f t="shared" si="100"/>
        <v>-12.17</v>
      </c>
      <c r="G198" s="48">
        <f t="shared" si="101"/>
        <v>28.501170960187356</v>
      </c>
      <c r="H198" s="48">
        <f>-0.427</f>
        <v>-0.42699999999999999</v>
      </c>
      <c r="I198" s="56">
        <v>46.404400000000003</v>
      </c>
      <c r="J198" s="47">
        <f t="shared" si="90"/>
        <v>-19.814678799999999</v>
      </c>
      <c r="K198" s="49">
        <f>0</f>
        <v>0</v>
      </c>
      <c r="L198" s="48">
        <f t="shared" si="91"/>
        <v>-7.6446787999999994</v>
      </c>
      <c r="M198" s="46">
        <f t="shared" si="92"/>
        <v>0.62815766639276904</v>
      </c>
      <c r="N198" s="47">
        <f t="shared" ca="1" si="93"/>
        <v>78.63333333333334</v>
      </c>
      <c r="O198" s="46">
        <f t="shared" ca="1" si="94"/>
        <v>9.5861280161677331E-2</v>
      </c>
      <c r="P198" s="47">
        <f t="shared" si="99"/>
        <v>12.17</v>
      </c>
    </row>
    <row r="199" spans="1:16" ht="15.75" x14ac:dyDescent="0.3">
      <c r="A199" s="57" t="s">
        <v>42</v>
      </c>
      <c r="B199" s="50">
        <v>43834</v>
      </c>
      <c r="C199" s="47">
        <v>-17.45</v>
      </c>
      <c r="D199" s="47">
        <v>0</v>
      </c>
      <c r="E199" s="48">
        <v>0</v>
      </c>
      <c r="F199" s="48">
        <f t="shared" si="100"/>
        <v>-17.45</v>
      </c>
      <c r="G199" s="48">
        <f t="shared" si="101"/>
        <v>25.344952795933185</v>
      </c>
      <c r="H199" s="48">
        <f>-0.6885</f>
        <v>-0.6885</v>
      </c>
      <c r="I199" s="56">
        <v>38.984900000000003</v>
      </c>
      <c r="J199" s="47">
        <f t="shared" si="90"/>
        <v>-26.841103650000001</v>
      </c>
      <c r="K199" s="49">
        <f>0</f>
        <v>0</v>
      </c>
      <c r="L199" s="48">
        <f t="shared" si="91"/>
        <v>-9.3911036500000016</v>
      </c>
      <c r="M199" s="46">
        <f t="shared" si="92"/>
        <v>0.53817212893982824</v>
      </c>
      <c r="N199" s="47">
        <f t="shared" ca="1" si="93"/>
        <v>78.63333333333334</v>
      </c>
      <c r="O199" s="46">
        <f t="shared" ca="1" si="94"/>
        <v>8.2128853928926729E-2</v>
      </c>
      <c r="P199" s="47">
        <f t="shared" si="99"/>
        <v>17.45</v>
      </c>
    </row>
    <row r="200" spans="1:16" ht="15.75" x14ac:dyDescent="0.3">
      <c r="A200" s="55" t="s">
        <v>44</v>
      </c>
      <c r="B200" s="50">
        <v>43872</v>
      </c>
      <c r="C200" s="47">
        <f>11569*40%</f>
        <v>4627.6000000000004</v>
      </c>
      <c r="D200" s="47">
        <v>0</v>
      </c>
      <c r="E200" s="48">
        <v>0</v>
      </c>
      <c r="F200" s="48">
        <f t="shared" ref="F200:F208" si="102">SUM(C200:E200)</f>
        <v>4627.6000000000004</v>
      </c>
      <c r="G200" s="48">
        <f t="shared" ref="G200:G208" si="103">F200/H200</f>
        <v>31.143016543970433</v>
      </c>
      <c r="H200" s="48">
        <f>148.5919</f>
        <v>148.59190000000001</v>
      </c>
      <c r="I200" s="56">
        <v>74.919499999999999</v>
      </c>
      <c r="J200" s="47">
        <f t="shared" si="90"/>
        <v>11132.43085205</v>
      </c>
      <c r="K200" s="49">
        <f>0</f>
        <v>0</v>
      </c>
      <c r="L200" s="48">
        <f t="shared" si="91"/>
        <v>6504.8308520499995</v>
      </c>
      <c r="M200" s="46">
        <f t="shared" si="92"/>
        <v>1.4056597052575848</v>
      </c>
      <c r="N200" s="47">
        <f t="shared" ca="1" si="93"/>
        <v>77.400000000000006</v>
      </c>
      <c r="O200" s="46">
        <f t="shared" ca="1" si="94"/>
        <v>0.21793173724923792</v>
      </c>
      <c r="P200" s="47">
        <f t="shared" si="99"/>
        <v>-4627.6000000000004</v>
      </c>
    </row>
    <row r="201" spans="1:16" ht="15.75" x14ac:dyDescent="0.3">
      <c r="A201" s="57" t="s">
        <v>43</v>
      </c>
      <c r="B201" s="50">
        <v>43872</v>
      </c>
      <c r="C201" s="47">
        <f>11569*25%</f>
        <v>2892.25</v>
      </c>
      <c r="D201" s="47">
        <v>0</v>
      </c>
      <c r="E201" s="48">
        <v>0</v>
      </c>
      <c r="F201" s="48">
        <f t="shared" si="102"/>
        <v>2892.25</v>
      </c>
      <c r="G201" s="48">
        <f t="shared" si="103"/>
        <v>29.22680954094027</v>
      </c>
      <c r="H201" s="48">
        <f>98.9588</f>
        <v>98.958799999999997</v>
      </c>
      <c r="I201" s="56">
        <v>46.404400000000003</v>
      </c>
      <c r="J201" s="47">
        <f t="shared" si="90"/>
        <v>4592.1237387199999</v>
      </c>
      <c r="K201" s="49">
        <f>0</f>
        <v>0</v>
      </c>
      <c r="L201" s="48">
        <f t="shared" si="91"/>
        <v>1699.8737387199999</v>
      </c>
      <c r="M201" s="46">
        <f t="shared" si="92"/>
        <v>0.58773402669893682</v>
      </c>
      <c r="N201" s="47">
        <f t="shared" ca="1" si="93"/>
        <v>77.400000000000006</v>
      </c>
      <c r="O201" s="46">
        <f t="shared" ca="1" si="94"/>
        <v>9.1121554526966936E-2</v>
      </c>
      <c r="P201" s="47">
        <f t="shared" si="99"/>
        <v>-2892.25</v>
      </c>
    </row>
    <row r="202" spans="1:16" ht="15.75" x14ac:dyDescent="0.3">
      <c r="A202" s="57" t="s">
        <v>42</v>
      </c>
      <c r="B202" s="50">
        <v>43872</v>
      </c>
      <c r="C202" s="47">
        <f>11569*35%</f>
        <v>4049.1499999999996</v>
      </c>
      <c r="D202" s="47">
        <v>0</v>
      </c>
      <c r="E202" s="48">
        <v>0</v>
      </c>
      <c r="F202" s="48">
        <f t="shared" si="102"/>
        <v>4049.1499999999996</v>
      </c>
      <c r="G202" s="48">
        <f t="shared" si="103"/>
        <v>25.806313868101416</v>
      </c>
      <c r="H202" s="48">
        <f>156.9054</f>
        <v>156.90539999999999</v>
      </c>
      <c r="I202" s="56">
        <v>38.984900000000003</v>
      </c>
      <c r="J202" s="47">
        <f t="shared" si="90"/>
        <v>6116.9413284599996</v>
      </c>
      <c r="K202" s="49">
        <f>0</f>
        <v>0</v>
      </c>
      <c r="L202" s="48">
        <f t="shared" si="91"/>
        <v>2067.7913284599999</v>
      </c>
      <c r="M202" s="46">
        <f t="shared" si="92"/>
        <v>0.51067293838459926</v>
      </c>
      <c r="N202" s="47">
        <f t="shared" ca="1" si="93"/>
        <v>77.400000000000006</v>
      </c>
      <c r="O202" s="46">
        <f t="shared" ca="1" si="94"/>
        <v>7.9174098974356469E-2</v>
      </c>
      <c r="P202" s="47">
        <f t="shared" si="99"/>
        <v>-4049.1499999999996</v>
      </c>
    </row>
    <row r="203" spans="1:16" ht="15.75" x14ac:dyDescent="0.3">
      <c r="A203" s="55" t="s">
        <v>44</v>
      </c>
      <c r="B203" s="50">
        <v>43893</v>
      </c>
      <c r="C203" s="47">
        <f>11569*40%</f>
        <v>4627.6000000000004</v>
      </c>
      <c r="D203" s="47">
        <v>0</v>
      </c>
      <c r="E203" s="48">
        <v>0</v>
      </c>
      <c r="F203" s="48">
        <f t="shared" si="102"/>
        <v>4627.6000000000004</v>
      </c>
      <c r="G203" s="48">
        <f t="shared" si="103"/>
        <v>29.078615818676525</v>
      </c>
      <c r="H203" s="48">
        <f>159.141</f>
        <v>159.14099999999999</v>
      </c>
      <c r="I203" s="56">
        <v>74.919499999999999</v>
      </c>
      <c r="J203" s="47">
        <f t="shared" si="90"/>
        <v>11922.764149499999</v>
      </c>
      <c r="K203" s="49">
        <f>0</f>
        <v>0</v>
      </c>
      <c r="L203" s="48">
        <f t="shared" si="91"/>
        <v>7295.1641494999985</v>
      </c>
      <c r="M203" s="46">
        <f t="shared" si="92"/>
        <v>1.5764465704684929</v>
      </c>
      <c r="N203" s="47">
        <f t="shared" ca="1" si="93"/>
        <v>76.666666666666671</v>
      </c>
      <c r="O203" s="46">
        <f t="shared" ca="1" si="94"/>
        <v>0.24674815885593801</v>
      </c>
      <c r="P203" s="47">
        <f t="shared" si="99"/>
        <v>-4627.6000000000004</v>
      </c>
    </row>
    <row r="204" spans="1:16" ht="15.75" x14ac:dyDescent="0.3">
      <c r="A204" s="57" t="s">
        <v>43</v>
      </c>
      <c r="B204" s="50">
        <v>43893</v>
      </c>
      <c r="C204" s="47">
        <f>11569*25%</f>
        <v>2892.25</v>
      </c>
      <c r="D204" s="47">
        <v>0</v>
      </c>
      <c r="E204" s="48">
        <v>0</v>
      </c>
      <c r="F204" s="48">
        <f t="shared" si="102"/>
        <v>2892.25</v>
      </c>
      <c r="G204" s="48">
        <f t="shared" si="103"/>
        <v>29.398311674450987</v>
      </c>
      <c r="H204" s="48">
        <f>98.3815</f>
        <v>98.381500000000003</v>
      </c>
      <c r="I204" s="56">
        <v>46.404400000000003</v>
      </c>
      <c r="J204" s="47">
        <f t="shared" si="90"/>
        <v>4565.3344786000007</v>
      </c>
      <c r="K204" s="49">
        <f>0</f>
        <v>0</v>
      </c>
      <c r="L204" s="48">
        <f t="shared" si="91"/>
        <v>1673.0844786000007</v>
      </c>
      <c r="M204" s="46">
        <f t="shared" si="92"/>
        <v>0.57847159775261503</v>
      </c>
      <c r="N204" s="47">
        <f t="shared" ca="1" si="93"/>
        <v>76.666666666666671</v>
      </c>
      <c r="O204" s="46">
        <f t="shared" ca="1" si="94"/>
        <v>9.0543380517800615E-2</v>
      </c>
      <c r="P204" s="47">
        <f t="shared" si="99"/>
        <v>-2892.25</v>
      </c>
    </row>
    <row r="205" spans="1:16" ht="15.75" x14ac:dyDescent="0.3">
      <c r="A205" s="57" t="s">
        <v>42</v>
      </c>
      <c r="B205" s="50">
        <v>43893</v>
      </c>
      <c r="C205" s="47">
        <f>11569*35%</f>
        <v>4049.1499999999996</v>
      </c>
      <c r="D205" s="47">
        <v>0</v>
      </c>
      <c r="E205" s="48">
        <v>0</v>
      </c>
      <c r="F205" s="48">
        <f t="shared" si="102"/>
        <v>4049.1499999999996</v>
      </c>
      <c r="G205" s="48">
        <f t="shared" si="103"/>
        <v>26.121509224118629</v>
      </c>
      <c r="H205" s="48">
        <f>155.0121</f>
        <v>155.0121</v>
      </c>
      <c r="I205" s="56">
        <v>38.984900000000003</v>
      </c>
      <c r="J205" s="47">
        <f t="shared" si="90"/>
        <v>6043.1312172900007</v>
      </c>
      <c r="K205" s="49">
        <f>0</f>
        <v>0</v>
      </c>
      <c r="L205" s="48">
        <f t="shared" si="91"/>
        <v>1993.981217290001</v>
      </c>
      <c r="M205" s="46">
        <f t="shared" si="92"/>
        <v>0.49244439383327393</v>
      </c>
      <c r="N205" s="47">
        <f t="shared" ca="1" si="93"/>
        <v>76.666666666666671</v>
      </c>
      <c r="O205" s="46">
        <f t="shared" ca="1" si="94"/>
        <v>7.7078252947816783E-2</v>
      </c>
      <c r="P205" s="47">
        <f t="shared" si="99"/>
        <v>-4049.1499999999996</v>
      </c>
    </row>
    <row r="206" spans="1:16" ht="15.75" x14ac:dyDescent="0.3">
      <c r="A206" s="55" t="s">
        <v>44</v>
      </c>
      <c r="B206" s="50">
        <v>43920</v>
      </c>
      <c r="C206" s="47">
        <f>11569*40%</f>
        <v>4627.6000000000004</v>
      </c>
      <c r="D206" s="47">
        <v>0</v>
      </c>
      <c r="E206" s="48">
        <v>0</v>
      </c>
      <c r="F206" s="48">
        <f t="shared" si="102"/>
        <v>4627.6000000000004</v>
      </c>
      <c r="G206" s="48">
        <f t="shared" si="103"/>
        <v>21.250508577626629</v>
      </c>
      <c r="H206" s="48">
        <f>217.7642</f>
        <v>217.76419999999999</v>
      </c>
      <c r="I206" s="56">
        <v>74.919499999999999</v>
      </c>
      <c r="J206" s="47">
        <f t="shared" si="90"/>
        <v>16314.784981899998</v>
      </c>
      <c r="K206" s="49">
        <f>0</f>
        <v>0</v>
      </c>
      <c r="L206" s="48">
        <f t="shared" si="91"/>
        <v>11687.184981899998</v>
      </c>
      <c r="M206" s="46">
        <f t="shared" si="92"/>
        <v>2.5255391524548356</v>
      </c>
      <c r="N206" s="47">
        <f t="shared" ca="1" si="93"/>
        <v>75.766666666666666</v>
      </c>
      <c r="O206" s="46">
        <f t="shared" ca="1" si="94"/>
        <v>0.39999740206059869</v>
      </c>
      <c r="P206" s="47">
        <f t="shared" si="99"/>
        <v>-4627.6000000000004</v>
      </c>
    </row>
    <row r="207" spans="1:16" ht="15.75" x14ac:dyDescent="0.3">
      <c r="A207" s="57" t="s">
        <v>43</v>
      </c>
      <c r="B207" s="50">
        <v>43920</v>
      </c>
      <c r="C207" s="47">
        <f>11569*25%</f>
        <v>2892.25</v>
      </c>
      <c r="D207" s="47">
        <v>0</v>
      </c>
      <c r="E207" s="48">
        <v>0</v>
      </c>
      <c r="F207" s="48">
        <f t="shared" si="102"/>
        <v>2892.25</v>
      </c>
      <c r="G207" s="48">
        <f t="shared" si="103"/>
        <v>29.37221803026133</v>
      </c>
      <c r="H207" s="48">
        <f>98.4689</f>
        <v>98.468900000000005</v>
      </c>
      <c r="I207" s="56">
        <v>46.404400000000003</v>
      </c>
      <c r="J207" s="47">
        <f t="shared" si="90"/>
        <v>4569.3902231600005</v>
      </c>
      <c r="K207" s="49">
        <f>0</f>
        <v>0</v>
      </c>
      <c r="L207" s="48">
        <f t="shared" si="91"/>
        <v>1677.1402231600005</v>
      </c>
      <c r="M207" s="46">
        <f t="shared" si="92"/>
        <v>0.57987387783213773</v>
      </c>
      <c r="N207" s="47">
        <f t="shared" ca="1" si="93"/>
        <v>75.766666666666666</v>
      </c>
      <c r="O207" s="46">
        <f t="shared" ca="1" si="94"/>
        <v>9.1841001328451202E-2</v>
      </c>
      <c r="P207" s="47">
        <f t="shared" si="99"/>
        <v>-2892.25</v>
      </c>
    </row>
    <row r="208" spans="1:16" ht="15.75" x14ac:dyDescent="0.3">
      <c r="A208" s="57" t="s">
        <v>42</v>
      </c>
      <c r="B208" s="50">
        <v>43920</v>
      </c>
      <c r="C208" s="47">
        <f>11569*35%</f>
        <v>4049.1499999999996</v>
      </c>
      <c r="D208" s="47">
        <v>0</v>
      </c>
      <c r="E208" s="48">
        <v>0</v>
      </c>
      <c r="F208" s="48">
        <f t="shared" si="102"/>
        <v>4049.1499999999996</v>
      </c>
      <c r="G208" s="48">
        <f t="shared" si="103"/>
        <v>26.229209797403215</v>
      </c>
      <c r="H208" s="48">
        <f>154.3756</f>
        <v>154.37559999999999</v>
      </c>
      <c r="I208" s="56">
        <v>38.984900000000003</v>
      </c>
      <c r="J208" s="47">
        <f t="shared" si="90"/>
        <v>6018.31732844</v>
      </c>
      <c r="K208" s="49">
        <f>0</f>
        <v>0</v>
      </c>
      <c r="L208" s="48">
        <f t="shared" si="91"/>
        <v>1969.1673284400003</v>
      </c>
      <c r="M208" s="46">
        <f t="shared" si="92"/>
        <v>0.48631622153785375</v>
      </c>
      <c r="N208" s="47">
        <f t="shared" ca="1" si="93"/>
        <v>75.766666666666666</v>
      </c>
      <c r="O208" s="46">
        <f t="shared" ca="1" si="94"/>
        <v>7.7023246701991788E-2</v>
      </c>
      <c r="P208" s="47">
        <f t="shared" si="99"/>
        <v>-4049.1499999999996</v>
      </c>
    </row>
    <row r="209" spans="1:16" ht="15.75" x14ac:dyDescent="0.3">
      <c r="A209" s="55" t="s">
        <v>44</v>
      </c>
      <c r="B209" s="50">
        <v>43925</v>
      </c>
      <c r="C209" s="47">
        <v>-14.16</v>
      </c>
      <c r="D209" s="47">
        <v>0</v>
      </c>
      <c r="E209" s="48">
        <v>0</v>
      </c>
      <c r="F209" s="48">
        <f t="shared" ref="F209:F211" si="104">SUM(C209:E209)</f>
        <v>-14.16</v>
      </c>
      <c r="G209" s="48">
        <f t="shared" ref="G209:G211" si="105">F209/H209</f>
        <v>20.789898693290265</v>
      </c>
      <c r="H209" s="48">
        <f>-0.6811</f>
        <v>-0.68110000000000004</v>
      </c>
      <c r="I209" s="56">
        <v>74.919499999999999</v>
      </c>
      <c r="J209" s="47">
        <f t="shared" si="90"/>
        <v>-51.02767145</v>
      </c>
      <c r="K209" s="49">
        <f>0</f>
        <v>0</v>
      </c>
      <c r="L209" s="48">
        <f t="shared" si="91"/>
        <v>-36.867671450000003</v>
      </c>
      <c r="M209" s="46">
        <f t="shared" si="92"/>
        <v>2.6036491137005653</v>
      </c>
      <c r="N209" s="47">
        <f t="shared" ca="1" si="93"/>
        <v>75.63333333333334</v>
      </c>
      <c r="O209" s="46">
        <f t="shared" ca="1" si="94"/>
        <v>0.41309549622397684</v>
      </c>
      <c r="P209" s="47">
        <f t="shared" si="99"/>
        <v>14.16</v>
      </c>
    </row>
    <row r="210" spans="1:16" ht="15.75" x14ac:dyDescent="0.3">
      <c r="A210" s="57" t="s">
        <v>43</v>
      </c>
      <c r="B210" s="50">
        <v>43925</v>
      </c>
      <c r="C210" s="47">
        <v>-12.96</v>
      </c>
      <c r="D210" s="47">
        <v>0</v>
      </c>
      <c r="E210" s="48">
        <v>0</v>
      </c>
      <c r="F210" s="48">
        <f t="shared" si="104"/>
        <v>-12.96</v>
      </c>
      <c r="G210" s="48">
        <f t="shared" si="105"/>
        <v>29.374433363553948</v>
      </c>
      <c r="H210" s="48">
        <f>-0.4412</f>
        <v>-0.44119999999999998</v>
      </c>
      <c r="I210" s="56">
        <v>46.404400000000003</v>
      </c>
      <c r="J210" s="47">
        <f t="shared" si="90"/>
        <v>-20.47362128</v>
      </c>
      <c r="K210" s="49">
        <f>0</f>
        <v>0</v>
      </c>
      <c r="L210" s="48">
        <f t="shared" si="91"/>
        <v>-7.5136212799999988</v>
      </c>
      <c r="M210" s="46">
        <f t="shared" si="92"/>
        <v>0.57975472839506159</v>
      </c>
      <c r="N210" s="47">
        <f t="shared" ca="1" si="93"/>
        <v>75.63333333333334</v>
      </c>
      <c r="O210" s="46">
        <f t="shared" ca="1" si="94"/>
        <v>9.1984002742275084E-2</v>
      </c>
      <c r="P210" s="47">
        <f t="shared" si="99"/>
        <v>12.96</v>
      </c>
    </row>
    <row r="211" spans="1:16" ht="15.75" x14ac:dyDescent="0.3">
      <c r="A211" s="57" t="s">
        <v>42</v>
      </c>
      <c r="B211" s="50">
        <v>43925</v>
      </c>
      <c r="C211" s="47">
        <v>-18.600000000000001</v>
      </c>
      <c r="D211" s="47">
        <v>0</v>
      </c>
      <c r="E211" s="48">
        <v>0</v>
      </c>
      <c r="F211" s="48">
        <f t="shared" si="104"/>
        <v>-18.600000000000001</v>
      </c>
      <c r="G211" s="48">
        <f t="shared" si="105"/>
        <v>26.127265065318166</v>
      </c>
      <c r="H211" s="48">
        <f>-0.7119</f>
        <v>-0.71189999999999998</v>
      </c>
      <c r="I211" s="56">
        <v>38.984900000000003</v>
      </c>
      <c r="J211" s="47">
        <f t="shared" si="90"/>
        <v>-27.753350310000002</v>
      </c>
      <c r="K211" s="49">
        <f>0</f>
        <v>0</v>
      </c>
      <c r="L211" s="48">
        <f t="shared" si="91"/>
        <v>-9.1533503100000004</v>
      </c>
      <c r="M211" s="46">
        <f t="shared" si="92"/>
        <v>0.4921156080645161</v>
      </c>
      <c r="N211" s="47">
        <f t="shared" ca="1" si="93"/>
        <v>75.63333333333334</v>
      </c>
      <c r="O211" s="46">
        <f t="shared" ca="1" si="94"/>
        <v>7.8079162143334407E-2</v>
      </c>
      <c r="P211" s="47">
        <f t="shared" si="99"/>
        <v>18.600000000000001</v>
      </c>
    </row>
    <row r="212" spans="1:16" ht="15.75" x14ac:dyDescent="0.3">
      <c r="A212" s="55" t="s">
        <v>44</v>
      </c>
      <c r="B212" s="50">
        <v>43956</v>
      </c>
      <c r="C212" s="47">
        <f>11569*40%</f>
        <v>4627.6000000000004</v>
      </c>
      <c r="D212" s="47">
        <v>0</v>
      </c>
      <c r="E212" s="48">
        <v>0</v>
      </c>
      <c r="F212" s="48">
        <f t="shared" ref="F212:F220" si="106">SUM(C212:E212)</f>
        <v>4627.6000000000004</v>
      </c>
      <c r="G212" s="48">
        <f t="shared" ref="G212:G220" si="107">F212/H212</f>
        <v>23.533300617116009</v>
      </c>
      <c r="H212" s="48">
        <f>196.6405</f>
        <v>196.6405</v>
      </c>
      <c r="I212" s="56">
        <v>74.919499999999999</v>
      </c>
      <c r="J212" s="47">
        <f t="shared" si="90"/>
        <v>14732.20793975</v>
      </c>
      <c r="K212" s="49">
        <f>0</f>
        <v>0</v>
      </c>
      <c r="L212" s="48">
        <f t="shared" si="91"/>
        <v>10104.60793975</v>
      </c>
      <c r="M212" s="46">
        <f t="shared" si="92"/>
        <v>2.1835525844390178</v>
      </c>
      <c r="N212" s="47">
        <f t="shared" ca="1" si="93"/>
        <v>74.599999999999994</v>
      </c>
      <c r="O212" s="46">
        <f t="shared" ca="1" si="94"/>
        <v>0.35124170259072673</v>
      </c>
      <c r="P212" s="47">
        <f t="shared" si="99"/>
        <v>-4627.6000000000004</v>
      </c>
    </row>
    <row r="213" spans="1:16" ht="15.75" x14ac:dyDescent="0.3">
      <c r="A213" s="57" t="s">
        <v>43</v>
      </c>
      <c r="B213" s="50">
        <v>43956</v>
      </c>
      <c r="C213" s="47">
        <f>11569*25%</f>
        <v>2892.25</v>
      </c>
      <c r="D213" s="47">
        <v>0</v>
      </c>
      <c r="E213" s="48">
        <v>0</v>
      </c>
      <c r="F213" s="48">
        <f t="shared" si="106"/>
        <v>2892.25</v>
      </c>
      <c r="G213" s="48">
        <f t="shared" si="107"/>
        <v>29.546401820849049</v>
      </c>
      <c r="H213" s="48">
        <f>97.8884</f>
        <v>97.888400000000004</v>
      </c>
      <c r="I213" s="56">
        <v>46.404400000000003</v>
      </c>
      <c r="J213" s="47">
        <f t="shared" si="90"/>
        <v>4542.4524689600003</v>
      </c>
      <c r="K213" s="49">
        <f>0</f>
        <v>0</v>
      </c>
      <c r="L213" s="48">
        <f t="shared" si="91"/>
        <v>1650.2024689600003</v>
      </c>
      <c r="M213" s="46">
        <f t="shared" si="92"/>
        <v>0.57056010682340752</v>
      </c>
      <c r="N213" s="47">
        <f t="shared" ca="1" si="93"/>
        <v>74.599999999999994</v>
      </c>
      <c r="O213" s="46">
        <f t="shared" ca="1" si="94"/>
        <v>9.1779105655239834E-2</v>
      </c>
      <c r="P213" s="47">
        <f t="shared" si="99"/>
        <v>-2892.25</v>
      </c>
    </row>
    <row r="214" spans="1:16" ht="15.75" x14ac:dyDescent="0.3">
      <c r="A214" s="57" t="s">
        <v>42</v>
      </c>
      <c r="B214" s="50">
        <v>43956</v>
      </c>
      <c r="C214" s="47">
        <f>11569*35%</f>
        <v>4049.1499999999996</v>
      </c>
      <c r="D214" s="47">
        <v>0</v>
      </c>
      <c r="E214" s="48">
        <v>0</v>
      </c>
      <c r="F214" s="48">
        <f t="shared" si="106"/>
        <v>4049.1499999999996</v>
      </c>
      <c r="G214" s="48">
        <f t="shared" si="107"/>
        <v>26.909800679465569</v>
      </c>
      <c r="H214" s="48">
        <f>150.4712</f>
        <v>150.47120000000001</v>
      </c>
      <c r="I214" s="56">
        <v>38.984900000000003</v>
      </c>
      <c r="J214" s="47">
        <f t="shared" si="90"/>
        <v>5866.1046848800006</v>
      </c>
      <c r="K214" s="49">
        <f>0</f>
        <v>0</v>
      </c>
      <c r="L214" s="48">
        <f t="shared" si="91"/>
        <v>1816.954684880001</v>
      </c>
      <c r="M214" s="46">
        <f t="shared" si="92"/>
        <v>0.44872496323425931</v>
      </c>
      <c r="N214" s="47">
        <f t="shared" ca="1" si="93"/>
        <v>74.599999999999994</v>
      </c>
      <c r="O214" s="46">
        <f t="shared" ca="1" si="94"/>
        <v>7.2180959233392919E-2</v>
      </c>
      <c r="P214" s="47">
        <f t="shared" si="99"/>
        <v>-4049.1499999999996</v>
      </c>
    </row>
    <row r="215" spans="1:16" ht="15.75" x14ac:dyDescent="0.3">
      <c r="A215" s="55" t="s">
        <v>44</v>
      </c>
      <c r="B215" s="50">
        <v>43983</v>
      </c>
      <c r="C215" s="47">
        <f>11569*40%</f>
        <v>4627.6000000000004</v>
      </c>
      <c r="D215" s="47">
        <v>0</v>
      </c>
      <c r="E215" s="48">
        <v>0</v>
      </c>
      <c r="F215" s="48">
        <f t="shared" si="106"/>
        <v>4627.6000000000004</v>
      </c>
      <c r="G215" s="48">
        <f t="shared" si="107"/>
        <v>25.13511017929596</v>
      </c>
      <c r="H215" s="48">
        <f>184.109</f>
        <v>184.10900000000001</v>
      </c>
      <c r="I215" s="56">
        <v>74.919499999999999</v>
      </c>
      <c r="J215" s="47">
        <f t="shared" si="90"/>
        <v>13793.354225500001</v>
      </c>
      <c r="K215" s="49">
        <f>0</f>
        <v>0</v>
      </c>
      <c r="L215" s="48">
        <f t="shared" si="91"/>
        <v>9165.7542255000008</v>
      </c>
      <c r="M215" s="46">
        <f t="shared" si="92"/>
        <v>1.9806712389791685</v>
      </c>
      <c r="N215" s="47">
        <f t="shared" ca="1" si="93"/>
        <v>73.733333333333334</v>
      </c>
      <c r="O215" s="46">
        <f t="shared" ca="1" si="94"/>
        <v>0.32235155788087738</v>
      </c>
      <c r="P215" s="47">
        <f t="shared" si="99"/>
        <v>-4627.6000000000004</v>
      </c>
    </row>
    <row r="216" spans="1:16" ht="15.75" x14ac:dyDescent="0.3">
      <c r="A216" s="57" t="s">
        <v>43</v>
      </c>
      <c r="B216" s="50">
        <v>43983</v>
      </c>
      <c r="C216" s="47">
        <f>11569*25%</f>
        <v>2892.25</v>
      </c>
      <c r="D216" s="47">
        <v>0</v>
      </c>
      <c r="E216" s="48">
        <v>0</v>
      </c>
      <c r="F216" s="48">
        <f t="shared" si="106"/>
        <v>2892.25</v>
      </c>
      <c r="G216" s="48">
        <f t="shared" si="107"/>
        <v>30.194031034943546</v>
      </c>
      <c r="H216" s="48">
        <f>95.7888</f>
        <v>95.788799999999995</v>
      </c>
      <c r="I216" s="56">
        <v>46.404400000000003</v>
      </c>
      <c r="J216" s="47">
        <f t="shared" si="90"/>
        <v>4445.0217907200004</v>
      </c>
      <c r="K216" s="49">
        <f>0</f>
        <v>0</v>
      </c>
      <c r="L216" s="48">
        <f t="shared" si="91"/>
        <v>1552.7717907200004</v>
      </c>
      <c r="M216" s="46">
        <f t="shared" si="92"/>
        <v>0.53687329612585366</v>
      </c>
      <c r="N216" s="47">
        <f t="shared" ca="1" si="93"/>
        <v>73.733333333333334</v>
      </c>
      <c r="O216" s="46">
        <f t="shared" ca="1" si="94"/>
        <v>8.7375400816142548E-2</v>
      </c>
      <c r="P216" s="47">
        <f t="shared" si="99"/>
        <v>-2892.25</v>
      </c>
    </row>
    <row r="217" spans="1:16" ht="15.75" x14ac:dyDescent="0.3">
      <c r="A217" s="57" t="s">
        <v>42</v>
      </c>
      <c r="B217" s="50">
        <v>43983</v>
      </c>
      <c r="C217" s="47">
        <f>11569*35%</f>
        <v>4049.1499999999996</v>
      </c>
      <c r="D217" s="47">
        <v>0</v>
      </c>
      <c r="E217" s="48">
        <v>0</v>
      </c>
      <c r="F217" s="48">
        <f t="shared" si="106"/>
        <v>4049.1499999999996</v>
      </c>
      <c r="G217" s="48">
        <f t="shared" si="107"/>
        <v>27.306611745252031</v>
      </c>
      <c r="H217" s="48">
        <f>148.2846</f>
        <v>148.28460000000001</v>
      </c>
      <c r="I217" s="56">
        <v>38.984900000000003</v>
      </c>
      <c r="J217" s="47">
        <f t="shared" si="90"/>
        <v>5780.8603025400007</v>
      </c>
      <c r="K217" s="49">
        <f>0</f>
        <v>0</v>
      </c>
      <c r="L217" s="48">
        <f t="shared" si="91"/>
        <v>1731.7103025400011</v>
      </c>
      <c r="M217" s="46">
        <f t="shared" si="92"/>
        <v>0.4276725491868667</v>
      </c>
      <c r="N217" s="47">
        <f t="shared" ca="1" si="93"/>
        <v>73.733333333333334</v>
      </c>
      <c r="O217" s="46">
        <f t="shared" ca="1" si="94"/>
        <v>6.9603127354101277E-2</v>
      </c>
      <c r="P217" s="47">
        <f t="shared" si="99"/>
        <v>-4049.1499999999996</v>
      </c>
    </row>
    <row r="218" spans="1:16" ht="15.75" x14ac:dyDescent="0.3">
      <c r="A218" s="55" t="s">
        <v>44</v>
      </c>
      <c r="B218" s="50">
        <v>44014</v>
      </c>
      <c r="C218" s="47">
        <f>11569*40%</f>
        <v>4627.6000000000004</v>
      </c>
      <c r="D218" s="47">
        <v>0</v>
      </c>
      <c r="E218" s="48">
        <v>0</v>
      </c>
      <c r="F218" s="48">
        <f t="shared" si="106"/>
        <v>4627.6000000000004</v>
      </c>
      <c r="G218" s="48">
        <f t="shared" si="107"/>
        <v>26.942903820424117</v>
      </c>
      <c r="H218" s="48">
        <f>171.7558</f>
        <v>171.75579999999999</v>
      </c>
      <c r="I218" s="56">
        <v>74.919499999999999</v>
      </c>
      <c r="J218" s="47">
        <f t="shared" si="90"/>
        <v>12867.8586581</v>
      </c>
      <c r="K218" s="49">
        <f>0</f>
        <v>0</v>
      </c>
      <c r="L218" s="48">
        <f t="shared" si="91"/>
        <v>8240.2586580999996</v>
      </c>
      <c r="M218" s="46">
        <f t="shared" si="92"/>
        <v>1.7806765187354134</v>
      </c>
      <c r="N218" s="47">
        <f t="shared" ca="1" si="93"/>
        <v>72.7</v>
      </c>
      <c r="O218" s="46">
        <f t="shared" ca="1" si="94"/>
        <v>0.29392184628369961</v>
      </c>
      <c r="P218" s="47">
        <f t="shared" si="99"/>
        <v>-4627.6000000000004</v>
      </c>
    </row>
    <row r="219" spans="1:16" ht="15.75" x14ac:dyDescent="0.3">
      <c r="A219" s="57" t="s">
        <v>43</v>
      </c>
      <c r="B219" s="50">
        <v>44014</v>
      </c>
      <c r="C219" s="47">
        <f>11569*25%</f>
        <v>2892.25</v>
      </c>
      <c r="D219" s="47">
        <v>0</v>
      </c>
      <c r="E219" s="48">
        <v>0</v>
      </c>
      <c r="F219" s="48">
        <f t="shared" si="106"/>
        <v>2892.25</v>
      </c>
      <c r="G219" s="48">
        <f t="shared" si="107"/>
        <v>30.833925900497757</v>
      </c>
      <c r="H219" s="48">
        <f>93.8009</f>
        <v>93.800899999999999</v>
      </c>
      <c r="I219" s="56">
        <v>46.404400000000003</v>
      </c>
      <c r="J219" s="47">
        <f t="shared" si="90"/>
        <v>4352.77448396</v>
      </c>
      <c r="K219" s="49">
        <f>0</f>
        <v>0</v>
      </c>
      <c r="L219" s="48">
        <f t="shared" si="91"/>
        <v>1460.52448396</v>
      </c>
      <c r="M219" s="46">
        <f t="shared" si="92"/>
        <v>0.50497864429423456</v>
      </c>
      <c r="N219" s="47">
        <f t="shared" ca="1" si="93"/>
        <v>72.7</v>
      </c>
      <c r="O219" s="46">
        <f t="shared" ca="1" si="94"/>
        <v>8.3352733583642563E-2</v>
      </c>
      <c r="P219" s="47">
        <f t="shared" si="99"/>
        <v>-2892.25</v>
      </c>
    </row>
    <row r="220" spans="1:16" ht="15.75" x14ac:dyDescent="0.3">
      <c r="A220" s="57" t="s">
        <v>42</v>
      </c>
      <c r="B220" s="50">
        <v>44014</v>
      </c>
      <c r="C220" s="47">
        <f>11569*35%</f>
        <v>4049.1499999999996</v>
      </c>
      <c r="D220" s="47">
        <v>0</v>
      </c>
      <c r="E220" s="48">
        <v>0</v>
      </c>
      <c r="F220" s="48">
        <f t="shared" si="106"/>
        <v>4049.1499999999996</v>
      </c>
      <c r="G220" s="48">
        <f t="shared" si="107"/>
        <v>27.616401993708958</v>
      </c>
      <c r="H220" s="48">
        <f>146.6212</f>
        <v>146.62119999999999</v>
      </c>
      <c r="I220" s="56">
        <v>38.984900000000003</v>
      </c>
      <c r="J220" s="47">
        <f t="shared" si="90"/>
        <v>5716.0128198800003</v>
      </c>
      <c r="K220" s="49">
        <f>0</f>
        <v>0</v>
      </c>
      <c r="L220" s="48">
        <f t="shared" si="91"/>
        <v>1666.8628198800006</v>
      </c>
      <c r="M220" s="46">
        <f t="shared" si="92"/>
        <v>0.41165746388254343</v>
      </c>
      <c r="N220" s="47">
        <f t="shared" ca="1" si="93"/>
        <v>72.7</v>
      </c>
      <c r="O220" s="46">
        <f t="shared" ca="1" si="94"/>
        <v>6.7948962401520235E-2</v>
      </c>
      <c r="P220" s="47">
        <f t="shared" si="99"/>
        <v>-4049.1499999999996</v>
      </c>
    </row>
    <row r="221" spans="1:16" ht="15.75" x14ac:dyDescent="0.3">
      <c r="A221" s="55" t="s">
        <v>44</v>
      </c>
      <c r="B221" s="50">
        <v>44016</v>
      </c>
      <c r="C221" s="47">
        <v>-13.24</v>
      </c>
      <c r="D221" s="47">
        <v>0</v>
      </c>
      <c r="E221" s="48">
        <v>0</v>
      </c>
      <c r="F221" s="48">
        <f t="shared" ref="F221:F223" si="108">SUM(C221:E221)</f>
        <v>-13.24</v>
      </c>
      <c r="G221" s="48">
        <f t="shared" ref="G221:G223" si="109">F221/H221</f>
        <v>27.097830536225953</v>
      </c>
      <c r="H221" s="48">
        <f>-0.4886</f>
        <v>-0.48859999999999998</v>
      </c>
      <c r="I221" s="56">
        <v>74.919499999999999</v>
      </c>
      <c r="J221" s="47">
        <f t="shared" si="90"/>
        <v>-36.605667699999998</v>
      </c>
      <c r="K221" s="49">
        <f>0</f>
        <v>0</v>
      </c>
      <c r="L221" s="48">
        <f t="shared" si="91"/>
        <v>-23.365667699999996</v>
      </c>
      <c r="M221" s="46">
        <f t="shared" si="92"/>
        <v>1.764778527190332</v>
      </c>
      <c r="N221" s="47">
        <f t="shared" ca="1" si="93"/>
        <v>72.63333333333334</v>
      </c>
      <c r="O221" s="46">
        <f t="shared" ca="1" si="94"/>
        <v>0.29156506185797132</v>
      </c>
      <c r="P221" s="47">
        <f t="shared" si="99"/>
        <v>13.24</v>
      </c>
    </row>
    <row r="222" spans="1:16" ht="15.75" x14ac:dyDescent="0.3">
      <c r="A222" s="57" t="s">
        <v>43</v>
      </c>
      <c r="B222" s="50">
        <v>44016</v>
      </c>
      <c r="C222" s="47">
        <v>-9.68</v>
      </c>
      <c r="D222" s="47">
        <v>0</v>
      </c>
      <c r="E222" s="48">
        <v>0</v>
      </c>
      <c r="F222" s="48">
        <f t="shared" si="108"/>
        <v>-9.68</v>
      </c>
      <c r="G222" s="48">
        <f t="shared" si="109"/>
        <v>30.867346938775512</v>
      </c>
      <c r="H222" s="48">
        <f>-0.3136</f>
        <v>-0.31359999999999999</v>
      </c>
      <c r="I222" s="56">
        <v>46.404400000000003</v>
      </c>
      <c r="J222" s="47">
        <f t="shared" si="90"/>
        <v>-14.552419840000001</v>
      </c>
      <c r="K222" s="49">
        <f>0</f>
        <v>0</v>
      </c>
      <c r="L222" s="48">
        <f t="shared" si="91"/>
        <v>-4.8724198400000009</v>
      </c>
      <c r="M222" s="46">
        <f t="shared" si="92"/>
        <v>0.50334915702479355</v>
      </c>
      <c r="N222" s="47">
        <f t="shared" ca="1" si="93"/>
        <v>72.63333333333334</v>
      </c>
      <c r="O222" s="46">
        <f t="shared" ca="1" si="94"/>
        <v>8.3160025942600108E-2</v>
      </c>
      <c r="P222" s="47">
        <f t="shared" si="99"/>
        <v>9.68</v>
      </c>
    </row>
    <row r="223" spans="1:16" ht="15.75" x14ac:dyDescent="0.3">
      <c r="A223" s="57" t="s">
        <v>42</v>
      </c>
      <c r="B223" s="50">
        <v>44016</v>
      </c>
      <c r="C223" s="47">
        <v>-13.95</v>
      </c>
      <c r="D223" s="47">
        <v>0</v>
      </c>
      <c r="E223" s="48">
        <v>0</v>
      </c>
      <c r="F223" s="48">
        <f t="shared" si="108"/>
        <v>-13.95</v>
      </c>
      <c r="G223" s="48">
        <f t="shared" si="109"/>
        <v>27.601899485555997</v>
      </c>
      <c r="H223" s="48">
        <f>-0.5054</f>
        <v>-0.50539999999999996</v>
      </c>
      <c r="I223" s="56">
        <v>38.984900000000003</v>
      </c>
      <c r="J223" s="47">
        <f t="shared" si="90"/>
        <v>-19.702968460000001</v>
      </c>
      <c r="K223" s="49">
        <f>0</f>
        <v>0</v>
      </c>
      <c r="L223" s="48">
        <f t="shared" si="91"/>
        <v>-5.7529684600000017</v>
      </c>
      <c r="M223" s="46">
        <f t="shared" si="92"/>
        <v>0.41239917275985677</v>
      </c>
      <c r="N223" s="47">
        <f t="shared" ca="1" si="93"/>
        <v>72.63333333333334</v>
      </c>
      <c r="O223" s="46">
        <f t="shared" ca="1" si="94"/>
        <v>6.8133869753808363E-2</v>
      </c>
      <c r="P223" s="47">
        <f t="shared" si="99"/>
        <v>13.95</v>
      </c>
    </row>
    <row r="224" spans="1:16" ht="15.75" x14ac:dyDescent="0.3">
      <c r="A224" s="55" t="s">
        <v>44</v>
      </c>
      <c r="B224" s="50">
        <v>44047</v>
      </c>
      <c r="C224" s="47">
        <f>11569*40%</f>
        <v>4627.6000000000004</v>
      </c>
      <c r="D224" s="47">
        <v>0</v>
      </c>
      <c r="E224" s="48">
        <v>0</v>
      </c>
      <c r="F224" s="48">
        <f t="shared" ref="F224:F235" si="110">SUM(C224:E224)</f>
        <v>4627.6000000000004</v>
      </c>
      <c r="G224" s="48">
        <f t="shared" ref="G224:G235" si="111">F224/H224</f>
        <v>28.399209073803821</v>
      </c>
      <c r="H224" s="48">
        <f>162.9482</f>
        <v>162.94820000000001</v>
      </c>
      <c r="I224" s="56">
        <v>74.919499999999999</v>
      </c>
      <c r="J224" s="47">
        <f t="shared" si="90"/>
        <v>12207.997669900002</v>
      </c>
      <c r="K224" s="49">
        <f>0</f>
        <v>0</v>
      </c>
      <c r="L224" s="48">
        <f t="shared" si="91"/>
        <v>7580.3976699000013</v>
      </c>
      <c r="M224" s="46">
        <f t="shared" si="92"/>
        <v>1.6380840327383526</v>
      </c>
      <c r="N224" s="47">
        <f t="shared" ca="1" si="93"/>
        <v>71.63333333333334</v>
      </c>
      <c r="O224" s="46">
        <f t="shared" ca="1" si="94"/>
        <v>0.27441147128236709</v>
      </c>
      <c r="P224" s="47">
        <f t="shared" si="99"/>
        <v>-4627.6000000000004</v>
      </c>
    </row>
    <row r="225" spans="1:16" ht="15.75" x14ac:dyDescent="0.3">
      <c r="A225" s="57" t="s">
        <v>43</v>
      </c>
      <c r="B225" s="50">
        <v>44047</v>
      </c>
      <c r="C225" s="47">
        <f>11569*25%</f>
        <v>2892.25</v>
      </c>
      <c r="D225" s="47">
        <v>0</v>
      </c>
      <c r="E225" s="48">
        <v>0</v>
      </c>
      <c r="F225" s="48">
        <f t="shared" si="110"/>
        <v>2892.25</v>
      </c>
      <c r="G225" s="48">
        <f t="shared" si="111"/>
        <v>31.449225091528689</v>
      </c>
      <c r="H225" s="48">
        <f>91.9657</f>
        <v>91.965699999999998</v>
      </c>
      <c r="I225" s="56">
        <v>46.404400000000003</v>
      </c>
      <c r="J225" s="47">
        <f t="shared" si="90"/>
        <v>4267.6131290800004</v>
      </c>
      <c r="K225" s="49">
        <f>0</f>
        <v>0</v>
      </c>
      <c r="L225" s="48">
        <f t="shared" si="91"/>
        <v>1375.3631290800004</v>
      </c>
      <c r="M225" s="46">
        <f t="shared" si="92"/>
        <v>0.47553397150315513</v>
      </c>
      <c r="N225" s="47">
        <f t="shared" ca="1" si="93"/>
        <v>71.63333333333334</v>
      </c>
      <c r="O225" s="46">
        <f t="shared" ca="1" si="94"/>
        <v>7.9661344691082284E-2</v>
      </c>
      <c r="P225" s="47">
        <f t="shared" si="99"/>
        <v>-2892.25</v>
      </c>
    </row>
    <row r="226" spans="1:16" ht="15.75" x14ac:dyDescent="0.3">
      <c r="A226" s="57" t="s">
        <v>42</v>
      </c>
      <c r="B226" s="50">
        <v>44047</v>
      </c>
      <c r="C226" s="47">
        <f>11569*35%</f>
        <v>4049.1499999999996</v>
      </c>
      <c r="D226" s="47">
        <v>0</v>
      </c>
      <c r="E226" s="48">
        <v>0</v>
      </c>
      <c r="F226" s="48">
        <f t="shared" si="110"/>
        <v>4049.1499999999996</v>
      </c>
      <c r="G226" s="48">
        <f t="shared" si="111"/>
        <v>27.975702320259831</v>
      </c>
      <c r="H226" s="48">
        <f>144.7381</f>
        <v>144.7381</v>
      </c>
      <c r="I226" s="56">
        <v>38.984900000000003</v>
      </c>
      <c r="J226" s="47">
        <f t="shared" si="90"/>
        <v>5642.6003546900001</v>
      </c>
      <c r="K226" s="49">
        <f>0</f>
        <v>0</v>
      </c>
      <c r="L226" s="48">
        <f t="shared" si="91"/>
        <v>1593.4503546900005</v>
      </c>
      <c r="M226" s="46">
        <f t="shared" si="92"/>
        <v>0.39352712413469509</v>
      </c>
      <c r="N226" s="47">
        <f t="shared" ca="1" si="93"/>
        <v>71.63333333333334</v>
      </c>
      <c r="O226" s="46">
        <f t="shared" ca="1" si="94"/>
        <v>6.5923575936942869E-2</v>
      </c>
      <c r="P226" s="47">
        <f t="shared" si="99"/>
        <v>-4049.1499999999996</v>
      </c>
    </row>
    <row r="227" spans="1:16" ht="15.75" x14ac:dyDescent="0.3">
      <c r="A227" s="55" t="s">
        <v>44</v>
      </c>
      <c r="B227" s="50">
        <v>44076</v>
      </c>
      <c r="C227" s="47">
        <f>11569*40%</f>
        <v>4627.6000000000004</v>
      </c>
      <c r="D227" s="47">
        <v>0</v>
      </c>
      <c r="E227" s="48">
        <v>0</v>
      </c>
      <c r="F227" s="48">
        <f t="shared" si="110"/>
        <v>4627.6000000000004</v>
      </c>
      <c r="G227" s="48">
        <f t="shared" si="111"/>
        <v>29.585208674304422</v>
      </c>
      <c r="H227" s="48">
        <f>156.416</f>
        <v>156.416</v>
      </c>
      <c r="I227" s="56">
        <v>74.919499999999999</v>
      </c>
      <c r="J227" s="47">
        <f t="shared" si="90"/>
        <v>11718.608511999999</v>
      </c>
      <c r="K227" s="49">
        <f>0</f>
        <v>0</v>
      </c>
      <c r="L227" s="48">
        <f t="shared" si="91"/>
        <v>7091.0085119999985</v>
      </c>
      <c r="M227" s="46">
        <f t="shared" si="92"/>
        <v>1.5323296118938539</v>
      </c>
      <c r="N227" s="47">
        <f t="shared" ca="1" si="93"/>
        <v>70.7</v>
      </c>
      <c r="O227" s="46">
        <f t="shared" ca="1" si="94"/>
        <v>0.26008423398481256</v>
      </c>
      <c r="P227" s="47">
        <f t="shared" si="99"/>
        <v>-4627.6000000000004</v>
      </c>
    </row>
    <row r="228" spans="1:16" ht="15.75" x14ac:dyDescent="0.3">
      <c r="A228" s="57" t="s">
        <v>43</v>
      </c>
      <c r="B228" s="50">
        <v>44076</v>
      </c>
      <c r="C228" s="47">
        <f>11569*25%</f>
        <v>2892.25</v>
      </c>
      <c r="D228" s="47">
        <v>0</v>
      </c>
      <c r="E228" s="48">
        <v>0</v>
      </c>
      <c r="F228" s="48">
        <f t="shared" si="110"/>
        <v>2892.25</v>
      </c>
      <c r="G228" s="48">
        <f t="shared" si="111"/>
        <v>31.491926263869079</v>
      </c>
      <c r="H228" s="48">
        <f>91.841</f>
        <v>91.840999999999994</v>
      </c>
      <c r="I228" s="56">
        <v>46.404400000000003</v>
      </c>
      <c r="J228" s="47">
        <f t="shared" si="90"/>
        <v>4261.8265003999995</v>
      </c>
      <c r="K228" s="49">
        <f>0</f>
        <v>0</v>
      </c>
      <c r="L228" s="48">
        <f t="shared" si="91"/>
        <v>1369.5765003999995</v>
      </c>
      <c r="M228" s="46">
        <f t="shared" si="92"/>
        <v>0.47353323550868687</v>
      </c>
      <c r="N228" s="47">
        <f t="shared" ca="1" si="93"/>
        <v>70.7</v>
      </c>
      <c r="O228" s="46">
        <f t="shared" ca="1" si="94"/>
        <v>8.037339216554798E-2</v>
      </c>
      <c r="P228" s="47">
        <f t="shared" si="99"/>
        <v>-2892.25</v>
      </c>
    </row>
    <row r="229" spans="1:16" ht="15.75" x14ac:dyDescent="0.3">
      <c r="A229" s="57" t="s">
        <v>42</v>
      </c>
      <c r="B229" s="50">
        <v>44076</v>
      </c>
      <c r="C229" s="47">
        <f>11569*35%</f>
        <v>4049.1499999999996</v>
      </c>
      <c r="D229" s="47">
        <v>0</v>
      </c>
      <c r="E229" s="48">
        <v>0</v>
      </c>
      <c r="F229" s="48">
        <f t="shared" si="110"/>
        <v>4049.1499999999996</v>
      </c>
      <c r="G229" s="48">
        <f t="shared" si="111"/>
        <v>27.867918256217052</v>
      </c>
      <c r="H229" s="48">
        <f>145.2979</f>
        <v>145.2979</v>
      </c>
      <c r="I229" s="56">
        <v>38.984900000000003</v>
      </c>
      <c r="J229" s="47">
        <f t="shared" si="90"/>
        <v>5664.4241017100003</v>
      </c>
      <c r="K229" s="49">
        <f>0</f>
        <v>0</v>
      </c>
      <c r="L229" s="48">
        <f t="shared" si="91"/>
        <v>1615.2741017100007</v>
      </c>
      <c r="M229" s="46">
        <f t="shared" si="92"/>
        <v>0.39891683481965368</v>
      </c>
      <c r="N229" s="47">
        <f t="shared" ca="1" si="93"/>
        <v>70.7</v>
      </c>
      <c r="O229" s="46">
        <f t="shared" ca="1" si="94"/>
        <v>6.7708656546475871E-2</v>
      </c>
      <c r="P229" s="47">
        <f t="shared" si="99"/>
        <v>-4049.1499999999996</v>
      </c>
    </row>
    <row r="230" spans="1:16" ht="15.75" x14ac:dyDescent="0.3">
      <c r="A230" s="55" t="s">
        <v>44</v>
      </c>
      <c r="B230" s="50">
        <v>44107</v>
      </c>
      <c r="C230" s="47">
        <v>-15.51</v>
      </c>
      <c r="D230" s="47">
        <v>0</v>
      </c>
      <c r="E230" s="48">
        <v>0</v>
      </c>
      <c r="F230" s="48">
        <f t="shared" si="110"/>
        <v>-15.51</v>
      </c>
      <c r="G230" s="48">
        <f t="shared" si="111"/>
        <v>29.32501418037436</v>
      </c>
      <c r="H230" s="48">
        <f>-0.5289</f>
        <v>-0.52890000000000004</v>
      </c>
      <c r="I230" s="56">
        <v>74.919499999999999</v>
      </c>
      <c r="J230" s="47">
        <f t="shared" si="90"/>
        <v>-39.624923550000005</v>
      </c>
      <c r="K230" s="49">
        <f>0</f>
        <v>0</v>
      </c>
      <c r="L230" s="48">
        <f t="shared" si="91"/>
        <v>-24.114923550000007</v>
      </c>
      <c r="M230" s="46">
        <f t="shared" si="92"/>
        <v>1.5547984235976795</v>
      </c>
      <c r="N230" s="47">
        <f t="shared" ca="1" si="93"/>
        <v>69.666666666666671</v>
      </c>
      <c r="O230" s="46">
        <f t="shared" ca="1" si="94"/>
        <v>0.26781216865797347</v>
      </c>
      <c r="P230" s="47">
        <f t="shared" si="99"/>
        <v>15.51</v>
      </c>
    </row>
    <row r="231" spans="1:16" ht="15.75" x14ac:dyDescent="0.3">
      <c r="A231" s="57" t="s">
        <v>43</v>
      </c>
      <c r="B231" s="50">
        <v>44107</v>
      </c>
      <c r="C231" s="47">
        <v>-10.67</v>
      </c>
      <c r="D231" s="47">
        <v>0</v>
      </c>
      <c r="E231" s="48">
        <v>0</v>
      </c>
      <c r="F231" s="48">
        <f t="shared" si="110"/>
        <v>-10.67</v>
      </c>
      <c r="G231" s="48">
        <f t="shared" si="111"/>
        <v>31.502804842043105</v>
      </c>
      <c r="H231" s="48">
        <f>-0.3387</f>
        <v>-0.3387</v>
      </c>
      <c r="I231" s="56">
        <v>46.404400000000003</v>
      </c>
      <c r="J231" s="47">
        <f t="shared" si="90"/>
        <v>-15.717170280000001</v>
      </c>
      <c r="K231" s="49">
        <f>0</f>
        <v>0</v>
      </c>
      <c r="L231" s="48">
        <f t="shared" si="91"/>
        <v>-5.0471702800000013</v>
      </c>
      <c r="M231" s="46">
        <f t="shared" si="92"/>
        <v>0.47302439362699167</v>
      </c>
      <c r="N231" s="47">
        <f t="shared" ca="1" si="93"/>
        <v>69.666666666666671</v>
      </c>
      <c r="O231" s="46">
        <f t="shared" ca="1" si="94"/>
        <v>8.1477885983596648E-2</v>
      </c>
      <c r="P231" s="47">
        <f t="shared" si="99"/>
        <v>10.67</v>
      </c>
    </row>
    <row r="232" spans="1:16" ht="15.75" x14ac:dyDescent="0.3">
      <c r="A232" s="57" t="s">
        <v>42</v>
      </c>
      <c r="B232" s="50">
        <v>44107</v>
      </c>
      <c r="C232" s="47">
        <v>-15.11</v>
      </c>
      <c r="D232" s="47">
        <v>0</v>
      </c>
      <c r="E232" s="48">
        <v>0</v>
      </c>
      <c r="F232" s="48">
        <f t="shared" si="110"/>
        <v>-15.11</v>
      </c>
      <c r="G232" s="48">
        <f t="shared" si="111"/>
        <v>27.719684461566683</v>
      </c>
      <c r="H232" s="48">
        <f>-0.5451</f>
        <v>-0.54510000000000003</v>
      </c>
      <c r="I232" s="56">
        <v>38.984900000000003</v>
      </c>
      <c r="J232" s="47">
        <f t="shared" si="90"/>
        <v>-21.250668990000001</v>
      </c>
      <c r="K232" s="49">
        <f>0</f>
        <v>0</v>
      </c>
      <c r="L232" s="48">
        <f t="shared" si="91"/>
        <v>-6.1406689900000018</v>
      </c>
      <c r="M232" s="46">
        <f t="shared" si="92"/>
        <v>0.40639768299139656</v>
      </c>
      <c r="N232" s="47">
        <f t="shared" ca="1" si="93"/>
        <v>69.666666666666671</v>
      </c>
      <c r="O232" s="46">
        <f t="shared" ca="1" si="94"/>
        <v>7.0001514773637682E-2</v>
      </c>
      <c r="P232" s="47">
        <f t="shared" si="99"/>
        <v>15.11</v>
      </c>
    </row>
    <row r="233" spans="1:16" ht="15.75" x14ac:dyDescent="0.3">
      <c r="A233" s="55" t="s">
        <v>44</v>
      </c>
      <c r="B233" s="50">
        <v>44109</v>
      </c>
      <c r="C233" s="47">
        <f>11569*40%</f>
        <v>4627.6000000000004</v>
      </c>
      <c r="D233" s="47">
        <v>0</v>
      </c>
      <c r="E233" s="48">
        <v>0</v>
      </c>
      <c r="F233" s="48">
        <f t="shared" si="110"/>
        <v>4627.6000000000004</v>
      </c>
      <c r="G233" s="48">
        <f t="shared" si="111"/>
        <v>29.524014898539114</v>
      </c>
      <c r="H233" s="48">
        <f>156.7402</f>
        <v>156.74019999999999</v>
      </c>
      <c r="I233" s="56">
        <v>74.919499999999999</v>
      </c>
      <c r="J233" s="47">
        <f t="shared" si="90"/>
        <v>11742.897413899998</v>
      </c>
      <c r="K233" s="49">
        <f>0</f>
        <v>0</v>
      </c>
      <c r="L233" s="48">
        <f t="shared" si="91"/>
        <v>7115.297413899998</v>
      </c>
      <c r="M233" s="46">
        <f t="shared" si="92"/>
        <v>1.5375783157360181</v>
      </c>
      <c r="N233" s="47">
        <f t="shared" ca="1" si="93"/>
        <v>69.599999999999994</v>
      </c>
      <c r="O233" s="46">
        <f t="shared" ca="1" si="94"/>
        <v>0.26509970960965829</v>
      </c>
      <c r="P233" s="47">
        <f t="shared" si="99"/>
        <v>-4627.6000000000004</v>
      </c>
    </row>
    <row r="234" spans="1:16" ht="15.75" x14ac:dyDescent="0.3">
      <c r="A234" s="57" t="s">
        <v>43</v>
      </c>
      <c r="B234" s="50">
        <v>44109</v>
      </c>
      <c r="C234" s="47">
        <f>11569*25%</f>
        <v>2892.25</v>
      </c>
      <c r="D234" s="47">
        <v>0</v>
      </c>
      <c r="E234" s="48">
        <v>0</v>
      </c>
      <c r="F234" s="48">
        <f t="shared" si="110"/>
        <v>2892.25</v>
      </c>
      <c r="G234" s="48">
        <f t="shared" si="111"/>
        <v>31.507020926609805</v>
      </c>
      <c r="H234" s="48">
        <f>91.797</f>
        <v>91.796999999999997</v>
      </c>
      <c r="I234" s="56">
        <v>46.404400000000003</v>
      </c>
      <c r="J234" s="47">
        <f t="shared" si="90"/>
        <v>4259.7847068000001</v>
      </c>
      <c r="K234" s="49">
        <f>0</f>
        <v>0</v>
      </c>
      <c r="L234" s="48">
        <f t="shared" si="91"/>
        <v>1367.5347068000001</v>
      </c>
      <c r="M234" s="46">
        <f t="shared" si="92"/>
        <v>0.47282728215057485</v>
      </c>
      <c r="N234" s="47">
        <f t="shared" ca="1" si="93"/>
        <v>69.599999999999994</v>
      </c>
      <c r="O234" s="46">
        <f t="shared" ca="1" si="94"/>
        <v>8.1521945198374982E-2</v>
      </c>
      <c r="P234" s="47">
        <f t="shared" si="99"/>
        <v>-2892.25</v>
      </c>
    </row>
    <row r="235" spans="1:16" ht="15.75" x14ac:dyDescent="0.3">
      <c r="A235" s="57" t="s">
        <v>42</v>
      </c>
      <c r="B235" s="50">
        <v>44109</v>
      </c>
      <c r="C235" s="47">
        <f>11569*35%</f>
        <v>4049.1499999999996</v>
      </c>
      <c r="D235" s="47">
        <v>0</v>
      </c>
      <c r="E235" s="48">
        <v>0</v>
      </c>
      <c r="F235" s="48">
        <f t="shared" si="110"/>
        <v>4049.1499999999996</v>
      </c>
      <c r="G235" s="48">
        <f t="shared" si="111"/>
        <v>27.749717647316825</v>
      </c>
      <c r="H235" s="48">
        <f>145.9168</f>
        <v>145.91679999999999</v>
      </c>
      <c r="I235" s="56">
        <v>38.984900000000003</v>
      </c>
      <c r="J235" s="47">
        <f t="shared" si="90"/>
        <v>5688.5518563200003</v>
      </c>
      <c r="K235" s="49">
        <f>0</f>
        <v>0</v>
      </c>
      <c r="L235" s="48">
        <f t="shared" si="91"/>
        <v>1639.4018563200007</v>
      </c>
      <c r="M235" s="46">
        <f t="shared" si="92"/>
        <v>0.40487555568946587</v>
      </c>
      <c r="N235" s="47">
        <f t="shared" ca="1" si="93"/>
        <v>69.599999999999994</v>
      </c>
      <c r="O235" s="46">
        <f t="shared" ca="1" si="94"/>
        <v>6.9806130291287224E-2</v>
      </c>
      <c r="P235" s="47">
        <f t="shared" si="99"/>
        <v>-4049.1499999999996</v>
      </c>
    </row>
    <row r="236" spans="1:16" ht="15.75" x14ac:dyDescent="0.3">
      <c r="A236" s="55" t="s">
        <v>44</v>
      </c>
      <c r="B236" s="50">
        <v>44128</v>
      </c>
      <c r="C236" s="47">
        <v>-1947.26</v>
      </c>
      <c r="D236" s="47">
        <v>0</v>
      </c>
      <c r="E236" s="48">
        <v>0</v>
      </c>
      <c r="F236" s="48">
        <f t="shared" ref="F236:F238" si="112">SUM(C236:E236)</f>
        <v>-1947.26</v>
      </c>
      <c r="G236" s="48">
        <f t="shared" ref="G236:G238" si="113">F236/H236</f>
        <v>30.091870716498871</v>
      </c>
      <c r="H236" s="48">
        <f>-64.7105</f>
        <v>-64.710499999999996</v>
      </c>
      <c r="I236" s="56">
        <v>74.919499999999999</v>
      </c>
      <c r="J236" s="47">
        <f t="shared" si="90"/>
        <v>-4848.0783047499999</v>
      </c>
      <c r="K236" s="49">
        <f>0</f>
        <v>0</v>
      </c>
      <c r="L236" s="48">
        <f t="shared" si="91"/>
        <v>-2900.8183047499997</v>
      </c>
      <c r="M236" s="46">
        <f t="shared" si="92"/>
        <v>1.4896923393640293</v>
      </c>
      <c r="N236" s="47">
        <f t="shared" ca="1" si="93"/>
        <v>68.966666666666669</v>
      </c>
      <c r="O236" s="46">
        <f t="shared" ca="1" si="94"/>
        <v>0.25920214701355754</v>
      </c>
      <c r="P236" s="47">
        <f t="shared" si="99"/>
        <v>1947.26</v>
      </c>
    </row>
    <row r="237" spans="1:16" ht="15.75" x14ac:dyDescent="0.3">
      <c r="A237" s="57" t="s">
        <v>43</v>
      </c>
      <c r="B237" s="50">
        <v>44128</v>
      </c>
      <c r="C237" s="47">
        <v>-16213.29</v>
      </c>
      <c r="D237" s="47">
        <v>0</v>
      </c>
      <c r="E237" s="48">
        <v>0</v>
      </c>
      <c r="F237" s="48">
        <f t="shared" si="112"/>
        <v>-16213.29</v>
      </c>
      <c r="G237" s="48">
        <f t="shared" si="113"/>
        <v>32.129898939175447</v>
      </c>
      <c r="H237" s="48">
        <f>-504.6169</f>
        <v>-504.61689999999999</v>
      </c>
      <c r="I237" s="56">
        <v>46.404400000000003</v>
      </c>
      <c r="J237" s="47">
        <f t="shared" si="90"/>
        <v>-23416.44447436</v>
      </c>
      <c r="K237" s="49">
        <f>0</f>
        <v>0</v>
      </c>
      <c r="L237" s="48">
        <f t="shared" si="91"/>
        <v>-7203.1544743599989</v>
      </c>
      <c r="M237" s="46">
        <f t="shared" si="92"/>
        <v>0.44427469528763125</v>
      </c>
      <c r="N237" s="47">
        <f t="shared" ca="1" si="93"/>
        <v>68.966666666666669</v>
      </c>
      <c r="O237" s="46">
        <f t="shared" ca="1" si="94"/>
        <v>7.730250860490441E-2</v>
      </c>
      <c r="P237" s="47">
        <f t="shared" si="99"/>
        <v>16213.29</v>
      </c>
    </row>
    <row r="238" spans="1:16" ht="15.75" x14ac:dyDescent="0.3">
      <c r="A238" s="57" t="s">
        <v>42</v>
      </c>
      <c r="B238" s="50">
        <v>44128</v>
      </c>
      <c r="C238" s="47">
        <v>18160.55</v>
      </c>
      <c r="D238" s="47">
        <v>0</v>
      </c>
      <c r="E238" s="48">
        <v>0</v>
      </c>
      <c r="F238" s="48">
        <f t="shared" si="112"/>
        <v>18160.55</v>
      </c>
      <c r="G238" s="48">
        <f t="shared" si="113"/>
        <v>28.21400357169767</v>
      </c>
      <c r="H238" s="48">
        <f>643.6715</f>
        <v>643.67150000000004</v>
      </c>
      <c r="I238" s="56">
        <v>38.984900000000003</v>
      </c>
      <c r="J238" s="47">
        <f t="shared" si="90"/>
        <v>25093.469060350002</v>
      </c>
      <c r="K238" s="49">
        <f>0</f>
        <v>0</v>
      </c>
      <c r="L238" s="48">
        <f t="shared" si="91"/>
        <v>6932.9190603500028</v>
      </c>
      <c r="M238" s="46">
        <f t="shared" si="92"/>
        <v>0.38175710869714868</v>
      </c>
      <c r="N238" s="47">
        <f t="shared" ca="1" si="93"/>
        <v>68.966666666666669</v>
      </c>
      <c r="O238" s="46">
        <f t="shared" ca="1" si="94"/>
        <v>6.6424629836139934E-2</v>
      </c>
      <c r="P238" s="47">
        <f t="shared" si="99"/>
        <v>-18160.55</v>
      </c>
    </row>
    <row r="239" spans="1:16" ht="15.75" x14ac:dyDescent="0.3">
      <c r="A239" s="55" t="s">
        <v>44</v>
      </c>
      <c r="B239" s="50">
        <v>44137</v>
      </c>
      <c r="C239" s="47">
        <f>11569*38%</f>
        <v>4396.22</v>
      </c>
      <c r="D239" s="47">
        <v>0</v>
      </c>
      <c r="E239" s="48">
        <v>0</v>
      </c>
      <c r="F239" s="48">
        <f t="shared" ref="F239:F250" si="114">SUM(C239:E239)</f>
        <v>4396.22</v>
      </c>
      <c r="G239" s="48">
        <f t="shared" ref="G239:G250" si="115">F239/H239</f>
        <v>29.93270924442756</v>
      </c>
      <c r="H239" s="48">
        <f>146.8701</f>
        <v>146.87010000000001</v>
      </c>
      <c r="I239" s="56">
        <v>74.919499999999999</v>
      </c>
      <c r="J239" s="47">
        <f t="shared" si="90"/>
        <v>11003.434456950001</v>
      </c>
      <c r="K239" s="49">
        <f>0</f>
        <v>0</v>
      </c>
      <c r="L239" s="48">
        <f t="shared" si="91"/>
        <v>6607.2144569500006</v>
      </c>
      <c r="M239" s="46">
        <f t="shared" si="92"/>
        <v>1.5029308034970952</v>
      </c>
      <c r="N239" s="47">
        <f t="shared" ca="1" si="93"/>
        <v>68.7</v>
      </c>
      <c r="O239" s="46">
        <f t="shared" ca="1" si="94"/>
        <v>0.26252066436630478</v>
      </c>
      <c r="P239" s="47">
        <f t="shared" si="99"/>
        <v>-4396.22</v>
      </c>
    </row>
    <row r="240" spans="1:16" ht="15.75" x14ac:dyDescent="0.3">
      <c r="A240" s="57" t="s">
        <v>43</v>
      </c>
      <c r="B240" s="50">
        <v>44137</v>
      </c>
      <c r="C240" s="47">
        <f>11569*24%</f>
        <v>2776.56</v>
      </c>
      <c r="D240" s="47">
        <v>0</v>
      </c>
      <c r="E240" s="48">
        <v>0</v>
      </c>
      <c r="F240" s="48">
        <f t="shared" si="114"/>
        <v>2776.56</v>
      </c>
      <c r="G240" s="48">
        <f t="shared" si="115"/>
        <v>32.133135820757339</v>
      </c>
      <c r="H240" s="48">
        <f>86.408</f>
        <v>86.408000000000001</v>
      </c>
      <c r="I240" s="56">
        <v>46.404400000000003</v>
      </c>
      <c r="J240" s="47">
        <f t="shared" si="90"/>
        <v>4009.7113952000004</v>
      </c>
      <c r="K240" s="49">
        <f>0</f>
        <v>0</v>
      </c>
      <c r="L240" s="48">
        <f t="shared" si="91"/>
        <v>1233.1513952000005</v>
      </c>
      <c r="M240" s="46">
        <f t="shared" si="92"/>
        <v>0.44412920851701404</v>
      </c>
      <c r="N240" s="47">
        <f t="shared" ca="1" si="93"/>
        <v>68.7</v>
      </c>
      <c r="O240" s="46">
        <f t="shared" ca="1" si="94"/>
        <v>7.7577154326115977E-2</v>
      </c>
      <c r="P240" s="47">
        <f t="shared" si="99"/>
        <v>-2776.56</v>
      </c>
    </row>
    <row r="241" spans="1:16" ht="15.75" x14ac:dyDescent="0.3">
      <c r="A241" s="57" t="s">
        <v>42</v>
      </c>
      <c r="B241" s="50">
        <v>44137</v>
      </c>
      <c r="C241" s="47">
        <f>11569*38%</f>
        <v>4396.22</v>
      </c>
      <c r="D241" s="47">
        <v>0</v>
      </c>
      <c r="E241" s="48">
        <v>0</v>
      </c>
      <c r="F241" s="48">
        <f t="shared" si="114"/>
        <v>4396.22</v>
      </c>
      <c r="G241" s="48">
        <f t="shared" si="115"/>
        <v>28.216602290334052</v>
      </c>
      <c r="H241" s="48">
        <f>155.8026</f>
        <v>155.80260000000001</v>
      </c>
      <c r="I241" s="56">
        <v>38.984900000000003</v>
      </c>
      <c r="J241" s="47">
        <f t="shared" si="90"/>
        <v>6073.948780740001</v>
      </c>
      <c r="K241" s="49">
        <f>0</f>
        <v>0</v>
      </c>
      <c r="L241" s="48">
        <f t="shared" si="91"/>
        <v>1677.7287807400007</v>
      </c>
      <c r="M241" s="46">
        <f t="shared" si="92"/>
        <v>0.38162985035780755</v>
      </c>
      <c r="N241" s="47">
        <f t="shared" ca="1" si="93"/>
        <v>68.7</v>
      </c>
      <c r="O241" s="46">
        <f t="shared" ca="1" si="94"/>
        <v>6.6660235870359394E-2</v>
      </c>
      <c r="P241" s="47">
        <f t="shared" si="99"/>
        <v>-4396.22</v>
      </c>
    </row>
    <row r="242" spans="1:16" ht="15.75" x14ac:dyDescent="0.3">
      <c r="A242" s="55" t="s">
        <v>44</v>
      </c>
      <c r="B242" s="50">
        <v>44167</v>
      </c>
      <c r="C242" s="47">
        <f>11569*38%</f>
        <v>4396.22</v>
      </c>
      <c r="D242" s="47">
        <v>0</v>
      </c>
      <c r="E242" s="48">
        <v>0</v>
      </c>
      <c r="F242" s="48">
        <f t="shared" si="114"/>
        <v>4396.22</v>
      </c>
      <c r="G242" s="48">
        <f t="shared" si="115"/>
        <v>33.754112520874521</v>
      </c>
      <c r="H242" s="48">
        <f>130.2425</f>
        <v>130.24250000000001</v>
      </c>
      <c r="I242" s="56">
        <v>74.919499999999999</v>
      </c>
      <c r="J242" s="47">
        <f t="shared" si="90"/>
        <v>9757.7029787499996</v>
      </c>
      <c r="K242" s="49">
        <f>0</f>
        <v>0</v>
      </c>
      <c r="L242" s="48">
        <f t="shared" si="91"/>
        <v>5361.4829787499993</v>
      </c>
      <c r="M242" s="46">
        <f t="shared" si="92"/>
        <v>1.2195665773664646</v>
      </c>
      <c r="N242" s="47">
        <f t="shared" ca="1" si="93"/>
        <v>67.7</v>
      </c>
      <c r="O242" s="46">
        <f t="shared" ca="1" si="94"/>
        <v>0.2161713283367441</v>
      </c>
      <c r="P242" s="47">
        <f t="shared" si="99"/>
        <v>-4396.22</v>
      </c>
    </row>
    <row r="243" spans="1:16" ht="15.75" x14ac:dyDescent="0.3">
      <c r="A243" s="57" t="s">
        <v>43</v>
      </c>
      <c r="B243" s="50">
        <v>44167</v>
      </c>
      <c r="C243" s="47">
        <f>11569*24%</f>
        <v>2776.56</v>
      </c>
      <c r="D243" s="47">
        <v>0</v>
      </c>
      <c r="E243" s="48">
        <v>0</v>
      </c>
      <c r="F243" s="48">
        <f t="shared" si="114"/>
        <v>2776.56</v>
      </c>
      <c r="G243" s="48">
        <f t="shared" si="115"/>
        <v>32.353222201766016</v>
      </c>
      <c r="H243" s="48">
        <f>85.8202</f>
        <v>85.8202</v>
      </c>
      <c r="I243" s="56">
        <v>46.404400000000003</v>
      </c>
      <c r="J243" s="47">
        <f t="shared" si="90"/>
        <v>3982.43488888</v>
      </c>
      <c r="K243" s="49">
        <f>0</f>
        <v>0</v>
      </c>
      <c r="L243" s="48">
        <f t="shared" si="91"/>
        <v>1205.8748888800001</v>
      </c>
      <c r="M243" s="46">
        <f t="shared" si="92"/>
        <v>0.4343053594663901</v>
      </c>
      <c r="N243" s="47">
        <f t="shared" ca="1" si="93"/>
        <v>67.7</v>
      </c>
      <c r="O243" s="46">
        <f t="shared" ca="1" si="94"/>
        <v>7.6981747615903706E-2</v>
      </c>
      <c r="P243" s="47">
        <f t="shared" si="99"/>
        <v>-2776.56</v>
      </c>
    </row>
    <row r="244" spans="1:16" ht="15.75" x14ac:dyDescent="0.3">
      <c r="A244" s="57" t="s">
        <v>42</v>
      </c>
      <c r="B244" s="50">
        <v>44167</v>
      </c>
      <c r="C244" s="47">
        <f>11569*38%</f>
        <v>4396.22</v>
      </c>
      <c r="D244" s="47">
        <v>0</v>
      </c>
      <c r="E244" s="48">
        <v>0</v>
      </c>
      <c r="F244" s="48">
        <f t="shared" si="114"/>
        <v>4396.22</v>
      </c>
      <c r="G244" s="48">
        <f t="shared" si="115"/>
        <v>28.442900306024086</v>
      </c>
      <c r="H244" s="48">
        <f>154.563</f>
        <v>154.56299999999999</v>
      </c>
      <c r="I244" s="56">
        <v>38.984900000000003</v>
      </c>
      <c r="J244" s="47">
        <f t="shared" si="90"/>
        <v>6025.6230986999999</v>
      </c>
      <c r="K244" s="49">
        <f>0</f>
        <v>0</v>
      </c>
      <c r="L244" s="48">
        <f t="shared" si="91"/>
        <v>1629.4030986999996</v>
      </c>
      <c r="M244" s="46">
        <f t="shared" si="92"/>
        <v>0.37063729720077693</v>
      </c>
      <c r="N244" s="47">
        <f t="shared" ca="1" si="93"/>
        <v>67.7</v>
      </c>
      <c r="O244" s="46">
        <f t="shared" ca="1" si="94"/>
        <v>6.5696419001614811E-2</v>
      </c>
      <c r="P244" s="47">
        <f t="shared" si="99"/>
        <v>-4396.22</v>
      </c>
    </row>
    <row r="245" spans="1:16" ht="15.75" x14ac:dyDescent="0.3">
      <c r="A245" s="55" t="s">
        <v>44</v>
      </c>
      <c r="B245" s="50">
        <v>44180</v>
      </c>
      <c r="C245" s="47">
        <f>50000*38%</f>
        <v>19000</v>
      </c>
      <c r="D245" s="47">
        <f>504.52*38%</f>
        <v>191.7176</v>
      </c>
      <c r="E245" s="48">
        <v>0</v>
      </c>
      <c r="F245" s="48">
        <f t="shared" si="114"/>
        <v>19191.7176</v>
      </c>
      <c r="G245" s="48">
        <f t="shared" si="115"/>
        <v>35.726192457403265</v>
      </c>
      <c r="H245" s="48">
        <f>537.189</f>
        <v>537.18899999999996</v>
      </c>
      <c r="I245" s="56">
        <v>74.919499999999999</v>
      </c>
      <c r="J245" s="47">
        <f t="shared" si="90"/>
        <v>40245.931285499995</v>
      </c>
      <c r="K245" s="49">
        <f>0</f>
        <v>0</v>
      </c>
      <c r="L245" s="48">
        <f t="shared" si="91"/>
        <v>21054.213685499995</v>
      </c>
      <c r="M245" s="46">
        <f t="shared" si="92"/>
        <v>1.0970468680458281</v>
      </c>
      <c r="N245" s="47">
        <f t="shared" ca="1" si="93"/>
        <v>67.266666666666666</v>
      </c>
      <c r="O245" s="46">
        <f t="shared" ca="1" si="94"/>
        <v>0.195707072594895</v>
      </c>
      <c r="P245" s="47">
        <f t="shared" si="99"/>
        <v>-19191.7176</v>
      </c>
    </row>
    <row r="246" spans="1:16" ht="15.75" x14ac:dyDescent="0.3">
      <c r="A246" s="57" t="s">
        <v>43</v>
      </c>
      <c r="B246" s="50">
        <v>44180</v>
      </c>
      <c r="C246" s="47">
        <f>50000*24%</f>
        <v>12000</v>
      </c>
      <c r="D246" s="47">
        <f>504.52*24%</f>
        <v>121.08479999999999</v>
      </c>
      <c r="E246" s="48">
        <v>0</v>
      </c>
      <c r="F246" s="48">
        <f t="shared" si="114"/>
        <v>12121.084800000001</v>
      </c>
      <c r="G246" s="48">
        <f t="shared" si="115"/>
        <v>32.759662086760471</v>
      </c>
      <c r="H246" s="48">
        <f>370.0003</f>
        <v>370.00029999999998</v>
      </c>
      <c r="I246" s="56">
        <v>46.404400000000003</v>
      </c>
      <c r="J246" s="47">
        <f t="shared" ref="J246:J309" si="116">PRODUCT(H246:I246)</f>
        <v>17169.641921319999</v>
      </c>
      <c r="K246" s="49">
        <f>0</f>
        <v>0</v>
      </c>
      <c r="L246" s="48">
        <f t="shared" ref="L246:L309" si="117">SUM(-F246,J246)+K246</f>
        <v>5048.5571213199983</v>
      </c>
      <c r="M246" s="46">
        <f t="shared" ref="M246:M309" si="118">L246/F246</f>
        <v>0.41651033753348526</v>
      </c>
      <c r="N246" s="47">
        <f t="shared" ref="N246:N309" ca="1" si="119">(DAYS360(B246,NOW(),TRUE))/30</f>
        <v>67.266666666666666</v>
      </c>
      <c r="O246" s="46">
        <f t="shared" ref="O246:O309" ca="1" si="120">M246*12/N246</f>
        <v>7.43031325629607E-2</v>
      </c>
      <c r="P246" s="47">
        <f t="shared" si="99"/>
        <v>-12121.084800000001</v>
      </c>
    </row>
    <row r="247" spans="1:16" ht="15.75" x14ac:dyDescent="0.3">
      <c r="A247" s="57" t="s">
        <v>42</v>
      </c>
      <c r="B247" s="50">
        <v>44180</v>
      </c>
      <c r="C247" s="47">
        <f>50000*38%</f>
        <v>19000</v>
      </c>
      <c r="D247" s="47">
        <f t="shared" ref="D247" si="121">504.52*38%</f>
        <v>191.7176</v>
      </c>
      <c r="E247" s="48">
        <v>0</v>
      </c>
      <c r="F247" s="48">
        <f t="shared" si="114"/>
        <v>19191.7176</v>
      </c>
      <c r="G247" s="48">
        <f t="shared" si="115"/>
        <v>28.806669460518432</v>
      </c>
      <c r="H247" s="48">
        <f>666.2248</f>
        <v>666.22479999999996</v>
      </c>
      <c r="I247" s="56">
        <v>38.984900000000003</v>
      </c>
      <c r="J247" s="47">
        <f t="shared" si="116"/>
        <v>25972.707205520001</v>
      </c>
      <c r="K247" s="49">
        <f>0</f>
        <v>0</v>
      </c>
      <c r="L247" s="48">
        <f t="shared" si="117"/>
        <v>6780.9896055200006</v>
      </c>
      <c r="M247" s="46">
        <f t="shared" si="118"/>
        <v>0.35332895923395624</v>
      </c>
      <c r="N247" s="47">
        <f t="shared" ca="1" si="119"/>
        <v>67.266666666666666</v>
      </c>
      <c r="O247" s="46">
        <f t="shared" ca="1" si="120"/>
        <v>6.303192533410519E-2</v>
      </c>
      <c r="P247" s="47">
        <f t="shared" si="99"/>
        <v>-19191.7176</v>
      </c>
    </row>
    <row r="248" spans="1:16" ht="15.75" x14ac:dyDescent="0.3">
      <c r="A248" s="55" t="s">
        <v>44</v>
      </c>
      <c r="B248" s="50">
        <v>44196</v>
      </c>
      <c r="C248" s="47">
        <f>11569*38%</f>
        <v>4396.22</v>
      </c>
      <c r="D248" s="47">
        <v>0</v>
      </c>
      <c r="E248" s="48">
        <v>0</v>
      </c>
      <c r="F248" s="48">
        <f t="shared" si="114"/>
        <v>4396.22</v>
      </c>
      <c r="G248" s="48">
        <f t="shared" si="115"/>
        <v>35.911402279884172</v>
      </c>
      <c r="H248" s="48">
        <f>122.4185</f>
        <v>122.41849999999999</v>
      </c>
      <c r="I248" s="56">
        <v>74.919499999999999</v>
      </c>
      <c r="J248" s="47">
        <f t="shared" si="116"/>
        <v>9171.532810749999</v>
      </c>
      <c r="K248" s="49">
        <f>0</f>
        <v>0</v>
      </c>
      <c r="L248" s="48">
        <f t="shared" si="117"/>
        <v>4775.3128107499988</v>
      </c>
      <c r="M248" s="46">
        <f t="shared" si="118"/>
        <v>1.0862315377187672</v>
      </c>
      <c r="N248" s="47">
        <f t="shared" ca="1" si="119"/>
        <v>66.766666666666666</v>
      </c>
      <c r="O248" s="46">
        <f t="shared" ca="1" si="120"/>
        <v>0.1952288335390695</v>
      </c>
      <c r="P248" s="47">
        <f t="shared" si="99"/>
        <v>-4396.22</v>
      </c>
    </row>
    <row r="249" spans="1:16" ht="15.75" x14ac:dyDescent="0.3">
      <c r="A249" s="57" t="s">
        <v>43</v>
      </c>
      <c r="B249" s="50">
        <v>44196</v>
      </c>
      <c r="C249" s="47">
        <f>11569*24%</f>
        <v>2776.56</v>
      </c>
      <c r="D249" s="47">
        <v>0</v>
      </c>
      <c r="E249" s="48">
        <v>0</v>
      </c>
      <c r="F249" s="48">
        <f t="shared" si="114"/>
        <v>2776.56</v>
      </c>
      <c r="G249" s="48">
        <f t="shared" si="115"/>
        <v>32.522504055708147</v>
      </c>
      <c r="H249" s="48">
        <f>85.3735</f>
        <v>85.373500000000007</v>
      </c>
      <c r="I249" s="56">
        <v>46.404400000000003</v>
      </c>
      <c r="J249" s="47">
        <f t="shared" si="116"/>
        <v>3961.7060434000005</v>
      </c>
      <c r="K249" s="49">
        <f>0</f>
        <v>0</v>
      </c>
      <c r="L249" s="48">
        <f t="shared" si="117"/>
        <v>1185.1460434000005</v>
      </c>
      <c r="M249" s="46">
        <f t="shared" si="118"/>
        <v>0.42683970214942252</v>
      </c>
      <c r="N249" s="47">
        <f t="shared" ca="1" si="119"/>
        <v>66.766666666666666</v>
      </c>
      <c r="O249" s="46">
        <f t="shared" ca="1" si="120"/>
        <v>7.6716072278478334E-2</v>
      </c>
      <c r="P249" s="47">
        <f t="shared" si="99"/>
        <v>-2776.56</v>
      </c>
    </row>
    <row r="250" spans="1:16" ht="15.75" x14ac:dyDescent="0.3">
      <c r="A250" s="57" t="s">
        <v>42</v>
      </c>
      <c r="B250" s="50">
        <v>44196</v>
      </c>
      <c r="C250" s="47">
        <f>11569*38%</f>
        <v>4396.22</v>
      </c>
      <c r="D250" s="47">
        <v>0</v>
      </c>
      <c r="E250" s="48">
        <v>0</v>
      </c>
      <c r="F250" s="48">
        <f t="shared" si="114"/>
        <v>4396.22</v>
      </c>
      <c r="G250" s="48">
        <f t="shared" si="115"/>
        <v>28.618317410471334</v>
      </c>
      <c r="H250" s="48">
        <f>153.6156</f>
        <v>153.6156</v>
      </c>
      <c r="I250" s="56">
        <v>38.984900000000003</v>
      </c>
      <c r="J250" s="47">
        <f t="shared" si="116"/>
        <v>5988.6888044400002</v>
      </c>
      <c r="K250" s="49">
        <f>0</f>
        <v>0</v>
      </c>
      <c r="L250" s="48">
        <f t="shared" si="117"/>
        <v>1592.46880444</v>
      </c>
      <c r="M250" s="46">
        <f t="shared" si="118"/>
        <v>0.36223592186924219</v>
      </c>
      <c r="N250" s="47">
        <f t="shared" ca="1" si="119"/>
        <v>66.766666666666666</v>
      </c>
      <c r="O250" s="46">
        <f t="shared" ca="1" si="120"/>
        <v>6.5104808723378538E-2</v>
      </c>
      <c r="P250" s="47">
        <f t="shared" si="99"/>
        <v>-4396.22</v>
      </c>
    </row>
    <row r="251" spans="1:16" ht="15.75" x14ac:dyDescent="0.3">
      <c r="A251" s="55" t="s">
        <v>44</v>
      </c>
      <c r="B251" s="50">
        <v>44205</v>
      </c>
      <c r="C251" s="47">
        <v>-22.72</v>
      </c>
      <c r="D251" s="47">
        <v>0</v>
      </c>
      <c r="E251" s="48">
        <v>0</v>
      </c>
      <c r="F251" s="48">
        <f t="shared" ref="F251:F253" si="122">SUM(C251:E251)</f>
        <v>-22.72</v>
      </c>
      <c r="G251" s="48">
        <f t="shared" ref="G251:G253" si="123">F251/H251</f>
        <v>36.533204695288632</v>
      </c>
      <c r="H251" s="48">
        <f>-0.6219</f>
        <v>-0.62190000000000001</v>
      </c>
      <c r="I251" s="56">
        <v>74.919499999999999</v>
      </c>
      <c r="J251" s="47">
        <f t="shared" si="116"/>
        <v>-46.592437050000001</v>
      </c>
      <c r="K251" s="49">
        <f>0</f>
        <v>0</v>
      </c>
      <c r="L251" s="48">
        <f t="shared" si="117"/>
        <v>-23.872437050000002</v>
      </c>
      <c r="M251" s="46">
        <f t="shared" si="118"/>
        <v>1.0507234617077466</v>
      </c>
      <c r="N251" s="47">
        <f t="shared" ca="1" si="119"/>
        <v>66.466666666666669</v>
      </c>
      <c r="O251" s="46">
        <f t="shared" ca="1" si="120"/>
        <v>0.18969932107060622</v>
      </c>
      <c r="P251" s="47">
        <f t="shared" si="99"/>
        <v>22.72</v>
      </c>
    </row>
    <row r="252" spans="1:16" ht="15.75" x14ac:dyDescent="0.3">
      <c r="A252" s="57" t="s">
        <v>43</v>
      </c>
      <c r="B252" s="50">
        <v>44205</v>
      </c>
      <c r="C252" s="47">
        <v>-12.32</v>
      </c>
      <c r="D252" s="47">
        <v>0</v>
      </c>
      <c r="E252" s="48">
        <v>0</v>
      </c>
      <c r="F252" s="48">
        <f t="shared" si="122"/>
        <v>-12.32</v>
      </c>
      <c r="G252" s="48">
        <f t="shared" si="123"/>
        <v>32.627118644067799</v>
      </c>
      <c r="H252" s="48">
        <f>-0.3776</f>
        <v>-0.37759999999999999</v>
      </c>
      <c r="I252" s="56">
        <v>46.404400000000003</v>
      </c>
      <c r="J252" s="47">
        <f t="shared" si="116"/>
        <v>-17.52230144</v>
      </c>
      <c r="K252" s="49">
        <f>0</f>
        <v>0</v>
      </c>
      <c r="L252" s="48">
        <f t="shared" si="117"/>
        <v>-5.2023014399999994</v>
      </c>
      <c r="M252" s="46">
        <f t="shared" si="118"/>
        <v>0.42226472727272724</v>
      </c>
      <c r="N252" s="47">
        <f t="shared" ca="1" si="119"/>
        <v>66.466666666666669</v>
      </c>
      <c r="O252" s="46">
        <f t="shared" ca="1" si="120"/>
        <v>7.6236359989058075E-2</v>
      </c>
      <c r="P252" s="47">
        <f t="shared" si="99"/>
        <v>12.32</v>
      </c>
    </row>
    <row r="253" spans="1:16" ht="15.75" x14ac:dyDescent="0.3">
      <c r="A253" s="57" t="s">
        <v>42</v>
      </c>
      <c r="B253" s="50">
        <v>44205</v>
      </c>
      <c r="C253" s="47">
        <v>-19.53</v>
      </c>
      <c r="D253" s="47">
        <v>0</v>
      </c>
      <c r="E253" s="48">
        <v>0</v>
      </c>
      <c r="F253" s="48">
        <f t="shared" si="122"/>
        <v>-19.53</v>
      </c>
      <c r="G253" s="48">
        <f t="shared" si="123"/>
        <v>28.682625936260834</v>
      </c>
      <c r="H253" s="48">
        <f>-0.6809</f>
        <v>-0.68089999999999995</v>
      </c>
      <c r="I253" s="56">
        <v>38.984900000000003</v>
      </c>
      <c r="J253" s="47">
        <f t="shared" si="116"/>
        <v>-26.544818410000001</v>
      </c>
      <c r="K253" s="49">
        <f>0</f>
        <v>0</v>
      </c>
      <c r="L253" s="48">
        <f t="shared" si="117"/>
        <v>-7.0148184100000002</v>
      </c>
      <c r="M253" s="46">
        <f t="shared" si="118"/>
        <v>0.3591816902201741</v>
      </c>
      <c r="N253" s="47">
        <f t="shared" ca="1" si="119"/>
        <v>66.466666666666669</v>
      </c>
      <c r="O253" s="46">
        <f t="shared" ca="1" si="120"/>
        <v>6.4847245977564028E-2</v>
      </c>
      <c r="P253" s="47">
        <f t="shared" si="99"/>
        <v>19.53</v>
      </c>
    </row>
    <row r="254" spans="1:16" ht="15.75" x14ac:dyDescent="0.3">
      <c r="A254" s="55" t="s">
        <v>44</v>
      </c>
      <c r="B254" s="50">
        <v>44228</v>
      </c>
      <c r="C254" s="47">
        <f>11569*38%</f>
        <v>4396.22</v>
      </c>
      <c r="D254" s="47">
        <v>0</v>
      </c>
      <c r="E254" s="48">
        <v>0</v>
      </c>
      <c r="F254" s="48">
        <f t="shared" ref="F254:F262" si="124">SUM(C254:E254)</f>
        <v>4396.22</v>
      </c>
      <c r="G254" s="48">
        <f t="shared" ref="G254:G262" si="125">F254/H254</f>
        <v>36.743621589725677</v>
      </c>
      <c r="H254" s="48">
        <f>119.6458</f>
        <v>119.64579999999999</v>
      </c>
      <c r="I254" s="56">
        <v>74.919499999999999</v>
      </c>
      <c r="J254" s="47">
        <f t="shared" si="116"/>
        <v>8963.8035130999997</v>
      </c>
      <c r="K254" s="49">
        <f>0</f>
        <v>0</v>
      </c>
      <c r="L254" s="48">
        <f t="shared" si="117"/>
        <v>4567.5835130999994</v>
      </c>
      <c r="M254" s="46">
        <f t="shared" si="118"/>
        <v>1.0389797401176464</v>
      </c>
      <c r="N254" s="47">
        <f t="shared" ca="1" si="119"/>
        <v>65.733333333333334</v>
      </c>
      <c r="O254" s="46">
        <f t="shared" ca="1" si="120"/>
        <v>0.18967175783080764</v>
      </c>
      <c r="P254" s="47">
        <f t="shared" si="99"/>
        <v>-4396.22</v>
      </c>
    </row>
    <row r="255" spans="1:16" ht="15.75" x14ac:dyDescent="0.3">
      <c r="A255" s="57" t="s">
        <v>43</v>
      </c>
      <c r="B255" s="50">
        <v>44228</v>
      </c>
      <c r="C255" s="47">
        <f>11569*24%</f>
        <v>2776.56</v>
      </c>
      <c r="D255" s="47">
        <v>0</v>
      </c>
      <c r="E255" s="48">
        <v>0</v>
      </c>
      <c r="F255" s="48">
        <f t="shared" si="124"/>
        <v>2776.56</v>
      </c>
      <c r="G255" s="48">
        <f t="shared" si="125"/>
        <v>32.357633567770094</v>
      </c>
      <c r="H255" s="48">
        <f>85.8085</f>
        <v>85.808499999999995</v>
      </c>
      <c r="I255" s="56">
        <v>46.404400000000003</v>
      </c>
      <c r="J255" s="47">
        <f t="shared" si="116"/>
        <v>3981.8919574000001</v>
      </c>
      <c r="K255" s="49">
        <f>0</f>
        <v>0</v>
      </c>
      <c r="L255" s="48">
        <f t="shared" si="117"/>
        <v>1205.3319574000002</v>
      </c>
      <c r="M255" s="46">
        <f t="shared" si="118"/>
        <v>0.4341098184083903</v>
      </c>
      <c r="N255" s="47">
        <f t="shared" ca="1" si="119"/>
        <v>65.733333333333334</v>
      </c>
      <c r="O255" s="46">
        <f t="shared" ca="1" si="120"/>
        <v>7.9249256910253807E-2</v>
      </c>
      <c r="P255" s="47">
        <f t="shared" si="99"/>
        <v>-2776.56</v>
      </c>
    </row>
    <row r="256" spans="1:16" ht="15.75" x14ac:dyDescent="0.3">
      <c r="A256" s="57" t="s">
        <v>42</v>
      </c>
      <c r="B256" s="50">
        <v>44228</v>
      </c>
      <c r="C256" s="47">
        <f>11569*38%</f>
        <v>4396.22</v>
      </c>
      <c r="D256" s="47">
        <v>0</v>
      </c>
      <c r="E256" s="48">
        <v>0</v>
      </c>
      <c r="F256" s="48">
        <f t="shared" si="124"/>
        <v>4396.22</v>
      </c>
      <c r="G256" s="48">
        <f t="shared" si="125"/>
        <v>28.30680829664772</v>
      </c>
      <c r="H256" s="48">
        <f>155.3061</f>
        <v>155.30609999999999</v>
      </c>
      <c r="I256" s="56">
        <v>38.984900000000003</v>
      </c>
      <c r="J256" s="47">
        <f t="shared" si="116"/>
        <v>6054.5927778899995</v>
      </c>
      <c r="K256" s="49">
        <f>0</f>
        <v>0</v>
      </c>
      <c r="L256" s="48">
        <f t="shared" si="117"/>
        <v>1658.3727778899993</v>
      </c>
      <c r="M256" s="46">
        <f t="shared" si="118"/>
        <v>0.37722697633193952</v>
      </c>
      <c r="N256" s="47">
        <f t="shared" ca="1" si="119"/>
        <v>65.733333333333334</v>
      </c>
      <c r="O256" s="46">
        <f t="shared" ca="1" si="120"/>
        <v>6.8864965253295246E-2</v>
      </c>
      <c r="P256" s="47">
        <f t="shared" si="99"/>
        <v>-4396.22</v>
      </c>
    </row>
    <row r="257" spans="1:16" ht="15.75" x14ac:dyDescent="0.3">
      <c r="A257" s="55" t="s">
        <v>44</v>
      </c>
      <c r="B257" s="50">
        <v>44257</v>
      </c>
      <c r="C257" s="47">
        <f>11569*38%</f>
        <v>4396.22</v>
      </c>
      <c r="D257" s="47">
        <v>0</v>
      </c>
      <c r="E257" s="48">
        <v>0</v>
      </c>
      <c r="F257" s="48">
        <f t="shared" si="124"/>
        <v>4396.22</v>
      </c>
      <c r="G257" s="48">
        <f t="shared" si="125"/>
        <v>38.591125714220503</v>
      </c>
      <c r="H257" s="48">
        <f>113.9179</f>
        <v>113.9179</v>
      </c>
      <c r="I257" s="56">
        <v>74.919499999999999</v>
      </c>
      <c r="J257" s="47">
        <f t="shared" si="116"/>
        <v>8534.6721090499996</v>
      </c>
      <c r="K257" s="49">
        <f>0</f>
        <v>0</v>
      </c>
      <c r="L257" s="48">
        <f t="shared" si="117"/>
        <v>4138.4521090499993</v>
      </c>
      <c r="M257" s="46">
        <f t="shared" si="118"/>
        <v>0.94136601649826424</v>
      </c>
      <c r="N257" s="47">
        <f t="shared" ca="1" si="119"/>
        <v>64.7</v>
      </c>
      <c r="O257" s="46">
        <f t="shared" ca="1" si="120"/>
        <v>0.17459647910323292</v>
      </c>
      <c r="P257" s="47">
        <f t="shared" si="99"/>
        <v>-4396.22</v>
      </c>
    </row>
    <row r="258" spans="1:16" ht="15.75" x14ac:dyDescent="0.3">
      <c r="A258" s="57" t="s">
        <v>43</v>
      </c>
      <c r="B258" s="50">
        <v>44257</v>
      </c>
      <c r="C258" s="47">
        <f>11569*24%</f>
        <v>2776.56</v>
      </c>
      <c r="D258" s="47">
        <v>0</v>
      </c>
      <c r="E258" s="48">
        <v>0</v>
      </c>
      <c r="F258" s="48">
        <f t="shared" si="124"/>
        <v>2776.56</v>
      </c>
      <c r="G258" s="48">
        <f t="shared" si="125"/>
        <v>32.117413126385912</v>
      </c>
      <c r="H258" s="48">
        <f>86.4503</f>
        <v>86.450299999999999</v>
      </c>
      <c r="I258" s="56">
        <v>46.404400000000003</v>
      </c>
      <c r="J258" s="47">
        <f t="shared" si="116"/>
        <v>4011.6743013200003</v>
      </c>
      <c r="K258" s="49">
        <f>0</f>
        <v>0</v>
      </c>
      <c r="L258" s="48">
        <f t="shared" si="117"/>
        <v>1235.1143013200003</v>
      </c>
      <c r="M258" s="46">
        <f t="shared" si="118"/>
        <v>0.44483616464978259</v>
      </c>
      <c r="N258" s="47">
        <f t="shared" ca="1" si="119"/>
        <v>64.7</v>
      </c>
      <c r="O258" s="46">
        <f t="shared" ca="1" si="120"/>
        <v>8.250438911587929E-2</v>
      </c>
      <c r="P258" s="47">
        <f t="shared" si="99"/>
        <v>-2776.56</v>
      </c>
    </row>
    <row r="259" spans="1:16" ht="15.75" x14ac:dyDescent="0.3">
      <c r="A259" s="57" t="s">
        <v>42</v>
      </c>
      <c r="B259" s="50">
        <v>44257</v>
      </c>
      <c r="C259" s="47">
        <f>11569*38%</f>
        <v>4396.22</v>
      </c>
      <c r="D259" s="47">
        <v>0</v>
      </c>
      <c r="E259" s="48">
        <v>0</v>
      </c>
      <c r="F259" s="48">
        <f t="shared" si="124"/>
        <v>4396.22</v>
      </c>
      <c r="G259" s="48">
        <f t="shared" si="125"/>
        <v>27.905509411925266</v>
      </c>
      <c r="H259" s="48">
        <f>157.5395</f>
        <v>157.5395</v>
      </c>
      <c r="I259" s="56">
        <v>38.984900000000003</v>
      </c>
      <c r="J259" s="47">
        <f t="shared" si="116"/>
        <v>6141.6616535500007</v>
      </c>
      <c r="K259" s="49">
        <f>0</f>
        <v>0</v>
      </c>
      <c r="L259" s="48">
        <f t="shared" si="117"/>
        <v>1745.4416535500004</v>
      </c>
      <c r="M259" s="46">
        <f t="shared" si="118"/>
        <v>0.39703237179895462</v>
      </c>
      <c r="N259" s="47">
        <f t="shared" ca="1" si="119"/>
        <v>64.7</v>
      </c>
      <c r="O259" s="46">
        <f t="shared" ca="1" si="120"/>
        <v>7.3638152420207964E-2</v>
      </c>
      <c r="P259" s="47">
        <f t="shared" ref="P259:P322" si="126">-F259</f>
        <v>-4396.22</v>
      </c>
    </row>
    <row r="260" spans="1:16" ht="15.75" x14ac:dyDescent="0.3">
      <c r="A260" s="55" t="s">
        <v>44</v>
      </c>
      <c r="B260" s="50">
        <v>44285</v>
      </c>
      <c r="C260" s="47">
        <f>11569*38%</f>
        <v>4396.22</v>
      </c>
      <c r="D260" s="47">
        <v>0</v>
      </c>
      <c r="E260" s="48">
        <v>0</v>
      </c>
      <c r="F260" s="48">
        <f t="shared" si="124"/>
        <v>4396.22</v>
      </c>
      <c r="G260" s="48">
        <f t="shared" si="125"/>
        <v>38.301205260140691</v>
      </c>
      <c r="H260" s="48">
        <f>114.7802</f>
        <v>114.78019999999999</v>
      </c>
      <c r="I260" s="56">
        <v>74.919499999999999</v>
      </c>
      <c r="J260" s="47">
        <f t="shared" si="116"/>
        <v>8599.2751938999991</v>
      </c>
      <c r="K260" s="49">
        <f>0</f>
        <v>0</v>
      </c>
      <c r="L260" s="48">
        <f t="shared" si="117"/>
        <v>4203.0551938999988</v>
      </c>
      <c r="M260" s="46">
        <f t="shared" si="118"/>
        <v>0.95606116024675714</v>
      </c>
      <c r="N260" s="47">
        <f t="shared" ca="1" si="119"/>
        <v>63.766666666666666</v>
      </c>
      <c r="O260" s="46">
        <f t="shared" ca="1" si="120"/>
        <v>0.17991741646044568</v>
      </c>
      <c r="P260" s="47">
        <f t="shared" si="126"/>
        <v>-4396.22</v>
      </c>
    </row>
    <row r="261" spans="1:16" ht="15.75" x14ac:dyDescent="0.3">
      <c r="A261" s="57" t="s">
        <v>43</v>
      </c>
      <c r="B261" s="50">
        <v>44285</v>
      </c>
      <c r="C261" s="47">
        <f>11569*24%</f>
        <v>2776.56</v>
      </c>
      <c r="D261" s="47">
        <v>0</v>
      </c>
      <c r="E261" s="48">
        <v>0</v>
      </c>
      <c r="F261" s="48">
        <f t="shared" si="124"/>
        <v>2776.56</v>
      </c>
      <c r="G261" s="48">
        <f t="shared" si="125"/>
        <v>32.594011706121414</v>
      </c>
      <c r="H261" s="48">
        <f>85.1862</f>
        <v>85.186199999999999</v>
      </c>
      <c r="I261" s="56">
        <v>46.404400000000003</v>
      </c>
      <c r="J261" s="47">
        <f t="shared" si="116"/>
        <v>3953.0144992800001</v>
      </c>
      <c r="K261" s="49">
        <f>0</f>
        <v>0</v>
      </c>
      <c r="L261" s="48">
        <f t="shared" si="117"/>
        <v>1176.4544992800002</v>
      </c>
      <c r="M261" s="46">
        <f t="shared" si="118"/>
        <v>0.42370937393033115</v>
      </c>
      <c r="N261" s="47">
        <f t="shared" ca="1" si="119"/>
        <v>63.766666666666666</v>
      </c>
      <c r="O261" s="46">
        <f t="shared" ca="1" si="120"/>
        <v>7.9736212553538521E-2</v>
      </c>
      <c r="P261" s="47">
        <f t="shared" si="126"/>
        <v>-2776.56</v>
      </c>
    </row>
    <row r="262" spans="1:16" ht="15.75" x14ac:dyDescent="0.3">
      <c r="A262" s="57" t="s">
        <v>42</v>
      </c>
      <c r="B262" s="50">
        <v>44285</v>
      </c>
      <c r="C262" s="47">
        <f>11569*38%</f>
        <v>4396.22</v>
      </c>
      <c r="D262" s="47">
        <v>0</v>
      </c>
      <c r="E262" s="48">
        <v>0</v>
      </c>
      <c r="F262" s="48">
        <f t="shared" si="124"/>
        <v>4396.22</v>
      </c>
      <c r="G262" s="48">
        <f t="shared" si="125"/>
        <v>28.204202061831857</v>
      </c>
      <c r="H262" s="48">
        <f>155.8711</f>
        <v>155.87110000000001</v>
      </c>
      <c r="I262" s="56">
        <v>38.984900000000003</v>
      </c>
      <c r="J262" s="47">
        <f t="shared" si="116"/>
        <v>6076.6192463900006</v>
      </c>
      <c r="K262" s="49">
        <f>0</f>
        <v>0</v>
      </c>
      <c r="L262" s="48">
        <f t="shared" si="117"/>
        <v>1680.3992463900004</v>
      </c>
      <c r="M262" s="46">
        <f t="shared" si="118"/>
        <v>0.38223729622038938</v>
      </c>
      <c r="N262" s="47">
        <f t="shared" ca="1" si="119"/>
        <v>63.766666666666666</v>
      </c>
      <c r="O262" s="46">
        <f t="shared" ca="1" si="120"/>
        <v>7.1931744192023084E-2</v>
      </c>
      <c r="P262" s="47">
        <f t="shared" si="126"/>
        <v>-4396.22</v>
      </c>
    </row>
    <row r="263" spans="1:16" ht="15.75" x14ac:dyDescent="0.3">
      <c r="A263" s="55" t="s">
        <v>44</v>
      </c>
      <c r="B263" s="50">
        <v>44296</v>
      </c>
      <c r="C263" s="47">
        <v>-16.690000000000001</v>
      </c>
      <c r="D263" s="47">
        <v>0</v>
      </c>
      <c r="E263" s="48">
        <v>0</v>
      </c>
      <c r="F263" s="48">
        <f t="shared" ref="F263:F265" si="127">SUM(C263:E263)</f>
        <v>-16.690000000000001</v>
      </c>
      <c r="G263" s="48">
        <f t="shared" ref="G263:G265" si="128">F263/H263</f>
        <v>38.545034642032334</v>
      </c>
      <c r="H263" s="48">
        <f>-0.433</f>
        <v>-0.433</v>
      </c>
      <c r="I263" s="56">
        <v>74.919499999999999</v>
      </c>
      <c r="J263" s="47">
        <f t="shared" si="116"/>
        <v>-32.440143499999998</v>
      </c>
      <c r="K263" s="49">
        <f>0</f>
        <v>0</v>
      </c>
      <c r="L263" s="48">
        <f t="shared" si="117"/>
        <v>-15.750143499999997</v>
      </c>
      <c r="M263" s="46">
        <f t="shared" si="118"/>
        <v>0.94368744757339695</v>
      </c>
      <c r="N263" s="47">
        <f t="shared" ca="1" si="119"/>
        <v>63.43333333333333</v>
      </c>
      <c r="O263" s="46">
        <f t="shared" ca="1" si="120"/>
        <v>0.17852206049733207</v>
      </c>
      <c r="P263" s="47">
        <f t="shared" si="126"/>
        <v>16.690000000000001</v>
      </c>
    </row>
    <row r="264" spans="1:16" ht="15.75" x14ac:dyDescent="0.3">
      <c r="A264" s="57" t="s">
        <v>43</v>
      </c>
      <c r="B264" s="50">
        <v>44296</v>
      </c>
      <c r="C264" s="47">
        <v>-8.66</v>
      </c>
      <c r="D264" s="47">
        <v>0</v>
      </c>
      <c r="E264" s="48">
        <v>0</v>
      </c>
      <c r="F264" s="48">
        <f t="shared" si="127"/>
        <v>-8.66</v>
      </c>
      <c r="G264" s="48">
        <f t="shared" si="128"/>
        <v>32.778198334595004</v>
      </c>
      <c r="H264" s="48">
        <f>-0.2642</f>
        <v>-0.26419999999999999</v>
      </c>
      <c r="I264" s="56">
        <v>46.404400000000003</v>
      </c>
      <c r="J264" s="47">
        <f t="shared" si="116"/>
        <v>-12.260042480000001</v>
      </c>
      <c r="K264" s="49">
        <f>0</f>
        <v>0</v>
      </c>
      <c r="L264" s="48">
        <f t="shared" si="117"/>
        <v>-3.6000424800000008</v>
      </c>
      <c r="M264" s="46">
        <f t="shared" si="118"/>
        <v>0.41570929330254053</v>
      </c>
      <c r="N264" s="47">
        <f t="shared" ca="1" si="119"/>
        <v>63.43333333333333</v>
      </c>
      <c r="O264" s="46">
        <f t="shared" ca="1" si="120"/>
        <v>7.8641800099271991E-2</v>
      </c>
      <c r="P264" s="47">
        <f t="shared" si="126"/>
        <v>8.66</v>
      </c>
    </row>
    <row r="265" spans="1:16" ht="15.75" x14ac:dyDescent="0.3">
      <c r="A265" s="57" t="s">
        <v>42</v>
      </c>
      <c r="B265" s="50">
        <v>44296</v>
      </c>
      <c r="C265" s="47">
        <v>-13.56</v>
      </c>
      <c r="D265" s="47">
        <v>0</v>
      </c>
      <c r="E265" s="48">
        <v>0</v>
      </c>
      <c r="F265" s="48">
        <f t="shared" si="127"/>
        <v>-13.56</v>
      </c>
      <c r="G265" s="48">
        <f t="shared" si="128"/>
        <v>28.433633885510591</v>
      </c>
      <c r="H265" s="48">
        <f>-0.4769</f>
        <v>-0.47689999999999999</v>
      </c>
      <c r="I265" s="56">
        <v>38.984900000000003</v>
      </c>
      <c r="J265" s="47">
        <f t="shared" si="116"/>
        <v>-18.59189881</v>
      </c>
      <c r="K265" s="49">
        <f>0</f>
        <v>0</v>
      </c>
      <c r="L265" s="48">
        <f t="shared" si="117"/>
        <v>-5.0318988099999995</v>
      </c>
      <c r="M265" s="46">
        <f t="shared" si="118"/>
        <v>0.37108398303834805</v>
      </c>
      <c r="N265" s="47">
        <f t="shared" ca="1" si="119"/>
        <v>63.43333333333333</v>
      </c>
      <c r="O265" s="46">
        <f t="shared" ca="1" si="120"/>
        <v>7.0199807616292853E-2</v>
      </c>
      <c r="P265" s="47">
        <f t="shared" si="126"/>
        <v>13.56</v>
      </c>
    </row>
    <row r="266" spans="1:16" ht="15.75" x14ac:dyDescent="0.3">
      <c r="A266" s="55" t="s">
        <v>44</v>
      </c>
      <c r="B266" s="50">
        <v>44320</v>
      </c>
      <c r="C266" s="47">
        <f>12148*38%</f>
        <v>4616.24</v>
      </c>
      <c r="D266" s="47">
        <v>0</v>
      </c>
      <c r="E266" s="48">
        <v>0</v>
      </c>
      <c r="F266" s="48">
        <f t="shared" ref="F266:F289" si="129">SUM(C266:E266)</f>
        <v>4616.24</v>
      </c>
      <c r="G266" s="48">
        <f t="shared" ref="G266:G289" si="130">F266/H266</f>
        <v>37.626001018848697</v>
      </c>
      <c r="H266" s="48">
        <f>122.6875</f>
        <v>122.6875</v>
      </c>
      <c r="I266" s="56">
        <v>74.919499999999999</v>
      </c>
      <c r="J266" s="47">
        <f t="shared" si="116"/>
        <v>9191.6861562499998</v>
      </c>
      <c r="K266" s="49">
        <f>0</f>
        <v>0</v>
      </c>
      <c r="L266" s="48">
        <f t="shared" si="117"/>
        <v>4575.4461562500001</v>
      </c>
      <c r="M266" s="46">
        <f t="shared" si="118"/>
        <v>0.9911629716500876</v>
      </c>
      <c r="N266" s="47">
        <f t="shared" ca="1" si="119"/>
        <v>62.633333333333333</v>
      </c>
      <c r="O266" s="46">
        <f t="shared" ca="1" si="120"/>
        <v>0.18989817445132068</v>
      </c>
      <c r="P266" s="47">
        <f t="shared" si="126"/>
        <v>-4616.24</v>
      </c>
    </row>
    <row r="267" spans="1:16" ht="15.75" x14ac:dyDescent="0.3">
      <c r="A267" s="57" t="s">
        <v>43</v>
      </c>
      <c r="B267" s="50">
        <v>44320</v>
      </c>
      <c r="C267" s="47">
        <f>12148*24%</f>
        <v>2915.52</v>
      </c>
      <c r="D267" s="47">
        <v>0</v>
      </c>
      <c r="E267" s="48">
        <v>0</v>
      </c>
      <c r="F267" s="48">
        <f t="shared" si="129"/>
        <v>2915.52</v>
      </c>
      <c r="G267" s="48">
        <f t="shared" si="130"/>
        <v>32.952702374318882</v>
      </c>
      <c r="H267" s="48">
        <f>88.4759</f>
        <v>88.475899999999996</v>
      </c>
      <c r="I267" s="56">
        <v>46.404400000000003</v>
      </c>
      <c r="J267" s="47">
        <f t="shared" si="116"/>
        <v>4105.6710539599999</v>
      </c>
      <c r="K267" s="49">
        <f>0</f>
        <v>0</v>
      </c>
      <c r="L267" s="48">
        <f t="shared" si="117"/>
        <v>1190.1510539599999</v>
      </c>
      <c r="M267" s="46">
        <f t="shared" si="118"/>
        <v>0.40821227566952034</v>
      </c>
      <c r="N267" s="47">
        <f t="shared" ca="1" si="119"/>
        <v>62.633333333333333</v>
      </c>
      <c r="O267" s="46">
        <f t="shared" ca="1" si="120"/>
        <v>7.8209909122420082E-2</v>
      </c>
      <c r="P267" s="47">
        <f t="shared" si="126"/>
        <v>-2915.52</v>
      </c>
    </row>
    <row r="268" spans="1:16" ht="15.75" x14ac:dyDescent="0.3">
      <c r="A268" s="57" t="s">
        <v>42</v>
      </c>
      <c r="B268" s="50">
        <v>44320</v>
      </c>
      <c r="C268" s="47">
        <f>12148*38%</f>
        <v>4616.24</v>
      </c>
      <c r="D268" s="47">
        <v>0</v>
      </c>
      <c r="E268" s="48">
        <v>0</v>
      </c>
      <c r="F268" s="48">
        <f t="shared" si="129"/>
        <v>4616.24</v>
      </c>
      <c r="G268" s="48">
        <f t="shared" si="130"/>
        <v>28.485602436700578</v>
      </c>
      <c r="H268" s="48">
        <f>162.0552</f>
        <v>162.05520000000001</v>
      </c>
      <c r="I268" s="56">
        <v>38.984900000000003</v>
      </c>
      <c r="J268" s="47">
        <f t="shared" si="116"/>
        <v>6317.7057664800013</v>
      </c>
      <c r="K268" s="49">
        <f>0</f>
        <v>0</v>
      </c>
      <c r="L268" s="48">
        <f t="shared" si="117"/>
        <v>1701.4657664800015</v>
      </c>
      <c r="M268" s="46">
        <f t="shared" si="118"/>
        <v>0.36858260542779442</v>
      </c>
      <c r="N268" s="47">
        <f t="shared" ca="1" si="119"/>
        <v>62.633333333333333</v>
      </c>
      <c r="O268" s="46">
        <f t="shared" ca="1" si="120"/>
        <v>7.0617210193723245E-2</v>
      </c>
      <c r="P268" s="47">
        <f t="shared" si="126"/>
        <v>-4616.24</v>
      </c>
    </row>
    <row r="269" spans="1:16" ht="15.75" x14ac:dyDescent="0.3">
      <c r="A269" s="55" t="s">
        <v>44</v>
      </c>
      <c r="B269" s="50">
        <v>44347</v>
      </c>
      <c r="C269" s="47">
        <f>12148*38%</f>
        <v>4616.24</v>
      </c>
      <c r="D269" s="47">
        <v>0</v>
      </c>
      <c r="E269" s="48">
        <v>0</v>
      </c>
      <c r="F269" s="48">
        <f t="shared" si="129"/>
        <v>4616.24</v>
      </c>
      <c r="G269" s="48">
        <f t="shared" si="130"/>
        <v>40.499905686449118</v>
      </c>
      <c r="H269" s="48">
        <f>113.9815</f>
        <v>113.9815</v>
      </c>
      <c r="I269" s="56">
        <v>74.919499999999999</v>
      </c>
      <c r="J269" s="47">
        <f t="shared" si="116"/>
        <v>8539.4369892499999</v>
      </c>
      <c r="K269" s="49">
        <f>0</f>
        <v>0</v>
      </c>
      <c r="L269" s="48">
        <f t="shared" si="117"/>
        <v>3923.1969892500001</v>
      </c>
      <c r="M269" s="46">
        <f t="shared" si="118"/>
        <v>0.84986850537450398</v>
      </c>
      <c r="N269" s="47">
        <f t="shared" ca="1" si="119"/>
        <v>61.766666666666666</v>
      </c>
      <c r="O269" s="46">
        <f t="shared" ca="1" si="120"/>
        <v>0.16511206796266673</v>
      </c>
      <c r="P269" s="47">
        <f t="shared" si="126"/>
        <v>-4616.24</v>
      </c>
    </row>
    <row r="270" spans="1:16" ht="15.75" x14ac:dyDescent="0.3">
      <c r="A270" s="57" t="s">
        <v>43</v>
      </c>
      <c r="B270" s="50">
        <v>44347</v>
      </c>
      <c r="C270" s="47">
        <f>12148*24%</f>
        <v>2915.52</v>
      </c>
      <c r="D270" s="47">
        <v>0</v>
      </c>
      <c r="E270" s="48">
        <v>0</v>
      </c>
      <c r="F270" s="48">
        <f t="shared" si="129"/>
        <v>2915.52</v>
      </c>
      <c r="G270" s="48">
        <f t="shared" si="130"/>
        <v>33.215722418493584</v>
      </c>
      <c r="H270" s="48">
        <f>87.7753</f>
        <v>87.775300000000001</v>
      </c>
      <c r="I270" s="56">
        <v>46.404400000000003</v>
      </c>
      <c r="J270" s="47">
        <f t="shared" si="116"/>
        <v>4073.1601313200003</v>
      </c>
      <c r="K270" s="49">
        <f>0</f>
        <v>0</v>
      </c>
      <c r="L270" s="48">
        <f t="shared" si="117"/>
        <v>1157.6401313200004</v>
      </c>
      <c r="M270" s="46">
        <f t="shared" si="118"/>
        <v>0.39706128969103294</v>
      </c>
      <c r="N270" s="47">
        <f t="shared" ca="1" si="119"/>
        <v>61.766666666666666</v>
      </c>
      <c r="O270" s="46">
        <f t="shared" ca="1" si="120"/>
        <v>7.7140887365770031E-2</v>
      </c>
      <c r="P270" s="47">
        <f t="shared" si="126"/>
        <v>-2915.52</v>
      </c>
    </row>
    <row r="271" spans="1:16" ht="15.75" x14ac:dyDescent="0.3">
      <c r="A271" s="57" t="s">
        <v>42</v>
      </c>
      <c r="B271" s="50">
        <v>44347</v>
      </c>
      <c r="C271" s="47">
        <f>12148*38%</f>
        <v>4616.24</v>
      </c>
      <c r="D271" s="47">
        <v>0</v>
      </c>
      <c r="E271" s="48">
        <v>0</v>
      </c>
      <c r="F271" s="48">
        <f t="shared" si="129"/>
        <v>4616.24</v>
      </c>
      <c r="G271" s="48">
        <f t="shared" si="130"/>
        <v>28.640100259956196</v>
      </c>
      <c r="H271" s="48">
        <f>161.181</f>
        <v>161.18100000000001</v>
      </c>
      <c r="I271" s="56">
        <v>38.984900000000003</v>
      </c>
      <c r="J271" s="47">
        <f t="shared" si="116"/>
        <v>6283.6251669000012</v>
      </c>
      <c r="K271" s="49">
        <f>0</f>
        <v>0</v>
      </c>
      <c r="L271" s="48">
        <f t="shared" si="117"/>
        <v>1667.3851669000014</v>
      </c>
      <c r="M271" s="46">
        <f t="shared" si="118"/>
        <v>0.36119984379061781</v>
      </c>
      <c r="N271" s="47">
        <f t="shared" ca="1" si="119"/>
        <v>61.766666666666666</v>
      </c>
      <c r="O271" s="46">
        <f t="shared" ca="1" si="120"/>
        <v>7.0173741912910093E-2</v>
      </c>
      <c r="P271" s="47">
        <f t="shared" si="126"/>
        <v>-4616.24</v>
      </c>
    </row>
    <row r="272" spans="1:16" ht="15.75" x14ac:dyDescent="0.3">
      <c r="A272" s="55" t="s">
        <v>44</v>
      </c>
      <c r="B272" s="50">
        <v>44379</v>
      </c>
      <c r="C272" s="47">
        <f>12148*38%</f>
        <v>4616.24</v>
      </c>
      <c r="D272" s="47">
        <v>0</v>
      </c>
      <c r="E272" s="48">
        <v>0</v>
      </c>
      <c r="F272" s="48">
        <f t="shared" si="129"/>
        <v>4616.24</v>
      </c>
      <c r="G272" s="48">
        <f t="shared" si="130"/>
        <v>41.143325698090003</v>
      </c>
      <c r="H272" s="48">
        <f>112.199</f>
        <v>112.199</v>
      </c>
      <c r="I272" s="56">
        <v>74.919499999999999</v>
      </c>
      <c r="J272" s="47">
        <f t="shared" si="116"/>
        <v>8405.8929804999989</v>
      </c>
      <c r="K272" s="49">
        <f>0</f>
        <v>0</v>
      </c>
      <c r="L272" s="48">
        <f t="shared" si="117"/>
        <v>3789.6529804999991</v>
      </c>
      <c r="M272" s="46">
        <f t="shared" si="118"/>
        <v>0.82093933168552746</v>
      </c>
      <c r="N272" s="47">
        <f t="shared" ca="1" si="119"/>
        <v>60.7</v>
      </c>
      <c r="O272" s="46">
        <f t="shared" ca="1" si="120"/>
        <v>0.16229443130521135</v>
      </c>
      <c r="P272" s="47">
        <f t="shared" si="126"/>
        <v>-4616.24</v>
      </c>
    </row>
    <row r="273" spans="1:16" ht="15.75" x14ac:dyDescent="0.3">
      <c r="A273" s="57" t="s">
        <v>43</v>
      </c>
      <c r="B273" s="50">
        <v>44379</v>
      </c>
      <c r="C273" s="47">
        <f>12148*24%</f>
        <v>2915.52</v>
      </c>
      <c r="D273" s="47">
        <v>0</v>
      </c>
      <c r="E273" s="48">
        <v>0</v>
      </c>
      <c r="F273" s="48">
        <f t="shared" si="129"/>
        <v>2915.52</v>
      </c>
      <c r="G273" s="48">
        <f t="shared" si="130"/>
        <v>33.273607493957037</v>
      </c>
      <c r="H273" s="48">
        <f>87.6226</f>
        <v>87.622600000000006</v>
      </c>
      <c r="I273" s="56">
        <v>46.404400000000003</v>
      </c>
      <c r="J273" s="47">
        <f t="shared" si="116"/>
        <v>4066.0741794400005</v>
      </c>
      <c r="K273" s="49">
        <f>0</f>
        <v>0</v>
      </c>
      <c r="L273" s="48">
        <f t="shared" si="117"/>
        <v>1150.5541794400006</v>
      </c>
      <c r="M273" s="46">
        <f t="shared" si="118"/>
        <v>0.39463086497091449</v>
      </c>
      <c r="N273" s="47">
        <f t="shared" ca="1" si="119"/>
        <v>60.7</v>
      </c>
      <c r="O273" s="46">
        <f t="shared" ca="1" si="120"/>
        <v>7.8015986485189023E-2</v>
      </c>
      <c r="P273" s="47">
        <f t="shared" si="126"/>
        <v>-2915.52</v>
      </c>
    </row>
    <row r="274" spans="1:16" ht="15.75" x14ac:dyDescent="0.3">
      <c r="A274" s="57" t="s">
        <v>42</v>
      </c>
      <c r="B274" s="50">
        <v>44379</v>
      </c>
      <c r="C274" s="47">
        <f>12148*38%</f>
        <v>4616.24</v>
      </c>
      <c r="D274" s="47">
        <v>0</v>
      </c>
      <c r="E274" s="48">
        <v>0</v>
      </c>
      <c r="F274" s="48">
        <f t="shared" si="129"/>
        <v>4616.24</v>
      </c>
      <c r="G274" s="48">
        <f t="shared" si="130"/>
        <v>28.613702250732505</v>
      </c>
      <c r="H274" s="48">
        <f>161.3297</f>
        <v>161.3297</v>
      </c>
      <c r="I274" s="56">
        <v>38.984900000000003</v>
      </c>
      <c r="J274" s="47">
        <f t="shared" si="116"/>
        <v>6289.4222215300006</v>
      </c>
      <c r="K274" s="49">
        <f>0</f>
        <v>0</v>
      </c>
      <c r="L274" s="48">
        <f t="shared" si="117"/>
        <v>1673.1822215300008</v>
      </c>
      <c r="M274" s="46">
        <f t="shared" si="118"/>
        <v>0.36245563955296972</v>
      </c>
      <c r="N274" s="47">
        <f t="shared" ca="1" si="119"/>
        <v>60.7</v>
      </c>
      <c r="O274" s="46">
        <f t="shared" ca="1" si="120"/>
        <v>7.1655151147209828E-2</v>
      </c>
      <c r="P274" s="47">
        <f t="shared" si="126"/>
        <v>-4616.24</v>
      </c>
    </row>
    <row r="275" spans="1:16" ht="15.75" x14ac:dyDescent="0.3">
      <c r="A275" s="55" t="s">
        <v>44</v>
      </c>
      <c r="B275" s="50">
        <v>44380</v>
      </c>
      <c r="C275" s="47">
        <f>-14.83</f>
        <v>-14.83</v>
      </c>
      <c r="D275" s="47">
        <v>0</v>
      </c>
      <c r="E275" s="48">
        <v>0</v>
      </c>
      <c r="F275" s="48">
        <f t="shared" si="129"/>
        <v>-14.83</v>
      </c>
      <c r="G275" s="48">
        <f t="shared" si="130"/>
        <v>41.14872364039956</v>
      </c>
      <c r="H275" s="48">
        <f>-0.3604</f>
        <v>-0.3604</v>
      </c>
      <c r="I275" s="56">
        <v>74.919499999999999</v>
      </c>
      <c r="J275" s="47">
        <f t="shared" si="116"/>
        <v>-27.000987800000001</v>
      </c>
      <c r="K275" s="49">
        <f>0</f>
        <v>0</v>
      </c>
      <c r="L275" s="48">
        <f t="shared" si="117"/>
        <v>-12.170987800000001</v>
      </c>
      <c r="M275" s="46">
        <f t="shared" si="118"/>
        <v>0.82070045853000684</v>
      </c>
      <c r="N275" s="47">
        <f t="shared" ca="1" si="119"/>
        <v>60.666666666666664</v>
      </c>
      <c r="O275" s="46">
        <f t="shared" ca="1" si="120"/>
        <v>0.16233635443450686</v>
      </c>
      <c r="P275" s="47">
        <f t="shared" si="126"/>
        <v>14.83</v>
      </c>
    </row>
    <row r="276" spans="1:16" ht="15.75" x14ac:dyDescent="0.3">
      <c r="A276" s="57" t="s">
        <v>43</v>
      </c>
      <c r="B276" s="50">
        <v>44380</v>
      </c>
      <c r="C276" s="47">
        <f>-7.36</f>
        <v>-7.36</v>
      </c>
      <c r="D276" s="47">
        <v>0</v>
      </c>
      <c r="E276" s="48">
        <v>0</v>
      </c>
      <c r="F276" s="48">
        <f t="shared" si="129"/>
        <v>-7.36</v>
      </c>
      <c r="G276" s="48">
        <f t="shared" si="130"/>
        <v>33.288104929895979</v>
      </c>
      <c r="H276" s="48">
        <f>-0.2211</f>
        <v>-0.22109999999999999</v>
      </c>
      <c r="I276" s="56">
        <v>46.404400000000003</v>
      </c>
      <c r="J276" s="47">
        <f t="shared" si="116"/>
        <v>-10.26001284</v>
      </c>
      <c r="K276" s="49">
        <f>0</f>
        <v>0</v>
      </c>
      <c r="L276" s="48">
        <f t="shared" si="117"/>
        <v>-2.9000128399999996</v>
      </c>
      <c r="M276" s="46">
        <f t="shared" si="118"/>
        <v>0.3940234836956521</v>
      </c>
      <c r="N276" s="47">
        <f t="shared" ca="1" si="119"/>
        <v>60.666666666666664</v>
      </c>
      <c r="O276" s="46">
        <f t="shared" ca="1" si="120"/>
        <v>7.7938711060678428E-2</v>
      </c>
      <c r="P276" s="47">
        <f t="shared" si="126"/>
        <v>7.36</v>
      </c>
    </row>
    <row r="277" spans="1:16" ht="15.75" x14ac:dyDescent="0.3">
      <c r="A277" s="57" t="s">
        <v>42</v>
      </c>
      <c r="B277" s="50">
        <v>44380</v>
      </c>
      <c r="C277" s="47">
        <f>-11.44</f>
        <v>-11.44</v>
      </c>
      <c r="D277" s="47">
        <v>0</v>
      </c>
      <c r="E277" s="48">
        <v>0</v>
      </c>
      <c r="F277" s="48">
        <f t="shared" si="129"/>
        <v>-11.44</v>
      </c>
      <c r="G277" s="48">
        <f t="shared" si="130"/>
        <v>28.614307153576789</v>
      </c>
      <c r="H277" s="48">
        <f>-0.3998</f>
        <v>-0.39979999999999999</v>
      </c>
      <c r="I277" s="56">
        <v>38.984900000000003</v>
      </c>
      <c r="J277" s="47">
        <f t="shared" si="116"/>
        <v>-15.586163020000001</v>
      </c>
      <c r="K277" s="49">
        <f>0</f>
        <v>0</v>
      </c>
      <c r="L277" s="48">
        <f t="shared" si="117"/>
        <v>-4.1461630200000013</v>
      </c>
      <c r="M277" s="46">
        <f t="shared" si="118"/>
        <v>0.36242683741258752</v>
      </c>
      <c r="N277" s="47">
        <f t="shared" ca="1" si="119"/>
        <v>60.666666666666664</v>
      </c>
      <c r="O277" s="46">
        <f t="shared" ca="1" si="120"/>
        <v>7.1688824982709634E-2</v>
      </c>
      <c r="P277" s="47">
        <f t="shared" si="126"/>
        <v>11.44</v>
      </c>
    </row>
    <row r="278" spans="1:16" ht="15.75" x14ac:dyDescent="0.3">
      <c r="A278" s="55" t="s">
        <v>44</v>
      </c>
      <c r="B278" s="50">
        <v>44407</v>
      </c>
      <c r="C278" s="47">
        <f>12148*38%</f>
        <v>4616.24</v>
      </c>
      <c r="D278" s="47">
        <v>0</v>
      </c>
      <c r="E278" s="48">
        <v>0</v>
      </c>
      <c r="F278" s="48">
        <f t="shared" si="129"/>
        <v>4616.24</v>
      </c>
      <c r="G278" s="48">
        <f t="shared" si="130"/>
        <v>41.501715812536354</v>
      </c>
      <c r="H278" s="48">
        <f>111.2301</f>
        <v>111.23009999999999</v>
      </c>
      <c r="I278" s="56">
        <v>74.919499999999999</v>
      </c>
      <c r="J278" s="47">
        <f t="shared" si="116"/>
        <v>8333.3034769499991</v>
      </c>
      <c r="K278" s="49">
        <f>0</f>
        <v>0</v>
      </c>
      <c r="L278" s="48">
        <f t="shared" si="117"/>
        <v>3717.0634769499993</v>
      </c>
      <c r="M278" s="46">
        <f t="shared" si="118"/>
        <v>0.8052145202480806</v>
      </c>
      <c r="N278" s="47">
        <f t="shared" ca="1" si="119"/>
        <v>59.766666666666666</v>
      </c>
      <c r="O278" s="46">
        <f t="shared" ca="1" si="120"/>
        <v>0.16167162704367485</v>
      </c>
      <c r="P278" s="47">
        <f t="shared" si="126"/>
        <v>-4616.24</v>
      </c>
    </row>
    <row r="279" spans="1:16" ht="15.75" x14ac:dyDescent="0.3">
      <c r="A279" s="57" t="s">
        <v>43</v>
      </c>
      <c r="B279" s="50">
        <v>44407</v>
      </c>
      <c r="C279" s="47">
        <f>12148*24%</f>
        <v>2915.52</v>
      </c>
      <c r="D279" s="47">
        <v>0</v>
      </c>
      <c r="E279" s="48">
        <v>0</v>
      </c>
      <c r="F279" s="48">
        <f t="shared" si="129"/>
        <v>2915.52</v>
      </c>
      <c r="G279" s="48">
        <f t="shared" si="130"/>
        <v>33.441228490744798</v>
      </c>
      <c r="H279" s="48">
        <f>87.1834</f>
        <v>87.183400000000006</v>
      </c>
      <c r="I279" s="56">
        <v>46.404400000000003</v>
      </c>
      <c r="J279" s="47">
        <f t="shared" si="116"/>
        <v>4045.6933669600003</v>
      </c>
      <c r="K279" s="49">
        <f>0</f>
        <v>0</v>
      </c>
      <c r="L279" s="48">
        <f t="shared" si="117"/>
        <v>1130.1733669600003</v>
      </c>
      <c r="M279" s="46">
        <f t="shared" si="118"/>
        <v>0.38764040958731216</v>
      </c>
      <c r="N279" s="47">
        <f t="shared" ca="1" si="119"/>
        <v>59.766666666666666</v>
      </c>
      <c r="O279" s="46">
        <f t="shared" ca="1" si="120"/>
        <v>7.7830757083899818E-2</v>
      </c>
      <c r="P279" s="47">
        <f t="shared" si="126"/>
        <v>-2915.52</v>
      </c>
    </row>
    <row r="280" spans="1:16" ht="15.75" x14ac:dyDescent="0.3">
      <c r="A280" s="57" t="s">
        <v>42</v>
      </c>
      <c r="B280" s="50">
        <v>44407</v>
      </c>
      <c r="C280" s="47">
        <f>12148*38%</f>
        <v>4616.24</v>
      </c>
      <c r="D280" s="47">
        <v>0</v>
      </c>
      <c r="E280" s="48">
        <v>0</v>
      </c>
      <c r="F280" s="48">
        <f t="shared" si="129"/>
        <v>4616.24</v>
      </c>
      <c r="G280" s="48">
        <f t="shared" si="130"/>
        <v>28.637310813434766</v>
      </c>
      <c r="H280" s="48">
        <f>161.1967</f>
        <v>161.19669999999999</v>
      </c>
      <c r="I280" s="56">
        <v>38.984900000000003</v>
      </c>
      <c r="J280" s="47">
        <f t="shared" si="116"/>
        <v>6284.2372298300006</v>
      </c>
      <c r="K280" s="49">
        <f>0</f>
        <v>0</v>
      </c>
      <c r="L280" s="48">
        <f t="shared" si="117"/>
        <v>1667.9972298300008</v>
      </c>
      <c r="M280" s="46">
        <f t="shared" si="118"/>
        <v>0.36133243285227823</v>
      </c>
      <c r="N280" s="47">
        <f t="shared" ca="1" si="119"/>
        <v>59.766666666666666</v>
      </c>
      <c r="O280" s="46">
        <f t="shared" ca="1" si="120"/>
        <v>7.2548620093039695E-2</v>
      </c>
      <c r="P280" s="47">
        <f t="shared" si="126"/>
        <v>-4616.24</v>
      </c>
    </row>
    <row r="281" spans="1:16" ht="15.75" x14ac:dyDescent="0.3">
      <c r="A281" s="55" t="s">
        <v>44</v>
      </c>
      <c r="B281" s="50">
        <v>44442</v>
      </c>
      <c r="C281" s="47">
        <f>12148*38%</f>
        <v>4616.24</v>
      </c>
      <c r="D281" s="47">
        <v>0</v>
      </c>
      <c r="E281" s="48">
        <v>0</v>
      </c>
      <c r="F281" s="48">
        <f t="shared" si="129"/>
        <v>4616.24</v>
      </c>
      <c r="G281" s="48">
        <f t="shared" si="130"/>
        <v>45.343808230023384</v>
      </c>
      <c r="H281" s="48">
        <f>101.8053</f>
        <v>101.8053</v>
      </c>
      <c r="I281" s="56">
        <v>74.919499999999999</v>
      </c>
      <c r="J281" s="47">
        <f t="shared" si="116"/>
        <v>7627.2021733500005</v>
      </c>
      <c r="K281" s="49">
        <f>0</f>
        <v>0</v>
      </c>
      <c r="L281" s="48">
        <f t="shared" si="117"/>
        <v>3010.9621733500007</v>
      </c>
      <c r="M281" s="46">
        <f t="shared" si="118"/>
        <v>0.65225425310425822</v>
      </c>
      <c r="N281" s="47">
        <f t="shared" ca="1" si="119"/>
        <v>58.666666666666664</v>
      </c>
      <c r="O281" s="46">
        <f t="shared" ca="1" si="120"/>
        <v>0.13341564268041647</v>
      </c>
      <c r="P281" s="47">
        <f t="shared" si="126"/>
        <v>-4616.24</v>
      </c>
    </row>
    <row r="282" spans="1:16" ht="15.75" x14ac:dyDescent="0.3">
      <c r="A282" s="57" t="s">
        <v>43</v>
      </c>
      <c r="B282" s="50">
        <v>44442</v>
      </c>
      <c r="C282" s="47">
        <f>12148*24%</f>
        <v>2915.52</v>
      </c>
      <c r="D282" s="47">
        <v>0</v>
      </c>
      <c r="E282" s="48">
        <v>0</v>
      </c>
      <c r="F282" s="48">
        <f t="shared" si="129"/>
        <v>2915.52</v>
      </c>
      <c r="G282" s="48">
        <f t="shared" si="130"/>
        <v>33.795920638379755</v>
      </c>
      <c r="H282" s="48">
        <f>86.2684</f>
        <v>86.2684</v>
      </c>
      <c r="I282" s="56">
        <v>46.404400000000003</v>
      </c>
      <c r="J282" s="47">
        <f t="shared" si="116"/>
        <v>4003.2333409600001</v>
      </c>
      <c r="K282" s="49">
        <f>0</f>
        <v>0</v>
      </c>
      <c r="L282" s="48">
        <f t="shared" si="117"/>
        <v>1087.7133409600001</v>
      </c>
      <c r="M282" s="46">
        <f t="shared" si="118"/>
        <v>0.37307696087147407</v>
      </c>
      <c r="N282" s="47">
        <f t="shared" ca="1" si="119"/>
        <v>58.666666666666664</v>
      </c>
      <c r="O282" s="46">
        <f t="shared" ca="1" si="120"/>
        <v>7.6311196541892418E-2</v>
      </c>
      <c r="P282" s="47">
        <f t="shared" si="126"/>
        <v>-2915.52</v>
      </c>
    </row>
    <row r="283" spans="1:16" ht="15.75" x14ac:dyDescent="0.3">
      <c r="A283" s="57" t="s">
        <v>42</v>
      </c>
      <c r="B283" s="50">
        <v>44442</v>
      </c>
      <c r="C283" s="47">
        <f>12148*38%</f>
        <v>4616.24</v>
      </c>
      <c r="D283" s="47">
        <v>0</v>
      </c>
      <c r="E283" s="48">
        <v>0</v>
      </c>
      <c r="F283" s="48">
        <f t="shared" si="129"/>
        <v>4616.24</v>
      </c>
      <c r="G283" s="48">
        <f t="shared" si="130"/>
        <v>29.125314361642388</v>
      </c>
      <c r="H283" s="48">
        <f>158.4958</f>
        <v>158.4958</v>
      </c>
      <c r="I283" s="56">
        <v>38.984900000000003</v>
      </c>
      <c r="J283" s="47">
        <f t="shared" si="116"/>
        <v>6178.9429134200009</v>
      </c>
      <c r="K283" s="49">
        <f>0</f>
        <v>0</v>
      </c>
      <c r="L283" s="48">
        <f t="shared" si="117"/>
        <v>1562.7029134200011</v>
      </c>
      <c r="M283" s="46">
        <f t="shared" si="118"/>
        <v>0.33852289166507832</v>
      </c>
      <c r="N283" s="47">
        <f t="shared" ca="1" si="119"/>
        <v>58.666666666666664</v>
      </c>
      <c r="O283" s="46">
        <f t="shared" ca="1" si="120"/>
        <v>6.9243318749675112E-2</v>
      </c>
      <c r="P283" s="47">
        <f t="shared" si="126"/>
        <v>-4616.24</v>
      </c>
    </row>
    <row r="284" spans="1:16" ht="15.75" x14ac:dyDescent="0.3">
      <c r="A284" s="55" t="s">
        <v>44</v>
      </c>
      <c r="B284" s="50">
        <v>44473</v>
      </c>
      <c r="C284" s="47">
        <f>12148*38%</f>
        <v>4616.24</v>
      </c>
      <c r="D284" s="47">
        <v>0</v>
      </c>
      <c r="E284" s="48">
        <v>0</v>
      </c>
      <c r="F284" s="48">
        <f t="shared" ref="F284:F286" si="131">SUM(C284:E284)</f>
        <v>4616.24</v>
      </c>
      <c r="G284" s="48">
        <f t="shared" ref="G284:G286" si="132">F284/H284</f>
        <v>46.417510638469025</v>
      </c>
      <c r="H284" s="48">
        <f>99.4504</f>
        <v>99.450400000000002</v>
      </c>
      <c r="I284" s="56">
        <v>74.919499999999999</v>
      </c>
      <c r="J284" s="47">
        <f t="shared" ref="J284:J286" si="133">PRODUCT(H284:I284)</f>
        <v>7450.7742428000001</v>
      </c>
      <c r="K284" s="49">
        <f>0</f>
        <v>0</v>
      </c>
      <c r="L284" s="48">
        <f t="shared" ref="L284:L286" si="134">SUM(-F284,J284)+K284</f>
        <v>2834.5342428000004</v>
      </c>
      <c r="M284" s="46">
        <f t="shared" ref="M284:M286" si="135">L284/F284</f>
        <v>0.61403528473389613</v>
      </c>
      <c r="N284" s="47">
        <f t="shared" ref="N284:N286" ca="1" si="136">(DAYS360(B284,NOW(),TRUE))/30</f>
        <v>57.633333333333333</v>
      </c>
      <c r="O284" s="46">
        <f t="shared" ref="O284:O286" ca="1" si="137">M284*12/N284</f>
        <v>0.12785003036680312</v>
      </c>
      <c r="P284" s="47">
        <f t="shared" si="126"/>
        <v>-4616.24</v>
      </c>
    </row>
    <row r="285" spans="1:16" ht="15.75" x14ac:dyDescent="0.3">
      <c r="A285" s="57" t="s">
        <v>43</v>
      </c>
      <c r="B285" s="50">
        <v>44473</v>
      </c>
      <c r="C285" s="47">
        <f>12148*24%</f>
        <v>2915.52</v>
      </c>
      <c r="D285" s="47">
        <v>0</v>
      </c>
      <c r="E285" s="48">
        <v>0</v>
      </c>
      <c r="F285" s="48">
        <f t="shared" si="131"/>
        <v>2915.52</v>
      </c>
      <c r="G285" s="48">
        <f t="shared" si="132"/>
        <v>34.006737148562529</v>
      </c>
      <c r="H285" s="48">
        <f>85.7336</f>
        <v>85.733599999999996</v>
      </c>
      <c r="I285" s="56">
        <v>46.404400000000003</v>
      </c>
      <c r="J285" s="47">
        <f t="shared" si="133"/>
        <v>3978.4162678399998</v>
      </c>
      <c r="K285" s="49">
        <f>0</f>
        <v>0</v>
      </c>
      <c r="L285" s="48">
        <f t="shared" si="134"/>
        <v>1062.8962678399998</v>
      </c>
      <c r="M285" s="46">
        <f t="shared" si="135"/>
        <v>0.36456490363297106</v>
      </c>
      <c r="N285" s="47">
        <f t="shared" ca="1" si="136"/>
        <v>57.633333333333333</v>
      </c>
      <c r="O285" s="46">
        <f t="shared" ca="1" si="137"/>
        <v>7.5907093873840134E-2</v>
      </c>
      <c r="P285" s="47">
        <f t="shared" si="126"/>
        <v>-2915.52</v>
      </c>
    </row>
    <row r="286" spans="1:16" ht="15.75" x14ac:dyDescent="0.3">
      <c r="A286" s="57" t="s">
        <v>42</v>
      </c>
      <c r="B286" s="50">
        <v>44473</v>
      </c>
      <c r="C286" s="47">
        <f>12148*38%</f>
        <v>4616.24</v>
      </c>
      <c r="D286" s="47">
        <v>0</v>
      </c>
      <c r="E286" s="48">
        <v>0</v>
      </c>
      <c r="F286" s="48">
        <f t="shared" si="131"/>
        <v>4616.24</v>
      </c>
      <c r="G286" s="48">
        <f t="shared" si="132"/>
        <v>29.211901838937894</v>
      </c>
      <c r="H286" s="48">
        <f>158.026</f>
        <v>158.02600000000001</v>
      </c>
      <c r="I286" s="56">
        <v>38.984900000000003</v>
      </c>
      <c r="J286" s="47">
        <f t="shared" si="133"/>
        <v>6160.6278074000011</v>
      </c>
      <c r="K286" s="49">
        <f>0</f>
        <v>0</v>
      </c>
      <c r="L286" s="48">
        <f t="shared" si="134"/>
        <v>1544.3878074000013</v>
      </c>
      <c r="M286" s="46">
        <f t="shared" si="135"/>
        <v>0.3345553540110569</v>
      </c>
      <c r="N286" s="47">
        <f t="shared" ca="1" si="136"/>
        <v>57.633333333333333</v>
      </c>
      <c r="O286" s="46">
        <f t="shared" ca="1" si="137"/>
        <v>6.9658720326188833E-2</v>
      </c>
      <c r="P286" s="47">
        <f t="shared" si="126"/>
        <v>-4616.24</v>
      </c>
    </row>
    <row r="287" spans="1:16" ht="15.75" x14ac:dyDescent="0.3">
      <c r="A287" s="55" t="s">
        <v>44</v>
      </c>
      <c r="B287" s="50">
        <v>44478</v>
      </c>
      <c r="C287" s="47">
        <f>-17.7</f>
        <v>-17.7</v>
      </c>
      <c r="D287" s="47">
        <v>0</v>
      </c>
      <c r="E287" s="48">
        <v>0</v>
      </c>
      <c r="F287" s="48">
        <f t="shared" si="129"/>
        <v>-17.7</v>
      </c>
      <c r="G287" s="48">
        <f t="shared" si="130"/>
        <v>46.677215189873415</v>
      </c>
      <c r="H287" s="48">
        <f>-0.3792</f>
        <v>-0.37919999999999998</v>
      </c>
      <c r="I287" s="56">
        <v>74.919499999999999</v>
      </c>
      <c r="J287" s="47">
        <f t="shared" si="116"/>
        <v>-28.409474399999997</v>
      </c>
      <c r="K287" s="49">
        <f>0</f>
        <v>0</v>
      </c>
      <c r="L287" s="48">
        <f t="shared" si="117"/>
        <v>-10.709474399999998</v>
      </c>
      <c r="M287" s="46">
        <f t="shared" si="118"/>
        <v>0.60505505084745748</v>
      </c>
      <c r="N287" s="47">
        <f t="shared" ca="1" si="119"/>
        <v>57.466666666666669</v>
      </c>
      <c r="O287" s="46">
        <f t="shared" ca="1" si="120"/>
        <v>0.12634560226513034</v>
      </c>
      <c r="P287" s="47">
        <f t="shared" si="126"/>
        <v>17.7</v>
      </c>
    </row>
    <row r="288" spans="1:16" ht="15.75" x14ac:dyDescent="0.3">
      <c r="A288" s="57" t="s">
        <v>43</v>
      </c>
      <c r="B288" s="50">
        <v>44478</v>
      </c>
      <c r="C288" s="47">
        <f>-7.97</f>
        <v>-7.97</v>
      </c>
      <c r="D288" s="47">
        <v>0</v>
      </c>
      <c r="E288" s="48">
        <v>0</v>
      </c>
      <c r="F288" s="48">
        <f t="shared" si="129"/>
        <v>-7.97</v>
      </c>
      <c r="G288" s="48">
        <f t="shared" si="130"/>
        <v>34.001706484641637</v>
      </c>
      <c r="H288" s="48">
        <f>-0.2344</f>
        <v>-0.2344</v>
      </c>
      <c r="I288" s="56">
        <v>46.404400000000003</v>
      </c>
      <c r="J288" s="47">
        <f t="shared" si="116"/>
        <v>-10.877191360000001</v>
      </c>
      <c r="K288" s="49">
        <f>0</f>
        <v>0</v>
      </c>
      <c r="L288" s="48">
        <f t="shared" si="117"/>
        <v>-2.9071913600000014</v>
      </c>
      <c r="M288" s="46">
        <f t="shared" si="118"/>
        <v>0.36476679548306168</v>
      </c>
      <c r="N288" s="47">
        <f t="shared" ca="1" si="119"/>
        <v>57.466666666666669</v>
      </c>
      <c r="O288" s="46">
        <f t="shared" ca="1" si="120"/>
        <v>7.6169400448899194E-2</v>
      </c>
      <c r="P288" s="47">
        <f t="shared" si="126"/>
        <v>7.97</v>
      </c>
    </row>
    <row r="289" spans="1:16" ht="15.75" x14ac:dyDescent="0.3">
      <c r="A289" s="57" t="s">
        <v>42</v>
      </c>
      <c r="B289" s="50">
        <v>44478</v>
      </c>
      <c r="C289" s="47">
        <f>-12.38</f>
        <v>-12.38</v>
      </c>
      <c r="D289" s="47">
        <v>0</v>
      </c>
      <c r="E289" s="48">
        <v>0</v>
      </c>
      <c r="F289" s="48">
        <f t="shared" si="129"/>
        <v>-12.38</v>
      </c>
      <c r="G289" s="48">
        <f t="shared" si="130"/>
        <v>29.191228483848153</v>
      </c>
      <c r="H289" s="48">
        <f>-0.4241</f>
        <v>-0.42409999999999998</v>
      </c>
      <c r="I289" s="56">
        <v>38.984900000000003</v>
      </c>
      <c r="J289" s="47">
        <f t="shared" si="116"/>
        <v>-16.53349609</v>
      </c>
      <c r="K289" s="49">
        <f>0</f>
        <v>0</v>
      </c>
      <c r="L289" s="48">
        <f t="shared" si="117"/>
        <v>-4.1534960899999991</v>
      </c>
      <c r="M289" s="46">
        <f t="shared" si="118"/>
        <v>0.33550049192245546</v>
      </c>
      <c r="N289" s="47">
        <f t="shared" ca="1" si="119"/>
        <v>57.466666666666669</v>
      </c>
      <c r="O289" s="46">
        <f t="shared" ca="1" si="120"/>
        <v>7.0058107361997662E-2</v>
      </c>
      <c r="P289" s="47">
        <f t="shared" si="126"/>
        <v>12.38</v>
      </c>
    </row>
    <row r="290" spans="1:16" ht="15.75" x14ac:dyDescent="0.3">
      <c r="A290" s="55" t="s">
        <v>44</v>
      </c>
      <c r="B290" s="50">
        <v>44493</v>
      </c>
      <c r="C290" s="47">
        <v>-157347.29</v>
      </c>
      <c r="D290" s="47">
        <v>0</v>
      </c>
      <c r="E290" s="48">
        <v>0</v>
      </c>
      <c r="F290" s="48">
        <f t="shared" ref="F290:F292" si="138">SUM(C290:E290)</f>
        <v>-157347.29</v>
      </c>
      <c r="G290" s="48">
        <f t="shared" ref="G290:G292" si="139">F290/H290</f>
        <v>47.207296072519334</v>
      </c>
      <c r="H290" s="48">
        <f>-3333.1138</f>
        <v>-3333.1138000000001</v>
      </c>
      <c r="I290" s="56">
        <v>74.919499999999999</v>
      </c>
      <c r="J290" s="47">
        <f t="shared" si="116"/>
        <v>-249715.2193391</v>
      </c>
      <c r="K290" s="49">
        <f>0</f>
        <v>0</v>
      </c>
      <c r="L290" s="48">
        <f t="shared" si="117"/>
        <v>-92367.929339099996</v>
      </c>
      <c r="M290" s="46">
        <f t="shared" si="118"/>
        <v>0.58703222241132968</v>
      </c>
      <c r="N290" s="47">
        <f t="shared" ca="1" si="119"/>
        <v>56.966666666666669</v>
      </c>
      <c r="O290" s="46">
        <f t="shared" ca="1" si="120"/>
        <v>0.12365804568056096</v>
      </c>
      <c r="P290" s="47">
        <f t="shared" si="126"/>
        <v>157347.29</v>
      </c>
    </row>
    <row r="291" spans="1:16" ht="15.75" x14ac:dyDescent="0.3">
      <c r="A291" s="57" t="s">
        <v>43</v>
      </c>
      <c r="B291" s="50">
        <v>44493</v>
      </c>
      <c r="C291" s="47">
        <v>31217.279999999999</v>
      </c>
      <c r="D291" s="47">
        <v>0</v>
      </c>
      <c r="E291" s="48">
        <v>0</v>
      </c>
      <c r="F291" s="48">
        <f t="shared" si="138"/>
        <v>31217.279999999999</v>
      </c>
      <c r="G291" s="48">
        <f t="shared" si="139"/>
        <v>34.036603330753287</v>
      </c>
      <c r="H291" s="48">
        <f>917.1679</f>
        <v>917.16790000000003</v>
      </c>
      <c r="I291" s="56">
        <v>46.404400000000003</v>
      </c>
      <c r="J291" s="47">
        <f t="shared" si="116"/>
        <v>42560.626098760004</v>
      </c>
      <c r="K291" s="49">
        <f>0</f>
        <v>0</v>
      </c>
      <c r="L291" s="48">
        <f t="shared" si="117"/>
        <v>11343.346098760005</v>
      </c>
      <c r="M291" s="46">
        <f t="shared" si="118"/>
        <v>0.36336753550469497</v>
      </c>
      <c r="N291" s="47">
        <f t="shared" ca="1" si="119"/>
        <v>56.966666666666669</v>
      </c>
      <c r="O291" s="46">
        <f t="shared" ca="1" si="120"/>
        <v>7.6543190627086116E-2</v>
      </c>
      <c r="P291" s="47">
        <f t="shared" si="126"/>
        <v>-31217.279999999999</v>
      </c>
    </row>
    <row r="292" spans="1:16" ht="15.75" x14ac:dyDescent="0.3">
      <c r="A292" s="57" t="s">
        <v>42</v>
      </c>
      <c r="B292" s="50">
        <v>44493</v>
      </c>
      <c r="C292" s="47">
        <v>126130.01</v>
      </c>
      <c r="D292" s="47">
        <v>0</v>
      </c>
      <c r="E292" s="48">
        <v>0</v>
      </c>
      <c r="F292" s="48">
        <f t="shared" si="138"/>
        <v>126130.01</v>
      </c>
      <c r="G292" s="48">
        <f t="shared" si="139"/>
        <v>29.196400674121296</v>
      </c>
      <c r="H292" s="48">
        <f>4320.0534</f>
        <v>4320.0533999999998</v>
      </c>
      <c r="I292" s="56">
        <v>38.984900000000003</v>
      </c>
      <c r="J292" s="47">
        <f t="shared" si="116"/>
        <v>168416.84979366002</v>
      </c>
      <c r="K292" s="49">
        <f>0</f>
        <v>0</v>
      </c>
      <c r="L292" s="48">
        <f t="shared" si="117"/>
        <v>42286.839793660023</v>
      </c>
      <c r="M292" s="46">
        <f t="shared" si="118"/>
        <v>0.33526390581955889</v>
      </c>
      <c r="N292" s="47">
        <f t="shared" ca="1" si="119"/>
        <v>56.966666666666669</v>
      </c>
      <c r="O292" s="46">
        <f t="shared" ca="1" si="120"/>
        <v>7.0623175011726866E-2</v>
      </c>
      <c r="P292" s="47">
        <f t="shared" si="126"/>
        <v>-126130.01</v>
      </c>
    </row>
    <row r="293" spans="1:16" ht="15.75" x14ac:dyDescent="0.3">
      <c r="A293" s="55" t="s">
        <v>44</v>
      </c>
      <c r="B293" s="50">
        <v>44502</v>
      </c>
      <c r="C293" s="47">
        <f>12148*36%</f>
        <v>4373.28</v>
      </c>
      <c r="D293" s="47">
        <v>0</v>
      </c>
      <c r="E293" s="48">
        <v>0</v>
      </c>
      <c r="F293" s="48">
        <f t="shared" ref="F293:F298" si="140">SUM(C293:E293)</f>
        <v>4373.28</v>
      </c>
      <c r="G293" s="48">
        <f t="shared" ref="G293:G298" si="141">F293/H293</f>
        <v>46.858044109957738</v>
      </c>
      <c r="H293" s="48">
        <f>93.3304</f>
        <v>93.330399999999997</v>
      </c>
      <c r="I293" s="56">
        <v>74.919499999999999</v>
      </c>
      <c r="J293" s="47">
        <f t="shared" si="116"/>
        <v>6992.2669028</v>
      </c>
      <c r="K293" s="49">
        <f>0</f>
        <v>0</v>
      </c>
      <c r="L293" s="48">
        <f t="shared" si="117"/>
        <v>2618.9869028000003</v>
      </c>
      <c r="M293" s="46">
        <f t="shared" si="118"/>
        <v>0.59886101571360639</v>
      </c>
      <c r="N293" s="47">
        <f t="shared" ca="1" si="119"/>
        <v>56.7</v>
      </c>
      <c r="O293" s="46">
        <f t="shared" ca="1" si="120"/>
        <v>0.12674307210869976</v>
      </c>
      <c r="P293" s="47">
        <f t="shared" si="126"/>
        <v>-4373.28</v>
      </c>
    </row>
    <row r="294" spans="1:16" ht="15.75" x14ac:dyDescent="0.3">
      <c r="A294" s="57" t="s">
        <v>43</v>
      </c>
      <c r="B294" s="50">
        <v>44502</v>
      </c>
      <c r="C294" s="47">
        <f>12148*23%</f>
        <v>2794.04</v>
      </c>
      <c r="D294" s="47">
        <v>0</v>
      </c>
      <c r="E294" s="48">
        <v>0</v>
      </c>
      <c r="F294" s="48">
        <f t="shared" si="140"/>
        <v>2794.04</v>
      </c>
      <c r="G294" s="48">
        <f t="shared" si="141"/>
        <v>34.0322388117876</v>
      </c>
      <c r="H294" s="48">
        <f>82.0998</f>
        <v>82.099800000000002</v>
      </c>
      <c r="I294" s="56">
        <v>46.404400000000003</v>
      </c>
      <c r="J294" s="47">
        <f t="shared" si="116"/>
        <v>3809.7919591200002</v>
      </c>
      <c r="K294" s="49">
        <f>0</f>
        <v>0</v>
      </c>
      <c r="L294" s="48">
        <f t="shared" si="117"/>
        <v>1015.7519591200003</v>
      </c>
      <c r="M294" s="46">
        <f t="shared" si="118"/>
        <v>0.3635423827575841</v>
      </c>
      <c r="N294" s="47">
        <f t="shared" ca="1" si="119"/>
        <v>56.7</v>
      </c>
      <c r="O294" s="46">
        <f t="shared" ca="1" si="120"/>
        <v>7.6940186827001919E-2</v>
      </c>
      <c r="P294" s="47">
        <f t="shared" si="126"/>
        <v>-2794.04</v>
      </c>
    </row>
    <row r="295" spans="1:16" ht="15.75" x14ac:dyDescent="0.3">
      <c r="A295" s="57" t="s">
        <v>42</v>
      </c>
      <c r="B295" s="50">
        <v>44502</v>
      </c>
      <c r="C295" s="47">
        <f>12148*41%</f>
        <v>4980.6799999999994</v>
      </c>
      <c r="D295" s="47">
        <v>0</v>
      </c>
      <c r="E295" s="48">
        <v>0</v>
      </c>
      <c r="F295" s="48">
        <f t="shared" si="140"/>
        <v>4980.6799999999994</v>
      </c>
      <c r="G295" s="48">
        <f t="shared" si="141"/>
        <v>29.170915297001955</v>
      </c>
      <c r="H295" s="48">
        <f>170.7413</f>
        <v>170.7413</v>
      </c>
      <c r="I295" s="56">
        <v>38.984900000000003</v>
      </c>
      <c r="J295" s="47">
        <f t="shared" si="116"/>
        <v>6656.3325063700004</v>
      </c>
      <c r="K295" s="49">
        <f>0</f>
        <v>0</v>
      </c>
      <c r="L295" s="48">
        <f t="shared" si="117"/>
        <v>1675.652506370001</v>
      </c>
      <c r="M295" s="46">
        <f t="shared" si="118"/>
        <v>0.33643046860468878</v>
      </c>
      <c r="N295" s="47">
        <f t="shared" ca="1" si="119"/>
        <v>56.7</v>
      </c>
      <c r="O295" s="46">
        <f t="shared" ca="1" si="120"/>
        <v>7.1202215577711905E-2</v>
      </c>
      <c r="P295" s="47">
        <f t="shared" si="126"/>
        <v>-4980.6799999999994</v>
      </c>
    </row>
    <row r="296" spans="1:16" ht="15.75" x14ac:dyDescent="0.3">
      <c r="A296" s="55" t="s">
        <v>44</v>
      </c>
      <c r="B296" s="50">
        <v>44532</v>
      </c>
      <c r="C296" s="47">
        <f>12148*36%</f>
        <v>4373.28</v>
      </c>
      <c r="D296" s="47">
        <v>0</v>
      </c>
      <c r="E296" s="48">
        <v>0</v>
      </c>
      <c r="F296" s="48">
        <f t="shared" si="140"/>
        <v>4373.28</v>
      </c>
      <c r="G296" s="48">
        <f t="shared" si="141"/>
        <v>45.512332188573211</v>
      </c>
      <c r="H296" s="48">
        <f>96.09</f>
        <v>96.09</v>
      </c>
      <c r="I296" s="56">
        <v>74.919499999999999</v>
      </c>
      <c r="J296" s="47">
        <f t="shared" si="116"/>
        <v>7199.0147550000002</v>
      </c>
      <c r="K296" s="49">
        <f>0</f>
        <v>0</v>
      </c>
      <c r="L296" s="48">
        <f t="shared" si="117"/>
        <v>2825.7347550000004</v>
      </c>
      <c r="M296" s="46">
        <f t="shared" si="118"/>
        <v>0.64613625356711679</v>
      </c>
      <c r="N296" s="47">
        <f t="shared" ca="1" si="119"/>
        <v>55.7</v>
      </c>
      <c r="O296" s="46">
        <f t="shared" ca="1" si="120"/>
        <v>0.13920350166616519</v>
      </c>
      <c r="P296" s="47">
        <f t="shared" si="126"/>
        <v>-4373.28</v>
      </c>
    </row>
    <row r="297" spans="1:16" ht="15.75" x14ac:dyDescent="0.3">
      <c r="A297" s="57" t="s">
        <v>43</v>
      </c>
      <c r="B297" s="50">
        <v>44532</v>
      </c>
      <c r="C297" s="47">
        <f>12148*23%</f>
        <v>2794.04</v>
      </c>
      <c r="D297" s="47">
        <v>0</v>
      </c>
      <c r="E297" s="48">
        <v>0</v>
      </c>
      <c r="F297" s="48">
        <f t="shared" si="140"/>
        <v>2794.04</v>
      </c>
      <c r="G297" s="48">
        <f t="shared" si="141"/>
        <v>34.259033330349709</v>
      </c>
      <c r="H297" s="48">
        <f>81.5563</f>
        <v>81.556299999999993</v>
      </c>
      <c r="I297" s="56">
        <v>46.404400000000003</v>
      </c>
      <c r="J297" s="47">
        <f t="shared" si="116"/>
        <v>3784.5711677199997</v>
      </c>
      <c r="K297" s="49">
        <f>0</f>
        <v>0</v>
      </c>
      <c r="L297" s="48">
        <f t="shared" si="117"/>
        <v>990.53116771999976</v>
      </c>
      <c r="M297" s="46">
        <f t="shared" si="118"/>
        <v>0.35451574341097469</v>
      </c>
      <c r="N297" s="47">
        <f t="shared" ca="1" si="119"/>
        <v>55.7</v>
      </c>
      <c r="O297" s="46">
        <f t="shared" ca="1" si="120"/>
        <v>7.6376820842579823E-2</v>
      </c>
      <c r="P297" s="47">
        <f t="shared" si="126"/>
        <v>-2794.04</v>
      </c>
    </row>
    <row r="298" spans="1:16" ht="15.75" x14ac:dyDescent="0.3">
      <c r="A298" s="57" t="s">
        <v>42</v>
      </c>
      <c r="B298" s="50">
        <v>44532</v>
      </c>
      <c r="C298" s="47">
        <f>12148*41%</f>
        <v>4980.6799999999994</v>
      </c>
      <c r="D298" s="47">
        <v>0</v>
      </c>
      <c r="E298" s="48">
        <v>0</v>
      </c>
      <c r="F298" s="48">
        <f t="shared" si="140"/>
        <v>4980.6799999999994</v>
      </c>
      <c r="G298" s="48">
        <f t="shared" si="141"/>
        <v>29.483813642748764</v>
      </c>
      <c r="H298" s="48">
        <f>168.9293</f>
        <v>168.92930000000001</v>
      </c>
      <c r="I298" s="56">
        <v>38.984900000000003</v>
      </c>
      <c r="J298" s="47">
        <f t="shared" si="116"/>
        <v>6585.6918675700008</v>
      </c>
      <c r="K298" s="49">
        <f>0</f>
        <v>0</v>
      </c>
      <c r="L298" s="48">
        <f t="shared" si="117"/>
        <v>1605.0118675700014</v>
      </c>
      <c r="M298" s="46">
        <f t="shared" si="118"/>
        <v>0.32224753800083555</v>
      </c>
      <c r="N298" s="47">
        <f t="shared" ca="1" si="119"/>
        <v>55.7</v>
      </c>
      <c r="O298" s="46">
        <f t="shared" ca="1" si="120"/>
        <v>6.9424963303591131E-2</v>
      </c>
      <c r="P298" s="47">
        <f t="shared" si="126"/>
        <v>-4980.6799999999994</v>
      </c>
    </row>
    <row r="299" spans="1:16" ht="15.75" x14ac:dyDescent="0.3">
      <c r="A299" s="55" t="s">
        <v>44</v>
      </c>
      <c r="B299" s="50">
        <v>44545</v>
      </c>
      <c r="C299" s="47">
        <f>50000*36%</f>
        <v>18000</v>
      </c>
      <c r="D299" s="47">
        <f>59*36%</f>
        <v>21.24</v>
      </c>
      <c r="E299" s="48">
        <v>0</v>
      </c>
      <c r="F299" s="48">
        <f t="shared" ref="F299:F301" si="142">SUM(C299:E299)</f>
        <v>18021.240000000002</v>
      </c>
      <c r="G299" s="48">
        <f t="shared" ref="G299:G301" si="143">F299/H299</f>
        <v>45.179149828020179</v>
      </c>
      <c r="H299" s="48">
        <f>398.884</f>
        <v>398.88400000000001</v>
      </c>
      <c r="I299" s="56">
        <v>74.919499999999999</v>
      </c>
      <c r="J299" s="47">
        <f t="shared" si="116"/>
        <v>29884.189838000002</v>
      </c>
      <c r="K299" s="49">
        <f>0</f>
        <v>0</v>
      </c>
      <c r="L299" s="48">
        <f t="shared" si="117"/>
        <v>11862.949838</v>
      </c>
      <c r="M299" s="46">
        <f t="shared" si="118"/>
        <v>0.6582760030941267</v>
      </c>
      <c r="N299" s="47">
        <f t="shared" ca="1" si="119"/>
        <v>55.266666666666666</v>
      </c>
      <c r="O299" s="46">
        <f t="shared" ca="1" si="120"/>
        <v>0.14293085712538336</v>
      </c>
      <c r="P299" s="47">
        <f t="shared" si="126"/>
        <v>-18021.240000000002</v>
      </c>
    </row>
    <row r="300" spans="1:16" ht="15.75" x14ac:dyDescent="0.3">
      <c r="A300" s="57" t="s">
        <v>43</v>
      </c>
      <c r="B300" s="50">
        <v>44545</v>
      </c>
      <c r="C300" s="47">
        <f>50000*23%</f>
        <v>11500</v>
      </c>
      <c r="D300" s="47">
        <f>59*23%</f>
        <v>13.57</v>
      </c>
      <c r="E300" s="48">
        <v>0</v>
      </c>
      <c r="F300" s="48">
        <f t="shared" si="142"/>
        <v>11513.57</v>
      </c>
      <c r="G300" s="48">
        <f t="shared" si="143"/>
        <v>34.409458561263911</v>
      </c>
      <c r="H300" s="48">
        <f>334.6048</f>
        <v>334.60480000000001</v>
      </c>
      <c r="I300" s="56">
        <v>46.404400000000003</v>
      </c>
      <c r="J300" s="47">
        <f t="shared" si="116"/>
        <v>15527.134981120002</v>
      </c>
      <c r="K300" s="49">
        <f>0</f>
        <v>0</v>
      </c>
      <c r="L300" s="48">
        <f t="shared" si="117"/>
        <v>4013.5649811200019</v>
      </c>
      <c r="M300" s="46">
        <f t="shared" si="118"/>
        <v>0.34859430924726231</v>
      </c>
      <c r="N300" s="47">
        <f t="shared" ca="1" si="119"/>
        <v>55.266666666666666</v>
      </c>
      <c r="O300" s="46">
        <f t="shared" ca="1" si="120"/>
        <v>7.5689958582035241E-2</v>
      </c>
      <c r="P300" s="47">
        <f t="shared" si="126"/>
        <v>-11513.57</v>
      </c>
    </row>
    <row r="301" spans="1:16" ht="15.75" x14ac:dyDescent="0.3">
      <c r="A301" s="57" t="s">
        <v>42</v>
      </c>
      <c r="B301" s="50">
        <v>44545</v>
      </c>
      <c r="C301" s="47">
        <f>50000*41%</f>
        <v>20500</v>
      </c>
      <c r="D301" s="47">
        <f>59*41%</f>
        <v>24.189999999999998</v>
      </c>
      <c r="E301" s="48">
        <v>0</v>
      </c>
      <c r="F301" s="48">
        <f t="shared" si="142"/>
        <v>20524.189999999999</v>
      </c>
      <c r="G301" s="48">
        <f t="shared" si="143"/>
        <v>29.587475923637797</v>
      </c>
      <c r="H301" s="48">
        <f>693.6783</f>
        <v>693.67830000000004</v>
      </c>
      <c r="I301" s="56">
        <v>38.984900000000003</v>
      </c>
      <c r="J301" s="47">
        <f t="shared" si="116"/>
        <v>27042.979157670004</v>
      </c>
      <c r="K301" s="49">
        <f>0</f>
        <v>0</v>
      </c>
      <c r="L301" s="48">
        <f t="shared" si="117"/>
        <v>6518.7891576700058</v>
      </c>
      <c r="M301" s="46">
        <f t="shared" si="118"/>
        <v>0.3176149293916109</v>
      </c>
      <c r="N301" s="47">
        <f t="shared" ca="1" si="119"/>
        <v>55.266666666666666</v>
      </c>
      <c r="O301" s="46">
        <f t="shared" ca="1" si="120"/>
        <v>6.8963434608552435E-2</v>
      </c>
      <c r="P301" s="47">
        <f t="shared" si="126"/>
        <v>-20524.189999999999</v>
      </c>
    </row>
    <row r="302" spans="1:16" ht="15.75" x14ac:dyDescent="0.3">
      <c r="A302" s="55" t="s">
        <v>44</v>
      </c>
      <c r="B302" s="50">
        <v>44565</v>
      </c>
      <c r="C302" s="47">
        <f>12148*36%</f>
        <v>4373.28</v>
      </c>
      <c r="D302" s="47">
        <v>0</v>
      </c>
      <c r="E302" s="48">
        <v>0</v>
      </c>
      <c r="F302" s="48">
        <f t="shared" ref="F302:F304" si="144">SUM(C302:E302)</f>
        <v>4373.28</v>
      </c>
      <c r="G302" s="48">
        <f t="shared" ref="G302:G304" si="145">F302/H302</f>
        <v>46.481630674849228</v>
      </c>
      <c r="H302" s="48">
        <f>94.0862</f>
        <v>94.086200000000005</v>
      </c>
      <c r="I302" s="56">
        <v>74.919499999999999</v>
      </c>
      <c r="J302" s="47">
        <f t="shared" si="116"/>
        <v>7048.8910609000004</v>
      </c>
      <c r="K302" s="49">
        <f>0</f>
        <v>0</v>
      </c>
      <c r="L302" s="48">
        <f t="shared" si="117"/>
        <v>2675.6110609000007</v>
      </c>
      <c r="M302" s="46">
        <f t="shared" si="118"/>
        <v>0.6118087707395824</v>
      </c>
      <c r="N302" s="47">
        <f t="shared" ca="1" si="119"/>
        <v>54.633333333333333</v>
      </c>
      <c r="O302" s="46">
        <f t="shared" ca="1" si="120"/>
        <v>0.13438142615390464</v>
      </c>
      <c r="P302" s="47">
        <f t="shared" si="126"/>
        <v>-4373.28</v>
      </c>
    </row>
    <row r="303" spans="1:16" ht="15.75" x14ac:dyDescent="0.3">
      <c r="A303" s="57" t="s">
        <v>43</v>
      </c>
      <c r="B303" s="50">
        <v>44565</v>
      </c>
      <c r="C303" s="47">
        <f>12148*23%</f>
        <v>2794.04</v>
      </c>
      <c r="D303" s="47">
        <v>0</v>
      </c>
      <c r="E303" s="48">
        <v>0</v>
      </c>
      <c r="F303" s="48">
        <f t="shared" si="144"/>
        <v>2794.04</v>
      </c>
      <c r="G303" s="48">
        <f t="shared" si="145"/>
        <v>34.255505138865217</v>
      </c>
      <c r="H303" s="48">
        <f>81.5647</f>
        <v>81.564700000000002</v>
      </c>
      <c r="I303" s="56">
        <v>46.404400000000003</v>
      </c>
      <c r="J303" s="47">
        <f t="shared" si="116"/>
        <v>3784.9609646800004</v>
      </c>
      <c r="K303" s="49">
        <f>0</f>
        <v>0</v>
      </c>
      <c r="L303" s="48">
        <f t="shared" si="117"/>
        <v>990.92096468000045</v>
      </c>
      <c r="M303" s="46">
        <f t="shared" si="118"/>
        <v>0.35465525356830985</v>
      </c>
      <c r="N303" s="47">
        <f t="shared" ca="1" si="119"/>
        <v>54.633333333333333</v>
      </c>
      <c r="O303" s="46">
        <f t="shared" ca="1" si="120"/>
        <v>7.7898652400604965E-2</v>
      </c>
      <c r="P303" s="47">
        <f t="shared" si="126"/>
        <v>-2794.04</v>
      </c>
    </row>
    <row r="304" spans="1:16" ht="15.75" x14ac:dyDescent="0.3">
      <c r="A304" s="57" t="s">
        <v>42</v>
      </c>
      <c r="B304" s="50">
        <v>44565</v>
      </c>
      <c r="C304" s="47">
        <f>12148*41%</f>
        <v>4980.6799999999994</v>
      </c>
      <c r="D304" s="47">
        <v>0</v>
      </c>
      <c r="E304" s="48">
        <v>0</v>
      </c>
      <c r="F304" s="48">
        <f t="shared" si="144"/>
        <v>4980.6799999999994</v>
      </c>
      <c r="G304" s="48">
        <f t="shared" si="145"/>
        <v>29.308703261060167</v>
      </c>
      <c r="H304" s="48">
        <f>169.9386</f>
        <v>169.93860000000001</v>
      </c>
      <c r="I304" s="56">
        <v>38.984900000000003</v>
      </c>
      <c r="J304" s="47">
        <f t="shared" si="116"/>
        <v>6625.0393271400008</v>
      </c>
      <c r="K304" s="49">
        <f>0</f>
        <v>0</v>
      </c>
      <c r="L304" s="48">
        <f t="shared" si="117"/>
        <v>1644.3593271400014</v>
      </c>
      <c r="M304" s="46">
        <f t="shared" si="118"/>
        <v>0.33014755558277215</v>
      </c>
      <c r="N304" s="47">
        <f t="shared" ca="1" si="119"/>
        <v>54.633333333333333</v>
      </c>
      <c r="O304" s="46">
        <f t="shared" ca="1" si="120"/>
        <v>7.251563148858936E-2</v>
      </c>
      <c r="P304" s="47">
        <f t="shared" si="126"/>
        <v>-4980.6799999999994</v>
      </c>
    </row>
    <row r="305" spans="1:16" ht="15.75" x14ac:dyDescent="0.3">
      <c r="A305" s="55" t="s">
        <v>44</v>
      </c>
      <c r="B305" s="50">
        <v>44569</v>
      </c>
      <c r="C305" s="47">
        <f>-15.13</f>
        <v>-15.13</v>
      </c>
      <c r="D305" s="47">
        <v>0</v>
      </c>
      <c r="E305" s="48">
        <v>0</v>
      </c>
      <c r="F305" s="48">
        <f t="shared" ref="F305:F340" si="146">SUM(C305:E305)</f>
        <v>-15.13</v>
      </c>
      <c r="G305" s="48">
        <f t="shared" ref="G305:G340" si="147">F305/H305</f>
        <v>46.625577812018491</v>
      </c>
      <c r="H305" s="48">
        <f>-0.3245</f>
        <v>-0.32450000000000001</v>
      </c>
      <c r="I305" s="56">
        <v>74.919499999999999</v>
      </c>
      <c r="J305" s="47">
        <f t="shared" si="116"/>
        <v>-24.311377750000002</v>
      </c>
      <c r="K305" s="49">
        <f>0</f>
        <v>0</v>
      </c>
      <c r="L305" s="48">
        <f t="shared" si="117"/>
        <v>-9.1813777500000011</v>
      </c>
      <c r="M305" s="46">
        <f t="shared" si="118"/>
        <v>0.60683263384005293</v>
      </c>
      <c r="N305" s="47">
        <f t="shared" ca="1" si="119"/>
        <v>54.5</v>
      </c>
      <c r="O305" s="46">
        <f t="shared" ca="1" si="120"/>
        <v>0.13361452488221348</v>
      </c>
      <c r="P305" s="47">
        <f t="shared" si="126"/>
        <v>15.13</v>
      </c>
    </row>
    <row r="306" spans="1:16" ht="15.75" x14ac:dyDescent="0.3">
      <c r="A306" s="57" t="s">
        <v>43</v>
      </c>
      <c r="B306" s="50">
        <v>44569</v>
      </c>
      <c r="C306" s="47">
        <f>-9.85</f>
        <v>-9.85</v>
      </c>
      <c r="D306" s="47">
        <v>0</v>
      </c>
      <c r="E306" s="48">
        <v>0</v>
      </c>
      <c r="F306" s="48">
        <f t="shared" si="146"/>
        <v>-9.85</v>
      </c>
      <c r="G306" s="48">
        <f t="shared" si="147"/>
        <v>34.237052485227665</v>
      </c>
      <c r="H306" s="48">
        <f>-0.2877</f>
        <v>-0.28770000000000001</v>
      </c>
      <c r="I306" s="56">
        <v>46.404400000000003</v>
      </c>
      <c r="J306" s="47">
        <f t="shared" si="116"/>
        <v>-13.350545880000002</v>
      </c>
      <c r="K306" s="49">
        <f>0</f>
        <v>0</v>
      </c>
      <c r="L306" s="48">
        <f t="shared" si="117"/>
        <v>-3.5005458800000024</v>
      </c>
      <c r="M306" s="46">
        <f t="shared" si="118"/>
        <v>0.35538536852791902</v>
      </c>
      <c r="N306" s="47">
        <f t="shared" ca="1" si="119"/>
        <v>54.5</v>
      </c>
      <c r="O306" s="46">
        <f t="shared" ca="1" si="120"/>
        <v>7.8249989400642733E-2</v>
      </c>
      <c r="P306" s="47">
        <f t="shared" si="126"/>
        <v>9.85</v>
      </c>
    </row>
    <row r="307" spans="1:16" ht="15.75" x14ac:dyDescent="0.3">
      <c r="A307" s="57" t="s">
        <v>42</v>
      </c>
      <c r="B307" s="50">
        <v>44569</v>
      </c>
      <c r="C307" s="47">
        <f>-17.5</f>
        <v>-17.5</v>
      </c>
      <c r="D307" s="47">
        <v>0</v>
      </c>
      <c r="E307" s="48">
        <v>0</v>
      </c>
      <c r="F307" s="48">
        <f t="shared" si="146"/>
        <v>-17.5</v>
      </c>
      <c r="G307" s="48">
        <f t="shared" si="147"/>
        <v>29.278902459427805</v>
      </c>
      <c r="H307" s="48">
        <f>-0.5977</f>
        <v>-0.59770000000000001</v>
      </c>
      <c r="I307" s="56">
        <v>38.984900000000003</v>
      </c>
      <c r="J307" s="47">
        <f t="shared" si="116"/>
        <v>-23.301274730000003</v>
      </c>
      <c r="K307" s="49">
        <f>0</f>
        <v>0</v>
      </c>
      <c r="L307" s="48">
        <f t="shared" si="117"/>
        <v>-5.8012747300000029</v>
      </c>
      <c r="M307" s="46">
        <f t="shared" si="118"/>
        <v>0.3315014131428573</v>
      </c>
      <c r="N307" s="47">
        <f t="shared" ca="1" si="119"/>
        <v>54.5</v>
      </c>
      <c r="O307" s="46">
        <f t="shared" ca="1" si="120"/>
        <v>7.2991136838794268E-2</v>
      </c>
      <c r="P307" s="47">
        <f t="shared" si="126"/>
        <v>17.5</v>
      </c>
    </row>
    <row r="308" spans="1:16" ht="15.75" x14ac:dyDescent="0.3">
      <c r="A308" s="55" t="s">
        <v>44</v>
      </c>
      <c r="B308" s="50">
        <v>44595</v>
      </c>
      <c r="C308" s="47">
        <f>12148*36%</f>
        <v>4373.28</v>
      </c>
      <c r="D308" s="47">
        <v>0</v>
      </c>
      <c r="E308" s="48">
        <v>0</v>
      </c>
      <c r="F308" s="48">
        <f t="shared" si="146"/>
        <v>4373.28</v>
      </c>
      <c r="G308" s="48">
        <f t="shared" si="147"/>
        <v>45.870839845184022</v>
      </c>
      <c r="H308" s="48">
        <f>95.339</f>
        <v>95.338999999999999</v>
      </c>
      <c r="I308" s="56">
        <v>74.919499999999999</v>
      </c>
      <c r="J308" s="47">
        <f t="shared" si="116"/>
        <v>7142.7502104999994</v>
      </c>
      <c r="K308" s="49">
        <f>0</f>
        <v>0</v>
      </c>
      <c r="L308" s="48">
        <f t="shared" si="117"/>
        <v>2769.4702104999997</v>
      </c>
      <c r="M308" s="46">
        <f t="shared" si="118"/>
        <v>0.63327072826345443</v>
      </c>
      <c r="N308" s="47">
        <f t="shared" ca="1" si="119"/>
        <v>53.666666666666664</v>
      </c>
      <c r="O308" s="46">
        <f t="shared" ca="1" si="120"/>
        <v>0.14160090818313267</v>
      </c>
      <c r="P308" s="47">
        <f t="shared" si="126"/>
        <v>-4373.28</v>
      </c>
    </row>
    <row r="309" spans="1:16" ht="15.75" x14ac:dyDescent="0.3">
      <c r="A309" s="57" t="s">
        <v>43</v>
      </c>
      <c r="B309" s="50">
        <v>44595</v>
      </c>
      <c r="C309" s="47">
        <f>12148*23%</f>
        <v>2794.04</v>
      </c>
      <c r="D309" s="47">
        <v>0</v>
      </c>
      <c r="E309" s="48">
        <v>0</v>
      </c>
      <c r="F309" s="48">
        <f t="shared" si="146"/>
        <v>2794.04</v>
      </c>
      <c r="G309" s="48">
        <f t="shared" si="147"/>
        <v>34.064519275316378</v>
      </c>
      <c r="H309" s="48">
        <f>82.022</f>
        <v>82.022000000000006</v>
      </c>
      <c r="I309" s="56">
        <v>46.404400000000003</v>
      </c>
      <c r="J309" s="47">
        <f t="shared" si="116"/>
        <v>3806.1816968000003</v>
      </c>
      <c r="K309" s="49">
        <f>0</f>
        <v>0</v>
      </c>
      <c r="L309" s="48">
        <f t="shared" si="117"/>
        <v>1012.1416968000003</v>
      </c>
      <c r="M309" s="46">
        <f t="shared" si="118"/>
        <v>0.36225025296702995</v>
      </c>
      <c r="N309" s="47">
        <f t="shared" ca="1" si="119"/>
        <v>53.666666666666664</v>
      </c>
      <c r="O309" s="46">
        <f t="shared" ca="1" si="120"/>
        <v>8.1000056564056386E-2</v>
      </c>
      <c r="P309" s="47">
        <f t="shared" si="126"/>
        <v>-2794.04</v>
      </c>
    </row>
    <row r="310" spans="1:16" ht="15.75" x14ac:dyDescent="0.3">
      <c r="A310" s="57" t="s">
        <v>42</v>
      </c>
      <c r="B310" s="50">
        <v>44595</v>
      </c>
      <c r="C310" s="47">
        <f>12148*41%</f>
        <v>4980.6799999999994</v>
      </c>
      <c r="D310" s="47">
        <v>0</v>
      </c>
      <c r="E310" s="48">
        <v>0</v>
      </c>
      <c r="F310" s="48">
        <f t="shared" si="146"/>
        <v>4980.6799999999994</v>
      </c>
      <c r="G310" s="48">
        <f t="shared" si="147"/>
        <v>28.884206961303342</v>
      </c>
      <c r="H310" s="48">
        <f>172.4361</f>
        <v>172.43610000000001</v>
      </c>
      <c r="I310" s="56">
        <v>38.984900000000003</v>
      </c>
      <c r="J310" s="47">
        <f t="shared" ref="J310:J373" si="148">PRODUCT(H310:I310)</f>
        <v>6722.4041148900005</v>
      </c>
      <c r="K310" s="49">
        <f>0</f>
        <v>0</v>
      </c>
      <c r="L310" s="48">
        <f t="shared" ref="L310:L373" si="149">SUM(-F310,J310)+K310</f>
        <v>1741.7241148900011</v>
      </c>
      <c r="M310" s="46">
        <f t="shared" ref="M310:M373" si="150">L310/F310</f>
        <v>0.34969604850944075</v>
      </c>
      <c r="N310" s="47">
        <f t="shared" ref="N310:N373" ca="1" si="151">(DAYS360(B310,NOW(),TRUE))/30</f>
        <v>53.666666666666664</v>
      </c>
      <c r="O310" s="46">
        <f t="shared" ref="O310:O373" ca="1" si="152">M310*12/N310</f>
        <v>7.8192905256769363E-2</v>
      </c>
      <c r="P310" s="47">
        <f t="shared" si="126"/>
        <v>-4980.6799999999994</v>
      </c>
    </row>
    <row r="311" spans="1:16" ht="15.75" x14ac:dyDescent="0.3">
      <c r="A311" s="55" t="s">
        <v>44</v>
      </c>
      <c r="B311" s="50">
        <v>44623</v>
      </c>
      <c r="C311" s="47">
        <f>12148*36%</f>
        <v>4373.28</v>
      </c>
      <c r="D311" s="47">
        <v>0</v>
      </c>
      <c r="E311" s="48">
        <v>0</v>
      </c>
      <c r="F311" s="48">
        <f t="shared" si="146"/>
        <v>4373.28</v>
      </c>
      <c r="G311" s="48">
        <f t="shared" si="147"/>
        <v>43.235120527606718</v>
      </c>
      <c r="H311" s="48">
        <f>101.1511</f>
        <v>101.1511</v>
      </c>
      <c r="I311" s="56">
        <v>74.919499999999999</v>
      </c>
      <c r="J311" s="47">
        <f t="shared" si="148"/>
        <v>7578.1898364500003</v>
      </c>
      <c r="K311" s="49">
        <f>0</f>
        <v>0</v>
      </c>
      <c r="L311" s="48">
        <f t="shared" si="149"/>
        <v>3204.9098364500005</v>
      </c>
      <c r="M311" s="46">
        <f t="shared" si="150"/>
        <v>0.73283893015082513</v>
      </c>
      <c r="N311" s="47">
        <f t="shared" ca="1" si="151"/>
        <v>52.666666666666664</v>
      </c>
      <c r="O311" s="46">
        <f t="shared" ca="1" si="152"/>
        <v>0.16697595876854246</v>
      </c>
      <c r="P311" s="47">
        <f t="shared" si="126"/>
        <v>-4373.28</v>
      </c>
    </row>
    <row r="312" spans="1:16" ht="15.75" x14ac:dyDescent="0.3">
      <c r="A312" s="57" t="s">
        <v>43</v>
      </c>
      <c r="B312" s="50">
        <v>44623</v>
      </c>
      <c r="C312" s="47">
        <f>12148*23%</f>
        <v>2794.04</v>
      </c>
      <c r="D312" s="47">
        <v>0</v>
      </c>
      <c r="E312" s="48">
        <v>0</v>
      </c>
      <c r="F312" s="48">
        <f t="shared" si="146"/>
        <v>2794.04</v>
      </c>
      <c r="G312" s="48">
        <f t="shared" si="147"/>
        <v>34.459903627118102</v>
      </c>
      <c r="H312" s="48">
        <f>81.0809</f>
        <v>81.0809</v>
      </c>
      <c r="I312" s="56">
        <v>46.404400000000003</v>
      </c>
      <c r="J312" s="47">
        <f t="shared" si="148"/>
        <v>3762.5105159600002</v>
      </c>
      <c r="K312" s="49">
        <f>0</f>
        <v>0</v>
      </c>
      <c r="L312" s="48">
        <f t="shared" si="149"/>
        <v>968.47051596000028</v>
      </c>
      <c r="M312" s="46">
        <f t="shared" si="150"/>
        <v>0.34662013283990217</v>
      </c>
      <c r="N312" s="47">
        <f t="shared" ca="1" si="151"/>
        <v>52.666666666666664</v>
      </c>
      <c r="O312" s="46">
        <f t="shared" ca="1" si="152"/>
        <v>7.8976739128078982E-2</v>
      </c>
      <c r="P312" s="47">
        <f t="shared" si="126"/>
        <v>-2794.04</v>
      </c>
    </row>
    <row r="313" spans="1:16" ht="15.75" x14ac:dyDescent="0.3">
      <c r="A313" s="57" t="s">
        <v>42</v>
      </c>
      <c r="B313" s="50">
        <v>44623</v>
      </c>
      <c r="C313" s="47">
        <f>12148*41%</f>
        <v>4980.6799999999994</v>
      </c>
      <c r="D313" s="47">
        <v>0</v>
      </c>
      <c r="E313" s="48">
        <v>0</v>
      </c>
      <c r="F313" s="48">
        <f t="shared" si="146"/>
        <v>4980.6799999999994</v>
      </c>
      <c r="G313" s="48">
        <f t="shared" si="147"/>
        <v>29.245802068182734</v>
      </c>
      <c r="H313" s="48">
        <f>170.3041</f>
        <v>170.30410000000001</v>
      </c>
      <c r="I313" s="56">
        <v>38.984900000000003</v>
      </c>
      <c r="J313" s="47">
        <f t="shared" si="148"/>
        <v>6639.288308090001</v>
      </c>
      <c r="K313" s="49">
        <f>0</f>
        <v>0</v>
      </c>
      <c r="L313" s="48">
        <f t="shared" si="149"/>
        <v>1658.6083080900016</v>
      </c>
      <c r="M313" s="46">
        <f t="shared" si="150"/>
        <v>0.33300840609916754</v>
      </c>
      <c r="N313" s="47">
        <f t="shared" ca="1" si="151"/>
        <v>52.666666666666664</v>
      </c>
      <c r="O313" s="46">
        <f t="shared" ca="1" si="152"/>
        <v>7.5875333035253359E-2</v>
      </c>
      <c r="P313" s="47">
        <f t="shared" si="126"/>
        <v>-4980.6799999999994</v>
      </c>
    </row>
    <row r="314" spans="1:16" ht="15.75" x14ac:dyDescent="0.3">
      <c r="A314" s="55" t="s">
        <v>44</v>
      </c>
      <c r="B314" s="50">
        <v>44650</v>
      </c>
      <c r="C314" s="47">
        <f>12148*36%</f>
        <v>4373.28</v>
      </c>
      <c r="D314" s="47">
        <v>0</v>
      </c>
      <c r="E314" s="48">
        <v>0</v>
      </c>
      <c r="F314" s="48">
        <f t="shared" si="146"/>
        <v>4373.28</v>
      </c>
      <c r="G314" s="48">
        <f t="shared" si="147"/>
        <v>45.545843387735587</v>
      </c>
      <c r="H314" s="48">
        <f>96.0193</f>
        <v>96.019300000000001</v>
      </c>
      <c r="I314" s="56">
        <v>74.919499999999999</v>
      </c>
      <c r="J314" s="47">
        <f t="shared" si="148"/>
        <v>7193.7179463499997</v>
      </c>
      <c r="K314" s="49">
        <f>0</f>
        <v>0</v>
      </c>
      <c r="L314" s="48">
        <f t="shared" si="149"/>
        <v>2820.4379463499999</v>
      </c>
      <c r="M314" s="46">
        <f t="shared" si="150"/>
        <v>0.64492507828220469</v>
      </c>
      <c r="N314" s="47">
        <f t="shared" ca="1" si="151"/>
        <v>51.766666666666666</v>
      </c>
      <c r="O314" s="46">
        <f t="shared" ca="1" si="152"/>
        <v>0.14949969618904937</v>
      </c>
      <c r="P314" s="47">
        <f t="shared" si="126"/>
        <v>-4373.28</v>
      </c>
    </row>
    <row r="315" spans="1:16" ht="15.75" x14ac:dyDescent="0.3">
      <c r="A315" s="57" t="s">
        <v>43</v>
      </c>
      <c r="B315" s="50">
        <v>44650</v>
      </c>
      <c r="C315" s="47">
        <f>12148*23%</f>
        <v>2794.04</v>
      </c>
      <c r="D315" s="47">
        <v>0</v>
      </c>
      <c r="E315" s="48">
        <v>0</v>
      </c>
      <c r="F315" s="48">
        <f t="shared" si="146"/>
        <v>2794.04</v>
      </c>
      <c r="G315" s="48">
        <f t="shared" si="147"/>
        <v>34.630105202621635</v>
      </c>
      <c r="H315" s="48">
        <f>80.6824</f>
        <v>80.682400000000001</v>
      </c>
      <c r="I315" s="56">
        <v>46.404400000000003</v>
      </c>
      <c r="J315" s="47">
        <f t="shared" si="148"/>
        <v>3744.0183625600002</v>
      </c>
      <c r="K315" s="49">
        <f>0</f>
        <v>0</v>
      </c>
      <c r="L315" s="48">
        <f t="shared" si="149"/>
        <v>949.97836256000028</v>
      </c>
      <c r="M315" s="46">
        <f t="shared" si="150"/>
        <v>0.34000170454252632</v>
      </c>
      <c r="N315" s="47">
        <f t="shared" ca="1" si="151"/>
        <v>51.766666666666666</v>
      </c>
      <c r="O315" s="46">
        <f t="shared" ca="1" si="152"/>
        <v>7.8815591523058254E-2</v>
      </c>
      <c r="P315" s="47">
        <f t="shared" si="126"/>
        <v>-2794.04</v>
      </c>
    </row>
    <row r="316" spans="1:16" ht="15.75" x14ac:dyDescent="0.3">
      <c r="A316" s="57" t="s">
        <v>42</v>
      </c>
      <c r="B316" s="50">
        <v>44650</v>
      </c>
      <c r="C316" s="47">
        <f>12148*41%</f>
        <v>4980.6799999999994</v>
      </c>
      <c r="D316" s="47">
        <v>0</v>
      </c>
      <c r="E316" s="48">
        <v>0</v>
      </c>
      <c r="F316" s="48">
        <f t="shared" si="146"/>
        <v>4980.6799999999994</v>
      </c>
      <c r="G316" s="48">
        <f t="shared" si="147"/>
        <v>29.381301295963215</v>
      </c>
      <c r="H316" s="48">
        <f>169.5187</f>
        <v>169.5187</v>
      </c>
      <c r="I316" s="56">
        <v>38.984900000000003</v>
      </c>
      <c r="J316" s="47">
        <f t="shared" si="148"/>
        <v>6608.6695676300005</v>
      </c>
      <c r="K316" s="49">
        <f>0</f>
        <v>0</v>
      </c>
      <c r="L316" s="48">
        <f t="shared" si="149"/>
        <v>1627.9895676300011</v>
      </c>
      <c r="M316" s="46">
        <f t="shared" si="150"/>
        <v>0.32686090405928536</v>
      </c>
      <c r="N316" s="47">
        <f t="shared" ca="1" si="151"/>
        <v>51.766666666666666</v>
      </c>
      <c r="O316" s="46">
        <f t="shared" ca="1" si="152"/>
        <v>7.5769430432287663E-2</v>
      </c>
      <c r="P316" s="47">
        <f t="shared" si="126"/>
        <v>-4980.6799999999994</v>
      </c>
    </row>
    <row r="317" spans="1:16" ht="15.75" x14ac:dyDescent="0.3">
      <c r="A317" s="55" t="s">
        <v>44</v>
      </c>
      <c r="B317" s="50">
        <v>44660</v>
      </c>
      <c r="C317" s="47">
        <f>-13.41</f>
        <v>-13.41</v>
      </c>
      <c r="D317" s="47">
        <v>0</v>
      </c>
      <c r="E317" s="48">
        <v>0</v>
      </c>
      <c r="F317" s="48">
        <f t="shared" si="146"/>
        <v>-13.41</v>
      </c>
      <c r="G317" s="48">
        <f t="shared" si="147"/>
        <v>46.082474226804131</v>
      </c>
      <c r="H317" s="48">
        <f>-0.291</f>
        <v>-0.29099999999999998</v>
      </c>
      <c r="I317" s="56">
        <v>74.919499999999999</v>
      </c>
      <c r="J317" s="47">
        <f t="shared" si="148"/>
        <v>-21.801574499999997</v>
      </c>
      <c r="K317" s="49">
        <f>0</f>
        <v>0</v>
      </c>
      <c r="L317" s="48">
        <f t="shared" si="149"/>
        <v>-8.3915744999999973</v>
      </c>
      <c r="M317" s="46">
        <f t="shared" si="150"/>
        <v>0.62576991051454123</v>
      </c>
      <c r="N317" s="47">
        <f t="shared" ca="1" si="151"/>
        <v>51.466666666666669</v>
      </c>
      <c r="O317" s="46">
        <f t="shared" ca="1" si="152"/>
        <v>0.14590490141530754</v>
      </c>
      <c r="P317" s="47">
        <f t="shared" si="126"/>
        <v>13.41</v>
      </c>
    </row>
    <row r="318" spans="1:16" ht="15.75" x14ac:dyDescent="0.3">
      <c r="A318" s="57" t="s">
        <v>43</v>
      </c>
      <c r="B318" s="50">
        <v>44660</v>
      </c>
      <c r="C318" s="47">
        <f>-8.94</f>
        <v>-8.94</v>
      </c>
      <c r="D318" s="47">
        <v>0</v>
      </c>
      <c r="E318" s="48">
        <v>0</v>
      </c>
      <c r="F318" s="48">
        <f t="shared" si="146"/>
        <v>-8.94</v>
      </c>
      <c r="G318" s="48">
        <f t="shared" si="147"/>
        <v>34.704968944099377</v>
      </c>
      <c r="H318" s="48">
        <f>-0.2576</f>
        <v>-0.2576</v>
      </c>
      <c r="I318" s="56">
        <v>46.404400000000003</v>
      </c>
      <c r="J318" s="47">
        <f t="shared" si="148"/>
        <v>-11.953773440000001</v>
      </c>
      <c r="K318" s="49">
        <f>0</f>
        <v>0</v>
      </c>
      <c r="L318" s="48">
        <f t="shared" si="149"/>
        <v>-3.0137734400000014</v>
      </c>
      <c r="M318" s="46">
        <f t="shared" si="150"/>
        <v>0.33711112304250579</v>
      </c>
      <c r="N318" s="47">
        <f t="shared" ca="1" si="151"/>
        <v>51.466666666666669</v>
      </c>
      <c r="O318" s="46">
        <f t="shared" ca="1" si="152"/>
        <v>7.8601039051361454E-2</v>
      </c>
      <c r="P318" s="47">
        <f t="shared" si="126"/>
        <v>8.94</v>
      </c>
    </row>
    <row r="319" spans="1:16" ht="15.75" x14ac:dyDescent="0.3">
      <c r="A319" s="57" t="s">
        <v>42</v>
      </c>
      <c r="B319" s="50">
        <v>44660</v>
      </c>
      <c r="C319" s="47">
        <f>-15.7</f>
        <v>-15.7</v>
      </c>
      <c r="D319" s="47">
        <v>0</v>
      </c>
      <c r="E319" s="48">
        <v>0</v>
      </c>
      <c r="F319" s="48">
        <f t="shared" si="146"/>
        <v>-15.7</v>
      </c>
      <c r="G319" s="48">
        <f t="shared" si="147"/>
        <v>29.296510543011753</v>
      </c>
      <c r="H319" s="48">
        <f>-0.5359</f>
        <v>-0.53590000000000004</v>
      </c>
      <c r="I319" s="56">
        <v>38.984900000000003</v>
      </c>
      <c r="J319" s="47">
        <f t="shared" si="148"/>
        <v>-20.892007910000004</v>
      </c>
      <c r="K319" s="49">
        <f>0</f>
        <v>0</v>
      </c>
      <c r="L319" s="48">
        <f t="shared" si="149"/>
        <v>-5.1920079100000045</v>
      </c>
      <c r="M319" s="46">
        <f t="shared" si="150"/>
        <v>0.33070114076433149</v>
      </c>
      <c r="N319" s="47">
        <f t="shared" ca="1" si="151"/>
        <v>51.466666666666669</v>
      </c>
      <c r="O319" s="46">
        <f t="shared" ca="1" si="152"/>
        <v>7.7106483597901121E-2</v>
      </c>
      <c r="P319" s="47">
        <f t="shared" si="126"/>
        <v>15.7</v>
      </c>
    </row>
    <row r="320" spans="1:16" ht="15.75" x14ac:dyDescent="0.3">
      <c r="A320" s="55" t="s">
        <v>44</v>
      </c>
      <c r="B320" s="50">
        <v>44685</v>
      </c>
      <c r="C320" s="47">
        <f>12148*36%</f>
        <v>4373.28</v>
      </c>
      <c r="D320" s="47">
        <v>0</v>
      </c>
      <c r="E320" s="48">
        <v>0</v>
      </c>
      <c r="F320" s="48">
        <f t="shared" si="146"/>
        <v>4373.28</v>
      </c>
      <c r="G320" s="48">
        <f t="shared" si="147"/>
        <v>43.554921699778106</v>
      </c>
      <c r="H320" s="48">
        <f>100.4084</f>
        <v>100.4084</v>
      </c>
      <c r="I320" s="56">
        <v>74.919499999999999</v>
      </c>
      <c r="J320" s="47">
        <f t="shared" si="148"/>
        <v>7522.5471238</v>
      </c>
      <c r="K320" s="49">
        <f>0</f>
        <v>0</v>
      </c>
      <c r="L320" s="48">
        <f t="shared" si="149"/>
        <v>3149.2671238000003</v>
      </c>
      <c r="M320" s="46">
        <f t="shared" si="150"/>
        <v>0.72011559374199696</v>
      </c>
      <c r="N320" s="47">
        <f t="shared" ca="1" si="151"/>
        <v>50.633333333333333</v>
      </c>
      <c r="O320" s="46">
        <f t="shared" ca="1" si="152"/>
        <v>0.17066597350040746</v>
      </c>
      <c r="P320" s="47">
        <f t="shared" si="126"/>
        <v>-4373.28</v>
      </c>
    </row>
    <row r="321" spans="1:16" ht="15.75" x14ac:dyDescent="0.3">
      <c r="A321" s="57" t="s">
        <v>43</v>
      </c>
      <c r="B321" s="50">
        <v>44685</v>
      </c>
      <c r="C321" s="47">
        <f>12148*23%</f>
        <v>2794.04</v>
      </c>
      <c r="D321" s="47">
        <v>0</v>
      </c>
      <c r="E321" s="48">
        <v>0</v>
      </c>
      <c r="F321" s="48">
        <f t="shared" si="146"/>
        <v>2794.04</v>
      </c>
      <c r="G321" s="48">
        <f t="shared" si="147"/>
        <v>33.858532979484011</v>
      </c>
      <c r="H321" s="48">
        <f>82.521</f>
        <v>82.521000000000001</v>
      </c>
      <c r="I321" s="56">
        <v>46.404400000000003</v>
      </c>
      <c r="J321" s="47">
        <f t="shared" si="148"/>
        <v>3829.3374924000004</v>
      </c>
      <c r="K321" s="49">
        <f>0</f>
        <v>0</v>
      </c>
      <c r="L321" s="48">
        <f t="shared" si="149"/>
        <v>1035.2974924000005</v>
      </c>
      <c r="M321" s="46">
        <f t="shared" si="150"/>
        <v>0.37053782064680552</v>
      </c>
      <c r="N321" s="47">
        <f t="shared" ca="1" si="151"/>
        <v>50.633333333333333</v>
      </c>
      <c r="O321" s="46">
        <f t="shared" ca="1" si="152"/>
        <v>8.7816731687195518E-2</v>
      </c>
      <c r="P321" s="47">
        <f t="shared" si="126"/>
        <v>-2794.04</v>
      </c>
    </row>
    <row r="322" spans="1:16" ht="15.75" x14ac:dyDescent="0.3">
      <c r="A322" s="57" t="s">
        <v>42</v>
      </c>
      <c r="B322" s="50">
        <v>44685</v>
      </c>
      <c r="C322" s="47">
        <f>12148*41%</f>
        <v>4980.6799999999994</v>
      </c>
      <c r="D322" s="47">
        <v>0</v>
      </c>
      <c r="E322" s="48">
        <v>0</v>
      </c>
      <c r="F322" s="48">
        <f t="shared" si="146"/>
        <v>4980.6799999999994</v>
      </c>
      <c r="G322" s="48">
        <f t="shared" si="147"/>
        <v>28.665305730148958</v>
      </c>
      <c r="H322" s="48">
        <f>173.7529</f>
        <v>173.75290000000001</v>
      </c>
      <c r="I322" s="56">
        <v>38.984900000000003</v>
      </c>
      <c r="J322" s="47">
        <f t="shared" si="148"/>
        <v>6773.7394312100014</v>
      </c>
      <c r="K322" s="49">
        <f>0</f>
        <v>0</v>
      </c>
      <c r="L322" s="48">
        <f t="shared" si="149"/>
        <v>1793.059431210002</v>
      </c>
      <c r="M322" s="46">
        <f t="shared" si="150"/>
        <v>0.36000293759285923</v>
      </c>
      <c r="N322" s="47">
        <f t="shared" ca="1" si="151"/>
        <v>50.633333333333333</v>
      </c>
      <c r="O322" s="46">
        <f t="shared" ca="1" si="152"/>
        <v>8.5319985209630883E-2</v>
      </c>
      <c r="P322" s="47">
        <f t="shared" si="126"/>
        <v>-4980.6799999999994</v>
      </c>
    </row>
    <row r="323" spans="1:16" ht="15.75" x14ac:dyDescent="0.3">
      <c r="A323" s="55" t="s">
        <v>44</v>
      </c>
      <c r="B323" s="50">
        <v>44714</v>
      </c>
      <c r="C323" s="47">
        <f>12148*36%</f>
        <v>4373.28</v>
      </c>
      <c r="D323" s="47">
        <v>0</v>
      </c>
      <c r="E323" s="48">
        <v>0</v>
      </c>
      <c r="F323" s="48">
        <f t="shared" si="146"/>
        <v>4373.28</v>
      </c>
      <c r="G323" s="48">
        <f t="shared" si="147"/>
        <v>43.233111695028853</v>
      </c>
      <c r="H323" s="48">
        <f>101.1558</f>
        <v>101.1558</v>
      </c>
      <c r="I323" s="56">
        <v>74.919499999999999</v>
      </c>
      <c r="J323" s="47">
        <f t="shared" si="148"/>
        <v>7578.5419580999996</v>
      </c>
      <c r="K323" s="49">
        <f>0</f>
        <v>0</v>
      </c>
      <c r="L323" s="48">
        <f t="shared" si="149"/>
        <v>3205.2619580999999</v>
      </c>
      <c r="M323" s="46">
        <f t="shared" si="150"/>
        <v>0.73291944675392384</v>
      </c>
      <c r="N323" s="47">
        <f t="shared" ca="1" si="151"/>
        <v>49.7</v>
      </c>
      <c r="O323" s="46">
        <f t="shared" ca="1" si="152"/>
        <v>0.17696244187217475</v>
      </c>
      <c r="P323" s="47">
        <f t="shared" ref="P323:P544" si="153">-F323</f>
        <v>-4373.28</v>
      </c>
    </row>
    <row r="324" spans="1:16" ht="15.75" x14ac:dyDescent="0.3">
      <c r="A324" s="57" t="s">
        <v>43</v>
      </c>
      <c r="B324" s="50">
        <v>44714</v>
      </c>
      <c r="C324" s="47">
        <f>12148*23%</f>
        <v>2794.04</v>
      </c>
      <c r="D324" s="47">
        <v>0</v>
      </c>
      <c r="E324" s="48">
        <v>0</v>
      </c>
      <c r="F324" s="48">
        <f t="shared" si="146"/>
        <v>2794.04</v>
      </c>
      <c r="G324" s="48">
        <f t="shared" si="147"/>
        <v>33.90993969360126</v>
      </c>
      <c r="H324" s="48">
        <f>82.3959</f>
        <v>82.395899999999997</v>
      </c>
      <c r="I324" s="56">
        <v>46.404400000000003</v>
      </c>
      <c r="J324" s="47">
        <f t="shared" si="148"/>
        <v>3823.53230196</v>
      </c>
      <c r="K324" s="49">
        <f>0</f>
        <v>0</v>
      </c>
      <c r="L324" s="48">
        <f t="shared" si="149"/>
        <v>1029.4923019600001</v>
      </c>
      <c r="M324" s="46">
        <f t="shared" si="150"/>
        <v>0.36846011580363919</v>
      </c>
      <c r="N324" s="47">
        <f t="shared" ca="1" si="151"/>
        <v>49.7</v>
      </c>
      <c r="O324" s="46">
        <f t="shared" ca="1" si="152"/>
        <v>8.8964213071301215E-2</v>
      </c>
      <c r="P324" s="47">
        <f t="shared" si="153"/>
        <v>-2794.04</v>
      </c>
    </row>
    <row r="325" spans="1:16" ht="15.75" x14ac:dyDescent="0.3">
      <c r="A325" s="57" t="s">
        <v>42</v>
      </c>
      <c r="B325" s="50">
        <v>44714</v>
      </c>
      <c r="C325" s="47">
        <f>12148*41%</f>
        <v>4980.6799999999994</v>
      </c>
      <c r="D325" s="47">
        <v>0</v>
      </c>
      <c r="E325" s="48">
        <v>0</v>
      </c>
      <c r="F325" s="48">
        <f t="shared" si="146"/>
        <v>4980.6799999999994</v>
      </c>
      <c r="G325" s="48">
        <f t="shared" si="147"/>
        <v>28.717003737889907</v>
      </c>
      <c r="H325" s="48">
        <f>173.4401</f>
        <v>173.4401</v>
      </c>
      <c r="I325" s="56">
        <v>38.984900000000003</v>
      </c>
      <c r="J325" s="47">
        <f t="shared" si="148"/>
        <v>6761.5449544900002</v>
      </c>
      <c r="K325" s="49">
        <f>0</f>
        <v>0</v>
      </c>
      <c r="L325" s="48">
        <f t="shared" si="149"/>
        <v>1780.8649544900009</v>
      </c>
      <c r="M325" s="46">
        <f t="shared" si="150"/>
        <v>0.35755458180208349</v>
      </c>
      <c r="N325" s="47">
        <f t="shared" ca="1" si="151"/>
        <v>49.7</v>
      </c>
      <c r="O325" s="46">
        <f t="shared" ca="1" si="152"/>
        <v>8.6331086149396413E-2</v>
      </c>
      <c r="P325" s="47">
        <f t="shared" si="153"/>
        <v>-4980.6799999999994</v>
      </c>
    </row>
    <row r="326" spans="1:16" ht="15.75" x14ac:dyDescent="0.3">
      <c r="A326" s="55" t="s">
        <v>44</v>
      </c>
      <c r="B326" s="50">
        <v>44746</v>
      </c>
      <c r="C326" s="47">
        <f>12148*36%</f>
        <v>4373.28</v>
      </c>
      <c r="D326" s="47">
        <v>0</v>
      </c>
      <c r="E326" s="48">
        <v>0</v>
      </c>
      <c r="F326" s="48">
        <f t="shared" si="146"/>
        <v>4373.28</v>
      </c>
      <c r="G326" s="48">
        <f t="shared" si="147"/>
        <v>41.417205459940199</v>
      </c>
      <c r="H326" s="48">
        <f>105.5909</f>
        <v>105.5909</v>
      </c>
      <c r="I326" s="56">
        <v>74.919499999999999</v>
      </c>
      <c r="J326" s="47">
        <f t="shared" si="148"/>
        <v>7910.8174325500004</v>
      </c>
      <c r="K326" s="49">
        <f>0</f>
        <v>0</v>
      </c>
      <c r="L326" s="48">
        <f t="shared" si="149"/>
        <v>3537.5374325500006</v>
      </c>
      <c r="M326" s="46">
        <f t="shared" si="150"/>
        <v>0.80889799705255572</v>
      </c>
      <c r="N326" s="47">
        <f t="shared" ca="1" si="151"/>
        <v>48.633333333333333</v>
      </c>
      <c r="O326" s="46">
        <f t="shared" ca="1" si="152"/>
        <v>0.19959100681214537</v>
      </c>
      <c r="P326" s="47">
        <f t="shared" si="153"/>
        <v>-4373.28</v>
      </c>
    </row>
    <row r="327" spans="1:16" ht="15.75" x14ac:dyDescent="0.3">
      <c r="A327" s="57" t="s">
        <v>43</v>
      </c>
      <c r="B327" s="50">
        <v>44746</v>
      </c>
      <c r="C327" s="47">
        <f>12148*23%</f>
        <v>2794.04</v>
      </c>
      <c r="D327" s="47">
        <v>0</v>
      </c>
      <c r="E327" s="48">
        <v>0</v>
      </c>
      <c r="F327" s="48">
        <f t="shared" si="146"/>
        <v>2794.04</v>
      </c>
      <c r="G327" s="48">
        <f t="shared" si="147"/>
        <v>34.116012317731034</v>
      </c>
      <c r="H327" s="48">
        <f>81.8982</f>
        <v>81.898200000000003</v>
      </c>
      <c r="I327" s="56">
        <v>46.404400000000003</v>
      </c>
      <c r="J327" s="47">
        <f t="shared" si="148"/>
        <v>3800.4368320800004</v>
      </c>
      <c r="K327" s="49">
        <f>0</f>
        <v>0</v>
      </c>
      <c r="L327" s="48">
        <f t="shared" si="149"/>
        <v>1006.3968320800004</v>
      </c>
      <c r="M327" s="46">
        <f t="shared" si="150"/>
        <v>0.36019413898154656</v>
      </c>
      <c r="N327" s="47">
        <f t="shared" ca="1" si="151"/>
        <v>48.633333333333333</v>
      </c>
      <c r="O327" s="46">
        <f t="shared" ca="1" si="152"/>
        <v>8.8875867055076593E-2</v>
      </c>
      <c r="P327" s="47">
        <f t="shared" si="153"/>
        <v>-2794.04</v>
      </c>
    </row>
    <row r="328" spans="1:16" ht="15.75" x14ac:dyDescent="0.3">
      <c r="A328" s="57" t="s">
        <v>42</v>
      </c>
      <c r="B328" s="50">
        <v>44746</v>
      </c>
      <c r="C328" s="47">
        <f>12148*41%</f>
        <v>4980.6799999999994</v>
      </c>
      <c r="D328" s="47">
        <v>0</v>
      </c>
      <c r="E328" s="48">
        <v>0</v>
      </c>
      <c r="F328" s="48">
        <f t="shared" si="146"/>
        <v>4980.6799999999994</v>
      </c>
      <c r="G328" s="48">
        <f t="shared" si="147"/>
        <v>28.978704142225283</v>
      </c>
      <c r="H328" s="48">
        <f>171.8738</f>
        <v>171.87379999999999</v>
      </c>
      <c r="I328" s="56">
        <v>38.984900000000003</v>
      </c>
      <c r="J328" s="47">
        <f t="shared" si="148"/>
        <v>6700.4829056199997</v>
      </c>
      <c r="K328" s="49">
        <f>0</f>
        <v>0</v>
      </c>
      <c r="L328" s="48">
        <f t="shared" si="149"/>
        <v>1719.8029056200003</v>
      </c>
      <c r="M328" s="46">
        <f t="shared" si="150"/>
        <v>0.34529480023209691</v>
      </c>
      <c r="N328" s="47">
        <f t="shared" ca="1" si="151"/>
        <v>48.633333333333333</v>
      </c>
      <c r="O328" s="46">
        <f t="shared" ca="1" si="152"/>
        <v>8.5199539467823771E-2</v>
      </c>
      <c r="P328" s="47">
        <f t="shared" si="153"/>
        <v>-4980.6799999999994</v>
      </c>
    </row>
    <row r="329" spans="1:16" ht="15.75" x14ac:dyDescent="0.3">
      <c r="A329" s="55" t="s">
        <v>44</v>
      </c>
      <c r="B329" s="50">
        <v>44751</v>
      </c>
      <c r="C329" s="47">
        <f>-9.79</f>
        <v>-9.7899999999999991</v>
      </c>
      <c r="D329" s="47">
        <v>0</v>
      </c>
      <c r="E329" s="48">
        <v>0</v>
      </c>
      <c r="F329" s="48">
        <f t="shared" si="146"/>
        <v>-9.7899999999999991</v>
      </c>
      <c r="G329" s="48">
        <f t="shared" si="147"/>
        <v>42.216472617507542</v>
      </c>
      <c r="H329" s="48">
        <f>-0.2319</f>
        <v>-0.2319</v>
      </c>
      <c r="I329" s="56">
        <v>74.919499999999999</v>
      </c>
      <c r="J329" s="47">
        <f t="shared" si="148"/>
        <v>-17.373832050000001</v>
      </c>
      <c r="K329" s="49">
        <f>0</f>
        <v>0</v>
      </c>
      <c r="L329" s="48">
        <f t="shared" si="149"/>
        <v>-7.5838320500000016</v>
      </c>
      <c r="M329" s="46">
        <f t="shared" si="150"/>
        <v>0.77465087334014326</v>
      </c>
      <c r="N329" s="47">
        <f t="shared" ca="1" si="151"/>
        <v>48.466666666666669</v>
      </c>
      <c r="O329" s="46">
        <f t="shared" ca="1" si="152"/>
        <v>0.19179801540746325</v>
      </c>
      <c r="P329" s="47">
        <f t="shared" si="153"/>
        <v>9.7899999999999991</v>
      </c>
    </row>
    <row r="330" spans="1:16" ht="15.75" x14ac:dyDescent="0.3">
      <c r="A330" s="57" t="s">
        <v>43</v>
      </c>
      <c r="B330" s="50">
        <v>44751</v>
      </c>
      <c r="C330" s="47">
        <f>-7.01</f>
        <v>-7.01</v>
      </c>
      <c r="D330" s="47">
        <v>0</v>
      </c>
      <c r="E330" s="48">
        <v>0</v>
      </c>
      <c r="F330" s="48">
        <f t="shared" si="146"/>
        <v>-7.01</v>
      </c>
      <c r="G330" s="48">
        <f t="shared" si="147"/>
        <v>34.228515625</v>
      </c>
      <c r="H330" s="48">
        <f>-0.2048</f>
        <v>-0.20480000000000001</v>
      </c>
      <c r="I330" s="56">
        <v>46.404400000000003</v>
      </c>
      <c r="J330" s="47">
        <f t="shared" si="148"/>
        <v>-9.5036211200000018</v>
      </c>
      <c r="K330" s="49">
        <f>0</f>
        <v>0</v>
      </c>
      <c r="L330" s="48">
        <f t="shared" si="149"/>
        <v>-2.493621120000002</v>
      </c>
      <c r="M330" s="46">
        <f t="shared" si="150"/>
        <v>0.3557234122681886</v>
      </c>
      <c r="N330" s="47">
        <f t="shared" ca="1" si="151"/>
        <v>48.466666666666669</v>
      </c>
      <c r="O330" s="46">
        <f t="shared" ca="1" si="152"/>
        <v>8.8074572501064569E-2</v>
      </c>
      <c r="P330" s="47">
        <f t="shared" si="153"/>
        <v>7.01</v>
      </c>
    </row>
    <row r="331" spans="1:16" ht="15.75" x14ac:dyDescent="0.3">
      <c r="A331" s="57" t="s">
        <v>42</v>
      </c>
      <c r="B331" s="50">
        <v>44751</v>
      </c>
      <c r="C331" s="47">
        <f>-12.4</f>
        <v>-12.4</v>
      </c>
      <c r="D331" s="47">
        <v>0</v>
      </c>
      <c r="E331" s="48">
        <v>0</v>
      </c>
      <c r="F331" s="48">
        <f t="shared" si="146"/>
        <v>-12.4</v>
      </c>
      <c r="G331" s="48">
        <f t="shared" si="147"/>
        <v>29.087497067792633</v>
      </c>
      <c r="H331" s="48">
        <f>-0.4263</f>
        <v>-0.42630000000000001</v>
      </c>
      <c r="I331" s="56">
        <v>38.984900000000003</v>
      </c>
      <c r="J331" s="47">
        <f t="shared" si="148"/>
        <v>-16.619262870000004</v>
      </c>
      <c r="K331" s="49">
        <f>0</f>
        <v>0</v>
      </c>
      <c r="L331" s="48">
        <f t="shared" si="149"/>
        <v>-4.2192628700000032</v>
      </c>
      <c r="M331" s="46">
        <f t="shared" si="150"/>
        <v>0.34026313467741959</v>
      </c>
      <c r="N331" s="47">
        <f t="shared" ca="1" si="151"/>
        <v>48.466666666666669</v>
      </c>
      <c r="O331" s="46">
        <f t="shared" ca="1" si="152"/>
        <v>8.4246718352043351E-2</v>
      </c>
      <c r="P331" s="47">
        <f t="shared" si="153"/>
        <v>12.4</v>
      </c>
    </row>
    <row r="332" spans="1:16" ht="15.75" x14ac:dyDescent="0.3">
      <c r="A332" s="55" t="s">
        <v>44</v>
      </c>
      <c r="B332" s="50">
        <v>44774</v>
      </c>
      <c r="C332" s="47">
        <f>12148*36%</f>
        <v>4373.28</v>
      </c>
      <c r="D332" s="47">
        <v>0</v>
      </c>
      <c r="E332" s="48">
        <v>0</v>
      </c>
      <c r="F332" s="48">
        <f t="shared" si="146"/>
        <v>4373.28</v>
      </c>
      <c r="G332" s="48">
        <f t="shared" si="147"/>
        <v>45.467238756857853</v>
      </c>
      <c r="H332" s="48">
        <f>96.1853</f>
        <v>96.185299999999998</v>
      </c>
      <c r="I332" s="56">
        <v>74.919499999999999</v>
      </c>
      <c r="J332" s="47">
        <f t="shared" si="148"/>
        <v>7206.1545833499995</v>
      </c>
      <c r="K332" s="49">
        <f>0</f>
        <v>0</v>
      </c>
      <c r="L332" s="48">
        <f t="shared" si="149"/>
        <v>2832.8745833499997</v>
      </c>
      <c r="M332" s="46">
        <f t="shared" si="150"/>
        <v>0.64776885617888635</v>
      </c>
      <c r="N332" s="47">
        <f t="shared" ca="1" si="151"/>
        <v>47.733333333333334</v>
      </c>
      <c r="O332" s="46">
        <f t="shared" ca="1" si="152"/>
        <v>0.16284691915111668</v>
      </c>
      <c r="P332" s="47">
        <f t="shared" si="153"/>
        <v>-4373.28</v>
      </c>
    </row>
    <row r="333" spans="1:16" ht="15.75" x14ac:dyDescent="0.3">
      <c r="A333" s="57" t="s">
        <v>43</v>
      </c>
      <c r="B333" s="50">
        <v>44774</v>
      </c>
      <c r="C333" s="47">
        <f>12148*23%</f>
        <v>2794.04</v>
      </c>
      <c r="D333" s="47">
        <v>0</v>
      </c>
      <c r="E333" s="48">
        <v>0</v>
      </c>
      <c r="F333" s="48">
        <f t="shared" si="146"/>
        <v>2794.04</v>
      </c>
      <c r="G333" s="48">
        <f t="shared" si="147"/>
        <v>34.432215473078806</v>
      </c>
      <c r="H333" s="48">
        <f>81.1461</f>
        <v>81.146100000000004</v>
      </c>
      <c r="I333" s="56">
        <v>46.404400000000003</v>
      </c>
      <c r="J333" s="47">
        <f t="shared" si="148"/>
        <v>3765.5360828400003</v>
      </c>
      <c r="K333" s="49">
        <f>0</f>
        <v>0</v>
      </c>
      <c r="L333" s="48">
        <f t="shared" si="149"/>
        <v>971.49608284000033</v>
      </c>
      <c r="M333" s="46">
        <f t="shared" si="150"/>
        <v>0.34770299739445404</v>
      </c>
      <c r="N333" s="47">
        <f t="shared" ca="1" si="151"/>
        <v>47.733333333333334</v>
      </c>
      <c r="O333" s="46">
        <f t="shared" ca="1" si="152"/>
        <v>8.7411368060058267E-2</v>
      </c>
      <c r="P333" s="47">
        <f t="shared" si="153"/>
        <v>-2794.04</v>
      </c>
    </row>
    <row r="334" spans="1:16" ht="15.75" x14ac:dyDescent="0.3">
      <c r="A334" s="57" t="s">
        <v>42</v>
      </c>
      <c r="B334" s="50">
        <v>44774</v>
      </c>
      <c r="C334" s="47">
        <f>12148*41%</f>
        <v>4980.6799999999994</v>
      </c>
      <c r="D334" s="47">
        <v>0</v>
      </c>
      <c r="E334" s="48">
        <v>0</v>
      </c>
      <c r="F334" s="48">
        <f t="shared" si="146"/>
        <v>4980.6799999999994</v>
      </c>
      <c r="G334" s="48">
        <f t="shared" si="147"/>
        <v>29.312705028502414</v>
      </c>
      <c r="H334" s="48">
        <f>169.9154</f>
        <v>169.91540000000001</v>
      </c>
      <c r="I334" s="56">
        <v>38.984900000000003</v>
      </c>
      <c r="J334" s="47">
        <f t="shared" si="148"/>
        <v>6624.134877460001</v>
      </c>
      <c r="K334" s="49">
        <f>0</f>
        <v>0</v>
      </c>
      <c r="L334" s="48">
        <f t="shared" si="149"/>
        <v>1643.4548774600016</v>
      </c>
      <c r="M334" s="46">
        <f t="shared" si="150"/>
        <v>0.32996596397680672</v>
      </c>
      <c r="N334" s="47">
        <f t="shared" ca="1" si="151"/>
        <v>47.733333333333334</v>
      </c>
      <c r="O334" s="46">
        <f t="shared" ca="1" si="152"/>
        <v>8.295233731260504E-2</v>
      </c>
      <c r="P334" s="47">
        <f t="shared" si="153"/>
        <v>-4980.6799999999994</v>
      </c>
    </row>
    <row r="335" spans="1:16" ht="15.75" x14ac:dyDescent="0.3">
      <c r="A335" s="55" t="s">
        <v>44</v>
      </c>
      <c r="B335" s="50">
        <v>44806</v>
      </c>
      <c r="C335" s="47">
        <f>15615*36%</f>
        <v>5621.4</v>
      </c>
      <c r="D335" s="47">
        <v>0</v>
      </c>
      <c r="E335" s="48">
        <v>0</v>
      </c>
      <c r="F335" s="48">
        <f t="shared" si="146"/>
        <v>5621.4</v>
      </c>
      <c r="G335" s="48">
        <f t="shared" si="147"/>
        <v>46.465608308163837</v>
      </c>
      <c r="H335" s="48">
        <f>120.9798</f>
        <v>120.9798</v>
      </c>
      <c r="I335" s="56">
        <v>74.919499999999999</v>
      </c>
      <c r="J335" s="47">
        <f t="shared" si="148"/>
        <v>9063.7461260999989</v>
      </c>
      <c r="K335" s="49">
        <f>0</f>
        <v>0</v>
      </c>
      <c r="L335" s="48">
        <f t="shared" si="149"/>
        <v>3442.3461260999993</v>
      </c>
      <c r="M335" s="46">
        <f t="shared" si="150"/>
        <v>0.61236455795709244</v>
      </c>
      <c r="N335" s="47">
        <f t="shared" ca="1" si="151"/>
        <v>46.7</v>
      </c>
      <c r="O335" s="46">
        <f t="shared" ca="1" si="152"/>
        <v>0.1573527772052486</v>
      </c>
      <c r="P335" s="47">
        <f t="shared" si="153"/>
        <v>-5621.4</v>
      </c>
    </row>
    <row r="336" spans="1:16" ht="15.75" x14ac:dyDescent="0.3">
      <c r="A336" s="57" t="s">
        <v>43</v>
      </c>
      <c r="B336" s="50">
        <v>44806</v>
      </c>
      <c r="C336" s="47">
        <f>15615*23%</f>
        <v>3591.4500000000003</v>
      </c>
      <c r="D336" s="47">
        <v>0</v>
      </c>
      <c r="E336" s="48">
        <v>0</v>
      </c>
      <c r="F336" s="48">
        <f t="shared" si="146"/>
        <v>3591.4500000000003</v>
      </c>
      <c r="G336" s="48">
        <f t="shared" si="147"/>
        <v>34.78860169475108</v>
      </c>
      <c r="H336" s="48">
        <f>103.2364</f>
        <v>103.2364</v>
      </c>
      <c r="I336" s="56">
        <v>46.404400000000003</v>
      </c>
      <c r="J336" s="47">
        <f t="shared" si="148"/>
        <v>4790.6232001600001</v>
      </c>
      <c r="K336" s="49">
        <f>0</f>
        <v>0</v>
      </c>
      <c r="L336" s="48">
        <f t="shared" si="149"/>
        <v>1199.1732001599999</v>
      </c>
      <c r="M336" s="46">
        <f t="shared" si="150"/>
        <v>0.33389667130546152</v>
      </c>
      <c r="N336" s="47">
        <f t="shared" ca="1" si="151"/>
        <v>46.7</v>
      </c>
      <c r="O336" s="46">
        <f t="shared" ca="1" si="152"/>
        <v>8.5797859864358408E-2</v>
      </c>
      <c r="P336" s="47">
        <f t="shared" si="153"/>
        <v>-3591.4500000000003</v>
      </c>
    </row>
    <row r="337" spans="1:16" ht="15.75" x14ac:dyDescent="0.3">
      <c r="A337" s="57" t="s">
        <v>42</v>
      </c>
      <c r="B337" s="50">
        <v>44806</v>
      </c>
      <c r="C337" s="47">
        <f>15615*41%</f>
        <v>6402.15</v>
      </c>
      <c r="D337" s="47">
        <v>0</v>
      </c>
      <c r="E337" s="48">
        <v>0</v>
      </c>
      <c r="F337" s="48">
        <f t="shared" si="146"/>
        <v>6402.15</v>
      </c>
      <c r="G337" s="48">
        <f t="shared" si="147"/>
        <v>29.657006824842927</v>
      </c>
      <c r="H337" s="48">
        <f>215.8731</f>
        <v>215.87309999999999</v>
      </c>
      <c r="I337" s="56">
        <v>38.984900000000003</v>
      </c>
      <c r="J337" s="47">
        <f t="shared" si="148"/>
        <v>8415.7912161900003</v>
      </c>
      <c r="K337" s="49">
        <f>0</f>
        <v>0</v>
      </c>
      <c r="L337" s="48">
        <f t="shared" si="149"/>
        <v>2013.6412161900007</v>
      </c>
      <c r="M337" s="46">
        <f t="shared" si="150"/>
        <v>0.31452577902579615</v>
      </c>
      <c r="N337" s="47">
        <f t="shared" ca="1" si="151"/>
        <v>46.7</v>
      </c>
      <c r="O337" s="46">
        <f t="shared" ca="1" si="152"/>
        <v>8.0820328657592158E-2</v>
      </c>
      <c r="P337" s="47">
        <f t="shared" si="153"/>
        <v>-6402.15</v>
      </c>
    </row>
    <row r="338" spans="1:16" ht="15.75" x14ac:dyDescent="0.3">
      <c r="A338" s="55" t="s">
        <v>44</v>
      </c>
      <c r="B338" s="50">
        <v>44837</v>
      </c>
      <c r="C338" s="47">
        <f>13970*36%</f>
        <v>5029.2</v>
      </c>
      <c r="D338" s="47">
        <v>0</v>
      </c>
      <c r="E338" s="48">
        <v>0</v>
      </c>
      <c r="F338" s="48">
        <f t="shared" si="146"/>
        <v>5029.2</v>
      </c>
      <c r="G338" s="48">
        <f t="shared" si="147"/>
        <v>44.821532017289783</v>
      </c>
      <c r="H338" s="48">
        <f>112.205</f>
        <v>112.205</v>
      </c>
      <c r="I338" s="56">
        <v>74.919499999999999</v>
      </c>
      <c r="J338" s="47">
        <f t="shared" si="148"/>
        <v>8406.3424974999998</v>
      </c>
      <c r="K338" s="49">
        <f>0</f>
        <v>0</v>
      </c>
      <c r="L338" s="48">
        <f t="shared" si="149"/>
        <v>3377.1424975</v>
      </c>
      <c r="M338" s="46">
        <f t="shared" si="150"/>
        <v>0.67150689920862172</v>
      </c>
      <c r="N338" s="47">
        <f t="shared" ca="1" si="151"/>
        <v>45.666666666666664</v>
      </c>
      <c r="O338" s="46">
        <f t="shared" ca="1" si="152"/>
        <v>0.17645436767525827</v>
      </c>
      <c r="P338" s="47">
        <f t="shared" si="153"/>
        <v>-5029.2</v>
      </c>
    </row>
    <row r="339" spans="1:16" ht="15.75" x14ac:dyDescent="0.3">
      <c r="A339" s="57" t="s">
        <v>43</v>
      </c>
      <c r="B339" s="50">
        <v>44837</v>
      </c>
      <c r="C339" s="47">
        <f>13970*23%</f>
        <v>3213.1000000000004</v>
      </c>
      <c r="D339" s="47">
        <v>0</v>
      </c>
      <c r="E339" s="48">
        <v>0</v>
      </c>
      <c r="F339" s="48">
        <f t="shared" si="146"/>
        <v>3213.1000000000004</v>
      </c>
      <c r="G339" s="48">
        <f t="shared" si="147"/>
        <v>34.624631323270627</v>
      </c>
      <c r="H339" s="48">
        <f>92.7981</f>
        <v>92.798100000000005</v>
      </c>
      <c r="I339" s="56">
        <v>46.404400000000003</v>
      </c>
      <c r="J339" s="47">
        <f t="shared" si="148"/>
        <v>4306.2401516400005</v>
      </c>
      <c r="K339" s="49">
        <f>0</f>
        <v>0</v>
      </c>
      <c r="L339" s="48">
        <f t="shared" si="149"/>
        <v>1093.1401516400001</v>
      </c>
      <c r="M339" s="46">
        <f t="shared" si="150"/>
        <v>0.34021354817465999</v>
      </c>
      <c r="N339" s="47">
        <f t="shared" ca="1" si="151"/>
        <v>45.666666666666664</v>
      </c>
      <c r="O339" s="46">
        <f t="shared" ca="1" si="152"/>
        <v>8.9399180542246423E-2</v>
      </c>
      <c r="P339" s="47">
        <f t="shared" si="153"/>
        <v>-3213.1000000000004</v>
      </c>
    </row>
    <row r="340" spans="1:16" ht="15.75" x14ac:dyDescent="0.3">
      <c r="A340" s="57" t="s">
        <v>42</v>
      </c>
      <c r="B340" s="50">
        <v>44837</v>
      </c>
      <c r="C340" s="47">
        <f>13970*41%</f>
        <v>5727.7</v>
      </c>
      <c r="D340" s="47">
        <v>0</v>
      </c>
      <c r="E340" s="48">
        <v>0</v>
      </c>
      <c r="F340" s="48">
        <f t="shared" si="146"/>
        <v>5727.7</v>
      </c>
      <c r="G340" s="48">
        <f t="shared" si="147"/>
        <v>29.406811771144699</v>
      </c>
      <c r="H340" s="48">
        <f>194.7746</f>
        <v>194.77459999999999</v>
      </c>
      <c r="I340" s="56">
        <v>38.984900000000003</v>
      </c>
      <c r="J340" s="47">
        <f t="shared" si="148"/>
        <v>7593.2683035400005</v>
      </c>
      <c r="K340" s="49">
        <f>0</f>
        <v>0</v>
      </c>
      <c r="L340" s="48">
        <f t="shared" si="149"/>
        <v>1865.5683035400007</v>
      </c>
      <c r="M340" s="46">
        <f t="shared" si="150"/>
        <v>0.32570984924838953</v>
      </c>
      <c r="N340" s="47">
        <f t="shared" ca="1" si="151"/>
        <v>45.666666666666664</v>
      </c>
      <c r="O340" s="46">
        <f t="shared" ca="1" si="152"/>
        <v>8.5587989583518417E-2</v>
      </c>
      <c r="P340" s="47">
        <f t="shared" si="153"/>
        <v>-5727.7</v>
      </c>
    </row>
    <row r="341" spans="1:16" ht="15.75" x14ac:dyDescent="0.3">
      <c r="A341" s="55" t="s">
        <v>44</v>
      </c>
      <c r="B341" s="50">
        <v>44842</v>
      </c>
      <c r="C341" s="47">
        <f>-11.85</f>
        <v>-11.85</v>
      </c>
      <c r="D341" s="47">
        <v>0</v>
      </c>
      <c r="E341" s="48">
        <v>0</v>
      </c>
      <c r="F341" s="48">
        <f t="shared" ref="F341:F343" si="154">SUM(C341:E341)</f>
        <v>-11.85</v>
      </c>
      <c r="G341" s="48">
        <f t="shared" ref="G341:G343" si="155">F341/H341</f>
        <v>45.983701979045406</v>
      </c>
      <c r="H341" s="48">
        <f>-0.2577</f>
        <v>-0.25769999999999998</v>
      </c>
      <c r="I341" s="56">
        <v>74.919499999999999</v>
      </c>
      <c r="J341" s="47">
        <f t="shared" ref="J341:J343" si="156">PRODUCT(H341:I341)</f>
        <v>-19.306755149999997</v>
      </c>
      <c r="K341" s="49">
        <f>0</f>
        <v>0</v>
      </c>
      <c r="L341" s="48">
        <f t="shared" ref="L341:L343" si="157">SUM(-F341,J341)+K341</f>
        <v>-7.4567551499999976</v>
      </c>
      <c r="M341" s="46">
        <f t="shared" ref="M341:M343" si="158">L341/F341</f>
        <v>0.62926203797468339</v>
      </c>
      <c r="N341" s="47">
        <f t="shared" ref="N341:N343" ca="1" si="159">(DAYS360(B341,NOW(),TRUE))/30</f>
        <v>45.5</v>
      </c>
      <c r="O341" s="46">
        <f t="shared" ref="O341:O343" ca="1" si="160">M341*12/N341</f>
        <v>0.16595921880650991</v>
      </c>
      <c r="P341" s="47">
        <f t="shared" si="153"/>
        <v>11.85</v>
      </c>
    </row>
    <row r="342" spans="1:16" ht="15.75" x14ac:dyDescent="0.3">
      <c r="A342" s="57" t="s">
        <v>43</v>
      </c>
      <c r="B342" s="50">
        <v>44842</v>
      </c>
      <c r="C342" s="47">
        <f>-7.87</f>
        <v>-7.87</v>
      </c>
      <c r="D342" s="47">
        <v>0</v>
      </c>
      <c r="E342" s="48">
        <v>0</v>
      </c>
      <c r="F342" s="48">
        <f t="shared" si="154"/>
        <v>-7.87</v>
      </c>
      <c r="G342" s="48">
        <f t="shared" si="155"/>
        <v>34.639084507042249</v>
      </c>
      <c r="H342" s="48">
        <f>-0.2272</f>
        <v>-0.22720000000000001</v>
      </c>
      <c r="I342" s="56">
        <v>46.404400000000003</v>
      </c>
      <c r="J342" s="47">
        <f t="shared" si="156"/>
        <v>-10.543079680000002</v>
      </c>
      <c r="K342" s="49">
        <f>0</f>
        <v>0</v>
      </c>
      <c r="L342" s="48">
        <f t="shared" si="157"/>
        <v>-2.6730796800000016</v>
      </c>
      <c r="M342" s="46">
        <f t="shared" si="158"/>
        <v>0.33965434307496845</v>
      </c>
      <c r="N342" s="47">
        <f t="shared" ca="1" si="159"/>
        <v>45.5</v>
      </c>
      <c r="O342" s="46">
        <f t="shared" ca="1" si="160"/>
        <v>8.9579167404387289E-2</v>
      </c>
      <c r="P342" s="47">
        <f t="shared" si="153"/>
        <v>7.87</v>
      </c>
    </row>
    <row r="343" spans="1:16" ht="15.75" x14ac:dyDescent="0.3">
      <c r="A343" s="57" t="s">
        <v>42</v>
      </c>
      <c r="B343" s="50">
        <v>44842</v>
      </c>
      <c r="C343" s="47">
        <f>-13.91</f>
        <v>-13.91</v>
      </c>
      <c r="D343" s="47">
        <v>0</v>
      </c>
      <c r="E343" s="48">
        <v>0</v>
      </c>
      <c r="F343" s="48">
        <f t="shared" si="154"/>
        <v>-13.91</v>
      </c>
      <c r="G343" s="48">
        <f t="shared" si="155"/>
        <v>29.40181779750581</v>
      </c>
      <c r="H343" s="48">
        <f>-0.4731</f>
        <v>-0.47310000000000002</v>
      </c>
      <c r="I343" s="56">
        <v>38.984900000000003</v>
      </c>
      <c r="J343" s="47">
        <f t="shared" si="156"/>
        <v>-18.443756190000002</v>
      </c>
      <c r="K343" s="49">
        <f>0</f>
        <v>0</v>
      </c>
      <c r="L343" s="48">
        <f t="shared" si="157"/>
        <v>-4.5337561900000019</v>
      </c>
      <c r="M343" s="46">
        <f t="shared" si="158"/>
        <v>0.325935024442847</v>
      </c>
      <c r="N343" s="47">
        <f t="shared" ca="1" si="159"/>
        <v>45.5</v>
      </c>
      <c r="O343" s="46">
        <f t="shared" ca="1" si="160"/>
        <v>8.596088556734427E-2</v>
      </c>
      <c r="P343" s="47">
        <f t="shared" si="153"/>
        <v>13.91</v>
      </c>
    </row>
    <row r="344" spans="1:16" ht="15.75" x14ac:dyDescent="0.3">
      <c r="A344" s="55" t="s">
        <v>44</v>
      </c>
      <c r="B344" s="50">
        <v>44859</v>
      </c>
      <c r="C344" s="47">
        <v>-24752.9</v>
      </c>
      <c r="D344" s="47">
        <v>0</v>
      </c>
      <c r="E344" s="48">
        <v>0</v>
      </c>
      <c r="F344" s="48">
        <f t="shared" ref="F344:F346" si="161">SUM(C344:E344)</f>
        <v>-24752.9</v>
      </c>
      <c r="G344" s="48">
        <f t="shared" ref="G344:G346" si="162">F344/H344</f>
        <v>46.838382234759777</v>
      </c>
      <c r="H344" s="48">
        <f>-528.4747</f>
        <v>-528.47469999999998</v>
      </c>
      <c r="I344" s="56">
        <v>74.919499999999999</v>
      </c>
      <c r="J344" s="47">
        <f t="shared" si="148"/>
        <v>-39593.060286649998</v>
      </c>
      <c r="K344" s="49">
        <f>0</f>
        <v>0</v>
      </c>
      <c r="L344" s="48">
        <f t="shared" si="149"/>
        <v>-14840.160286649996</v>
      </c>
      <c r="M344" s="46">
        <f t="shared" si="150"/>
        <v>0.5995321876083205</v>
      </c>
      <c r="N344" s="47">
        <f t="shared" ca="1" si="151"/>
        <v>44.93333333333333</v>
      </c>
      <c r="O344" s="46">
        <f t="shared" ca="1" si="152"/>
        <v>0.16011245366394319</v>
      </c>
      <c r="P344" s="47">
        <f t="shared" si="153"/>
        <v>24752.9</v>
      </c>
    </row>
    <row r="345" spans="1:16" ht="15.75" x14ac:dyDescent="0.3">
      <c r="A345" s="57" t="s">
        <v>43</v>
      </c>
      <c r="B345" s="50">
        <v>44859</v>
      </c>
      <c r="C345" s="47">
        <v>-22181.01</v>
      </c>
      <c r="D345" s="47">
        <v>0</v>
      </c>
      <c r="E345" s="48">
        <v>0</v>
      </c>
      <c r="F345" s="48">
        <f t="shared" si="161"/>
        <v>-22181.01</v>
      </c>
      <c r="G345" s="48">
        <f t="shared" si="162"/>
        <v>34.71759120348262</v>
      </c>
      <c r="H345" s="48">
        <f>-638.8983</f>
        <v>-638.89829999999995</v>
      </c>
      <c r="I345" s="56">
        <v>46.404400000000003</v>
      </c>
      <c r="J345" s="47">
        <f t="shared" si="148"/>
        <v>-29647.692272519998</v>
      </c>
      <c r="K345" s="49">
        <f>0</f>
        <v>0</v>
      </c>
      <c r="L345" s="48">
        <f t="shared" si="149"/>
        <v>-7466.68227252</v>
      </c>
      <c r="M345" s="46">
        <f t="shared" si="150"/>
        <v>0.33662499013886205</v>
      </c>
      <c r="N345" s="47">
        <f t="shared" ca="1" si="151"/>
        <v>44.93333333333333</v>
      </c>
      <c r="O345" s="46">
        <f t="shared" ca="1" si="152"/>
        <v>8.9899848998509155E-2</v>
      </c>
      <c r="P345" s="47">
        <f t="shared" si="153"/>
        <v>22181.01</v>
      </c>
    </row>
    <row r="346" spans="1:16" ht="15.75" x14ac:dyDescent="0.3">
      <c r="A346" s="57" t="s">
        <v>42</v>
      </c>
      <c r="B346" s="50">
        <v>44859</v>
      </c>
      <c r="C346" s="47">
        <v>46933.91</v>
      </c>
      <c r="D346" s="47">
        <v>0</v>
      </c>
      <c r="E346" s="48">
        <v>0</v>
      </c>
      <c r="F346" s="48">
        <f t="shared" si="161"/>
        <v>46933.91</v>
      </c>
      <c r="G346" s="48">
        <f t="shared" si="162"/>
        <v>29.616501724971755</v>
      </c>
      <c r="H346" s="48">
        <f>1584.7216</f>
        <v>1584.7216000000001</v>
      </c>
      <c r="I346" s="56">
        <v>38.984900000000003</v>
      </c>
      <c r="J346" s="47">
        <f t="shared" si="148"/>
        <v>61780.213103840011</v>
      </c>
      <c r="K346" s="49">
        <f>0</f>
        <v>0</v>
      </c>
      <c r="L346" s="48">
        <f t="shared" si="149"/>
        <v>14846.303103840008</v>
      </c>
      <c r="M346" s="46">
        <f t="shared" si="150"/>
        <v>0.31632359425924683</v>
      </c>
      <c r="N346" s="47">
        <f t="shared" ca="1" si="151"/>
        <v>44.93333333333333</v>
      </c>
      <c r="O346" s="46">
        <f t="shared" ca="1" si="152"/>
        <v>8.4478111226505101E-2</v>
      </c>
      <c r="P346" s="47">
        <f t="shared" si="153"/>
        <v>-46933.91</v>
      </c>
    </row>
    <row r="347" spans="1:16" ht="15.75" x14ac:dyDescent="0.3">
      <c r="A347" s="55" t="s">
        <v>44</v>
      </c>
      <c r="B347" s="50">
        <v>44867</v>
      </c>
      <c r="C347" s="47">
        <f>13970*34%</f>
        <v>4749.8</v>
      </c>
      <c r="D347" s="47">
        <v>0</v>
      </c>
      <c r="E347" s="48">
        <v>0</v>
      </c>
      <c r="F347" s="48">
        <f t="shared" ref="F347:F352" si="163">SUM(C347:E347)</f>
        <v>4749.8</v>
      </c>
      <c r="G347" s="48">
        <f t="shared" ref="G347:G352" si="164">F347/H347</f>
        <v>47.711844486990692</v>
      </c>
      <c r="H347" s="48">
        <f>99.5518</f>
        <v>99.5518</v>
      </c>
      <c r="I347" s="56">
        <v>74.919499999999999</v>
      </c>
      <c r="J347" s="47">
        <f t="shared" si="148"/>
        <v>7458.3710800999997</v>
      </c>
      <c r="K347" s="49">
        <f>0</f>
        <v>0</v>
      </c>
      <c r="L347" s="48">
        <f t="shared" si="149"/>
        <v>2708.5710800999996</v>
      </c>
      <c r="M347" s="46">
        <f t="shared" si="150"/>
        <v>0.5702495010526758</v>
      </c>
      <c r="N347" s="47">
        <f t="shared" ca="1" si="151"/>
        <v>44.7</v>
      </c>
      <c r="O347" s="46">
        <f t="shared" ca="1" si="152"/>
        <v>0.15308711437655725</v>
      </c>
      <c r="P347" s="47">
        <f t="shared" si="153"/>
        <v>-4749.8</v>
      </c>
    </row>
    <row r="348" spans="1:16" ht="15.75" x14ac:dyDescent="0.3">
      <c r="A348" s="57" t="s">
        <v>43</v>
      </c>
      <c r="B348" s="50">
        <v>44867</v>
      </c>
      <c r="C348" s="47">
        <f>13970*22%</f>
        <v>3073.4</v>
      </c>
      <c r="D348" s="47">
        <v>0</v>
      </c>
      <c r="E348" s="48">
        <v>0</v>
      </c>
      <c r="F348" s="48">
        <f t="shared" si="163"/>
        <v>3073.4</v>
      </c>
      <c r="G348" s="48">
        <f t="shared" si="164"/>
        <v>34.796135674813392</v>
      </c>
      <c r="H348" s="48">
        <f>88.3259</f>
        <v>88.325900000000004</v>
      </c>
      <c r="I348" s="56">
        <v>46.404400000000003</v>
      </c>
      <c r="J348" s="47">
        <f t="shared" si="148"/>
        <v>4098.7103939600001</v>
      </c>
      <c r="K348" s="49">
        <f>0</f>
        <v>0</v>
      </c>
      <c r="L348" s="48">
        <f t="shared" si="149"/>
        <v>1025.3103939600001</v>
      </c>
      <c r="M348" s="46">
        <f t="shared" si="150"/>
        <v>0.33360785903559576</v>
      </c>
      <c r="N348" s="47">
        <f t="shared" ca="1" si="151"/>
        <v>44.7</v>
      </c>
      <c r="O348" s="46">
        <f t="shared" ca="1" si="152"/>
        <v>8.9559156788079394E-2</v>
      </c>
      <c r="P348" s="47">
        <f t="shared" si="153"/>
        <v>-3073.4</v>
      </c>
    </row>
    <row r="349" spans="1:16" ht="15.75" x14ac:dyDescent="0.3">
      <c r="A349" s="57" t="s">
        <v>42</v>
      </c>
      <c r="B349" s="50">
        <v>44867</v>
      </c>
      <c r="C349" s="47">
        <f>13970*44%</f>
        <v>6146.8</v>
      </c>
      <c r="D349" s="47">
        <v>0</v>
      </c>
      <c r="E349" s="48">
        <v>0</v>
      </c>
      <c r="F349" s="48">
        <f t="shared" si="163"/>
        <v>6146.8</v>
      </c>
      <c r="G349" s="48">
        <f t="shared" si="164"/>
        <v>29.627001887957416</v>
      </c>
      <c r="H349" s="48">
        <f>207.4729</f>
        <v>207.47290000000001</v>
      </c>
      <c r="I349" s="56">
        <v>38.984900000000003</v>
      </c>
      <c r="J349" s="47">
        <f t="shared" si="148"/>
        <v>8088.3102592100013</v>
      </c>
      <c r="K349" s="49">
        <f>0</f>
        <v>0</v>
      </c>
      <c r="L349" s="48">
        <f t="shared" si="149"/>
        <v>1941.5102592100011</v>
      </c>
      <c r="M349" s="46">
        <f t="shared" si="150"/>
        <v>0.31585707347074915</v>
      </c>
      <c r="N349" s="47">
        <f t="shared" ca="1" si="151"/>
        <v>44.7</v>
      </c>
      <c r="O349" s="46">
        <f t="shared" ca="1" si="152"/>
        <v>8.4793845227046749E-2</v>
      </c>
      <c r="P349" s="47">
        <f t="shared" si="153"/>
        <v>-6146.8</v>
      </c>
    </row>
    <row r="350" spans="1:16" ht="15.75" x14ac:dyDescent="0.3">
      <c r="A350" s="55" t="s">
        <v>44</v>
      </c>
      <c r="B350" s="50">
        <v>44897</v>
      </c>
      <c r="C350" s="47">
        <f>13970*34%</f>
        <v>4749.8</v>
      </c>
      <c r="D350" s="47">
        <v>0</v>
      </c>
      <c r="E350" s="48">
        <v>0</v>
      </c>
      <c r="F350" s="48">
        <f t="shared" si="163"/>
        <v>4749.8</v>
      </c>
      <c r="G350" s="48">
        <f t="shared" si="164"/>
        <v>49.010715741356982</v>
      </c>
      <c r="H350" s="48">
        <f>96.9135</f>
        <v>96.913499999999999</v>
      </c>
      <c r="I350" s="56">
        <v>74.919499999999999</v>
      </c>
      <c r="J350" s="47">
        <f t="shared" si="148"/>
        <v>7260.7109632499996</v>
      </c>
      <c r="K350" s="49">
        <f>0</f>
        <v>0</v>
      </c>
      <c r="L350" s="48">
        <f t="shared" si="149"/>
        <v>2510.9109632499994</v>
      </c>
      <c r="M350" s="46">
        <f t="shared" si="150"/>
        <v>0.52863509268811304</v>
      </c>
      <c r="N350" s="47">
        <f t="shared" ca="1" si="151"/>
        <v>43.7</v>
      </c>
      <c r="O350" s="46">
        <f t="shared" ca="1" si="152"/>
        <v>0.1451629545138983</v>
      </c>
      <c r="P350" s="47">
        <f t="shared" si="153"/>
        <v>-4749.8</v>
      </c>
    </row>
    <row r="351" spans="1:16" ht="15.75" x14ac:dyDescent="0.3">
      <c r="A351" s="57" t="s">
        <v>43</v>
      </c>
      <c r="B351" s="50">
        <v>44897</v>
      </c>
      <c r="C351" s="47">
        <f>13970*22%</f>
        <v>3073.4</v>
      </c>
      <c r="D351" s="47">
        <v>0</v>
      </c>
      <c r="E351" s="48">
        <v>0</v>
      </c>
      <c r="F351" s="48">
        <f t="shared" si="163"/>
        <v>3073.4</v>
      </c>
      <c r="G351" s="48">
        <f t="shared" si="164"/>
        <v>35.216819371427789</v>
      </c>
      <c r="H351" s="48">
        <f>87.2708</f>
        <v>87.270799999999994</v>
      </c>
      <c r="I351" s="56">
        <v>46.404400000000003</v>
      </c>
      <c r="J351" s="47">
        <f t="shared" si="148"/>
        <v>4049.74911152</v>
      </c>
      <c r="K351" s="49">
        <f>0</f>
        <v>0</v>
      </c>
      <c r="L351" s="48">
        <f t="shared" si="149"/>
        <v>976.34911151999995</v>
      </c>
      <c r="M351" s="46">
        <f t="shared" si="150"/>
        <v>0.31767720163987762</v>
      </c>
      <c r="N351" s="47">
        <f t="shared" ca="1" si="151"/>
        <v>43.7</v>
      </c>
      <c r="O351" s="46">
        <f t="shared" ca="1" si="152"/>
        <v>8.7234014180286742E-2</v>
      </c>
      <c r="P351" s="47">
        <f t="shared" si="153"/>
        <v>-3073.4</v>
      </c>
    </row>
    <row r="352" spans="1:16" ht="15.75" x14ac:dyDescent="0.3">
      <c r="A352" s="57" t="s">
        <v>42</v>
      </c>
      <c r="B352" s="50">
        <v>44897</v>
      </c>
      <c r="C352" s="47">
        <f>13970*44%</f>
        <v>6146.8</v>
      </c>
      <c r="D352" s="47">
        <v>0</v>
      </c>
      <c r="E352" s="48">
        <v>0</v>
      </c>
      <c r="F352" s="48">
        <f t="shared" si="163"/>
        <v>6146.8</v>
      </c>
      <c r="G352" s="48">
        <f t="shared" si="164"/>
        <v>30.174311777986027</v>
      </c>
      <c r="H352" s="48">
        <f>203.7097</f>
        <v>203.7097</v>
      </c>
      <c r="I352" s="56">
        <v>38.984900000000003</v>
      </c>
      <c r="J352" s="47">
        <f t="shared" si="148"/>
        <v>7941.6022835300009</v>
      </c>
      <c r="K352" s="49">
        <f>0</f>
        <v>0</v>
      </c>
      <c r="L352" s="48">
        <f t="shared" si="149"/>
        <v>1794.8022835300008</v>
      </c>
      <c r="M352" s="46">
        <f t="shared" si="150"/>
        <v>0.29198969927929991</v>
      </c>
      <c r="N352" s="47">
        <f t="shared" ca="1" si="151"/>
        <v>43.7</v>
      </c>
      <c r="O352" s="46">
        <f t="shared" ca="1" si="152"/>
        <v>8.018023778836611E-2</v>
      </c>
      <c r="P352" s="47">
        <f t="shared" si="153"/>
        <v>-6146.8</v>
      </c>
    </row>
    <row r="353" spans="1:16" ht="15.75" x14ac:dyDescent="0.3">
      <c r="A353" s="55" t="s">
        <v>44</v>
      </c>
      <c r="B353" s="50">
        <v>44904</v>
      </c>
      <c r="C353" s="47">
        <f>50000*34%</f>
        <v>17000</v>
      </c>
      <c r="D353" s="47">
        <f>445*34%</f>
        <v>151.30000000000001</v>
      </c>
      <c r="E353" s="48">
        <v>0</v>
      </c>
      <c r="F353" s="48">
        <f t="shared" ref="F353:F355" si="165">SUM(C353:E353)</f>
        <v>17151.3</v>
      </c>
      <c r="G353" s="48">
        <f t="shared" ref="G353:G355" si="166">F353/H353</f>
        <v>49.064736799797004</v>
      </c>
      <c r="H353" s="48">
        <f>349.5647</f>
        <v>349.56470000000002</v>
      </c>
      <c r="I353" s="56">
        <v>74.919499999999999</v>
      </c>
      <c r="J353" s="47">
        <f t="shared" si="148"/>
        <v>26189.212541650002</v>
      </c>
      <c r="K353" s="49">
        <f>0</f>
        <v>0</v>
      </c>
      <c r="L353" s="48">
        <f t="shared" si="149"/>
        <v>9037.9125416500028</v>
      </c>
      <c r="M353" s="46">
        <f t="shared" si="150"/>
        <v>0.52695204104936666</v>
      </c>
      <c r="N353" s="47">
        <f t="shared" ca="1" si="151"/>
        <v>43.466666666666669</v>
      </c>
      <c r="O353" s="46">
        <f t="shared" ca="1" si="152"/>
        <v>0.14547755734491716</v>
      </c>
      <c r="P353" s="47">
        <f t="shared" si="153"/>
        <v>-17151.3</v>
      </c>
    </row>
    <row r="354" spans="1:16" ht="15.75" x14ac:dyDescent="0.3">
      <c r="A354" s="57" t="s">
        <v>43</v>
      </c>
      <c r="B354" s="50">
        <v>44904</v>
      </c>
      <c r="C354" s="47">
        <f>50000*22%</f>
        <v>11000</v>
      </c>
      <c r="D354" s="47">
        <f>445*22%</f>
        <v>97.9</v>
      </c>
      <c r="E354" s="48">
        <v>0</v>
      </c>
      <c r="F354" s="48">
        <f t="shared" si="165"/>
        <v>11097.9</v>
      </c>
      <c r="G354" s="48">
        <f t="shared" si="166"/>
        <v>35.556562292146985</v>
      </c>
      <c r="H354" s="48">
        <f>312.1196</f>
        <v>312.11959999999999</v>
      </c>
      <c r="I354" s="56">
        <v>46.404400000000003</v>
      </c>
      <c r="J354" s="47">
        <f t="shared" si="148"/>
        <v>14483.72276624</v>
      </c>
      <c r="K354" s="49">
        <f>0</f>
        <v>0</v>
      </c>
      <c r="L354" s="48">
        <f t="shared" si="149"/>
        <v>3385.8227662400004</v>
      </c>
      <c r="M354" s="46">
        <f t="shared" si="150"/>
        <v>0.30508679716342735</v>
      </c>
      <c r="N354" s="47">
        <f t="shared" ca="1" si="151"/>
        <v>43.466666666666669</v>
      </c>
      <c r="O354" s="46">
        <f t="shared" ca="1" si="152"/>
        <v>8.4226416394811224E-2</v>
      </c>
      <c r="P354" s="47">
        <f t="shared" si="153"/>
        <v>-11097.9</v>
      </c>
    </row>
    <row r="355" spans="1:16" ht="15.75" x14ac:dyDescent="0.3">
      <c r="A355" s="57" t="s">
        <v>42</v>
      </c>
      <c r="B355" s="50">
        <v>44904</v>
      </c>
      <c r="C355" s="47">
        <f>50000*44%</f>
        <v>22000</v>
      </c>
      <c r="D355" s="47">
        <f>445*44%</f>
        <v>195.8</v>
      </c>
      <c r="E355" s="48">
        <v>0</v>
      </c>
      <c r="F355" s="48">
        <f t="shared" si="165"/>
        <v>22195.8</v>
      </c>
      <c r="G355" s="48">
        <f t="shared" si="166"/>
        <v>30.363250122741356</v>
      </c>
      <c r="H355" s="48">
        <f>731.0087</f>
        <v>731.00869999999998</v>
      </c>
      <c r="I355" s="56">
        <v>38.984900000000003</v>
      </c>
      <c r="J355" s="47">
        <f t="shared" si="148"/>
        <v>28498.30106863</v>
      </c>
      <c r="K355" s="49">
        <f>0</f>
        <v>0</v>
      </c>
      <c r="L355" s="48">
        <f t="shared" si="149"/>
        <v>6302.5010686300011</v>
      </c>
      <c r="M355" s="46">
        <f t="shared" si="150"/>
        <v>0.2839501648343381</v>
      </c>
      <c r="N355" s="47">
        <f t="shared" ca="1" si="151"/>
        <v>43.466666666666669</v>
      </c>
      <c r="O355" s="46">
        <f t="shared" ca="1" si="152"/>
        <v>7.8391149800890889E-2</v>
      </c>
      <c r="P355" s="47">
        <f t="shared" si="153"/>
        <v>-22195.8</v>
      </c>
    </row>
    <row r="356" spans="1:16" ht="15.75" x14ac:dyDescent="0.3">
      <c r="A356" s="55" t="s">
        <v>44</v>
      </c>
      <c r="B356" s="50">
        <v>44929</v>
      </c>
      <c r="C356" s="47">
        <f>13970*34%</f>
        <v>4749.8</v>
      </c>
      <c r="D356" s="47">
        <v>0</v>
      </c>
      <c r="E356" s="48">
        <v>0</v>
      </c>
      <c r="F356" s="48">
        <f t="shared" ref="F356:F358" si="167">SUM(C356:E356)</f>
        <v>4749.8</v>
      </c>
      <c r="G356" s="48">
        <f t="shared" ref="G356:G358" si="168">F356/H356</f>
        <v>47.980346422586265</v>
      </c>
      <c r="H356" s="48">
        <f>98.9947</f>
        <v>98.994699999999995</v>
      </c>
      <c r="I356" s="56">
        <v>74.919499999999999</v>
      </c>
      <c r="J356" s="47">
        <f t="shared" si="148"/>
        <v>7416.6334266499998</v>
      </c>
      <c r="K356" s="49">
        <f>0</f>
        <v>0</v>
      </c>
      <c r="L356" s="48">
        <f t="shared" si="149"/>
        <v>2666.8334266499996</v>
      </c>
      <c r="M356" s="46">
        <f t="shared" si="150"/>
        <v>0.56146225665291161</v>
      </c>
      <c r="N356" s="47">
        <f t="shared" ca="1" si="151"/>
        <v>42.666666666666664</v>
      </c>
      <c r="O356" s="46">
        <f t="shared" ca="1" si="152"/>
        <v>0.1579112596836314</v>
      </c>
      <c r="P356" s="47">
        <f t="shared" ref="P356:P419" si="169">-F356</f>
        <v>-4749.8</v>
      </c>
    </row>
    <row r="357" spans="1:16" ht="15.75" x14ac:dyDescent="0.3">
      <c r="A357" s="57" t="s">
        <v>43</v>
      </c>
      <c r="B357" s="50">
        <v>44929</v>
      </c>
      <c r="C357" s="47">
        <f>13970*22%</f>
        <v>3073.4</v>
      </c>
      <c r="D357" s="47">
        <v>0</v>
      </c>
      <c r="E357" s="48">
        <v>0</v>
      </c>
      <c r="F357" s="48">
        <f t="shared" si="167"/>
        <v>3073.4</v>
      </c>
      <c r="G357" s="48">
        <f t="shared" si="168"/>
        <v>35.386308789123667</v>
      </c>
      <c r="H357" s="48">
        <f>86.8528</f>
        <v>86.852800000000002</v>
      </c>
      <c r="I357" s="56">
        <v>46.404400000000003</v>
      </c>
      <c r="J357" s="47">
        <f t="shared" si="148"/>
        <v>4030.3520723200004</v>
      </c>
      <c r="K357" s="49">
        <f>0</f>
        <v>0</v>
      </c>
      <c r="L357" s="48">
        <f t="shared" si="149"/>
        <v>956.9520723200003</v>
      </c>
      <c r="M357" s="46">
        <f t="shared" si="150"/>
        <v>0.3113659375024404</v>
      </c>
      <c r="N357" s="47">
        <f t="shared" ca="1" si="151"/>
        <v>42.666666666666664</v>
      </c>
      <c r="O357" s="46">
        <f t="shared" ca="1" si="152"/>
        <v>8.7571669922561365E-2</v>
      </c>
      <c r="P357" s="47">
        <f t="shared" si="169"/>
        <v>-3073.4</v>
      </c>
    </row>
    <row r="358" spans="1:16" ht="15.75" x14ac:dyDescent="0.3">
      <c r="A358" s="57" t="s">
        <v>42</v>
      </c>
      <c r="B358" s="50">
        <v>44929</v>
      </c>
      <c r="C358" s="47">
        <f>13970*44%</f>
        <v>6146.8</v>
      </c>
      <c r="D358" s="47">
        <v>0</v>
      </c>
      <c r="E358" s="48">
        <v>0</v>
      </c>
      <c r="F358" s="48">
        <f t="shared" si="167"/>
        <v>6146.8</v>
      </c>
      <c r="G358" s="48">
        <f t="shared" si="168"/>
        <v>30.1900062768966</v>
      </c>
      <c r="H358" s="48">
        <f>203.6038</f>
        <v>203.60380000000001</v>
      </c>
      <c r="I358" s="56">
        <v>38.984900000000003</v>
      </c>
      <c r="J358" s="47">
        <f t="shared" si="148"/>
        <v>7937.4737826200007</v>
      </c>
      <c r="K358" s="49">
        <f>0</f>
        <v>0</v>
      </c>
      <c r="L358" s="48">
        <f t="shared" si="149"/>
        <v>1790.6737826200006</v>
      </c>
      <c r="M358" s="46">
        <f t="shared" si="150"/>
        <v>0.29131804884167378</v>
      </c>
      <c r="N358" s="47">
        <f t="shared" ca="1" si="151"/>
        <v>42.666666666666664</v>
      </c>
      <c r="O358" s="46">
        <f t="shared" ca="1" si="152"/>
        <v>8.1933201236720751E-2</v>
      </c>
      <c r="P358" s="47">
        <f t="shared" si="169"/>
        <v>-6146.8</v>
      </c>
    </row>
    <row r="359" spans="1:16" ht="15.75" x14ac:dyDescent="0.3">
      <c r="A359" s="55" t="s">
        <v>44</v>
      </c>
      <c r="B359" s="50">
        <v>44933</v>
      </c>
      <c r="C359" s="47">
        <f>-14.32</f>
        <v>-14.32</v>
      </c>
      <c r="D359" s="47">
        <v>0</v>
      </c>
      <c r="E359" s="48">
        <v>0</v>
      </c>
      <c r="F359" s="48">
        <f t="shared" ref="F359:F361" si="170">SUM(C359:E359)</f>
        <v>-14.32</v>
      </c>
      <c r="G359" s="48">
        <f t="shared" ref="G359:G361" si="171">F359/H359</f>
        <v>47.089773100953636</v>
      </c>
      <c r="H359" s="48">
        <f>-0.3041</f>
        <v>-0.30409999999999998</v>
      </c>
      <c r="I359" s="56">
        <v>74.919499999999999</v>
      </c>
      <c r="J359" s="47">
        <f t="shared" si="148"/>
        <v>-22.78301995</v>
      </c>
      <c r="K359" s="49">
        <f>0</f>
        <v>0</v>
      </c>
      <c r="L359" s="48">
        <f t="shared" si="149"/>
        <v>-8.4630199499999996</v>
      </c>
      <c r="M359" s="46">
        <f t="shared" si="150"/>
        <v>0.59099301326815634</v>
      </c>
      <c r="N359" s="47">
        <f t="shared" ca="1" si="151"/>
        <v>42.533333333333331</v>
      </c>
      <c r="O359" s="46">
        <f t="shared" ca="1" si="152"/>
        <v>0.16673784073396261</v>
      </c>
      <c r="P359" s="47">
        <f t="shared" si="169"/>
        <v>14.32</v>
      </c>
    </row>
    <row r="360" spans="1:16" ht="15.75" x14ac:dyDescent="0.3">
      <c r="A360" s="57" t="s">
        <v>43</v>
      </c>
      <c r="B360" s="50">
        <v>44933</v>
      </c>
      <c r="C360" s="47">
        <f>-9.35</f>
        <v>-9.35</v>
      </c>
      <c r="D360" s="47">
        <v>0</v>
      </c>
      <c r="E360" s="48">
        <v>0</v>
      </c>
      <c r="F360" s="48">
        <f t="shared" si="170"/>
        <v>-9.35</v>
      </c>
      <c r="G360" s="48">
        <f t="shared" si="171"/>
        <v>35.376466136965568</v>
      </c>
      <c r="H360" s="48">
        <f>-0.2643</f>
        <v>-0.26429999999999998</v>
      </c>
      <c r="I360" s="56">
        <v>46.404400000000003</v>
      </c>
      <c r="J360" s="47">
        <f t="shared" si="148"/>
        <v>-12.26468292</v>
      </c>
      <c r="K360" s="49">
        <f>0</f>
        <v>0</v>
      </c>
      <c r="L360" s="48">
        <f t="shared" si="149"/>
        <v>-2.9146829200000006</v>
      </c>
      <c r="M360" s="46">
        <f t="shared" si="150"/>
        <v>0.3117307935828878</v>
      </c>
      <c r="N360" s="47">
        <f t="shared" ca="1" si="151"/>
        <v>42.533333333333331</v>
      </c>
      <c r="O360" s="46">
        <f t="shared" ca="1" si="152"/>
        <v>8.7949126716175247E-2</v>
      </c>
      <c r="P360" s="47">
        <f t="shared" si="169"/>
        <v>9.35</v>
      </c>
    </row>
    <row r="361" spans="1:16" ht="15.75" x14ac:dyDescent="0.3">
      <c r="A361" s="57" t="s">
        <v>42</v>
      </c>
      <c r="B361" s="50">
        <v>44933</v>
      </c>
      <c r="C361" s="47">
        <f>-18.81</f>
        <v>-18.809999999999999</v>
      </c>
      <c r="D361" s="47">
        <v>0</v>
      </c>
      <c r="E361" s="48">
        <v>0</v>
      </c>
      <c r="F361" s="48">
        <f t="shared" si="170"/>
        <v>-18.809999999999999</v>
      </c>
      <c r="G361" s="48">
        <f t="shared" si="171"/>
        <v>30.182926829268293</v>
      </c>
      <c r="H361" s="48">
        <f>-0.6232</f>
        <v>-0.62319999999999998</v>
      </c>
      <c r="I361" s="56">
        <v>38.984900000000003</v>
      </c>
      <c r="J361" s="47">
        <f t="shared" si="148"/>
        <v>-24.29538968</v>
      </c>
      <c r="K361" s="49">
        <f>0</f>
        <v>0</v>
      </c>
      <c r="L361" s="48">
        <f t="shared" si="149"/>
        <v>-5.4853896800000008</v>
      </c>
      <c r="M361" s="46">
        <f t="shared" si="150"/>
        <v>0.29162092929292938</v>
      </c>
      <c r="N361" s="47">
        <f t="shared" ca="1" si="151"/>
        <v>42.533333333333331</v>
      </c>
      <c r="O361" s="46">
        <f t="shared" ca="1" si="152"/>
        <v>8.2275497292675998E-2</v>
      </c>
      <c r="P361" s="47">
        <f t="shared" si="169"/>
        <v>18.809999999999999</v>
      </c>
    </row>
    <row r="362" spans="1:16" ht="15.75" x14ac:dyDescent="0.3">
      <c r="A362" s="55" t="s">
        <v>44</v>
      </c>
      <c r="B362" s="50">
        <v>44959</v>
      </c>
      <c r="C362" s="47">
        <f>13970*34%</f>
        <v>4749.8</v>
      </c>
      <c r="D362" s="47">
        <v>0</v>
      </c>
      <c r="E362" s="48">
        <v>0</v>
      </c>
      <c r="F362" s="48">
        <f t="shared" ref="F362:F370" si="172">SUM(C362:E362)</f>
        <v>4749.8</v>
      </c>
      <c r="G362" s="48">
        <f t="shared" ref="G362:G370" si="173">F362/H362</f>
        <v>46.396908565913741</v>
      </c>
      <c r="H362" s="48">
        <f>102.3732</f>
        <v>102.3732</v>
      </c>
      <c r="I362" s="56">
        <v>74.919499999999999</v>
      </c>
      <c r="J362" s="47">
        <f t="shared" si="148"/>
        <v>7669.7489574000001</v>
      </c>
      <c r="K362" s="49">
        <f>0</f>
        <v>0</v>
      </c>
      <c r="L362" s="48">
        <f t="shared" si="149"/>
        <v>2919.9489573999999</v>
      </c>
      <c r="M362" s="46">
        <f t="shared" si="150"/>
        <v>0.61475198058865632</v>
      </c>
      <c r="N362" s="47">
        <f t="shared" ca="1" si="151"/>
        <v>41.7</v>
      </c>
      <c r="O362" s="46">
        <f t="shared" ca="1" si="152"/>
        <v>0.17690704477371405</v>
      </c>
      <c r="P362" s="47">
        <f t="shared" si="169"/>
        <v>-4749.8</v>
      </c>
    </row>
    <row r="363" spans="1:16" ht="15.75" x14ac:dyDescent="0.3">
      <c r="A363" s="57" t="s">
        <v>43</v>
      </c>
      <c r="B363" s="50">
        <v>44959</v>
      </c>
      <c r="C363" s="47">
        <f>13970*22%</f>
        <v>3073.4</v>
      </c>
      <c r="D363" s="47">
        <v>0</v>
      </c>
      <c r="E363" s="48">
        <v>0</v>
      </c>
      <c r="F363" s="48">
        <f t="shared" si="172"/>
        <v>3073.4</v>
      </c>
      <c r="G363" s="48">
        <f t="shared" si="173"/>
        <v>35.591532332777469</v>
      </c>
      <c r="H363" s="48">
        <f>86.352</f>
        <v>86.352000000000004</v>
      </c>
      <c r="I363" s="56">
        <v>46.404400000000003</v>
      </c>
      <c r="J363" s="47">
        <f t="shared" si="148"/>
        <v>4007.1127488000002</v>
      </c>
      <c r="K363" s="49">
        <f>0</f>
        <v>0</v>
      </c>
      <c r="L363" s="48">
        <f t="shared" si="149"/>
        <v>933.7127488000001</v>
      </c>
      <c r="M363" s="46">
        <f t="shared" si="150"/>
        <v>0.30380449951194122</v>
      </c>
      <c r="N363" s="47">
        <f t="shared" ca="1" si="151"/>
        <v>41.7</v>
      </c>
      <c r="O363" s="46">
        <f t="shared" ca="1" si="152"/>
        <v>8.7425755255234883E-2</v>
      </c>
      <c r="P363" s="47">
        <f t="shared" si="169"/>
        <v>-3073.4</v>
      </c>
    </row>
    <row r="364" spans="1:16" ht="15.75" x14ac:dyDescent="0.3">
      <c r="A364" s="57" t="s">
        <v>42</v>
      </c>
      <c r="B364" s="50">
        <v>44959</v>
      </c>
      <c r="C364" s="47">
        <f>13970*44%</f>
        <v>6146.8</v>
      </c>
      <c r="D364" s="47">
        <v>0</v>
      </c>
      <c r="E364" s="48">
        <v>0</v>
      </c>
      <c r="F364" s="48">
        <f t="shared" si="172"/>
        <v>6146.8</v>
      </c>
      <c r="G364" s="48">
        <f t="shared" si="173"/>
        <v>30.463303088753339</v>
      </c>
      <c r="H364" s="48">
        <f>201.7772</f>
        <v>201.77719999999999</v>
      </c>
      <c r="I364" s="56">
        <v>38.984900000000003</v>
      </c>
      <c r="J364" s="47">
        <f t="shared" si="148"/>
        <v>7866.2639642800004</v>
      </c>
      <c r="K364" s="49">
        <f>0</f>
        <v>0</v>
      </c>
      <c r="L364" s="48">
        <f t="shared" si="149"/>
        <v>1719.4639642800003</v>
      </c>
      <c r="M364" s="46">
        <f t="shared" si="150"/>
        <v>0.27973318869655761</v>
      </c>
      <c r="N364" s="47">
        <f t="shared" ca="1" si="151"/>
        <v>41.7</v>
      </c>
      <c r="O364" s="46">
        <f t="shared" ca="1" si="152"/>
        <v>8.0498759337138875E-2</v>
      </c>
      <c r="P364" s="47">
        <f t="shared" si="169"/>
        <v>-6146.8</v>
      </c>
    </row>
    <row r="365" spans="1:16" ht="15.75" x14ac:dyDescent="0.3">
      <c r="A365" s="55" t="s">
        <v>44</v>
      </c>
      <c r="B365" s="50">
        <v>44987</v>
      </c>
      <c r="C365" s="47">
        <f>13970*34%</f>
        <v>4749.8</v>
      </c>
      <c r="D365" s="47">
        <v>0</v>
      </c>
      <c r="E365" s="48">
        <v>0</v>
      </c>
      <c r="F365" s="48">
        <f t="shared" si="172"/>
        <v>4749.8</v>
      </c>
      <c r="G365" s="48">
        <f t="shared" si="173"/>
        <v>46.104133725089369</v>
      </c>
      <c r="H365" s="48">
        <f>103.0233</f>
        <v>103.02330000000001</v>
      </c>
      <c r="I365" s="56">
        <v>74.919499999999999</v>
      </c>
      <c r="J365" s="47">
        <f t="shared" si="148"/>
        <v>7718.4541243500007</v>
      </c>
      <c r="K365" s="49">
        <f>0</f>
        <v>0</v>
      </c>
      <c r="L365" s="48">
        <f t="shared" si="149"/>
        <v>2968.6541243500005</v>
      </c>
      <c r="M365" s="46">
        <f t="shared" si="150"/>
        <v>0.62500613170028219</v>
      </c>
      <c r="N365" s="47">
        <f t="shared" ca="1" si="151"/>
        <v>40.700000000000003</v>
      </c>
      <c r="O365" s="46">
        <f t="shared" ca="1" si="152"/>
        <v>0.18427699214750334</v>
      </c>
      <c r="P365" s="47">
        <f t="shared" si="169"/>
        <v>-4749.8</v>
      </c>
    </row>
    <row r="366" spans="1:16" ht="15.75" x14ac:dyDescent="0.3">
      <c r="A366" s="57" t="s">
        <v>43</v>
      </c>
      <c r="B366" s="50">
        <v>44987</v>
      </c>
      <c r="C366" s="47">
        <f>13970*22%</f>
        <v>3073.4</v>
      </c>
      <c r="D366" s="47">
        <v>0</v>
      </c>
      <c r="E366" s="48">
        <v>0</v>
      </c>
      <c r="F366" s="48">
        <f t="shared" si="172"/>
        <v>3073.4</v>
      </c>
      <c r="G366" s="48">
        <f t="shared" si="173"/>
        <v>35.60221068715024</v>
      </c>
      <c r="H366" s="48">
        <f>86.3261</f>
        <v>86.326099999999997</v>
      </c>
      <c r="I366" s="56">
        <v>46.404400000000003</v>
      </c>
      <c r="J366" s="47">
        <f t="shared" si="148"/>
        <v>4005.9108748399999</v>
      </c>
      <c r="K366" s="49">
        <f>0</f>
        <v>0</v>
      </c>
      <c r="L366" s="48">
        <f t="shared" si="149"/>
        <v>932.51087483999981</v>
      </c>
      <c r="M366" s="46">
        <f t="shared" si="150"/>
        <v>0.3034134427149085</v>
      </c>
      <c r="N366" s="47">
        <f t="shared" ca="1" si="151"/>
        <v>40.700000000000003</v>
      </c>
      <c r="O366" s="46">
        <f t="shared" ca="1" si="152"/>
        <v>8.9458508908572529E-2</v>
      </c>
      <c r="P366" s="47">
        <f t="shared" si="169"/>
        <v>-3073.4</v>
      </c>
    </row>
    <row r="367" spans="1:16" ht="15.75" x14ac:dyDescent="0.3">
      <c r="A367" s="57" t="s">
        <v>42</v>
      </c>
      <c r="B367" s="50">
        <v>44987</v>
      </c>
      <c r="C367" s="47">
        <f>13970*44%</f>
        <v>6146.8</v>
      </c>
      <c r="D367" s="47">
        <v>0</v>
      </c>
      <c r="E367" s="48">
        <v>0</v>
      </c>
      <c r="F367" s="48">
        <f t="shared" si="172"/>
        <v>6146.8</v>
      </c>
      <c r="G367" s="48">
        <f t="shared" si="173"/>
        <v>30.405213226772297</v>
      </c>
      <c r="H367" s="48">
        <f>202.1627</f>
        <v>202.1627</v>
      </c>
      <c r="I367" s="56">
        <v>38.984900000000003</v>
      </c>
      <c r="J367" s="47">
        <f t="shared" si="148"/>
        <v>7881.292643230001</v>
      </c>
      <c r="K367" s="49">
        <f>0</f>
        <v>0</v>
      </c>
      <c r="L367" s="48">
        <f t="shared" si="149"/>
        <v>1734.4926432300008</v>
      </c>
      <c r="M367" s="46">
        <f t="shared" si="150"/>
        <v>0.28217814850491324</v>
      </c>
      <c r="N367" s="47">
        <f t="shared" ca="1" si="151"/>
        <v>40.700000000000003</v>
      </c>
      <c r="O367" s="46">
        <f t="shared" ca="1" si="152"/>
        <v>8.3197488502677108E-2</v>
      </c>
      <c r="P367" s="47">
        <f t="shared" si="169"/>
        <v>-6146.8</v>
      </c>
    </row>
    <row r="368" spans="1:16" ht="15.75" x14ac:dyDescent="0.3">
      <c r="A368" s="55" t="s">
        <v>44</v>
      </c>
      <c r="B368" s="50">
        <v>45014</v>
      </c>
      <c r="C368" s="47">
        <f>13970*34%</f>
        <v>4749.8</v>
      </c>
      <c r="D368" s="47">
        <v>0</v>
      </c>
      <c r="E368" s="48">
        <v>0</v>
      </c>
      <c r="F368" s="48">
        <f t="shared" si="172"/>
        <v>4749.8</v>
      </c>
      <c r="G368" s="48">
        <f t="shared" si="173"/>
        <v>45.452109640846231</v>
      </c>
      <c r="H368" s="48">
        <f>104.5012</f>
        <v>104.5012</v>
      </c>
      <c r="I368" s="56">
        <v>74.919499999999999</v>
      </c>
      <c r="J368" s="47">
        <f t="shared" si="148"/>
        <v>7829.1776534000001</v>
      </c>
      <c r="K368" s="49">
        <f>0</f>
        <v>0</v>
      </c>
      <c r="L368" s="48">
        <f t="shared" si="149"/>
        <v>3079.3776533999999</v>
      </c>
      <c r="M368" s="46">
        <f t="shared" si="150"/>
        <v>0.64831732986652069</v>
      </c>
      <c r="N368" s="47">
        <f t="shared" ca="1" si="151"/>
        <v>39.799999999999997</v>
      </c>
      <c r="O368" s="46">
        <f t="shared" ca="1" si="152"/>
        <v>0.19547256176880021</v>
      </c>
      <c r="P368" s="47">
        <f t="shared" si="169"/>
        <v>-4749.8</v>
      </c>
    </row>
    <row r="369" spans="1:16" ht="15.75" x14ac:dyDescent="0.3">
      <c r="A369" s="57" t="s">
        <v>43</v>
      </c>
      <c r="B369" s="50">
        <v>45014</v>
      </c>
      <c r="C369" s="47">
        <f>13970*22%</f>
        <v>3073.4</v>
      </c>
      <c r="D369" s="47">
        <v>0</v>
      </c>
      <c r="E369" s="48">
        <v>0</v>
      </c>
      <c r="F369" s="48">
        <f t="shared" si="172"/>
        <v>3073.4</v>
      </c>
      <c r="G369" s="48">
        <f t="shared" si="173"/>
        <v>35.786603137120657</v>
      </c>
      <c r="H369" s="48">
        <f>85.8813</f>
        <v>85.881299999999996</v>
      </c>
      <c r="I369" s="56">
        <v>46.404400000000003</v>
      </c>
      <c r="J369" s="47">
        <f t="shared" si="148"/>
        <v>3985.2701977199999</v>
      </c>
      <c r="K369" s="49">
        <f>0</f>
        <v>0</v>
      </c>
      <c r="L369" s="48">
        <f t="shared" si="149"/>
        <v>911.87019771999985</v>
      </c>
      <c r="M369" s="46">
        <f t="shared" si="150"/>
        <v>0.29669753293420964</v>
      </c>
      <c r="N369" s="47">
        <f t="shared" ca="1" si="151"/>
        <v>39.799999999999997</v>
      </c>
      <c r="O369" s="46">
        <f t="shared" ca="1" si="152"/>
        <v>8.9456542593229049E-2</v>
      </c>
      <c r="P369" s="47">
        <f t="shared" si="169"/>
        <v>-3073.4</v>
      </c>
    </row>
    <row r="370" spans="1:16" ht="15.75" x14ac:dyDescent="0.3">
      <c r="A370" s="57" t="s">
        <v>42</v>
      </c>
      <c r="B370" s="50">
        <v>45014</v>
      </c>
      <c r="C370" s="47">
        <f>13970*44%</f>
        <v>6146.8</v>
      </c>
      <c r="D370" s="47">
        <v>0</v>
      </c>
      <c r="E370" s="48">
        <v>0</v>
      </c>
      <c r="F370" s="48">
        <f t="shared" si="172"/>
        <v>6146.8</v>
      </c>
      <c r="G370" s="48">
        <f t="shared" si="173"/>
        <v>30.779307140110241</v>
      </c>
      <c r="H370" s="48">
        <f>199.7056</f>
        <v>199.7056</v>
      </c>
      <c r="I370" s="56">
        <v>38.984900000000003</v>
      </c>
      <c r="J370" s="47">
        <f t="shared" si="148"/>
        <v>7785.5028454400008</v>
      </c>
      <c r="K370" s="49">
        <f>0</f>
        <v>0</v>
      </c>
      <c r="L370" s="48">
        <f t="shared" si="149"/>
        <v>1638.7028454400006</v>
      </c>
      <c r="M370" s="46">
        <f t="shared" si="150"/>
        <v>0.26659446304418566</v>
      </c>
      <c r="N370" s="47">
        <f t="shared" ca="1" si="151"/>
        <v>39.799999999999997</v>
      </c>
      <c r="O370" s="46">
        <f t="shared" ca="1" si="152"/>
        <v>8.038024011382483E-2</v>
      </c>
      <c r="P370" s="47">
        <f t="shared" si="169"/>
        <v>-6146.8</v>
      </c>
    </row>
    <row r="371" spans="1:16" ht="15.75" x14ac:dyDescent="0.3">
      <c r="A371" s="55" t="s">
        <v>44</v>
      </c>
      <c r="B371" s="50">
        <v>45022</v>
      </c>
      <c r="C371" s="47">
        <f>-12.58</f>
        <v>-12.58</v>
      </c>
      <c r="D371" s="47">
        <v>0</v>
      </c>
      <c r="E371" s="48">
        <v>0</v>
      </c>
      <c r="F371" s="48">
        <f t="shared" ref="F371:F373" si="174">SUM(C371:E371)</f>
        <v>-12.58</v>
      </c>
      <c r="G371" s="48">
        <f t="shared" ref="G371:G373" si="175">F371/H371</f>
        <v>46.731054977711743</v>
      </c>
      <c r="H371" s="48">
        <f>-0.2692</f>
        <v>-0.26919999999999999</v>
      </c>
      <c r="I371" s="56">
        <v>74.919499999999999</v>
      </c>
      <c r="J371" s="47">
        <f t="shared" si="148"/>
        <v>-20.168329400000001</v>
      </c>
      <c r="K371" s="49">
        <f>0</f>
        <v>0</v>
      </c>
      <c r="L371" s="48">
        <f t="shared" si="149"/>
        <v>-7.588329400000001</v>
      </c>
      <c r="M371" s="46">
        <f t="shared" si="150"/>
        <v>0.60320583465818767</v>
      </c>
      <c r="N371" s="47">
        <f t="shared" ca="1" si="151"/>
        <v>39.56666666666667</v>
      </c>
      <c r="O371" s="46">
        <f t="shared" ca="1" si="152"/>
        <v>0.18294363982893644</v>
      </c>
      <c r="P371" s="47">
        <f t="shared" si="169"/>
        <v>12.58</v>
      </c>
    </row>
    <row r="372" spans="1:16" ht="15.75" x14ac:dyDescent="0.3">
      <c r="A372" s="57" t="s">
        <v>43</v>
      </c>
      <c r="B372" s="50">
        <v>45022</v>
      </c>
      <c r="C372" s="47">
        <f>-8.42</f>
        <v>-8.42</v>
      </c>
      <c r="D372" s="47">
        <v>0</v>
      </c>
      <c r="E372" s="48">
        <v>0</v>
      </c>
      <c r="F372" s="48">
        <f t="shared" si="174"/>
        <v>-8.42</v>
      </c>
      <c r="G372" s="48">
        <f t="shared" si="175"/>
        <v>36.044520547945204</v>
      </c>
      <c r="H372" s="48">
        <f>-0.2336</f>
        <v>-0.2336</v>
      </c>
      <c r="I372" s="56">
        <v>46.404400000000003</v>
      </c>
      <c r="J372" s="47">
        <f t="shared" si="148"/>
        <v>-10.840067840000001</v>
      </c>
      <c r="K372" s="49">
        <f>0</f>
        <v>0</v>
      </c>
      <c r="L372" s="48">
        <f t="shared" si="149"/>
        <v>-2.4200678400000015</v>
      </c>
      <c r="M372" s="46">
        <f t="shared" si="150"/>
        <v>0.28741898337292182</v>
      </c>
      <c r="N372" s="47">
        <f t="shared" ca="1" si="151"/>
        <v>39.56666666666667</v>
      </c>
      <c r="O372" s="46">
        <f t="shared" ca="1" si="152"/>
        <v>8.7170037080245871E-2</v>
      </c>
      <c r="P372" s="47">
        <f t="shared" si="169"/>
        <v>8.42</v>
      </c>
    </row>
    <row r="373" spans="1:16" ht="15.75" x14ac:dyDescent="0.3">
      <c r="A373" s="57" t="s">
        <v>42</v>
      </c>
      <c r="B373" s="50">
        <v>45022</v>
      </c>
      <c r="C373" s="47">
        <f>-17.05</f>
        <v>-17.05</v>
      </c>
      <c r="D373" s="47">
        <v>0</v>
      </c>
      <c r="E373" s="48">
        <v>0</v>
      </c>
      <c r="F373" s="48">
        <f t="shared" si="174"/>
        <v>-17.05</v>
      </c>
      <c r="G373" s="48">
        <f t="shared" si="175"/>
        <v>30.966218670541231</v>
      </c>
      <c r="H373" s="48">
        <f>-0.5506</f>
        <v>-0.55059999999999998</v>
      </c>
      <c r="I373" s="56">
        <v>38.984900000000003</v>
      </c>
      <c r="J373" s="47">
        <f t="shared" si="148"/>
        <v>-21.465085940000002</v>
      </c>
      <c r="K373" s="49">
        <f>0</f>
        <v>0</v>
      </c>
      <c r="L373" s="48">
        <f t="shared" si="149"/>
        <v>-4.4150859400000009</v>
      </c>
      <c r="M373" s="46">
        <f t="shared" si="150"/>
        <v>0.25894932199413495</v>
      </c>
      <c r="N373" s="47">
        <f t="shared" ca="1" si="151"/>
        <v>39.56666666666667</v>
      </c>
      <c r="O373" s="46">
        <f t="shared" ca="1" si="152"/>
        <v>7.8535598919872426E-2</v>
      </c>
      <c r="P373" s="47">
        <f t="shared" si="169"/>
        <v>17.05</v>
      </c>
    </row>
    <row r="374" spans="1:16" ht="15.75" x14ac:dyDescent="0.3">
      <c r="A374" s="55" t="s">
        <v>44</v>
      </c>
      <c r="B374" s="50">
        <v>45048</v>
      </c>
      <c r="C374" s="47">
        <f>13970*34%</f>
        <v>4749.8</v>
      </c>
      <c r="D374" s="47">
        <v>0</v>
      </c>
      <c r="E374" s="48">
        <v>0</v>
      </c>
      <c r="F374" s="48">
        <f t="shared" ref="F374:F382" si="176">SUM(C374:E374)</f>
        <v>4749.8</v>
      </c>
      <c r="G374" s="48">
        <f t="shared" ref="G374:G382" si="177">F374/H374</f>
        <v>48.247623323578445</v>
      </c>
      <c r="H374" s="48">
        <f>98.4463</f>
        <v>98.446299999999994</v>
      </c>
      <c r="I374" s="56">
        <v>74.919499999999999</v>
      </c>
      <c r="J374" s="47">
        <f t="shared" ref="J374:J437" si="178">PRODUCT(H374:I374)</f>
        <v>7375.5475728499996</v>
      </c>
      <c r="K374" s="49">
        <f>0</f>
        <v>0</v>
      </c>
      <c r="L374" s="48">
        <f t="shared" ref="L374:L437" si="179">SUM(-F374,J374)+K374</f>
        <v>2625.7475728499994</v>
      </c>
      <c r="M374" s="46">
        <f t="shared" ref="M374:M437" si="180">L374/F374</f>
        <v>0.55281223901006349</v>
      </c>
      <c r="N374" s="47">
        <f t="shared" ref="N374:N437" ca="1" si="181">(DAYS360(B374,NOW(),TRUE))/30</f>
        <v>38.700000000000003</v>
      </c>
      <c r="O374" s="46">
        <f t="shared" ref="O374:O437" ca="1" si="182">M374*12/N374</f>
        <v>0.17141464775505844</v>
      </c>
      <c r="P374" s="47">
        <f t="shared" si="169"/>
        <v>-4749.8</v>
      </c>
    </row>
    <row r="375" spans="1:16" ht="15.75" x14ac:dyDescent="0.3">
      <c r="A375" s="57" t="s">
        <v>43</v>
      </c>
      <c r="B375" s="50">
        <v>45048</v>
      </c>
      <c r="C375" s="47">
        <f>13970*22%</f>
        <v>3073.4</v>
      </c>
      <c r="D375" s="47">
        <v>0</v>
      </c>
      <c r="E375" s="48">
        <v>0</v>
      </c>
      <c r="F375" s="48">
        <f t="shared" si="176"/>
        <v>3073.4</v>
      </c>
      <c r="G375" s="48">
        <f t="shared" si="177"/>
        <v>36.361700365580965</v>
      </c>
      <c r="H375" s="48">
        <f>84.523</f>
        <v>84.522999999999996</v>
      </c>
      <c r="I375" s="56">
        <v>46.404400000000003</v>
      </c>
      <c r="J375" s="47">
        <f t="shared" si="178"/>
        <v>3922.2391011999998</v>
      </c>
      <c r="K375" s="49">
        <f>0</f>
        <v>0</v>
      </c>
      <c r="L375" s="48">
        <f t="shared" si="179"/>
        <v>848.83910119999973</v>
      </c>
      <c r="M375" s="46">
        <f t="shared" si="180"/>
        <v>0.27618894423114454</v>
      </c>
      <c r="N375" s="47">
        <f t="shared" ca="1" si="181"/>
        <v>38.700000000000003</v>
      </c>
      <c r="O375" s="46">
        <f t="shared" ca="1" si="182"/>
        <v>8.5639982707331641E-2</v>
      </c>
      <c r="P375" s="47">
        <f t="shared" si="169"/>
        <v>-3073.4</v>
      </c>
    </row>
    <row r="376" spans="1:16" ht="15.75" x14ac:dyDescent="0.3">
      <c r="A376" s="57" t="s">
        <v>42</v>
      </c>
      <c r="B376" s="50">
        <v>45048</v>
      </c>
      <c r="C376" s="47">
        <f>13970*44%</f>
        <v>6146.8</v>
      </c>
      <c r="D376" s="47">
        <v>0</v>
      </c>
      <c r="E376" s="48">
        <v>0</v>
      </c>
      <c r="F376" s="48">
        <f t="shared" si="176"/>
        <v>6146.8</v>
      </c>
      <c r="G376" s="48">
        <f t="shared" si="177"/>
        <v>31.309308544505289</v>
      </c>
      <c r="H376" s="48">
        <f>196.325</f>
        <v>196.32499999999999</v>
      </c>
      <c r="I376" s="56">
        <v>38.984900000000003</v>
      </c>
      <c r="J376" s="47">
        <f t="shared" si="178"/>
        <v>7653.7104925000003</v>
      </c>
      <c r="K376" s="49">
        <f>0</f>
        <v>0</v>
      </c>
      <c r="L376" s="48">
        <f t="shared" si="179"/>
        <v>1506.9104925000001</v>
      </c>
      <c r="M376" s="46">
        <f t="shared" si="180"/>
        <v>0.2451536559673326</v>
      </c>
      <c r="N376" s="47">
        <f t="shared" ca="1" si="181"/>
        <v>38.700000000000003</v>
      </c>
      <c r="O376" s="46">
        <f t="shared" ca="1" si="182"/>
        <v>7.6016637509250404E-2</v>
      </c>
      <c r="P376" s="47">
        <f t="shared" si="169"/>
        <v>-6146.8</v>
      </c>
    </row>
    <row r="377" spans="1:16" ht="15.75" x14ac:dyDescent="0.3">
      <c r="A377" s="55" t="s">
        <v>44</v>
      </c>
      <c r="B377" s="50">
        <v>45079</v>
      </c>
      <c r="C377" s="47">
        <f>13970*34%</f>
        <v>4749.8</v>
      </c>
      <c r="D377" s="47">
        <v>0</v>
      </c>
      <c r="E377" s="48">
        <v>0</v>
      </c>
      <c r="F377" s="48">
        <f t="shared" si="176"/>
        <v>4749.8</v>
      </c>
      <c r="G377" s="48">
        <f t="shared" si="177"/>
        <v>49.836320141016493</v>
      </c>
      <c r="H377" s="48">
        <f>95.308</f>
        <v>95.308000000000007</v>
      </c>
      <c r="I377" s="56">
        <v>74.919499999999999</v>
      </c>
      <c r="J377" s="47">
        <f t="shared" si="178"/>
        <v>7140.4277060000004</v>
      </c>
      <c r="K377" s="49">
        <f>0</f>
        <v>0</v>
      </c>
      <c r="L377" s="48">
        <f t="shared" si="179"/>
        <v>2390.6277060000002</v>
      </c>
      <c r="M377" s="46">
        <f t="shared" si="180"/>
        <v>0.50331123542043876</v>
      </c>
      <c r="N377" s="47">
        <f t="shared" ca="1" si="181"/>
        <v>37.700000000000003</v>
      </c>
      <c r="O377" s="46">
        <f t="shared" ca="1" si="182"/>
        <v>0.16020516777308394</v>
      </c>
      <c r="P377" s="47">
        <f t="shared" si="169"/>
        <v>-4749.8</v>
      </c>
    </row>
    <row r="378" spans="1:16" ht="15.75" x14ac:dyDescent="0.3">
      <c r="A378" s="57" t="s">
        <v>43</v>
      </c>
      <c r="B378" s="50">
        <v>45079</v>
      </c>
      <c r="C378" s="47">
        <f>13970*22%</f>
        <v>3073.4</v>
      </c>
      <c r="D378" s="47">
        <v>0</v>
      </c>
      <c r="E378" s="48">
        <v>0</v>
      </c>
      <c r="F378" s="48">
        <f t="shared" si="176"/>
        <v>3073.4</v>
      </c>
      <c r="G378" s="48">
        <f t="shared" si="177"/>
        <v>36.744038688003251</v>
      </c>
      <c r="H378" s="48">
        <f>83.6435</f>
        <v>83.643500000000003</v>
      </c>
      <c r="I378" s="56">
        <v>46.404400000000003</v>
      </c>
      <c r="J378" s="47">
        <f t="shared" si="178"/>
        <v>3881.4264314000002</v>
      </c>
      <c r="K378" s="49">
        <f>0</f>
        <v>0</v>
      </c>
      <c r="L378" s="48">
        <f t="shared" si="179"/>
        <v>808.02643140000009</v>
      </c>
      <c r="M378" s="46">
        <f t="shared" si="180"/>
        <v>0.26290962172187154</v>
      </c>
      <c r="N378" s="47">
        <f t="shared" ca="1" si="181"/>
        <v>37.700000000000003</v>
      </c>
      <c r="O378" s="46">
        <f t="shared" ca="1" si="182"/>
        <v>8.3684760229773419E-2</v>
      </c>
      <c r="P378" s="47">
        <f t="shared" si="169"/>
        <v>-3073.4</v>
      </c>
    </row>
    <row r="379" spans="1:16" ht="15.75" x14ac:dyDescent="0.3">
      <c r="A379" s="57" t="s">
        <v>42</v>
      </c>
      <c r="B379" s="50">
        <v>45079</v>
      </c>
      <c r="C379" s="47">
        <f>13970*44%</f>
        <v>6146.8</v>
      </c>
      <c r="D379" s="47">
        <v>0</v>
      </c>
      <c r="E379" s="48">
        <v>0</v>
      </c>
      <c r="F379" s="48">
        <f t="shared" si="176"/>
        <v>6146.8</v>
      </c>
      <c r="G379" s="48">
        <f t="shared" si="177"/>
        <v>31.782011840438457</v>
      </c>
      <c r="H379" s="48">
        <f>193.405</f>
        <v>193.405</v>
      </c>
      <c r="I379" s="56">
        <v>38.984900000000003</v>
      </c>
      <c r="J379" s="47">
        <f t="shared" si="178"/>
        <v>7539.8745845000003</v>
      </c>
      <c r="K379" s="49">
        <f>0</f>
        <v>0</v>
      </c>
      <c r="L379" s="48">
        <f t="shared" si="179"/>
        <v>1393.0745845000001</v>
      </c>
      <c r="M379" s="46">
        <f t="shared" si="180"/>
        <v>0.22663411604412054</v>
      </c>
      <c r="N379" s="47">
        <f t="shared" ca="1" si="181"/>
        <v>37.700000000000003</v>
      </c>
      <c r="O379" s="46">
        <f t="shared" ca="1" si="182"/>
        <v>7.2138180173194857E-2</v>
      </c>
      <c r="P379" s="47">
        <f t="shared" si="169"/>
        <v>-6146.8</v>
      </c>
    </row>
    <row r="380" spans="1:16" ht="15.75" x14ac:dyDescent="0.3">
      <c r="A380" s="55" t="s">
        <v>44</v>
      </c>
      <c r="B380" s="50">
        <v>45110</v>
      </c>
      <c r="C380" s="47">
        <f>13970*34%</f>
        <v>4749.8</v>
      </c>
      <c r="D380" s="47">
        <v>0</v>
      </c>
      <c r="E380" s="48">
        <v>0</v>
      </c>
      <c r="F380" s="48">
        <f t="shared" si="176"/>
        <v>4749.8</v>
      </c>
      <c r="G380" s="48">
        <f t="shared" si="177"/>
        <v>52.066810559813035</v>
      </c>
      <c r="H380" s="48">
        <f>91.2251</f>
        <v>91.225099999999998</v>
      </c>
      <c r="I380" s="56">
        <v>74.919499999999999</v>
      </c>
      <c r="J380" s="47">
        <f t="shared" si="178"/>
        <v>6834.5388794499995</v>
      </c>
      <c r="K380" s="49">
        <f>0</f>
        <v>0</v>
      </c>
      <c r="L380" s="48">
        <f t="shared" si="179"/>
        <v>2084.7388794499993</v>
      </c>
      <c r="M380" s="46">
        <f t="shared" si="180"/>
        <v>0.43891087613162644</v>
      </c>
      <c r="N380" s="47">
        <f t="shared" ca="1" si="181"/>
        <v>36.666666666666664</v>
      </c>
      <c r="O380" s="46">
        <f t="shared" ca="1" si="182"/>
        <v>0.14364355946125956</v>
      </c>
      <c r="P380" s="47">
        <f t="shared" si="169"/>
        <v>-4749.8</v>
      </c>
    </row>
    <row r="381" spans="1:16" ht="15.75" x14ac:dyDescent="0.3">
      <c r="A381" s="57" t="s">
        <v>43</v>
      </c>
      <c r="B381" s="50">
        <v>45110</v>
      </c>
      <c r="C381" s="47">
        <f>13970*22%</f>
        <v>3073.4</v>
      </c>
      <c r="D381" s="47">
        <v>0</v>
      </c>
      <c r="E381" s="48">
        <v>0</v>
      </c>
      <c r="F381" s="48">
        <f t="shared" si="176"/>
        <v>3073.4</v>
      </c>
      <c r="G381" s="48">
        <f t="shared" si="177"/>
        <v>36.84411799612306</v>
      </c>
      <c r="H381" s="48">
        <f>83.4163</f>
        <v>83.416300000000007</v>
      </c>
      <c r="I381" s="56">
        <v>46.404400000000003</v>
      </c>
      <c r="J381" s="47">
        <f t="shared" si="178"/>
        <v>3870.8833517200005</v>
      </c>
      <c r="K381" s="49">
        <f>0</f>
        <v>0</v>
      </c>
      <c r="L381" s="48">
        <f t="shared" si="179"/>
        <v>797.48335172000043</v>
      </c>
      <c r="M381" s="46">
        <f t="shared" si="180"/>
        <v>0.25947919298496791</v>
      </c>
      <c r="N381" s="47">
        <f t="shared" ca="1" si="181"/>
        <v>36.666666666666664</v>
      </c>
      <c r="O381" s="46">
        <f t="shared" ca="1" si="182"/>
        <v>8.4920463158716777E-2</v>
      </c>
      <c r="P381" s="47">
        <f t="shared" si="169"/>
        <v>-3073.4</v>
      </c>
    </row>
    <row r="382" spans="1:16" ht="15.75" x14ac:dyDescent="0.3">
      <c r="A382" s="57" t="s">
        <v>42</v>
      </c>
      <c r="B382" s="50">
        <v>45110</v>
      </c>
      <c r="C382" s="47">
        <f>13970*44%</f>
        <v>6146.8</v>
      </c>
      <c r="D382" s="47">
        <v>0</v>
      </c>
      <c r="E382" s="48">
        <v>0</v>
      </c>
      <c r="F382" s="48">
        <f t="shared" si="176"/>
        <v>6146.8</v>
      </c>
      <c r="G382" s="48">
        <f t="shared" si="177"/>
        <v>31.661703750748813</v>
      </c>
      <c r="H382" s="48">
        <f>194.1399</f>
        <v>194.13990000000001</v>
      </c>
      <c r="I382" s="56">
        <v>38.984900000000003</v>
      </c>
      <c r="J382" s="47">
        <f t="shared" si="178"/>
        <v>7568.5245875100009</v>
      </c>
      <c r="K382" s="49">
        <f>0</f>
        <v>0</v>
      </c>
      <c r="L382" s="48">
        <f t="shared" si="179"/>
        <v>1421.7245875100007</v>
      </c>
      <c r="M382" s="46">
        <f t="shared" si="180"/>
        <v>0.23129507833506877</v>
      </c>
      <c r="N382" s="47">
        <f t="shared" ca="1" si="181"/>
        <v>36.666666666666664</v>
      </c>
      <c r="O382" s="46">
        <f t="shared" ca="1" si="182"/>
        <v>7.5696571091477052E-2</v>
      </c>
      <c r="P382" s="47">
        <f t="shared" si="169"/>
        <v>-6146.8</v>
      </c>
    </row>
    <row r="383" spans="1:16" ht="15.75" x14ac:dyDescent="0.3">
      <c r="A383" s="55" t="s">
        <v>44</v>
      </c>
      <c r="B383" s="50">
        <v>45121</v>
      </c>
      <c r="C383" s="47">
        <f>-10.23</f>
        <v>-10.23</v>
      </c>
      <c r="D383" s="47">
        <v>0</v>
      </c>
      <c r="E383" s="48">
        <v>0</v>
      </c>
      <c r="F383" s="48">
        <f t="shared" ref="F383:F385" si="183">SUM(C383:E383)</f>
        <v>-10.23</v>
      </c>
      <c r="G383" s="48">
        <f t="shared" ref="G383:G385" si="184">F383/H383</f>
        <v>52.140672782874617</v>
      </c>
      <c r="H383" s="48">
        <f>-0.1962</f>
        <v>-0.19620000000000001</v>
      </c>
      <c r="I383" s="56">
        <v>74.919499999999999</v>
      </c>
      <c r="J383" s="47">
        <f t="shared" si="178"/>
        <v>-14.699205900000001</v>
      </c>
      <c r="K383" s="49">
        <f>0</f>
        <v>0</v>
      </c>
      <c r="L383" s="48">
        <f t="shared" si="179"/>
        <v>-4.4692059000000004</v>
      </c>
      <c r="M383" s="46">
        <f t="shared" si="180"/>
        <v>0.4368725219941349</v>
      </c>
      <c r="N383" s="47">
        <f t="shared" ca="1" si="181"/>
        <v>36.299999999999997</v>
      </c>
      <c r="O383" s="46">
        <f t="shared" ca="1" si="182"/>
        <v>0.1444206684278132</v>
      </c>
      <c r="P383" s="47">
        <f t="shared" si="169"/>
        <v>10.23</v>
      </c>
    </row>
    <row r="384" spans="1:16" ht="15.75" x14ac:dyDescent="0.3">
      <c r="A384" s="57" t="s">
        <v>43</v>
      </c>
      <c r="B384" s="50">
        <v>45121</v>
      </c>
      <c r="C384" s="47">
        <f>-6.27</f>
        <v>-6.27</v>
      </c>
      <c r="D384" s="47">
        <v>0</v>
      </c>
      <c r="E384" s="48">
        <v>0</v>
      </c>
      <c r="F384" s="48">
        <f t="shared" si="183"/>
        <v>-6.27</v>
      </c>
      <c r="G384" s="48">
        <f t="shared" si="184"/>
        <v>36.839012925969449</v>
      </c>
      <c r="H384" s="48">
        <f>-0.1702</f>
        <v>-0.17019999999999999</v>
      </c>
      <c r="I384" s="56">
        <v>46.404400000000003</v>
      </c>
      <c r="J384" s="47">
        <f t="shared" si="178"/>
        <v>-7.89802888</v>
      </c>
      <c r="K384" s="49">
        <f>0</f>
        <v>0</v>
      </c>
      <c r="L384" s="48">
        <f t="shared" si="179"/>
        <v>-1.6280288800000005</v>
      </c>
      <c r="M384" s="46">
        <f t="shared" si="180"/>
        <v>0.25965372886762367</v>
      </c>
      <c r="N384" s="47">
        <f t="shared" ca="1" si="181"/>
        <v>36.299999999999997</v>
      </c>
      <c r="O384" s="46">
        <f t="shared" ca="1" si="182"/>
        <v>8.5835943427313613E-2</v>
      </c>
      <c r="P384" s="47">
        <f t="shared" si="169"/>
        <v>6.27</v>
      </c>
    </row>
    <row r="385" spans="1:16" ht="15.75" x14ac:dyDescent="0.3">
      <c r="A385" s="57" t="s">
        <v>42</v>
      </c>
      <c r="B385" s="50">
        <v>45121</v>
      </c>
      <c r="C385" s="47">
        <f>-12.7</f>
        <v>-12.7</v>
      </c>
      <c r="D385" s="47">
        <v>0</v>
      </c>
      <c r="E385" s="48">
        <v>0</v>
      </c>
      <c r="F385" s="48">
        <f t="shared" si="183"/>
        <v>-12.7</v>
      </c>
      <c r="G385" s="48">
        <f t="shared" si="184"/>
        <v>31.615633557381127</v>
      </c>
      <c r="H385" s="48">
        <f>-0.4017</f>
        <v>-0.4017</v>
      </c>
      <c r="I385" s="56">
        <v>38.984900000000003</v>
      </c>
      <c r="J385" s="47">
        <f t="shared" si="178"/>
        <v>-15.660234330000002</v>
      </c>
      <c r="K385" s="49">
        <f>0</f>
        <v>0</v>
      </c>
      <c r="L385" s="48">
        <f t="shared" si="179"/>
        <v>-2.9602343300000022</v>
      </c>
      <c r="M385" s="46">
        <f t="shared" si="180"/>
        <v>0.23308931732283483</v>
      </c>
      <c r="N385" s="47">
        <f t="shared" ca="1" si="181"/>
        <v>36.299999999999997</v>
      </c>
      <c r="O385" s="46">
        <f t="shared" ca="1" si="182"/>
        <v>7.7054319776143756E-2</v>
      </c>
      <c r="P385" s="47">
        <f t="shared" si="169"/>
        <v>12.7</v>
      </c>
    </row>
    <row r="386" spans="1:16" ht="15.75" x14ac:dyDescent="0.3">
      <c r="A386" s="55" t="s">
        <v>44</v>
      </c>
      <c r="B386" s="50">
        <v>45140</v>
      </c>
      <c r="C386" s="47">
        <f>14948*34%</f>
        <v>5082.3200000000006</v>
      </c>
      <c r="D386" s="47">
        <v>0</v>
      </c>
      <c r="E386" s="48">
        <v>0</v>
      </c>
      <c r="F386" s="48">
        <f t="shared" ref="F386:F448" si="185">SUM(C386:E386)</f>
        <v>5082.3200000000006</v>
      </c>
      <c r="G386" s="48">
        <f t="shared" ref="G386:G448" si="186">F386/H386</f>
        <v>52.932617749953401</v>
      </c>
      <c r="H386" s="48">
        <f>96.0149</f>
        <v>96.014899999999997</v>
      </c>
      <c r="I386" s="56">
        <v>74.919499999999999</v>
      </c>
      <c r="J386" s="47">
        <f t="shared" si="178"/>
        <v>7193.3883005500002</v>
      </c>
      <c r="K386" s="49">
        <f>0</f>
        <v>0</v>
      </c>
      <c r="L386" s="48">
        <f t="shared" si="179"/>
        <v>2111.0683005499995</v>
      </c>
      <c r="M386" s="46">
        <f t="shared" si="180"/>
        <v>0.41537492730682035</v>
      </c>
      <c r="N386" s="47">
        <f t="shared" ca="1" si="181"/>
        <v>35.700000000000003</v>
      </c>
      <c r="O386" s="46">
        <f t="shared" ca="1" si="182"/>
        <v>0.13962182430481354</v>
      </c>
      <c r="P386" s="47">
        <f t="shared" si="169"/>
        <v>-5082.3200000000006</v>
      </c>
    </row>
    <row r="387" spans="1:16" ht="15.75" x14ac:dyDescent="0.3">
      <c r="A387" s="57" t="s">
        <v>43</v>
      </c>
      <c r="B387" s="50">
        <v>45140</v>
      </c>
      <c r="C387" s="47">
        <f>14948*22%</f>
        <v>3288.56</v>
      </c>
      <c r="D387" s="47">
        <v>0</v>
      </c>
      <c r="E387" s="48">
        <v>0</v>
      </c>
      <c r="F387" s="48">
        <f t="shared" si="185"/>
        <v>3288.56</v>
      </c>
      <c r="G387" s="48">
        <f t="shared" si="186"/>
        <v>37.055909061714395</v>
      </c>
      <c r="H387" s="48">
        <f>88.7459</f>
        <v>88.745900000000006</v>
      </c>
      <c r="I387" s="56">
        <v>46.404400000000003</v>
      </c>
      <c r="J387" s="47">
        <f t="shared" si="178"/>
        <v>4118.2002419600003</v>
      </c>
      <c r="K387" s="49">
        <f>0</f>
        <v>0</v>
      </c>
      <c r="L387" s="48">
        <f t="shared" si="179"/>
        <v>829.64024196000037</v>
      </c>
      <c r="M387" s="46">
        <f t="shared" si="180"/>
        <v>0.25228070704502892</v>
      </c>
      <c r="N387" s="47">
        <f t="shared" ca="1" si="181"/>
        <v>35.700000000000003</v>
      </c>
      <c r="O387" s="46">
        <f t="shared" ca="1" si="182"/>
        <v>8.4800237662194591E-2</v>
      </c>
      <c r="P387" s="47">
        <f t="shared" si="169"/>
        <v>-3288.56</v>
      </c>
    </row>
    <row r="388" spans="1:16" ht="15.75" x14ac:dyDescent="0.3">
      <c r="A388" s="57" t="s">
        <v>42</v>
      </c>
      <c r="B388" s="50">
        <v>45140</v>
      </c>
      <c r="C388" s="47">
        <f>14948*44%</f>
        <v>6577.12</v>
      </c>
      <c r="D388" s="47">
        <v>0</v>
      </c>
      <c r="E388" s="48">
        <v>0</v>
      </c>
      <c r="F388" s="48">
        <f t="shared" si="185"/>
        <v>6577.12</v>
      </c>
      <c r="G388" s="48">
        <f t="shared" si="186"/>
        <v>31.785411550019187</v>
      </c>
      <c r="H388" s="48">
        <f>206.9226</f>
        <v>206.92259999999999</v>
      </c>
      <c r="I388" s="56">
        <v>38.984900000000003</v>
      </c>
      <c r="J388" s="47">
        <f t="shared" si="178"/>
        <v>8066.8568687400002</v>
      </c>
      <c r="K388" s="49">
        <f>0</f>
        <v>0</v>
      </c>
      <c r="L388" s="48">
        <f t="shared" si="179"/>
        <v>1489.7368687400003</v>
      </c>
      <c r="M388" s="46">
        <f t="shared" si="180"/>
        <v>0.22650291749884452</v>
      </c>
      <c r="N388" s="47">
        <f t="shared" ca="1" si="181"/>
        <v>35.700000000000003</v>
      </c>
      <c r="O388" s="46">
        <f t="shared" ca="1" si="182"/>
        <v>7.6135434453393103E-2</v>
      </c>
      <c r="P388" s="47">
        <f t="shared" si="169"/>
        <v>-6577.12</v>
      </c>
    </row>
    <row r="389" spans="1:16" ht="15.75" x14ac:dyDescent="0.3">
      <c r="A389" s="55" t="s">
        <v>44</v>
      </c>
      <c r="B389" s="50">
        <v>45173</v>
      </c>
      <c r="C389" s="47">
        <f>14948*34%</f>
        <v>5082.3200000000006</v>
      </c>
      <c r="D389" s="47">
        <v>0</v>
      </c>
      <c r="E389" s="48">
        <v>0</v>
      </c>
      <c r="F389" s="48">
        <f t="shared" si="185"/>
        <v>5082.3200000000006</v>
      </c>
      <c r="G389" s="48">
        <f t="shared" si="186"/>
        <v>53.654154134604127</v>
      </c>
      <c r="H389" s="48">
        <f>94.7237</f>
        <v>94.723699999999994</v>
      </c>
      <c r="I389" s="56">
        <v>74.919499999999999</v>
      </c>
      <c r="J389" s="47">
        <f t="shared" si="178"/>
        <v>7096.6522421499994</v>
      </c>
      <c r="K389" s="49">
        <f>0</f>
        <v>0</v>
      </c>
      <c r="L389" s="48">
        <f t="shared" si="179"/>
        <v>2014.3322421499988</v>
      </c>
      <c r="M389" s="46">
        <f t="shared" si="180"/>
        <v>0.39634108874490365</v>
      </c>
      <c r="N389" s="47">
        <f t="shared" ca="1" si="181"/>
        <v>34.633333333333333</v>
      </c>
      <c r="O389" s="46">
        <f t="shared" ca="1" si="182"/>
        <v>0.13732703748620337</v>
      </c>
      <c r="P389" s="47">
        <f t="shared" si="169"/>
        <v>-5082.3200000000006</v>
      </c>
    </row>
    <row r="390" spans="1:16" ht="15.75" x14ac:dyDescent="0.3">
      <c r="A390" s="57" t="s">
        <v>43</v>
      </c>
      <c r="B390" s="50">
        <v>45173</v>
      </c>
      <c r="C390" s="47">
        <f>14948*22%</f>
        <v>3288.56</v>
      </c>
      <c r="D390" s="47">
        <v>0</v>
      </c>
      <c r="E390" s="48">
        <v>0</v>
      </c>
      <c r="F390" s="48">
        <f t="shared" si="185"/>
        <v>3288.56</v>
      </c>
      <c r="G390" s="48">
        <f t="shared" si="186"/>
        <v>37.26552947588975</v>
      </c>
      <c r="H390" s="48">
        <f>88.2467</f>
        <v>88.246700000000004</v>
      </c>
      <c r="I390" s="56">
        <v>46.404400000000003</v>
      </c>
      <c r="J390" s="47">
        <f t="shared" si="178"/>
        <v>4095.0351654800006</v>
      </c>
      <c r="K390" s="49">
        <f>0</f>
        <v>0</v>
      </c>
      <c r="L390" s="48">
        <f t="shared" si="179"/>
        <v>806.47516548000067</v>
      </c>
      <c r="M390" s="46">
        <f t="shared" si="180"/>
        <v>0.24523656721482981</v>
      </c>
      <c r="N390" s="47">
        <f t="shared" ca="1" si="181"/>
        <v>34.633333333333333</v>
      </c>
      <c r="O390" s="46">
        <f t="shared" ca="1" si="182"/>
        <v>8.497128411678416E-2</v>
      </c>
      <c r="P390" s="47">
        <f t="shared" si="169"/>
        <v>-3288.56</v>
      </c>
    </row>
    <row r="391" spans="1:16" ht="15.75" x14ac:dyDescent="0.3">
      <c r="A391" s="57" t="s">
        <v>42</v>
      </c>
      <c r="B391" s="50">
        <v>45173</v>
      </c>
      <c r="C391" s="47">
        <f>14948*44%</f>
        <v>6577.12</v>
      </c>
      <c r="D391" s="47">
        <v>0</v>
      </c>
      <c r="E391" s="48">
        <v>0</v>
      </c>
      <c r="F391" s="48">
        <f t="shared" si="185"/>
        <v>6577.12</v>
      </c>
      <c r="G391" s="48">
        <f t="shared" si="186"/>
        <v>31.975015508353117</v>
      </c>
      <c r="H391" s="48">
        <f>205.6956</f>
        <v>205.69560000000001</v>
      </c>
      <c r="I391" s="56">
        <v>38.984900000000003</v>
      </c>
      <c r="J391" s="47">
        <f t="shared" si="178"/>
        <v>8019.0223964400011</v>
      </c>
      <c r="K391" s="49">
        <f>0</f>
        <v>0</v>
      </c>
      <c r="L391" s="48">
        <f t="shared" si="179"/>
        <v>1441.9023964400012</v>
      </c>
      <c r="M391" s="46">
        <f t="shared" si="180"/>
        <v>0.21923005759967906</v>
      </c>
      <c r="N391" s="47">
        <f t="shared" ca="1" si="181"/>
        <v>34.633333333333333</v>
      </c>
      <c r="O391" s="46">
        <f t="shared" ca="1" si="182"/>
        <v>7.5960366444547123E-2</v>
      </c>
      <c r="P391" s="47">
        <f t="shared" si="169"/>
        <v>-6577.12</v>
      </c>
    </row>
    <row r="392" spans="1:16" ht="15.75" x14ac:dyDescent="0.3">
      <c r="A392" s="55" t="s">
        <v>44</v>
      </c>
      <c r="B392" s="50">
        <v>45203</v>
      </c>
      <c r="C392" s="47">
        <f>14948*34%</f>
        <v>5082.3200000000006</v>
      </c>
      <c r="D392" s="47">
        <v>0</v>
      </c>
      <c r="E392" s="48">
        <v>0</v>
      </c>
      <c r="F392" s="48">
        <f t="shared" si="185"/>
        <v>5082.3200000000006</v>
      </c>
      <c r="G392" s="48">
        <f t="shared" si="186"/>
        <v>53.499344195339269</v>
      </c>
      <c r="H392" s="48">
        <f>94.9978</f>
        <v>94.997799999999998</v>
      </c>
      <c r="I392" s="56">
        <v>74.919499999999999</v>
      </c>
      <c r="J392" s="47">
        <f t="shared" si="178"/>
        <v>7117.1876770999997</v>
      </c>
      <c r="K392" s="49">
        <f>0</f>
        <v>0</v>
      </c>
      <c r="L392" s="48">
        <f t="shared" si="179"/>
        <v>2034.8676770999991</v>
      </c>
      <c r="M392" s="46">
        <f t="shared" si="180"/>
        <v>0.40038165190306768</v>
      </c>
      <c r="N392" s="47">
        <f t="shared" ca="1" si="181"/>
        <v>33.633333333333333</v>
      </c>
      <c r="O392" s="46">
        <f t="shared" ca="1" si="182"/>
        <v>0.1428517291229974</v>
      </c>
      <c r="P392" s="47">
        <f t="shared" si="169"/>
        <v>-5082.3200000000006</v>
      </c>
    </row>
    <row r="393" spans="1:16" ht="15.75" x14ac:dyDescent="0.3">
      <c r="A393" s="57" t="s">
        <v>43</v>
      </c>
      <c r="B393" s="50">
        <v>45203</v>
      </c>
      <c r="C393" s="47">
        <f>14948*22%</f>
        <v>3288.56</v>
      </c>
      <c r="D393" s="47">
        <v>0</v>
      </c>
      <c r="E393" s="48">
        <v>0</v>
      </c>
      <c r="F393" s="48">
        <f t="shared" si="185"/>
        <v>3288.56</v>
      </c>
      <c r="G393" s="48">
        <f t="shared" si="186"/>
        <v>37.44463396360473</v>
      </c>
      <c r="H393" s="48">
        <f>87.8246</f>
        <v>87.824600000000004</v>
      </c>
      <c r="I393" s="56">
        <v>46.404400000000003</v>
      </c>
      <c r="J393" s="47">
        <f t="shared" si="178"/>
        <v>4075.4478682400004</v>
      </c>
      <c r="K393" s="49">
        <f>0</f>
        <v>0</v>
      </c>
      <c r="L393" s="48">
        <f t="shared" si="179"/>
        <v>786.88786824000044</v>
      </c>
      <c r="M393" s="46">
        <f t="shared" si="180"/>
        <v>0.23928037446177064</v>
      </c>
      <c r="N393" s="47">
        <f t="shared" ca="1" si="181"/>
        <v>33.633333333333333</v>
      </c>
      <c r="O393" s="46">
        <f t="shared" ca="1" si="182"/>
        <v>8.5372581572088629E-2</v>
      </c>
      <c r="P393" s="47">
        <f t="shared" si="169"/>
        <v>-3288.56</v>
      </c>
    </row>
    <row r="394" spans="1:16" ht="15.75" x14ac:dyDescent="0.3">
      <c r="A394" s="57" t="s">
        <v>42</v>
      </c>
      <c r="B394" s="50">
        <v>45203</v>
      </c>
      <c r="C394" s="47">
        <f>14948*44%</f>
        <v>6577.12</v>
      </c>
      <c r="D394" s="47">
        <v>0</v>
      </c>
      <c r="E394" s="48">
        <v>0</v>
      </c>
      <c r="F394" s="48">
        <f t="shared" si="185"/>
        <v>6577.12</v>
      </c>
      <c r="G394" s="48">
        <f t="shared" si="186"/>
        <v>31.965800085441465</v>
      </c>
      <c r="H394" s="48">
        <f>205.7549</f>
        <v>205.75489999999999</v>
      </c>
      <c r="I394" s="56">
        <v>38.984900000000003</v>
      </c>
      <c r="J394" s="47">
        <f t="shared" si="178"/>
        <v>8021.3342010100005</v>
      </c>
      <c r="K394" s="49">
        <f>0</f>
        <v>0</v>
      </c>
      <c r="L394" s="48">
        <f t="shared" si="179"/>
        <v>1444.2142010100006</v>
      </c>
      <c r="M394" s="46">
        <f t="shared" si="180"/>
        <v>0.21958154952471606</v>
      </c>
      <c r="N394" s="47">
        <f t="shared" ca="1" si="181"/>
        <v>33.633333333333333</v>
      </c>
      <c r="O394" s="46">
        <f t="shared" ca="1" si="182"/>
        <v>7.8344259493456664E-2</v>
      </c>
      <c r="P394" s="47">
        <f t="shared" si="169"/>
        <v>-6577.12</v>
      </c>
    </row>
    <row r="395" spans="1:16" ht="15.75" x14ac:dyDescent="0.3">
      <c r="A395" s="55" t="s">
        <v>44</v>
      </c>
      <c r="B395" s="50">
        <v>45206</v>
      </c>
      <c r="C395" s="47">
        <f>-11.98</f>
        <v>-11.98</v>
      </c>
      <c r="D395" s="47">
        <v>0</v>
      </c>
      <c r="E395" s="48">
        <v>0</v>
      </c>
      <c r="F395" s="48">
        <f t="shared" si="185"/>
        <v>-11.98</v>
      </c>
      <c r="G395" s="48">
        <f t="shared" si="186"/>
        <v>54.036986919260265</v>
      </c>
      <c r="H395" s="48">
        <f>-0.2217</f>
        <v>-0.22170000000000001</v>
      </c>
      <c r="I395" s="56">
        <v>74.919499999999999</v>
      </c>
      <c r="J395" s="47">
        <f t="shared" si="178"/>
        <v>-16.60965315</v>
      </c>
      <c r="K395" s="49">
        <f>0</f>
        <v>0</v>
      </c>
      <c r="L395" s="48">
        <f t="shared" si="179"/>
        <v>-4.6296531499999993</v>
      </c>
      <c r="M395" s="46">
        <f t="shared" si="180"/>
        <v>0.38644851001669445</v>
      </c>
      <c r="N395" s="47">
        <f t="shared" ca="1" si="181"/>
        <v>33.533333333333331</v>
      </c>
      <c r="O395" s="46">
        <f t="shared" ca="1" si="182"/>
        <v>0.13829171332605369</v>
      </c>
      <c r="P395" s="47">
        <f t="shared" si="169"/>
        <v>11.98</v>
      </c>
    </row>
    <row r="396" spans="1:16" ht="15.75" x14ac:dyDescent="0.3">
      <c r="A396" s="57" t="s">
        <v>43</v>
      </c>
      <c r="B396" s="50">
        <v>45206</v>
      </c>
      <c r="C396" s="47">
        <f>-7.2</f>
        <v>-7.2</v>
      </c>
      <c r="D396" s="47">
        <v>0</v>
      </c>
      <c r="E396" s="48">
        <v>0</v>
      </c>
      <c r="F396" s="48">
        <f t="shared" si="185"/>
        <v>-7.2</v>
      </c>
      <c r="G396" s="48">
        <f t="shared" si="186"/>
        <v>37.344398340248965</v>
      </c>
      <c r="H396" s="48">
        <f>-0.1928</f>
        <v>-0.1928</v>
      </c>
      <c r="I396" s="56">
        <v>46.404400000000003</v>
      </c>
      <c r="J396" s="47">
        <f t="shared" si="178"/>
        <v>-8.9467683200000003</v>
      </c>
      <c r="K396" s="49">
        <f>0</f>
        <v>0</v>
      </c>
      <c r="L396" s="48">
        <f t="shared" si="179"/>
        <v>-1.7467683200000002</v>
      </c>
      <c r="M396" s="46">
        <f t="shared" si="180"/>
        <v>0.24260671111111112</v>
      </c>
      <c r="N396" s="47">
        <f t="shared" ca="1" si="181"/>
        <v>33.533333333333331</v>
      </c>
      <c r="O396" s="46">
        <f t="shared" ca="1" si="182"/>
        <v>8.6817510934393646E-2</v>
      </c>
      <c r="P396" s="47">
        <f t="shared" si="169"/>
        <v>7.2</v>
      </c>
    </row>
    <row r="397" spans="1:16" ht="15.75" x14ac:dyDescent="0.3">
      <c r="A397" s="57" t="s">
        <v>42</v>
      </c>
      <c r="B397" s="50">
        <v>45206</v>
      </c>
      <c r="C397" s="47">
        <f>-14.45</f>
        <v>-14.45</v>
      </c>
      <c r="D397" s="47">
        <v>0</v>
      </c>
      <c r="E397" s="48">
        <v>0</v>
      </c>
      <c r="F397" s="48">
        <f t="shared" si="185"/>
        <v>-14.45</v>
      </c>
      <c r="G397" s="48">
        <f t="shared" si="186"/>
        <v>31.77220756376429</v>
      </c>
      <c r="H397" s="48">
        <f>-0.4548</f>
        <v>-0.45479999999999998</v>
      </c>
      <c r="I397" s="56">
        <v>38.984900000000003</v>
      </c>
      <c r="J397" s="47">
        <f t="shared" si="178"/>
        <v>-17.730332520000001</v>
      </c>
      <c r="K397" s="49">
        <f>0</f>
        <v>0</v>
      </c>
      <c r="L397" s="48">
        <f t="shared" si="179"/>
        <v>-3.2803325200000018</v>
      </c>
      <c r="M397" s="46">
        <f t="shared" si="180"/>
        <v>0.22701263114186865</v>
      </c>
      <c r="N397" s="47">
        <f t="shared" ca="1" si="181"/>
        <v>33.533333333333331</v>
      </c>
      <c r="O397" s="46">
        <f t="shared" ca="1" si="182"/>
        <v>8.1237124464286992E-2</v>
      </c>
      <c r="P397" s="47">
        <f t="shared" si="169"/>
        <v>14.45</v>
      </c>
    </row>
    <row r="398" spans="1:16" ht="15.75" x14ac:dyDescent="0.3">
      <c r="A398" s="55" t="s">
        <v>44</v>
      </c>
      <c r="B398" s="50">
        <v>45224</v>
      </c>
      <c r="C398" s="47">
        <f>-64817.88</f>
        <v>-64817.88</v>
      </c>
      <c r="D398" s="47">
        <v>0</v>
      </c>
      <c r="E398" s="48">
        <v>0</v>
      </c>
      <c r="F398" s="48">
        <f t="shared" si="185"/>
        <v>-64817.88</v>
      </c>
      <c r="G398" s="48">
        <f t="shared" si="186"/>
        <v>52.563499140564353</v>
      </c>
      <c r="H398" s="48">
        <f>-1233.1348</f>
        <v>-1233.1348</v>
      </c>
      <c r="I398" s="56">
        <v>74.919499999999999</v>
      </c>
      <c r="J398" s="47">
        <f t="shared" si="178"/>
        <v>-92385.842648599995</v>
      </c>
      <c r="K398" s="49">
        <f>0</f>
        <v>0</v>
      </c>
      <c r="L398" s="48">
        <f t="shared" si="179"/>
        <v>-27567.962648599998</v>
      </c>
      <c r="M398" s="46">
        <f t="shared" si="180"/>
        <v>0.42531416714955811</v>
      </c>
      <c r="N398" s="47">
        <f t="shared" ca="1" si="181"/>
        <v>32.93333333333333</v>
      </c>
      <c r="O398" s="46">
        <f t="shared" ca="1" si="182"/>
        <v>0.15497277345530458</v>
      </c>
      <c r="P398" s="47">
        <f t="shared" si="169"/>
        <v>64817.88</v>
      </c>
    </row>
    <row r="399" spans="1:16" ht="15.75" x14ac:dyDescent="0.3">
      <c r="A399" s="57" t="s">
        <v>43</v>
      </c>
      <c r="B399" s="50">
        <v>45224</v>
      </c>
      <c r="C399" s="47">
        <f>-12274.22</f>
        <v>-12274.22</v>
      </c>
      <c r="D399" s="47">
        <v>0</v>
      </c>
      <c r="E399" s="48">
        <v>0</v>
      </c>
      <c r="F399" s="48">
        <f t="shared" si="185"/>
        <v>-12274.22</v>
      </c>
      <c r="G399" s="48">
        <f t="shared" si="186"/>
        <v>37.415573366466376</v>
      </c>
      <c r="H399" s="48">
        <f>-328.0511</f>
        <v>-328.05110000000002</v>
      </c>
      <c r="I399" s="56">
        <v>46.404400000000003</v>
      </c>
      <c r="J399" s="47">
        <f t="shared" si="178"/>
        <v>-15223.014464840002</v>
      </c>
      <c r="K399" s="49">
        <f>0</f>
        <v>0</v>
      </c>
      <c r="L399" s="48">
        <f t="shared" si="179"/>
        <v>-2948.7944648400025</v>
      </c>
      <c r="M399" s="46">
        <f t="shared" si="180"/>
        <v>0.2402429209220629</v>
      </c>
      <c r="N399" s="47">
        <f t="shared" ca="1" si="181"/>
        <v>32.93333333333333</v>
      </c>
      <c r="O399" s="46">
        <f t="shared" ca="1" si="182"/>
        <v>8.7537906408848842E-2</v>
      </c>
      <c r="P399" s="47">
        <f t="shared" si="169"/>
        <v>12274.22</v>
      </c>
    </row>
    <row r="400" spans="1:16" ht="15.75" x14ac:dyDescent="0.3">
      <c r="A400" s="57" t="s">
        <v>42</v>
      </c>
      <c r="B400" s="50">
        <v>45224</v>
      </c>
      <c r="C400" s="47">
        <f>77092.1</f>
        <v>77092.100000000006</v>
      </c>
      <c r="D400" s="47">
        <v>0</v>
      </c>
      <c r="E400" s="48">
        <v>0</v>
      </c>
      <c r="F400" s="48">
        <f t="shared" si="185"/>
        <v>77092.100000000006</v>
      </c>
      <c r="G400" s="48">
        <f t="shared" si="186"/>
        <v>31.871001737953751</v>
      </c>
      <c r="H400" s="48">
        <f>2418.8791</f>
        <v>2418.8791000000001</v>
      </c>
      <c r="I400" s="56">
        <v>38.984900000000003</v>
      </c>
      <c r="J400" s="47">
        <f t="shared" si="178"/>
        <v>94299.759825590008</v>
      </c>
      <c r="K400" s="49">
        <f>0</f>
        <v>0</v>
      </c>
      <c r="L400" s="48">
        <f t="shared" si="179"/>
        <v>17207.659825590003</v>
      </c>
      <c r="M400" s="46">
        <f t="shared" si="180"/>
        <v>0.22320912033256327</v>
      </c>
      <c r="N400" s="47">
        <f t="shared" ca="1" si="181"/>
        <v>32.93333333333333</v>
      </c>
      <c r="O400" s="46">
        <f t="shared" ca="1" si="182"/>
        <v>8.1331258420772046E-2</v>
      </c>
      <c r="P400" s="47">
        <f t="shared" si="169"/>
        <v>-77092.100000000006</v>
      </c>
    </row>
    <row r="401" spans="1:16" ht="15.75" x14ac:dyDescent="0.3">
      <c r="A401" s="55" t="s">
        <v>44</v>
      </c>
      <c r="B401" s="50">
        <v>45233</v>
      </c>
      <c r="C401" s="47">
        <f>14948*32%</f>
        <v>4783.3599999999997</v>
      </c>
      <c r="D401" s="47">
        <v>0</v>
      </c>
      <c r="E401" s="48">
        <v>0</v>
      </c>
      <c r="F401" s="48">
        <f t="shared" si="185"/>
        <v>4783.3599999999997</v>
      </c>
      <c r="G401" s="48">
        <f t="shared" si="186"/>
        <v>53.269128614717118</v>
      </c>
      <c r="H401" s="48">
        <f>89.7961</f>
        <v>89.796099999999996</v>
      </c>
      <c r="I401" s="56">
        <v>74.919499999999999</v>
      </c>
      <c r="J401" s="47">
        <f t="shared" si="178"/>
        <v>6727.4789139499999</v>
      </c>
      <c r="K401" s="49">
        <f>0</f>
        <v>0</v>
      </c>
      <c r="L401" s="48">
        <f t="shared" si="179"/>
        <v>1944.1189139500002</v>
      </c>
      <c r="M401" s="46">
        <f t="shared" si="180"/>
        <v>0.40643374405229804</v>
      </c>
      <c r="N401" s="47">
        <f t="shared" ca="1" si="181"/>
        <v>32.666666666666664</v>
      </c>
      <c r="O401" s="46">
        <f t="shared" ca="1" si="182"/>
        <v>0.14930219169268091</v>
      </c>
      <c r="P401" s="47">
        <f t="shared" si="169"/>
        <v>-4783.3599999999997</v>
      </c>
    </row>
    <row r="402" spans="1:16" ht="15.75" x14ac:dyDescent="0.3">
      <c r="A402" s="57" t="s">
        <v>43</v>
      </c>
      <c r="B402" s="50">
        <v>45233</v>
      </c>
      <c r="C402" s="47">
        <f>14948*21%</f>
        <v>3139.08</v>
      </c>
      <c r="D402" s="47">
        <v>0</v>
      </c>
      <c r="E402" s="48">
        <v>0</v>
      </c>
      <c r="F402" s="48">
        <f t="shared" si="185"/>
        <v>3139.08</v>
      </c>
      <c r="G402" s="48">
        <f t="shared" si="186"/>
        <v>37.526718725343457</v>
      </c>
      <c r="H402" s="48">
        <f>83.6492</f>
        <v>83.649199999999993</v>
      </c>
      <c r="I402" s="56">
        <v>46.404400000000003</v>
      </c>
      <c r="J402" s="47">
        <f t="shared" si="178"/>
        <v>3881.6909364799999</v>
      </c>
      <c r="K402" s="49">
        <f>0</f>
        <v>0</v>
      </c>
      <c r="L402" s="48">
        <f t="shared" si="179"/>
        <v>742.61093647999996</v>
      </c>
      <c r="M402" s="46">
        <f t="shared" si="180"/>
        <v>0.23656961163143342</v>
      </c>
      <c r="N402" s="47">
        <f t="shared" ca="1" si="181"/>
        <v>32.666666666666664</v>
      </c>
      <c r="O402" s="46">
        <f t="shared" ca="1" si="182"/>
        <v>8.6903122640118402E-2</v>
      </c>
      <c r="P402" s="47">
        <f t="shared" si="169"/>
        <v>-3139.08</v>
      </c>
    </row>
    <row r="403" spans="1:16" ht="15.75" x14ac:dyDescent="0.3">
      <c r="A403" s="57" t="s">
        <v>42</v>
      </c>
      <c r="B403" s="50">
        <v>45233</v>
      </c>
      <c r="C403" s="47">
        <f>14948*47%</f>
        <v>7025.5599999999995</v>
      </c>
      <c r="D403" s="47">
        <v>0</v>
      </c>
      <c r="E403" s="48">
        <v>0</v>
      </c>
      <c r="F403" s="48">
        <f t="shared" si="185"/>
        <v>7025.5599999999995</v>
      </c>
      <c r="G403" s="48">
        <f t="shared" si="186"/>
        <v>31.985511376828946</v>
      </c>
      <c r="H403" s="48">
        <f>219.6482</f>
        <v>219.6482</v>
      </c>
      <c r="I403" s="56">
        <v>38.984900000000003</v>
      </c>
      <c r="J403" s="47">
        <f t="shared" si="178"/>
        <v>8562.9631121800012</v>
      </c>
      <c r="K403" s="49">
        <f>0</f>
        <v>0</v>
      </c>
      <c r="L403" s="48">
        <f t="shared" si="179"/>
        <v>1537.4031121800017</v>
      </c>
      <c r="M403" s="46">
        <f t="shared" si="180"/>
        <v>0.21882997400634283</v>
      </c>
      <c r="N403" s="47">
        <f t="shared" ca="1" si="181"/>
        <v>32.666666666666664</v>
      </c>
      <c r="O403" s="46">
        <f t="shared" ca="1" si="182"/>
        <v>8.0386521063554511E-2</v>
      </c>
      <c r="P403" s="47">
        <f t="shared" si="169"/>
        <v>-7025.5599999999995</v>
      </c>
    </row>
    <row r="404" spans="1:16" ht="15.75" x14ac:dyDescent="0.3">
      <c r="A404" s="55" t="s">
        <v>44</v>
      </c>
      <c r="B404" s="50">
        <v>45264</v>
      </c>
      <c r="C404" s="47">
        <f>14948*32%</f>
        <v>4783.3599999999997</v>
      </c>
      <c r="D404" s="47">
        <v>0</v>
      </c>
      <c r="E404" s="48">
        <v>0</v>
      </c>
      <c r="F404" s="48">
        <f t="shared" si="185"/>
        <v>4783.3599999999997</v>
      </c>
      <c r="G404" s="48">
        <f t="shared" si="186"/>
        <v>57.453913010055778</v>
      </c>
      <c r="H404" s="48">
        <f>83.2556</f>
        <v>83.255600000000001</v>
      </c>
      <c r="I404" s="56">
        <v>74.919499999999999</v>
      </c>
      <c r="J404" s="47">
        <f t="shared" si="178"/>
        <v>6237.4679242000002</v>
      </c>
      <c r="K404" s="49">
        <f>0</f>
        <v>0</v>
      </c>
      <c r="L404" s="48">
        <f t="shared" si="179"/>
        <v>1454.1079242000005</v>
      </c>
      <c r="M404" s="46">
        <f t="shared" si="180"/>
        <v>0.30399299325160567</v>
      </c>
      <c r="N404" s="47">
        <f t="shared" ca="1" si="181"/>
        <v>31.633333333333333</v>
      </c>
      <c r="O404" s="46">
        <f t="shared" ca="1" si="182"/>
        <v>0.11531873295108329</v>
      </c>
      <c r="P404" s="47">
        <f t="shared" si="169"/>
        <v>-4783.3599999999997</v>
      </c>
    </row>
    <row r="405" spans="1:16" ht="15.75" x14ac:dyDescent="0.3">
      <c r="A405" s="57" t="s">
        <v>43</v>
      </c>
      <c r="B405" s="50">
        <v>45264</v>
      </c>
      <c r="C405" s="47">
        <f>14948*21%</f>
        <v>3139.08</v>
      </c>
      <c r="D405" s="47">
        <v>0</v>
      </c>
      <c r="E405" s="48">
        <v>0</v>
      </c>
      <c r="F405" s="48">
        <f t="shared" si="185"/>
        <v>3139.08</v>
      </c>
      <c r="G405" s="48">
        <f t="shared" si="186"/>
        <v>37.715636872193024</v>
      </c>
      <c r="H405" s="48">
        <f>83.2302</f>
        <v>83.230199999999996</v>
      </c>
      <c r="I405" s="56">
        <v>46.404400000000003</v>
      </c>
      <c r="J405" s="47">
        <f t="shared" si="178"/>
        <v>3862.2474928800002</v>
      </c>
      <c r="K405" s="49">
        <f>0</f>
        <v>0</v>
      </c>
      <c r="L405" s="48">
        <f t="shared" si="179"/>
        <v>723.16749288000028</v>
      </c>
      <c r="M405" s="46">
        <f t="shared" si="180"/>
        <v>0.2303756173401125</v>
      </c>
      <c r="N405" s="47">
        <f t="shared" ca="1" si="181"/>
        <v>31.633333333333333</v>
      </c>
      <c r="O405" s="46">
        <f t="shared" ca="1" si="182"/>
        <v>8.7392225755996311E-2</v>
      </c>
      <c r="P405" s="47">
        <f t="shared" si="169"/>
        <v>-3139.08</v>
      </c>
    </row>
    <row r="406" spans="1:16" ht="15.75" x14ac:dyDescent="0.3">
      <c r="A406" s="57" t="s">
        <v>42</v>
      </c>
      <c r="B406" s="50">
        <v>45264</v>
      </c>
      <c r="C406" s="47">
        <f>14948*47%</f>
        <v>7025.5599999999995</v>
      </c>
      <c r="D406" s="47">
        <v>0</v>
      </c>
      <c r="E406" s="48">
        <v>0</v>
      </c>
      <c r="F406" s="48">
        <f t="shared" si="185"/>
        <v>7025.5599999999995</v>
      </c>
      <c r="G406" s="48">
        <f t="shared" si="186"/>
        <v>32.191013810104188</v>
      </c>
      <c r="H406" s="48">
        <f>218.246</f>
        <v>218.24600000000001</v>
      </c>
      <c r="I406" s="56">
        <v>38.984900000000003</v>
      </c>
      <c r="J406" s="47">
        <f t="shared" si="178"/>
        <v>8508.2984854000006</v>
      </c>
      <c r="K406" s="49">
        <f>0</f>
        <v>0</v>
      </c>
      <c r="L406" s="48">
        <f t="shared" si="179"/>
        <v>1482.7384854000011</v>
      </c>
      <c r="M406" s="46">
        <f t="shared" si="180"/>
        <v>0.21104915272234542</v>
      </c>
      <c r="N406" s="47">
        <f t="shared" ca="1" si="181"/>
        <v>31.633333333333333</v>
      </c>
      <c r="O406" s="46">
        <f t="shared" ca="1" si="182"/>
        <v>8.0060795553260636E-2</v>
      </c>
      <c r="P406" s="47">
        <f t="shared" si="169"/>
        <v>-7025.5599999999995</v>
      </c>
    </row>
    <row r="407" spans="1:16" ht="15.75" x14ac:dyDescent="0.3">
      <c r="A407" s="55" t="s">
        <v>44</v>
      </c>
      <c r="B407" s="50">
        <v>45276</v>
      </c>
      <c r="C407" s="47">
        <f>50000*32%</f>
        <v>16000</v>
      </c>
      <c r="D407" s="47">
        <v>0</v>
      </c>
      <c r="E407" s="48">
        <v>0</v>
      </c>
      <c r="F407" s="48">
        <f t="shared" si="185"/>
        <v>16000</v>
      </c>
      <c r="G407" s="48">
        <f t="shared" si="186"/>
        <v>59.501009657757628</v>
      </c>
      <c r="H407" s="48">
        <f>268.903</f>
        <v>268.90300000000002</v>
      </c>
      <c r="I407" s="56">
        <v>74.919499999999999</v>
      </c>
      <c r="J407" s="47">
        <f t="shared" si="178"/>
        <v>20146.0783085</v>
      </c>
      <c r="K407" s="49">
        <f>0</f>
        <v>0</v>
      </c>
      <c r="L407" s="48">
        <f t="shared" si="179"/>
        <v>4146.0783085000003</v>
      </c>
      <c r="M407" s="46">
        <f t="shared" si="180"/>
        <v>0.25912989428125</v>
      </c>
      <c r="N407" s="47">
        <f t="shared" ca="1" si="181"/>
        <v>31.233333333333334</v>
      </c>
      <c r="O407" s="46">
        <f t="shared" ca="1" si="182"/>
        <v>9.9558977525346842E-2</v>
      </c>
      <c r="P407" s="47">
        <f t="shared" si="169"/>
        <v>-16000</v>
      </c>
    </row>
    <row r="408" spans="1:16" ht="15.75" x14ac:dyDescent="0.3">
      <c r="A408" s="57" t="s">
        <v>43</v>
      </c>
      <c r="B408" s="50">
        <v>45276</v>
      </c>
      <c r="C408" s="47">
        <f>50000*21%</f>
        <v>10500</v>
      </c>
      <c r="D408" s="47">
        <v>0</v>
      </c>
      <c r="E408" s="48">
        <v>0</v>
      </c>
      <c r="F408" s="48">
        <f t="shared" si="185"/>
        <v>10500</v>
      </c>
      <c r="G408" s="48">
        <f t="shared" si="186"/>
        <v>37.904604579165031</v>
      </c>
      <c r="H408" s="48">
        <f>277.0112</f>
        <v>277.01119999999997</v>
      </c>
      <c r="I408" s="56">
        <v>46.404400000000003</v>
      </c>
      <c r="J408" s="47">
        <f t="shared" si="178"/>
        <v>12854.53852928</v>
      </c>
      <c r="K408" s="49">
        <f>0</f>
        <v>0</v>
      </c>
      <c r="L408" s="48">
        <f t="shared" si="179"/>
        <v>2354.5385292800001</v>
      </c>
      <c r="M408" s="46">
        <f t="shared" si="180"/>
        <v>0.22424176469333335</v>
      </c>
      <c r="N408" s="47">
        <f t="shared" ca="1" si="181"/>
        <v>31.233333333333334</v>
      </c>
      <c r="O408" s="46">
        <f t="shared" ca="1" si="182"/>
        <v>8.6154786861899688E-2</v>
      </c>
      <c r="P408" s="47">
        <f t="shared" si="169"/>
        <v>-10500</v>
      </c>
    </row>
    <row r="409" spans="1:16" ht="15.75" x14ac:dyDescent="0.3">
      <c r="A409" s="57" t="s">
        <v>42</v>
      </c>
      <c r="B409" s="50">
        <v>45276</v>
      </c>
      <c r="C409" s="47">
        <f>50000*47%</f>
        <v>23500</v>
      </c>
      <c r="D409" s="47">
        <v>0</v>
      </c>
      <c r="E409" s="48">
        <v>0</v>
      </c>
      <c r="F409" s="48">
        <f t="shared" si="185"/>
        <v>23500</v>
      </c>
      <c r="G409" s="48">
        <f t="shared" si="186"/>
        <v>32.588101238333977</v>
      </c>
      <c r="H409" s="48">
        <f>721.1221</f>
        <v>721.12210000000005</v>
      </c>
      <c r="I409" s="56">
        <v>38.984900000000003</v>
      </c>
      <c r="J409" s="47">
        <f t="shared" si="178"/>
        <v>28112.872956290004</v>
      </c>
      <c r="K409" s="49">
        <f>0</f>
        <v>0</v>
      </c>
      <c r="L409" s="48">
        <f t="shared" si="179"/>
        <v>4612.8729562900044</v>
      </c>
      <c r="M409" s="46">
        <f t="shared" si="180"/>
        <v>0.19629246622510657</v>
      </c>
      <c r="N409" s="47">
        <f t="shared" ca="1" si="181"/>
        <v>31.233333333333334</v>
      </c>
      <c r="O409" s="46">
        <f t="shared" ca="1" si="182"/>
        <v>7.5416529179336569E-2</v>
      </c>
      <c r="P409" s="47">
        <f t="shared" si="169"/>
        <v>-23500</v>
      </c>
    </row>
    <row r="410" spans="1:16" ht="15.75" x14ac:dyDescent="0.3">
      <c r="A410" s="55" t="s">
        <v>44</v>
      </c>
      <c r="B410" s="50">
        <v>45293</v>
      </c>
      <c r="C410" s="47">
        <f>14948*32%</f>
        <v>4783.3599999999997</v>
      </c>
      <c r="D410" s="47">
        <v>0</v>
      </c>
      <c r="E410" s="48">
        <v>0</v>
      </c>
      <c r="F410" s="48">
        <f t="shared" si="185"/>
        <v>4783.3599999999997</v>
      </c>
      <c r="G410" s="48">
        <f t="shared" si="186"/>
        <v>60.188567423612326</v>
      </c>
      <c r="H410" s="48">
        <f>79.4729</f>
        <v>79.472899999999996</v>
      </c>
      <c r="I410" s="56">
        <v>74.919499999999999</v>
      </c>
      <c r="J410" s="47">
        <f t="shared" si="178"/>
        <v>5954.0699315499996</v>
      </c>
      <c r="K410" s="49">
        <f>0</f>
        <v>0</v>
      </c>
      <c r="L410" s="48">
        <f t="shared" si="179"/>
        <v>1170.70993155</v>
      </c>
      <c r="M410" s="46">
        <f t="shared" si="180"/>
        <v>0.24474635644191531</v>
      </c>
      <c r="N410" s="47">
        <f t="shared" ca="1" si="181"/>
        <v>30.7</v>
      </c>
      <c r="O410" s="46">
        <f t="shared" ca="1" si="182"/>
        <v>9.5666328250911523E-2</v>
      </c>
      <c r="P410" s="47">
        <f t="shared" si="169"/>
        <v>-4783.3599999999997</v>
      </c>
    </row>
    <row r="411" spans="1:16" ht="15.75" x14ac:dyDescent="0.3">
      <c r="A411" s="57" t="s">
        <v>43</v>
      </c>
      <c r="B411" s="50">
        <v>45293</v>
      </c>
      <c r="C411" s="47">
        <f>14948*21%</f>
        <v>3139.08</v>
      </c>
      <c r="D411" s="47">
        <v>0</v>
      </c>
      <c r="E411" s="48">
        <v>0</v>
      </c>
      <c r="F411" s="48">
        <f t="shared" si="185"/>
        <v>3139.08</v>
      </c>
      <c r="G411" s="48">
        <f t="shared" si="186"/>
        <v>38.015125734942387</v>
      </c>
      <c r="H411" s="48">
        <f>82.5745</f>
        <v>82.5745</v>
      </c>
      <c r="I411" s="56">
        <v>46.404400000000003</v>
      </c>
      <c r="J411" s="47">
        <f t="shared" si="178"/>
        <v>3831.8201278000001</v>
      </c>
      <c r="K411" s="49">
        <f>0</f>
        <v>0</v>
      </c>
      <c r="L411" s="48">
        <f t="shared" si="179"/>
        <v>692.74012780000021</v>
      </c>
      <c r="M411" s="46">
        <f t="shared" si="180"/>
        <v>0.22068253367228621</v>
      </c>
      <c r="N411" s="47">
        <f t="shared" ca="1" si="181"/>
        <v>30.7</v>
      </c>
      <c r="O411" s="46">
        <f t="shared" ca="1" si="182"/>
        <v>8.6260273748124908E-2</v>
      </c>
      <c r="P411" s="47">
        <f t="shared" si="169"/>
        <v>-3139.08</v>
      </c>
    </row>
    <row r="412" spans="1:16" ht="15.75" x14ac:dyDescent="0.3">
      <c r="A412" s="57" t="s">
        <v>42</v>
      </c>
      <c r="B412" s="50">
        <v>45293</v>
      </c>
      <c r="C412" s="47">
        <f>14948*47%</f>
        <v>7025.5599999999995</v>
      </c>
      <c r="D412" s="47">
        <v>0</v>
      </c>
      <c r="E412" s="48">
        <v>0</v>
      </c>
      <c r="F412" s="48">
        <f t="shared" si="185"/>
        <v>7025.5599999999995</v>
      </c>
      <c r="G412" s="48">
        <f t="shared" si="186"/>
        <v>32.541107374778832</v>
      </c>
      <c r="H412" s="48">
        <f>215.898</f>
        <v>215.898</v>
      </c>
      <c r="I412" s="56">
        <v>38.984900000000003</v>
      </c>
      <c r="J412" s="47">
        <f t="shared" si="178"/>
        <v>8416.7619402</v>
      </c>
      <c r="K412" s="49">
        <f>0</f>
        <v>0</v>
      </c>
      <c r="L412" s="48">
        <f t="shared" si="179"/>
        <v>1391.2019402000005</v>
      </c>
      <c r="M412" s="46">
        <f t="shared" si="180"/>
        <v>0.19802007814323708</v>
      </c>
      <c r="N412" s="47">
        <f t="shared" ca="1" si="181"/>
        <v>30.7</v>
      </c>
      <c r="O412" s="46">
        <f t="shared" ca="1" si="182"/>
        <v>7.7401984941981916E-2</v>
      </c>
      <c r="P412" s="47">
        <f t="shared" si="169"/>
        <v>-7025.5599999999995</v>
      </c>
    </row>
    <row r="413" spans="1:16" ht="15.75" x14ac:dyDescent="0.3">
      <c r="A413" s="55" t="s">
        <v>44</v>
      </c>
      <c r="B413" s="50">
        <v>45297</v>
      </c>
      <c r="C413" s="47">
        <f>-14.65</f>
        <v>-14.65</v>
      </c>
      <c r="D413" s="47">
        <v>0</v>
      </c>
      <c r="E413" s="48">
        <v>0</v>
      </c>
      <c r="F413" s="48">
        <f t="shared" si="185"/>
        <v>-14.65</v>
      </c>
      <c r="G413" s="48">
        <f t="shared" si="186"/>
        <v>60.687655343827672</v>
      </c>
      <c r="H413" s="48">
        <f>-0.2414</f>
        <v>-0.2414</v>
      </c>
      <c r="I413" s="56">
        <v>74.919499999999999</v>
      </c>
      <c r="J413" s="47">
        <f t="shared" si="178"/>
        <v>-18.085567300000001</v>
      </c>
      <c r="K413" s="49">
        <f>0</f>
        <v>0</v>
      </c>
      <c r="L413" s="48">
        <f t="shared" si="179"/>
        <v>-3.4355673000000007</v>
      </c>
      <c r="M413" s="46">
        <f t="shared" si="180"/>
        <v>0.23450971331058024</v>
      </c>
      <c r="N413" s="47">
        <f t="shared" ca="1" si="181"/>
        <v>30.566666666666666</v>
      </c>
      <c r="O413" s="46">
        <f t="shared" ca="1" si="182"/>
        <v>9.2064881997610565E-2</v>
      </c>
      <c r="P413" s="47">
        <f t="shared" si="169"/>
        <v>14.65</v>
      </c>
    </row>
    <row r="414" spans="1:16" ht="15.75" x14ac:dyDescent="0.3">
      <c r="A414" s="57" t="s">
        <v>43</v>
      </c>
      <c r="B414" s="50">
        <v>45297</v>
      </c>
      <c r="C414" s="47">
        <f>-8.57</f>
        <v>-8.57</v>
      </c>
      <c r="D414" s="47">
        <v>0</v>
      </c>
      <c r="E414" s="48">
        <v>0</v>
      </c>
      <c r="F414" s="48">
        <f t="shared" si="185"/>
        <v>-8.57</v>
      </c>
      <c r="G414" s="48">
        <f t="shared" si="186"/>
        <v>38.055062166962699</v>
      </c>
      <c r="H414" s="48">
        <f>-0.2252</f>
        <v>-0.22520000000000001</v>
      </c>
      <c r="I414" s="56">
        <v>46.404400000000003</v>
      </c>
      <c r="J414" s="47">
        <f t="shared" si="178"/>
        <v>-10.450270880000001</v>
      </c>
      <c r="K414" s="49">
        <f>0</f>
        <v>0</v>
      </c>
      <c r="L414" s="48">
        <f t="shared" si="179"/>
        <v>-1.8802708800000012</v>
      </c>
      <c r="M414" s="46">
        <f t="shared" si="180"/>
        <v>0.21940150291715299</v>
      </c>
      <c r="N414" s="47">
        <f t="shared" ca="1" si="181"/>
        <v>30.566666666666666</v>
      </c>
      <c r="O414" s="46">
        <f t="shared" ca="1" si="182"/>
        <v>8.6133632551990275E-2</v>
      </c>
      <c r="P414" s="47">
        <f t="shared" si="169"/>
        <v>8.57</v>
      </c>
    </row>
    <row r="415" spans="1:16" ht="15.75" x14ac:dyDescent="0.3">
      <c r="A415" s="57" t="s">
        <v>42</v>
      </c>
      <c r="B415" s="50">
        <v>45297</v>
      </c>
      <c r="C415" s="47">
        <f>-19.26</f>
        <v>-19.260000000000002</v>
      </c>
      <c r="D415" s="47">
        <v>0</v>
      </c>
      <c r="E415" s="48">
        <v>0</v>
      </c>
      <c r="F415" s="48">
        <f t="shared" si="185"/>
        <v>-19.260000000000002</v>
      </c>
      <c r="G415" s="48">
        <f t="shared" si="186"/>
        <v>32.495360215960858</v>
      </c>
      <c r="H415" s="48">
        <f>-0.5927</f>
        <v>-0.5927</v>
      </c>
      <c r="I415" s="56">
        <v>38.984900000000003</v>
      </c>
      <c r="J415" s="47">
        <f t="shared" si="178"/>
        <v>-23.10635023</v>
      </c>
      <c r="K415" s="49">
        <f>0</f>
        <v>0</v>
      </c>
      <c r="L415" s="48">
        <f t="shared" si="179"/>
        <v>-3.8463502299999988</v>
      </c>
      <c r="M415" s="46">
        <f t="shared" si="180"/>
        <v>0.19970665784008299</v>
      </c>
      <c r="N415" s="47">
        <f t="shared" ca="1" si="181"/>
        <v>30.566666666666666</v>
      </c>
      <c r="O415" s="46">
        <f t="shared" ca="1" si="182"/>
        <v>7.8401741354885354E-2</v>
      </c>
      <c r="P415" s="47">
        <f t="shared" si="169"/>
        <v>19.260000000000002</v>
      </c>
    </row>
    <row r="416" spans="1:16" ht="15.75" x14ac:dyDescent="0.3">
      <c r="A416" s="55" t="s">
        <v>44</v>
      </c>
      <c r="B416" s="50">
        <v>45324</v>
      </c>
      <c r="C416" s="47">
        <f>14948*32%</f>
        <v>4783.3599999999997</v>
      </c>
      <c r="D416" s="47">
        <v>0</v>
      </c>
      <c r="E416" s="48">
        <v>0</v>
      </c>
      <c r="F416" s="48">
        <f t="shared" si="185"/>
        <v>4783.3599999999997</v>
      </c>
      <c r="G416" s="48">
        <f t="shared" si="186"/>
        <v>61.68917341697221</v>
      </c>
      <c r="H416" s="48">
        <f>77.5397</f>
        <v>77.539699999999996</v>
      </c>
      <c r="I416" s="56">
        <v>74.919499999999999</v>
      </c>
      <c r="J416" s="47">
        <f t="shared" si="178"/>
        <v>5809.2355541500001</v>
      </c>
      <c r="K416" s="49">
        <f>0</f>
        <v>0</v>
      </c>
      <c r="L416" s="48">
        <f t="shared" si="179"/>
        <v>1025.8755541500004</v>
      </c>
      <c r="M416" s="46">
        <f t="shared" si="180"/>
        <v>0.21446756132718434</v>
      </c>
      <c r="N416" s="47">
        <f t="shared" ca="1" si="181"/>
        <v>29.7</v>
      </c>
      <c r="O416" s="46">
        <f t="shared" ca="1" si="182"/>
        <v>8.6653560132195689E-2</v>
      </c>
      <c r="P416" s="47">
        <f t="shared" si="169"/>
        <v>-4783.3599999999997</v>
      </c>
    </row>
    <row r="417" spans="1:16" ht="15.75" x14ac:dyDescent="0.3">
      <c r="A417" s="57" t="s">
        <v>43</v>
      </c>
      <c r="B417" s="50">
        <v>45324</v>
      </c>
      <c r="C417" s="47">
        <f>14948*21%</f>
        <v>3139.08</v>
      </c>
      <c r="D417" s="47">
        <v>0</v>
      </c>
      <c r="E417" s="48">
        <v>0</v>
      </c>
      <c r="F417" s="48">
        <f t="shared" si="185"/>
        <v>3139.08</v>
      </c>
      <c r="G417" s="48">
        <f t="shared" si="186"/>
        <v>38.406518786781348</v>
      </c>
      <c r="H417" s="48">
        <f>81.733</f>
        <v>81.733000000000004</v>
      </c>
      <c r="I417" s="56">
        <v>46.404400000000003</v>
      </c>
      <c r="J417" s="47">
        <f t="shared" si="178"/>
        <v>3792.7708252000002</v>
      </c>
      <c r="K417" s="49">
        <f>0</f>
        <v>0</v>
      </c>
      <c r="L417" s="48">
        <f t="shared" si="179"/>
        <v>653.69082520000029</v>
      </c>
      <c r="M417" s="46">
        <f t="shared" si="180"/>
        <v>0.20824280528052816</v>
      </c>
      <c r="N417" s="47">
        <f t="shared" ca="1" si="181"/>
        <v>29.7</v>
      </c>
      <c r="O417" s="46">
        <f t="shared" ca="1" si="182"/>
        <v>8.4138507184051775E-2</v>
      </c>
      <c r="P417" s="47">
        <f t="shared" si="169"/>
        <v>-3139.08</v>
      </c>
    </row>
    <row r="418" spans="1:16" ht="15.75" x14ac:dyDescent="0.3">
      <c r="A418" s="57" t="s">
        <v>42</v>
      </c>
      <c r="B418" s="50">
        <v>45324</v>
      </c>
      <c r="C418" s="47">
        <f>14948*47%</f>
        <v>7025.5599999999995</v>
      </c>
      <c r="D418" s="47">
        <v>0</v>
      </c>
      <c r="E418" s="48">
        <v>0</v>
      </c>
      <c r="F418" s="48">
        <f t="shared" si="185"/>
        <v>7025.5599999999995</v>
      </c>
      <c r="G418" s="48">
        <f t="shared" si="186"/>
        <v>33.32680290747841</v>
      </c>
      <c r="H418" s="48">
        <f>210.8081</f>
        <v>210.8081</v>
      </c>
      <c r="I418" s="56">
        <v>38.984900000000003</v>
      </c>
      <c r="J418" s="47">
        <f t="shared" si="178"/>
        <v>8218.3326976900007</v>
      </c>
      <c r="K418" s="49">
        <f>0</f>
        <v>0</v>
      </c>
      <c r="L418" s="48">
        <f t="shared" si="179"/>
        <v>1192.7726976900012</v>
      </c>
      <c r="M418" s="46">
        <f t="shared" si="180"/>
        <v>0.16977617409715401</v>
      </c>
      <c r="N418" s="47">
        <f t="shared" ca="1" si="181"/>
        <v>29.7</v>
      </c>
      <c r="O418" s="46">
        <f t="shared" ca="1" si="182"/>
        <v>6.8596433978648091E-2</v>
      </c>
      <c r="P418" s="47">
        <f t="shared" si="169"/>
        <v>-7025.5599999999995</v>
      </c>
    </row>
    <row r="419" spans="1:16" ht="15.75" x14ac:dyDescent="0.3">
      <c r="A419" s="55" t="s">
        <v>44</v>
      </c>
      <c r="B419" s="50">
        <v>45355</v>
      </c>
      <c r="C419" s="47">
        <f>14948*32%</f>
        <v>4783.3599999999997</v>
      </c>
      <c r="D419" s="47">
        <v>0</v>
      </c>
      <c r="E419" s="48">
        <v>0</v>
      </c>
      <c r="F419" s="48">
        <f t="shared" si="185"/>
        <v>4783.3599999999997</v>
      </c>
      <c r="G419" s="48">
        <f t="shared" si="186"/>
        <v>64.116325578652194</v>
      </c>
      <c r="H419" s="48">
        <f>74.6044</f>
        <v>74.604399999999998</v>
      </c>
      <c r="I419" s="56">
        <v>74.919499999999999</v>
      </c>
      <c r="J419" s="47">
        <f t="shared" si="178"/>
        <v>5589.3243457999997</v>
      </c>
      <c r="K419" s="49">
        <f>0</f>
        <v>0</v>
      </c>
      <c r="L419" s="48">
        <f t="shared" si="179"/>
        <v>805.96434580000005</v>
      </c>
      <c r="M419" s="46">
        <f t="shared" si="180"/>
        <v>0.16849334898481405</v>
      </c>
      <c r="N419" s="47">
        <f t="shared" ca="1" si="181"/>
        <v>28.633333333333333</v>
      </c>
      <c r="O419" s="46">
        <f t="shared" ca="1" si="182"/>
        <v>7.0614209120527432E-2</v>
      </c>
      <c r="P419" s="47">
        <f t="shared" si="169"/>
        <v>-4783.3599999999997</v>
      </c>
    </row>
    <row r="420" spans="1:16" ht="15.75" x14ac:dyDescent="0.3">
      <c r="A420" s="57" t="s">
        <v>43</v>
      </c>
      <c r="B420" s="50">
        <v>45355</v>
      </c>
      <c r="C420" s="47">
        <f>14948*21%</f>
        <v>3139.08</v>
      </c>
      <c r="D420" s="47">
        <v>0</v>
      </c>
      <c r="E420" s="48">
        <v>0</v>
      </c>
      <c r="F420" s="48">
        <f t="shared" si="185"/>
        <v>3139.08</v>
      </c>
      <c r="G420" s="48">
        <f t="shared" si="186"/>
        <v>38.665144242316742</v>
      </c>
      <c r="H420" s="48">
        <f>81.1863</f>
        <v>81.186300000000003</v>
      </c>
      <c r="I420" s="56">
        <v>46.404400000000003</v>
      </c>
      <c r="J420" s="47">
        <f t="shared" si="178"/>
        <v>3767.4015397200005</v>
      </c>
      <c r="K420" s="49">
        <f>0</f>
        <v>0</v>
      </c>
      <c r="L420" s="48">
        <f t="shared" si="179"/>
        <v>628.3215397200006</v>
      </c>
      <c r="M420" s="46">
        <f t="shared" si="180"/>
        <v>0.20016104709660174</v>
      </c>
      <c r="N420" s="47">
        <f t="shared" ca="1" si="181"/>
        <v>28.633333333333333</v>
      </c>
      <c r="O420" s="46">
        <f t="shared" ca="1" si="182"/>
        <v>8.388588702535113E-2</v>
      </c>
      <c r="P420" s="47">
        <f t="shared" ref="P420:P483" si="187">-F420</f>
        <v>-3139.08</v>
      </c>
    </row>
    <row r="421" spans="1:16" ht="15.75" x14ac:dyDescent="0.3">
      <c r="A421" s="57" t="s">
        <v>42</v>
      </c>
      <c r="B421" s="50">
        <v>45355</v>
      </c>
      <c r="C421" s="47">
        <f>14948*47%</f>
        <v>7025.5599999999995</v>
      </c>
      <c r="D421" s="47">
        <v>0</v>
      </c>
      <c r="E421" s="48">
        <v>0</v>
      </c>
      <c r="F421" s="48">
        <f t="shared" si="185"/>
        <v>7025.5599999999995</v>
      </c>
      <c r="G421" s="48">
        <f t="shared" si="186"/>
        <v>33.578713222888481</v>
      </c>
      <c r="H421" s="48">
        <f>209.2266</f>
        <v>209.22659999999999</v>
      </c>
      <c r="I421" s="56">
        <v>38.984900000000003</v>
      </c>
      <c r="J421" s="47">
        <f t="shared" si="178"/>
        <v>8156.67807834</v>
      </c>
      <c r="K421" s="49">
        <f>0</f>
        <v>0</v>
      </c>
      <c r="L421" s="48">
        <f t="shared" si="179"/>
        <v>1131.1180783400005</v>
      </c>
      <c r="M421" s="46">
        <f t="shared" si="180"/>
        <v>0.16100041538895127</v>
      </c>
      <c r="N421" s="47">
        <f t="shared" ca="1" si="181"/>
        <v>28.633333333333333</v>
      </c>
      <c r="O421" s="46">
        <f t="shared" ca="1" si="182"/>
        <v>6.7473980838210074E-2</v>
      </c>
      <c r="P421" s="47">
        <f t="shared" si="187"/>
        <v>-7025.5599999999995</v>
      </c>
    </row>
    <row r="422" spans="1:16" ht="15.75" x14ac:dyDescent="0.3">
      <c r="A422" s="55" t="s">
        <v>44</v>
      </c>
      <c r="B422" s="50">
        <v>45379</v>
      </c>
      <c r="C422" s="47">
        <f>14948*32%</f>
        <v>4783.3599999999997</v>
      </c>
      <c r="D422" s="47">
        <v>0</v>
      </c>
      <c r="E422" s="48">
        <v>0</v>
      </c>
      <c r="F422" s="48">
        <f t="shared" si="185"/>
        <v>4783.3599999999997</v>
      </c>
      <c r="G422" s="48">
        <f t="shared" si="186"/>
        <v>64.114348979381205</v>
      </c>
      <c r="H422" s="48">
        <f>74.6067</f>
        <v>74.606700000000004</v>
      </c>
      <c r="I422" s="56">
        <v>74.919499999999999</v>
      </c>
      <c r="J422" s="47">
        <f t="shared" si="178"/>
        <v>5589.4966606500002</v>
      </c>
      <c r="K422" s="49">
        <f>0</f>
        <v>0</v>
      </c>
      <c r="L422" s="48">
        <f t="shared" si="179"/>
        <v>806.13666065000052</v>
      </c>
      <c r="M422" s="46">
        <f t="shared" si="180"/>
        <v>0.1685293727944375</v>
      </c>
      <c r="N422" s="47">
        <f t="shared" ca="1" si="181"/>
        <v>27.833333333333332</v>
      </c>
      <c r="O422" s="46">
        <f t="shared" ca="1" si="182"/>
        <v>7.2659370306583843E-2</v>
      </c>
      <c r="P422" s="47">
        <f t="shared" si="187"/>
        <v>-4783.3599999999997</v>
      </c>
    </row>
    <row r="423" spans="1:16" ht="15.75" x14ac:dyDescent="0.3">
      <c r="A423" s="57" t="s">
        <v>43</v>
      </c>
      <c r="B423" s="50">
        <v>45379</v>
      </c>
      <c r="C423" s="47">
        <f>14948*21%</f>
        <v>3139.08</v>
      </c>
      <c r="D423" s="47">
        <v>0</v>
      </c>
      <c r="E423" s="48">
        <v>0</v>
      </c>
      <c r="F423" s="48">
        <f t="shared" si="185"/>
        <v>3139.08</v>
      </c>
      <c r="G423" s="48">
        <f t="shared" si="186"/>
        <v>38.925442131656155</v>
      </c>
      <c r="H423" s="48">
        <f>80.6434</f>
        <v>80.6434</v>
      </c>
      <c r="I423" s="56">
        <v>46.404400000000003</v>
      </c>
      <c r="J423" s="47">
        <f t="shared" si="178"/>
        <v>3742.20859096</v>
      </c>
      <c r="K423" s="49">
        <f>0</f>
        <v>0</v>
      </c>
      <c r="L423" s="48">
        <f t="shared" si="179"/>
        <v>603.12859096000011</v>
      </c>
      <c r="M423" s="46">
        <f t="shared" si="180"/>
        <v>0.19213546356257252</v>
      </c>
      <c r="N423" s="47">
        <f t="shared" ca="1" si="181"/>
        <v>27.833333333333332</v>
      </c>
      <c r="O423" s="46">
        <f t="shared" ca="1" si="182"/>
        <v>8.2836846565899541E-2</v>
      </c>
      <c r="P423" s="47">
        <f t="shared" si="187"/>
        <v>-3139.08</v>
      </c>
    </row>
    <row r="424" spans="1:16" ht="15.75" x14ac:dyDescent="0.3">
      <c r="A424" s="57" t="s">
        <v>42</v>
      </c>
      <c r="B424" s="50">
        <v>45379</v>
      </c>
      <c r="C424" s="47">
        <f>14948*47%</f>
        <v>7025.5599999999995</v>
      </c>
      <c r="D424" s="47">
        <v>0</v>
      </c>
      <c r="E424" s="48">
        <v>0</v>
      </c>
      <c r="F424" s="48">
        <f t="shared" si="185"/>
        <v>7025.5599999999995</v>
      </c>
      <c r="G424" s="48">
        <f t="shared" si="186"/>
        <v>33.769700826702902</v>
      </c>
      <c r="H424" s="48">
        <f>208.0433</f>
        <v>208.04329999999999</v>
      </c>
      <c r="I424" s="56">
        <v>38.984900000000003</v>
      </c>
      <c r="J424" s="47">
        <f t="shared" si="178"/>
        <v>8110.5472461700001</v>
      </c>
      <c r="K424" s="49">
        <f>0</f>
        <v>0</v>
      </c>
      <c r="L424" s="48">
        <f t="shared" si="179"/>
        <v>1084.9872461700006</v>
      </c>
      <c r="M424" s="46">
        <f t="shared" si="180"/>
        <v>0.15443427230996543</v>
      </c>
      <c r="N424" s="47">
        <f t="shared" ca="1" si="181"/>
        <v>27.833333333333332</v>
      </c>
      <c r="O424" s="46">
        <f t="shared" ca="1" si="182"/>
        <v>6.6582440756392289E-2</v>
      </c>
      <c r="P424" s="47">
        <f t="shared" si="187"/>
        <v>-7025.5599999999995</v>
      </c>
    </row>
    <row r="425" spans="1:16" ht="15.75" x14ac:dyDescent="0.3">
      <c r="A425" s="55" t="s">
        <v>44</v>
      </c>
      <c r="B425" s="50">
        <v>45388</v>
      </c>
      <c r="C425" s="47">
        <f>-13.4</f>
        <v>-13.4</v>
      </c>
      <c r="D425" s="47">
        <v>0</v>
      </c>
      <c r="E425" s="48">
        <v>0</v>
      </c>
      <c r="F425" s="48">
        <f t="shared" si="185"/>
        <v>-13.4</v>
      </c>
      <c r="G425" s="48">
        <f t="shared" si="186"/>
        <v>64.859632139399807</v>
      </c>
      <c r="H425" s="48">
        <f>-0.2066</f>
        <v>-0.20660000000000001</v>
      </c>
      <c r="I425" s="56">
        <v>74.919499999999999</v>
      </c>
      <c r="J425" s="47">
        <f t="shared" si="178"/>
        <v>-15.478368700000001</v>
      </c>
      <c r="K425" s="49">
        <f>0</f>
        <v>0</v>
      </c>
      <c r="L425" s="48">
        <f t="shared" si="179"/>
        <v>-2.0783687000000004</v>
      </c>
      <c r="M425" s="46">
        <f t="shared" si="180"/>
        <v>0.15510214179104481</v>
      </c>
      <c r="N425" s="47">
        <f t="shared" ca="1" si="181"/>
        <v>27.566666666666666</v>
      </c>
      <c r="O425" s="46">
        <f t="shared" ca="1" si="182"/>
        <v>6.7517256402389522E-2</v>
      </c>
      <c r="P425" s="47">
        <f t="shared" si="187"/>
        <v>13.4</v>
      </c>
    </row>
    <row r="426" spans="1:16" ht="15.75" x14ac:dyDescent="0.3">
      <c r="A426" s="57" t="s">
        <v>43</v>
      </c>
      <c r="B426" s="50">
        <v>45388</v>
      </c>
      <c r="C426" s="47">
        <f>-7.53</f>
        <v>-7.53</v>
      </c>
      <c r="D426" s="47">
        <v>0</v>
      </c>
      <c r="E426" s="48">
        <v>0</v>
      </c>
      <c r="F426" s="48">
        <f t="shared" si="185"/>
        <v>-7.53</v>
      </c>
      <c r="G426" s="48">
        <f t="shared" si="186"/>
        <v>38.954992240041385</v>
      </c>
      <c r="H426" s="48">
        <f>-0.1933</f>
        <v>-0.1933</v>
      </c>
      <c r="I426" s="56">
        <v>46.404400000000003</v>
      </c>
      <c r="J426" s="47">
        <f t="shared" si="178"/>
        <v>-8.9699705200000004</v>
      </c>
      <c r="K426" s="49">
        <f>0</f>
        <v>0</v>
      </c>
      <c r="L426" s="48">
        <f t="shared" si="179"/>
        <v>-1.4399705200000001</v>
      </c>
      <c r="M426" s="46">
        <f t="shared" si="180"/>
        <v>0.19123114475431607</v>
      </c>
      <c r="N426" s="47">
        <f t="shared" ca="1" si="181"/>
        <v>27.566666666666666</v>
      </c>
      <c r="O426" s="46">
        <f t="shared" ca="1" si="182"/>
        <v>8.3244512831383066E-2</v>
      </c>
      <c r="P426" s="47">
        <f t="shared" si="187"/>
        <v>7.53</v>
      </c>
    </row>
    <row r="427" spans="1:16" ht="15.75" x14ac:dyDescent="0.3">
      <c r="A427" s="57" t="s">
        <v>42</v>
      </c>
      <c r="B427" s="50">
        <v>45388</v>
      </c>
      <c r="C427" s="47">
        <f>-17.12</f>
        <v>-17.12</v>
      </c>
      <c r="D427" s="47">
        <v>0</v>
      </c>
      <c r="E427" s="48">
        <v>0</v>
      </c>
      <c r="F427" s="48">
        <f t="shared" si="185"/>
        <v>-17.12</v>
      </c>
      <c r="G427" s="48">
        <f t="shared" si="186"/>
        <v>33.661030279197796</v>
      </c>
      <c r="H427" s="48">
        <f>-0.5086</f>
        <v>-0.50860000000000005</v>
      </c>
      <c r="I427" s="56">
        <v>38.984900000000003</v>
      </c>
      <c r="J427" s="47">
        <f t="shared" si="178"/>
        <v>-19.827720140000004</v>
      </c>
      <c r="K427" s="49">
        <f>0</f>
        <v>0</v>
      </c>
      <c r="L427" s="48">
        <f t="shared" si="179"/>
        <v>-2.7077201400000028</v>
      </c>
      <c r="M427" s="46">
        <f t="shared" si="180"/>
        <v>0.15816122313084127</v>
      </c>
      <c r="N427" s="47">
        <f t="shared" ca="1" si="181"/>
        <v>27.566666666666666</v>
      </c>
      <c r="O427" s="46">
        <f t="shared" ca="1" si="182"/>
        <v>6.8848900032772511E-2</v>
      </c>
      <c r="P427" s="47">
        <f t="shared" si="187"/>
        <v>17.12</v>
      </c>
    </row>
    <row r="428" spans="1:16" ht="15.75" x14ac:dyDescent="0.3">
      <c r="A428" s="55" t="s">
        <v>44</v>
      </c>
      <c r="B428" s="50">
        <v>45418</v>
      </c>
      <c r="C428" s="47">
        <f>14948*32%</f>
        <v>4783.3599999999997</v>
      </c>
      <c r="D428" s="47">
        <v>0</v>
      </c>
      <c r="E428" s="48">
        <v>0</v>
      </c>
      <c r="F428" s="48">
        <f t="shared" si="185"/>
        <v>4783.3599999999997</v>
      </c>
      <c r="G428" s="48">
        <f t="shared" si="186"/>
        <v>65.353411975593019</v>
      </c>
      <c r="H428" s="48">
        <f>73.1922</f>
        <v>73.1922</v>
      </c>
      <c r="I428" s="56">
        <v>74.919499999999999</v>
      </c>
      <c r="J428" s="47">
        <f t="shared" si="178"/>
        <v>5483.5230278999998</v>
      </c>
      <c r="K428" s="49">
        <f>0</f>
        <v>0</v>
      </c>
      <c r="L428" s="48">
        <f t="shared" si="179"/>
        <v>700.16302790000009</v>
      </c>
      <c r="M428" s="46">
        <f t="shared" si="180"/>
        <v>0.14637472987607042</v>
      </c>
      <c r="N428" s="47">
        <f t="shared" ca="1" si="181"/>
        <v>26.566666666666666</v>
      </c>
      <c r="O428" s="46">
        <f t="shared" ca="1" si="182"/>
        <v>6.6116565565100816E-2</v>
      </c>
      <c r="P428" s="47">
        <f t="shared" si="187"/>
        <v>-4783.3599999999997</v>
      </c>
    </row>
    <row r="429" spans="1:16" ht="15.75" x14ac:dyDescent="0.3">
      <c r="A429" s="57" t="s">
        <v>43</v>
      </c>
      <c r="B429" s="50">
        <v>45418</v>
      </c>
      <c r="C429" s="47">
        <f>14948*21%</f>
        <v>3139.08</v>
      </c>
      <c r="D429" s="47">
        <v>0</v>
      </c>
      <c r="E429" s="48">
        <v>0</v>
      </c>
      <c r="F429" s="48">
        <f t="shared" si="185"/>
        <v>3139.08</v>
      </c>
      <c r="G429" s="48">
        <f t="shared" si="186"/>
        <v>39.115920484182695</v>
      </c>
      <c r="H429" s="48">
        <f>80.2507</f>
        <v>80.250699999999995</v>
      </c>
      <c r="I429" s="56">
        <v>46.404400000000003</v>
      </c>
      <c r="J429" s="47">
        <f t="shared" si="178"/>
        <v>3723.9855830799997</v>
      </c>
      <c r="K429" s="49">
        <f>0</f>
        <v>0</v>
      </c>
      <c r="L429" s="48">
        <f t="shared" si="179"/>
        <v>584.90558307999981</v>
      </c>
      <c r="M429" s="46">
        <f t="shared" si="180"/>
        <v>0.18633025697975197</v>
      </c>
      <c r="N429" s="47">
        <f t="shared" ca="1" si="181"/>
        <v>26.566666666666666</v>
      </c>
      <c r="O429" s="46">
        <f t="shared" ca="1" si="182"/>
        <v>8.416423150904731E-2</v>
      </c>
      <c r="P429" s="47">
        <f t="shared" si="187"/>
        <v>-3139.08</v>
      </c>
    </row>
    <row r="430" spans="1:16" ht="15.75" x14ac:dyDescent="0.3">
      <c r="A430" s="57" t="s">
        <v>42</v>
      </c>
      <c r="B430" s="50">
        <v>45418</v>
      </c>
      <c r="C430" s="47">
        <f>14948*47%</f>
        <v>7025.5599999999995</v>
      </c>
      <c r="D430" s="47">
        <v>0</v>
      </c>
      <c r="E430" s="48">
        <v>0</v>
      </c>
      <c r="F430" s="48">
        <f t="shared" si="185"/>
        <v>7025.5599999999995</v>
      </c>
      <c r="G430" s="48">
        <f t="shared" si="186"/>
        <v>33.8092071133714</v>
      </c>
      <c r="H430" s="48">
        <f>207.8002</f>
        <v>207.80019999999999</v>
      </c>
      <c r="I430" s="56">
        <v>38.984900000000003</v>
      </c>
      <c r="J430" s="47">
        <f t="shared" si="178"/>
        <v>8101.0700169800002</v>
      </c>
      <c r="K430" s="49">
        <f>0</f>
        <v>0</v>
      </c>
      <c r="L430" s="48">
        <f t="shared" si="179"/>
        <v>1075.5100169800007</v>
      </c>
      <c r="M430" s="46">
        <f t="shared" si="180"/>
        <v>0.15308530807223919</v>
      </c>
      <c r="N430" s="47">
        <f t="shared" ca="1" si="181"/>
        <v>26.566666666666666</v>
      </c>
      <c r="O430" s="46">
        <f t="shared" ca="1" si="182"/>
        <v>6.9147692479305037E-2</v>
      </c>
      <c r="P430" s="47">
        <f t="shared" si="187"/>
        <v>-7025.5599999999995</v>
      </c>
    </row>
    <row r="431" spans="1:16" ht="15.75" x14ac:dyDescent="0.3">
      <c r="A431" s="55" t="s">
        <v>44</v>
      </c>
      <c r="B431" s="50">
        <v>45446</v>
      </c>
      <c r="C431" s="47">
        <f>14948*32%</f>
        <v>4783.3599999999997</v>
      </c>
      <c r="D431" s="47">
        <v>0</v>
      </c>
      <c r="E431" s="48">
        <v>0</v>
      </c>
      <c r="F431" s="48">
        <f t="shared" si="185"/>
        <v>4783.3599999999997</v>
      </c>
      <c r="G431" s="48">
        <f t="shared" si="186"/>
        <v>69.011904126407941</v>
      </c>
      <c r="H431" s="48">
        <f>69.3121</f>
        <v>69.312100000000001</v>
      </c>
      <c r="I431" s="56">
        <v>74.919499999999999</v>
      </c>
      <c r="J431" s="47">
        <f t="shared" si="178"/>
        <v>5192.8278759499999</v>
      </c>
      <c r="K431" s="49">
        <f>0</f>
        <v>0</v>
      </c>
      <c r="L431" s="48">
        <f t="shared" si="179"/>
        <v>409.46787595000023</v>
      </c>
      <c r="M431" s="46">
        <f t="shared" si="180"/>
        <v>8.5602563041460453E-2</v>
      </c>
      <c r="N431" s="47">
        <f t="shared" ca="1" si="181"/>
        <v>25.666666666666668</v>
      </c>
      <c r="O431" s="46">
        <f t="shared" ca="1" si="182"/>
        <v>4.0021977525877613E-2</v>
      </c>
      <c r="P431" s="47">
        <f t="shared" si="187"/>
        <v>-4783.3599999999997</v>
      </c>
    </row>
    <row r="432" spans="1:16" ht="15.75" x14ac:dyDescent="0.3">
      <c r="A432" s="57" t="s">
        <v>43</v>
      </c>
      <c r="B432" s="50">
        <v>45446</v>
      </c>
      <c r="C432" s="47">
        <f>14948*21%</f>
        <v>3139.08</v>
      </c>
      <c r="D432" s="47">
        <v>0</v>
      </c>
      <c r="E432" s="48">
        <v>0</v>
      </c>
      <c r="F432" s="48">
        <f t="shared" si="185"/>
        <v>3139.08</v>
      </c>
      <c r="G432" s="48">
        <f t="shared" si="186"/>
        <v>39.43671880790825</v>
      </c>
      <c r="H432" s="48">
        <f>79.5979</f>
        <v>79.597899999999996</v>
      </c>
      <c r="I432" s="56">
        <v>46.404400000000003</v>
      </c>
      <c r="J432" s="47">
        <f t="shared" si="178"/>
        <v>3693.6927907600002</v>
      </c>
      <c r="K432" s="49">
        <f>0</f>
        <v>0</v>
      </c>
      <c r="L432" s="48">
        <f t="shared" si="179"/>
        <v>554.61279076000028</v>
      </c>
      <c r="M432" s="46">
        <f t="shared" si="180"/>
        <v>0.17668004343947918</v>
      </c>
      <c r="N432" s="47">
        <f t="shared" ca="1" si="181"/>
        <v>25.666666666666668</v>
      </c>
      <c r="O432" s="46">
        <f t="shared" ca="1" si="182"/>
        <v>8.2603656673003248E-2</v>
      </c>
      <c r="P432" s="47">
        <f t="shared" si="187"/>
        <v>-3139.08</v>
      </c>
    </row>
    <row r="433" spans="1:16" ht="15.75" x14ac:dyDescent="0.3">
      <c r="A433" s="57" t="s">
        <v>42</v>
      </c>
      <c r="B433" s="50">
        <v>45446</v>
      </c>
      <c r="C433" s="47">
        <f>14948*47%</f>
        <v>7025.5599999999995</v>
      </c>
      <c r="D433" s="47">
        <v>0</v>
      </c>
      <c r="E433" s="48">
        <v>0</v>
      </c>
      <c r="F433" s="48">
        <f t="shared" si="185"/>
        <v>7025.5599999999995</v>
      </c>
      <c r="G433" s="48">
        <f t="shared" si="186"/>
        <v>34.289005210049169</v>
      </c>
      <c r="H433" s="48">
        <f>204.8925</f>
        <v>204.89250000000001</v>
      </c>
      <c r="I433" s="56">
        <v>38.984900000000003</v>
      </c>
      <c r="J433" s="47">
        <f t="shared" si="178"/>
        <v>7987.7136232500015</v>
      </c>
      <c r="K433" s="49">
        <f>0</f>
        <v>0</v>
      </c>
      <c r="L433" s="48">
        <f t="shared" si="179"/>
        <v>962.15362325000206</v>
      </c>
      <c r="M433" s="46">
        <f t="shared" si="180"/>
        <v>0.13695045281087945</v>
      </c>
      <c r="N433" s="47">
        <f t="shared" ca="1" si="181"/>
        <v>25.666666666666668</v>
      </c>
      <c r="O433" s="46">
        <f t="shared" ca="1" si="182"/>
        <v>6.4028783132359213E-2</v>
      </c>
      <c r="P433" s="47">
        <f t="shared" si="187"/>
        <v>-7025.5599999999995</v>
      </c>
    </row>
    <row r="434" spans="1:16" ht="15.75" x14ac:dyDescent="0.3">
      <c r="A434" s="55" t="s">
        <v>44</v>
      </c>
      <c r="B434" s="50">
        <v>45474</v>
      </c>
      <c r="C434" s="47">
        <f>14948*32%</f>
        <v>4783.3599999999997</v>
      </c>
      <c r="D434" s="47">
        <v>0</v>
      </c>
      <c r="E434" s="48">
        <v>0</v>
      </c>
      <c r="F434" s="48">
        <f t="shared" si="185"/>
        <v>4783.3599999999997</v>
      </c>
      <c r="G434" s="48">
        <f t="shared" si="186"/>
        <v>71.312222051603911</v>
      </c>
      <c r="H434" s="48">
        <f>67.0763</f>
        <v>67.076300000000003</v>
      </c>
      <c r="I434" s="56">
        <v>74.919499999999999</v>
      </c>
      <c r="J434" s="47">
        <f t="shared" si="178"/>
        <v>5025.3228578500002</v>
      </c>
      <c r="K434" s="49">
        <f>0</f>
        <v>0</v>
      </c>
      <c r="L434" s="48">
        <f t="shared" si="179"/>
        <v>241.96285785000055</v>
      </c>
      <c r="M434" s="46">
        <f t="shared" si="180"/>
        <v>5.0584287582368999E-2</v>
      </c>
      <c r="N434" s="47">
        <f t="shared" ca="1" si="181"/>
        <v>24.733333333333334</v>
      </c>
      <c r="O434" s="46">
        <f t="shared" ca="1" si="182"/>
        <v>2.4542241953710027E-2</v>
      </c>
      <c r="P434" s="47">
        <f t="shared" si="187"/>
        <v>-4783.3599999999997</v>
      </c>
    </row>
    <row r="435" spans="1:16" ht="15.75" x14ac:dyDescent="0.3">
      <c r="A435" s="57" t="s">
        <v>43</v>
      </c>
      <c r="B435" s="50">
        <v>45474</v>
      </c>
      <c r="C435" s="47">
        <f>14948*21%</f>
        <v>3139.08</v>
      </c>
      <c r="D435" s="47">
        <v>0</v>
      </c>
      <c r="E435" s="48">
        <v>0</v>
      </c>
      <c r="F435" s="48">
        <f t="shared" si="185"/>
        <v>3139.08</v>
      </c>
      <c r="G435" s="48">
        <f t="shared" si="186"/>
        <v>39.68751461851523</v>
      </c>
      <c r="H435" s="48">
        <f>79.0949</f>
        <v>79.094899999999996</v>
      </c>
      <c r="I435" s="56">
        <v>46.404400000000003</v>
      </c>
      <c r="J435" s="47">
        <f t="shared" si="178"/>
        <v>3670.3513775599999</v>
      </c>
      <c r="K435" s="49">
        <f>0</f>
        <v>0</v>
      </c>
      <c r="L435" s="48">
        <f t="shared" si="179"/>
        <v>531.27137756000002</v>
      </c>
      <c r="M435" s="46">
        <f t="shared" si="180"/>
        <v>0.16924429372937294</v>
      </c>
      <c r="N435" s="47">
        <f t="shared" ca="1" si="181"/>
        <v>24.733333333333334</v>
      </c>
      <c r="O435" s="46">
        <f t="shared" ca="1" si="182"/>
        <v>8.2113134423954515E-2</v>
      </c>
      <c r="P435" s="47">
        <f t="shared" si="187"/>
        <v>-3139.08</v>
      </c>
    </row>
    <row r="436" spans="1:16" ht="15.75" x14ac:dyDescent="0.3">
      <c r="A436" s="57" t="s">
        <v>42</v>
      </c>
      <c r="B436" s="50">
        <v>45474</v>
      </c>
      <c r="C436" s="47">
        <f>14948*47%</f>
        <v>7025.5599999999995</v>
      </c>
      <c r="D436" s="47">
        <v>0</v>
      </c>
      <c r="E436" s="48">
        <v>0</v>
      </c>
      <c r="F436" s="48">
        <f t="shared" si="185"/>
        <v>7025.5599999999995</v>
      </c>
      <c r="G436" s="48">
        <f t="shared" si="186"/>
        <v>34.509612064286408</v>
      </c>
      <c r="H436" s="48">
        <f>203.5827</f>
        <v>203.58269999999999</v>
      </c>
      <c r="I436" s="56">
        <v>38.984900000000003</v>
      </c>
      <c r="J436" s="47">
        <f t="shared" si="178"/>
        <v>7936.65120123</v>
      </c>
      <c r="K436" s="49">
        <f>0</f>
        <v>0</v>
      </c>
      <c r="L436" s="48">
        <f t="shared" si="179"/>
        <v>911.09120123000048</v>
      </c>
      <c r="M436" s="46">
        <f t="shared" si="180"/>
        <v>0.12968236001542946</v>
      </c>
      <c r="N436" s="47">
        <f t="shared" ca="1" si="181"/>
        <v>24.733333333333334</v>
      </c>
      <c r="O436" s="46">
        <f t="shared" ca="1" si="182"/>
        <v>6.2918665236596505E-2</v>
      </c>
      <c r="P436" s="47">
        <f t="shared" si="187"/>
        <v>-7025.5599999999995</v>
      </c>
    </row>
    <row r="437" spans="1:16" ht="15.75" x14ac:dyDescent="0.3">
      <c r="A437" s="55" t="s">
        <v>44</v>
      </c>
      <c r="B437" s="50">
        <v>45479</v>
      </c>
      <c r="C437" s="47">
        <f>-10.8</f>
        <v>-10.8</v>
      </c>
      <c r="D437" s="47">
        <v>0</v>
      </c>
      <c r="E437" s="48">
        <v>0</v>
      </c>
      <c r="F437" s="48">
        <f t="shared" si="185"/>
        <v>-10.8</v>
      </c>
      <c r="G437" s="48">
        <f t="shared" si="186"/>
        <v>72.000000000000014</v>
      </c>
      <c r="H437" s="48">
        <f>-0.15</f>
        <v>-0.15</v>
      </c>
      <c r="I437" s="56">
        <v>74.919499999999999</v>
      </c>
      <c r="J437" s="47">
        <f t="shared" si="178"/>
        <v>-11.237924999999999</v>
      </c>
      <c r="K437" s="49">
        <f>0</f>
        <v>0</v>
      </c>
      <c r="L437" s="48">
        <f t="shared" si="179"/>
        <v>-0.43792499999999812</v>
      </c>
      <c r="M437" s="46">
        <f t="shared" si="180"/>
        <v>4.0548611111110931E-2</v>
      </c>
      <c r="N437" s="47">
        <f t="shared" ca="1" si="181"/>
        <v>24.566666666666666</v>
      </c>
      <c r="O437" s="46">
        <f t="shared" ca="1" si="182"/>
        <v>1.9806648575305202E-2</v>
      </c>
      <c r="P437" s="47">
        <f t="shared" si="187"/>
        <v>10.8</v>
      </c>
    </row>
    <row r="438" spans="1:16" ht="15.75" x14ac:dyDescent="0.3">
      <c r="A438" s="57" t="s">
        <v>43</v>
      </c>
      <c r="B438" s="50">
        <v>45479</v>
      </c>
      <c r="C438" s="47">
        <f>-5.59</f>
        <v>-5.59</v>
      </c>
      <c r="D438" s="47">
        <v>0</v>
      </c>
      <c r="E438" s="48">
        <v>0</v>
      </c>
      <c r="F438" s="48">
        <f t="shared" si="185"/>
        <v>-5.59</v>
      </c>
      <c r="G438" s="48">
        <f t="shared" si="186"/>
        <v>39.729921819474058</v>
      </c>
      <c r="H438" s="48">
        <f>-0.1407</f>
        <v>-0.14069999999999999</v>
      </c>
      <c r="I438" s="56">
        <v>46.404400000000003</v>
      </c>
      <c r="J438" s="47">
        <f t="shared" ref="J438:J501" si="188">PRODUCT(H438:I438)</f>
        <v>-6.5290990799999999</v>
      </c>
      <c r="K438" s="49">
        <f>0</f>
        <v>0</v>
      </c>
      <c r="L438" s="48">
        <f t="shared" ref="L438:L501" si="189">SUM(-F438,J438)+K438</f>
        <v>-0.93909908000000009</v>
      </c>
      <c r="M438" s="46">
        <f t="shared" ref="M438:M501" si="190">L438/F438</f>
        <v>0.16799625760286227</v>
      </c>
      <c r="N438" s="47">
        <f t="shared" ref="N438:N501" ca="1" si="191">(DAYS360(B438,NOW(),TRUE))/30</f>
        <v>24.566666666666666</v>
      </c>
      <c r="O438" s="46">
        <f t="shared" ref="O438:O501" ca="1" si="192">M438*12/N438</f>
        <v>8.2060587160149814E-2</v>
      </c>
      <c r="P438" s="47">
        <f t="shared" si="187"/>
        <v>5.59</v>
      </c>
    </row>
    <row r="439" spans="1:16" ht="15.75" x14ac:dyDescent="0.3">
      <c r="A439" s="57" t="s">
        <v>42</v>
      </c>
      <c r="B439" s="50">
        <v>45479</v>
      </c>
      <c r="C439" s="47">
        <f>-12.81</f>
        <v>-12.81</v>
      </c>
      <c r="D439" s="47">
        <v>0</v>
      </c>
      <c r="E439" s="48">
        <v>0</v>
      </c>
      <c r="F439" s="48">
        <f t="shared" si="185"/>
        <v>-12.81</v>
      </c>
      <c r="G439" s="48">
        <f t="shared" si="186"/>
        <v>34.556244942001619</v>
      </c>
      <c r="H439" s="48">
        <f>-0.3707</f>
        <v>-0.37069999999999997</v>
      </c>
      <c r="I439" s="56">
        <v>38.984900000000003</v>
      </c>
      <c r="J439" s="47">
        <f t="shared" si="188"/>
        <v>-14.451702430000001</v>
      </c>
      <c r="K439" s="49">
        <f>0</f>
        <v>0</v>
      </c>
      <c r="L439" s="48">
        <f t="shared" si="189"/>
        <v>-1.6417024300000005</v>
      </c>
      <c r="M439" s="46">
        <f t="shared" si="190"/>
        <v>0.12815787900078068</v>
      </c>
      <c r="N439" s="47">
        <f t="shared" ca="1" si="191"/>
        <v>24.566666666666666</v>
      </c>
      <c r="O439" s="46">
        <f t="shared" ca="1" si="192"/>
        <v>6.2600863555333855E-2</v>
      </c>
      <c r="P439" s="47">
        <f t="shared" si="187"/>
        <v>12.81</v>
      </c>
    </row>
    <row r="440" spans="1:16" ht="15.75" x14ac:dyDescent="0.3">
      <c r="A440" s="55" t="s">
        <v>44</v>
      </c>
      <c r="B440" s="50">
        <v>45506</v>
      </c>
      <c r="C440" s="47">
        <f>14948*32%</f>
        <v>4783.3599999999997</v>
      </c>
      <c r="D440" s="47">
        <v>0</v>
      </c>
      <c r="E440" s="48">
        <v>0</v>
      </c>
      <c r="F440" s="48">
        <f t="shared" si="185"/>
        <v>4783.3599999999997</v>
      </c>
      <c r="G440" s="48">
        <f t="shared" si="186"/>
        <v>72.765109451298358</v>
      </c>
      <c r="H440" s="48">
        <f>65.737</f>
        <v>65.736999999999995</v>
      </c>
      <c r="I440" s="56">
        <v>74.919499999999999</v>
      </c>
      <c r="J440" s="47">
        <f t="shared" si="188"/>
        <v>4924.9831714999991</v>
      </c>
      <c r="K440" s="49">
        <f>0</f>
        <v>0</v>
      </c>
      <c r="L440" s="48">
        <f t="shared" si="189"/>
        <v>141.62317149999944</v>
      </c>
      <c r="M440" s="46">
        <f t="shared" si="190"/>
        <v>2.960746661342643E-2</v>
      </c>
      <c r="N440" s="47">
        <f t="shared" ca="1" si="191"/>
        <v>23.7</v>
      </c>
      <c r="O440" s="46">
        <f t="shared" ca="1" si="192"/>
        <v>1.4991122335912117E-2</v>
      </c>
      <c r="P440" s="47">
        <f t="shared" si="187"/>
        <v>-4783.3599999999997</v>
      </c>
    </row>
    <row r="441" spans="1:16" ht="15.75" x14ac:dyDescent="0.3">
      <c r="A441" s="57" t="s">
        <v>43</v>
      </c>
      <c r="B441" s="50">
        <v>45506</v>
      </c>
      <c r="C441" s="47">
        <f>14948*21%</f>
        <v>3139.08</v>
      </c>
      <c r="D441" s="47">
        <v>0</v>
      </c>
      <c r="E441" s="48">
        <v>0</v>
      </c>
      <c r="F441" s="48">
        <f t="shared" si="185"/>
        <v>3139.08</v>
      </c>
      <c r="G441" s="48">
        <f t="shared" si="186"/>
        <v>40.036834479521666</v>
      </c>
      <c r="H441" s="48">
        <f>78.4048</f>
        <v>78.404799999999994</v>
      </c>
      <c r="I441" s="56">
        <v>46.404400000000003</v>
      </c>
      <c r="J441" s="47">
        <f t="shared" si="188"/>
        <v>3638.3277011199998</v>
      </c>
      <c r="K441" s="49">
        <f>0</f>
        <v>0</v>
      </c>
      <c r="L441" s="48">
        <f t="shared" si="189"/>
        <v>499.24770111999987</v>
      </c>
      <c r="M441" s="46">
        <f t="shared" si="190"/>
        <v>0.15904268165194893</v>
      </c>
      <c r="N441" s="47">
        <f t="shared" ca="1" si="191"/>
        <v>23.7</v>
      </c>
      <c r="O441" s="46">
        <f t="shared" ca="1" si="192"/>
        <v>8.0527940076936172E-2</v>
      </c>
      <c r="P441" s="47">
        <f t="shared" si="187"/>
        <v>-3139.08</v>
      </c>
    </row>
    <row r="442" spans="1:16" ht="15.75" x14ac:dyDescent="0.3">
      <c r="A442" s="57" t="s">
        <v>42</v>
      </c>
      <c r="B442" s="50">
        <v>45506</v>
      </c>
      <c r="C442" s="47">
        <f>14948*47%</f>
        <v>7025.5599999999995</v>
      </c>
      <c r="D442" s="47">
        <v>0</v>
      </c>
      <c r="E442" s="48">
        <v>0</v>
      </c>
      <c r="F442" s="48">
        <f t="shared" si="185"/>
        <v>7025.5599999999995</v>
      </c>
      <c r="G442" s="48">
        <f t="shared" si="186"/>
        <v>34.865904756422132</v>
      </c>
      <c r="H442" s="48">
        <f>201.5023</f>
        <v>201.50229999999999</v>
      </c>
      <c r="I442" s="56">
        <v>38.984900000000003</v>
      </c>
      <c r="J442" s="47">
        <f t="shared" si="188"/>
        <v>7855.54701527</v>
      </c>
      <c r="K442" s="49">
        <f>0</f>
        <v>0</v>
      </c>
      <c r="L442" s="48">
        <f t="shared" si="189"/>
        <v>829.98701527000048</v>
      </c>
      <c r="M442" s="46">
        <f t="shared" si="190"/>
        <v>0.11813820040964713</v>
      </c>
      <c r="N442" s="47">
        <f t="shared" ca="1" si="191"/>
        <v>23.7</v>
      </c>
      <c r="O442" s="46">
        <f t="shared" ca="1" si="192"/>
        <v>5.9816810333998556E-2</v>
      </c>
      <c r="P442" s="47">
        <f t="shared" si="187"/>
        <v>-7025.5599999999995</v>
      </c>
    </row>
    <row r="443" spans="1:16" ht="15.75" x14ac:dyDescent="0.3">
      <c r="A443" s="55" t="s">
        <v>44</v>
      </c>
      <c r="B443" s="50">
        <v>45537</v>
      </c>
      <c r="C443" s="47">
        <f>14948*32%</f>
        <v>4783.3599999999997</v>
      </c>
      <c r="D443" s="47">
        <v>0</v>
      </c>
      <c r="E443" s="48">
        <v>0</v>
      </c>
      <c r="F443" s="48">
        <f t="shared" si="185"/>
        <v>4783.3599999999997</v>
      </c>
      <c r="G443" s="48">
        <f t="shared" si="186"/>
        <v>74.319976010577719</v>
      </c>
      <c r="H443" s="48">
        <f>64.3617</f>
        <v>64.361699999999999</v>
      </c>
      <c r="I443" s="56">
        <v>74.919499999999999</v>
      </c>
      <c r="J443" s="47">
        <f t="shared" si="188"/>
        <v>4821.9463831499997</v>
      </c>
      <c r="K443" s="49">
        <f>0</f>
        <v>0</v>
      </c>
      <c r="L443" s="48">
        <f t="shared" si="189"/>
        <v>38.586383150000074</v>
      </c>
      <c r="M443" s="46">
        <f t="shared" si="190"/>
        <v>8.0667947112490132E-3</v>
      </c>
      <c r="N443" s="47">
        <f t="shared" ca="1" si="191"/>
        <v>22.7</v>
      </c>
      <c r="O443" s="46">
        <f t="shared" ca="1" si="192"/>
        <v>4.2643848693827381E-3</v>
      </c>
      <c r="P443" s="47">
        <f t="shared" si="187"/>
        <v>-4783.3599999999997</v>
      </c>
    </row>
    <row r="444" spans="1:16" ht="15.75" x14ac:dyDescent="0.3">
      <c r="A444" s="57" t="s">
        <v>43</v>
      </c>
      <c r="B444" s="50">
        <v>45537</v>
      </c>
      <c r="C444" s="47">
        <f>14948*21%</f>
        <v>3139.08</v>
      </c>
      <c r="D444" s="47">
        <v>0</v>
      </c>
      <c r="E444" s="48">
        <v>0</v>
      </c>
      <c r="F444" s="48">
        <f t="shared" si="185"/>
        <v>3139.08</v>
      </c>
      <c r="G444" s="48">
        <f t="shared" si="186"/>
        <v>40.335421795735016</v>
      </c>
      <c r="H444" s="48">
        <f>77.8244</f>
        <v>77.824399999999997</v>
      </c>
      <c r="I444" s="56">
        <v>46.404400000000003</v>
      </c>
      <c r="J444" s="47">
        <f t="shared" si="188"/>
        <v>3611.3945873600001</v>
      </c>
      <c r="K444" s="49">
        <f>0</f>
        <v>0</v>
      </c>
      <c r="L444" s="48">
        <f t="shared" si="189"/>
        <v>472.31458736000013</v>
      </c>
      <c r="M444" s="46">
        <f t="shared" si="190"/>
        <v>0.15046274302024801</v>
      </c>
      <c r="N444" s="47">
        <f t="shared" ca="1" si="191"/>
        <v>22.7</v>
      </c>
      <c r="O444" s="46">
        <f t="shared" ca="1" si="192"/>
        <v>7.9539776045946087E-2</v>
      </c>
      <c r="P444" s="47">
        <f t="shared" si="187"/>
        <v>-3139.08</v>
      </c>
    </row>
    <row r="445" spans="1:16" ht="15.75" x14ac:dyDescent="0.3">
      <c r="A445" s="57" t="s">
        <v>42</v>
      </c>
      <c r="B445" s="50">
        <v>45537</v>
      </c>
      <c r="C445" s="47">
        <f>14948*47%</f>
        <v>7025.5599999999995</v>
      </c>
      <c r="D445" s="47">
        <v>0</v>
      </c>
      <c r="E445" s="48">
        <v>0</v>
      </c>
      <c r="F445" s="48">
        <f t="shared" si="185"/>
        <v>7025.5599999999995</v>
      </c>
      <c r="G445" s="48">
        <f t="shared" si="186"/>
        <v>35.21880539313586</v>
      </c>
      <c r="H445" s="48">
        <f>199.4832</f>
        <v>199.48320000000001</v>
      </c>
      <c r="I445" s="56">
        <v>38.984900000000003</v>
      </c>
      <c r="J445" s="47">
        <f t="shared" si="188"/>
        <v>7776.8326036800008</v>
      </c>
      <c r="K445" s="49">
        <f>0</f>
        <v>0</v>
      </c>
      <c r="L445" s="48">
        <f t="shared" si="189"/>
        <v>751.27260368000134</v>
      </c>
      <c r="M445" s="46">
        <f t="shared" si="190"/>
        <v>0.10693419509334506</v>
      </c>
      <c r="N445" s="47">
        <f t="shared" ca="1" si="191"/>
        <v>22.7</v>
      </c>
      <c r="O445" s="46">
        <f t="shared" ca="1" si="192"/>
        <v>5.6529089917186817E-2</v>
      </c>
      <c r="P445" s="47">
        <f t="shared" si="187"/>
        <v>-7025.5599999999995</v>
      </c>
    </row>
    <row r="446" spans="1:16" ht="15.75" x14ac:dyDescent="0.3">
      <c r="A446" s="55" t="s">
        <v>44</v>
      </c>
      <c r="B446" s="50">
        <v>45568</v>
      </c>
      <c r="C446" s="47">
        <f>14948*32%</f>
        <v>4783.3599999999997</v>
      </c>
      <c r="D446" s="47">
        <v>0</v>
      </c>
      <c r="E446" s="48">
        <v>0</v>
      </c>
      <c r="F446" s="48">
        <f t="shared" si="185"/>
        <v>4783.3599999999997</v>
      </c>
      <c r="G446" s="48">
        <f t="shared" si="186"/>
        <v>73.716946994985221</v>
      </c>
      <c r="H446" s="48">
        <f>64.8882</f>
        <v>64.888199999999998</v>
      </c>
      <c r="I446" s="56">
        <v>74.919499999999999</v>
      </c>
      <c r="J446" s="47">
        <f t="shared" si="188"/>
        <v>4861.3914998999999</v>
      </c>
      <c r="K446" s="49">
        <f>0</f>
        <v>0</v>
      </c>
      <c r="L446" s="48">
        <f t="shared" si="189"/>
        <v>78.031499900000199</v>
      </c>
      <c r="M446" s="46">
        <f t="shared" si="190"/>
        <v>1.6313114609814064E-2</v>
      </c>
      <c r="N446" s="47">
        <f t="shared" ca="1" si="191"/>
        <v>21.666666666666668</v>
      </c>
      <c r="O446" s="46">
        <f t="shared" ca="1" si="192"/>
        <v>9.0349557838970192E-3</v>
      </c>
      <c r="P446" s="47">
        <f t="shared" si="187"/>
        <v>-4783.3599999999997</v>
      </c>
    </row>
    <row r="447" spans="1:16" ht="15.75" x14ac:dyDescent="0.3">
      <c r="A447" s="57" t="s">
        <v>43</v>
      </c>
      <c r="B447" s="50">
        <v>45568</v>
      </c>
      <c r="C447" s="47">
        <f>14948*21%</f>
        <v>3139.08</v>
      </c>
      <c r="D447" s="47">
        <v>0</v>
      </c>
      <c r="E447" s="48">
        <v>0</v>
      </c>
      <c r="F447" s="48">
        <f t="shared" si="185"/>
        <v>3139.08</v>
      </c>
      <c r="G447" s="48">
        <f t="shared" si="186"/>
        <v>40.8313301907408</v>
      </c>
      <c r="H447" s="48">
        <f>76.8792</f>
        <v>76.879199999999997</v>
      </c>
      <c r="I447" s="56">
        <v>46.404400000000003</v>
      </c>
      <c r="J447" s="47">
        <f t="shared" si="188"/>
        <v>3567.5331484799999</v>
      </c>
      <c r="K447" s="49">
        <f>0</f>
        <v>0</v>
      </c>
      <c r="L447" s="48">
        <f t="shared" si="189"/>
        <v>428.45314847999998</v>
      </c>
      <c r="M447" s="46">
        <f t="shared" si="190"/>
        <v>0.13649003799839443</v>
      </c>
      <c r="N447" s="47">
        <f t="shared" ca="1" si="191"/>
        <v>21.666666666666668</v>
      </c>
      <c r="O447" s="46">
        <f t="shared" ca="1" si="192"/>
        <v>7.5594482583726141E-2</v>
      </c>
      <c r="P447" s="47">
        <f t="shared" si="187"/>
        <v>-3139.08</v>
      </c>
    </row>
    <row r="448" spans="1:16" ht="15.75" x14ac:dyDescent="0.3">
      <c r="A448" s="57" t="s">
        <v>42</v>
      </c>
      <c r="B448" s="50">
        <v>45568</v>
      </c>
      <c r="C448" s="47">
        <f>14948*47%</f>
        <v>7025.5599999999995</v>
      </c>
      <c r="D448" s="47">
        <v>0</v>
      </c>
      <c r="E448" s="48">
        <v>0</v>
      </c>
      <c r="F448" s="48">
        <f t="shared" si="185"/>
        <v>7025.5599999999995</v>
      </c>
      <c r="G448" s="48">
        <f t="shared" si="186"/>
        <v>35.744117953818716</v>
      </c>
      <c r="H448" s="48">
        <f>196.5515</f>
        <v>196.5515</v>
      </c>
      <c r="I448" s="56">
        <v>38.984900000000003</v>
      </c>
      <c r="J448" s="47">
        <f t="shared" si="188"/>
        <v>7662.5405723500007</v>
      </c>
      <c r="K448" s="49">
        <f>0</f>
        <v>0</v>
      </c>
      <c r="L448" s="48">
        <f t="shared" si="189"/>
        <v>636.98057235000124</v>
      </c>
      <c r="M448" s="46">
        <f t="shared" si="190"/>
        <v>9.0666163601193533E-2</v>
      </c>
      <c r="N448" s="47">
        <f t="shared" ca="1" si="191"/>
        <v>21.666666666666668</v>
      </c>
      <c r="O448" s="46">
        <f t="shared" ca="1" si="192"/>
        <v>5.0215105994507188E-2</v>
      </c>
      <c r="P448" s="47">
        <f t="shared" si="187"/>
        <v>-7025.5599999999995</v>
      </c>
    </row>
    <row r="449" spans="1:16" ht="15.75" x14ac:dyDescent="0.3">
      <c r="A449" s="55" t="s">
        <v>44</v>
      </c>
      <c r="B449" s="50">
        <v>45570</v>
      </c>
      <c r="C449" s="47">
        <f>-12.3</f>
        <v>-12.3</v>
      </c>
      <c r="D449" s="47">
        <v>0</v>
      </c>
      <c r="E449" s="48">
        <v>0</v>
      </c>
      <c r="F449" s="48">
        <f t="shared" ref="F449:F454" si="193">SUM(C449:E449)</f>
        <v>-12.3</v>
      </c>
      <c r="G449" s="48">
        <f t="shared" ref="G449:G454" si="194">F449/H449</f>
        <v>72.997032640949556</v>
      </c>
      <c r="H449" s="48">
        <f>-0.1685</f>
        <v>-0.16850000000000001</v>
      </c>
      <c r="I449" s="56">
        <v>74.919499999999999</v>
      </c>
      <c r="J449" s="47">
        <f t="shared" si="188"/>
        <v>-12.623935750000001</v>
      </c>
      <c r="K449" s="49">
        <f>0</f>
        <v>0</v>
      </c>
      <c r="L449" s="48">
        <f t="shared" si="189"/>
        <v>-0.32393575000000041</v>
      </c>
      <c r="M449" s="46">
        <f t="shared" si="190"/>
        <v>2.6336239837398405E-2</v>
      </c>
      <c r="N449" s="47">
        <f t="shared" ca="1" si="191"/>
        <v>21.6</v>
      </c>
      <c r="O449" s="46">
        <f t="shared" ca="1" si="192"/>
        <v>1.4631244354110222E-2</v>
      </c>
      <c r="P449" s="47">
        <f t="shared" si="187"/>
        <v>12.3</v>
      </c>
    </row>
    <row r="450" spans="1:16" ht="15.75" x14ac:dyDescent="0.3">
      <c r="A450" s="57" t="s">
        <v>43</v>
      </c>
      <c r="B450" s="50">
        <v>45570</v>
      </c>
      <c r="C450" s="47">
        <f>-6.48</f>
        <v>-6.48</v>
      </c>
      <c r="D450" s="47">
        <v>0</v>
      </c>
      <c r="E450" s="48">
        <v>0</v>
      </c>
      <c r="F450" s="48">
        <f t="shared" si="193"/>
        <v>-6.48</v>
      </c>
      <c r="G450" s="48">
        <f t="shared" si="194"/>
        <v>40.806045340050382</v>
      </c>
      <c r="H450" s="48">
        <f>-0.1588</f>
        <v>-0.1588</v>
      </c>
      <c r="I450" s="56">
        <v>46.404400000000003</v>
      </c>
      <c r="J450" s="47">
        <f t="shared" si="188"/>
        <v>-7.3690187200000006</v>
      </c>
      <c r="K450" s="49">
        <f>0</f>
        <v>0</v>
      </c>
      <c r="L450" s="48">
        <f t="shared" si="189"/>
        <v>-0.88901872000000015</v>
      </c>
      <c r="M450" s="46">
        <f t="shared" si="190"/>
        <v>0.13719424691358026</v>
      </c>
      <c r="N450" s="47">
        <f t="shared" ca="1" si="191"/>
        <v>21.6</v>
      </c>
      <c r="O450" s="46">
        <f t="shared" ca="1" si="192"/>
        <v>7.6219026063100132E-2</v>
      </c>
      <c r="P450" s="47">
        <f t="shared" si="187"/>
        <v>6.48</v>
      </c>
    </row>
    <row r="451" spans="1:16" ht="15.75" x14ac:dyDescent="0.3">
      <c r="A451" s="57" t="s">
        <v>42</v>
      </c>
      <c r="B451" s="50">
        <v>45570</v>
      </c>
      <c r="C451" s="47">
        <f>-14.85</f>
        <v>-14.85</v>
      </c>
      <c r="D451" s="47">
        <v>0</v>
      </c>
      <c r="E451" s="48">
        <v>0</v>
      </c>
      <c r="F451" s="48">
        <f t="shared" si="193"/>
        <v>-14.85</v>
      </c>
      <c r="G451" s="48">
        <f t="shared" si="194"/>
        <v>35.585909417685116</v>
      </c>
      <c r="H451" s="48">
        <f>-0.4173</f>
        <v>-0.4173</v>
      </c>
      <c r="I451" s="56">
        <v>38.984900000000003</v>
      </c>
      <c r="J451" s="47">
        <f t="shared" si="188"/>
        <v>-16.268398770000001</v>
      </c>
      <c r="K451" s="49">
        <f>0</f>
        <v>0</v>
      </c>
      <c r="L451" s="48">
        <f t="shared" si="189"/>
        <v>-1.4183987700000014</v>
      </c>
      <c r="M451" s="46">
        <f t="shared" si="190"/>
        <v>9.5515068686868779E-2</v>
      </c>
      <c r="N451" s="47">
        <f t="shared" ca="1" si="191"/>
        <v>21.6</v>
      </c>
      <c r="O451" s="46">
        <f t="shared" ca="1" si="192"/>
        <v>5.3063927048260434E-2</v>
      </c>
      <c r="P451" s="47">
        <f t="shared" si="187"/>
        <v>14.85</v>
      </c>
    </row>
    <row r="452" spans="1:16" ht="15.75" x14ac:dyDescent="0.3">
      <c r="A452" s="55" t="s">
        <v>44</v>
      </c>
      <c r="B452" s="50">
        <v>45589</v>
      </c>
      <c r="C452" s="47">
        <f>-157454.62</f>
        <v>-157454.62</v>
      </c>
      <c r="D452" s="47">
        <v>0</v>
      </c>
      <c r="E452" s="48">
        <v>0</v>
      </c>
      <c r="F452" s="48">
        <f t="shared" si="193"/>
        <v>-157454.62</v>
      </c>
      <c r="G452" s="48">
        <f t="shared" si="194"/>
        <v>71.03189556574128</v>
      </c>
      <c r="H452" s="48">
        <f>-2216.6749</f>
        <v>-2216.6749</v>
      </c>
      <c r="I452" s="56">
        <v>74.919499999999999</v>
      </c>
      <c r="J452" s="47">
        <f t="shared" si="188"/>
        <v>-166072.17517055001</v>
      </c>
      <c r="K452" s="49">
        <f>0</f>
        <v>0</v>
      </c>
      <c r="L452" s="48">
        <f t="shared" si="189"/>
        <v>-8617.5551705500111</v>
      </c>
      <c r="M452" s="46">
        <f t="shared" si="190"/>
        <v>5.4730405310114187E-2</v>
      </c>
      <c r="N452" s="47">
        <f t="shared" ca="1" si="191"/>
        <v>20.966666666666665</v>
      </c>
      <c r="O452" s="46">
        <f t="shared" ca="1" si="192"/>
        <v>3.1324238333292696E-2</v>
      </c>
      <c r="P452" s="47">
        <f t="shared" si="187"/>
        <v>157454.62</v>
      </c>
    </row>
    <row r="453" spans="1:16" ht="15.75" x14ac:dyDescent="0.3">
      <c r="A453" s="57" t="s">
        <v>43</v>
      </c>
      <c r="B453" s="50">
        <v>45589</v>
      </c>
      <c r="C453" s="47">
        <f>13309.64</f>
        <v>13309.64</v>
      </c>
      <c r="D453" s="47">
        <v>0</v>
      </c>
      <c r="E453" s="48">
        <v>0</v>
      </c>
      <c r="F453" s="48">
        <f t="shared" si="193"/>
        <v>13309.64</v>
      </c>
      <c r="G453" s="48">
        <f t="shared" si="194"/>
        <v>41.057808551915777</v>
      </c>
      <c r="H453" s="48">
        <f>324.1683</f>
        <v>324.16829999999999</v>
      </c>
      <c r="I453" s="56">
        <v>46.404400000000003</v>
      </c>
      <c r="J453" s="47">
        <f t="shared" si="188"/>
        <v>15042.83546052</v>
      </c>
      <c r="K453" s="49">
        <f>0</f>
        <v>0</v>
      </c>
      <c r="L453" s="48">
        <f t="shared" si="189"/>
        <v>1733.1954605200008</v>
      </c>
      <c r="M453" s="46">
        <f t="shared" si="190"/>
        <v>0.1302210623668259</v>
      </c>
      <c r="N453" s="47">
        <f t="shared" ca="1" si="191"/>
        <v>20.966666666666665</v>
      </c>
      <c r="O453" s="46">
        <f t="shared" ca="1" si="192"/>
        <v>7.4530337761617368E-2</v>
      </c>
      <c r="P453" s="47">
        <f t="shared" si="187"/>
        <v>-13309.64</v>
      </c>
    </row>
    <row r="454" spans="1:16" ht="15.75" x14ac:dyDescent="0.3">
      <c r="A454" s="57" t="s">
        <v>42</v>
      </c>
      <c r="B454" s="50">
        <v>45589</v>
      </c>
      <c r="C454" s="47">
        <f>144144.98</f>
        <v>144144.98000000001</v>
      </c>
      <c r="D454" s="47">
        <v>0</v>
      </c>
      <c r="E454" s="48">
        <v>0</v>
      </c>
      <c r="F454" s="48">
        <f t="shared" si="193"/>
        <v>144144.98000000001</v>
      </c>
      <c r="G454" s="48">
        <f t="shared" si="194"/>
        <v>35.654900683853398</v>
      </c>
      <c r="H454" s="48">
        <f>4042.7817</f>
        <v>4042.7817</v>
      </c>
      <c r="I454" s="56">
        <v>38.984900000000003</v>
      </c>
      <c r="J454" s="47">
        <f t="shared" si="188"/>
        <v>157607.44029633002</v>
      </c>
      <c r="K454" s="49">
        <f>0</f>
        <v>0</v>
      </c>
      <c r="L454" s="48">
        <f t="shared" si="189"/>
        <v>13462.460296330013</v>
      </c>
      <c r="M454" s="46">
        <f t="shared" si="190"/>
        <v>9.339527672992852E-2</v>
      </c>
      <c r="N454" s="47">
        <f t="shared" ca="1" si="191"/>
        <v>20.966666666666665</v>
      </c>
      <c r="O454" s="46">
        <f t="shared" ca="1" si="192"/>
        <v>5.3453576506795338E-2</v>
      </c>
      <c r="P454" s="47">
        <f t="shared" si="187"/>
        <v>-144144.98000000001</v>
      </c>
    </row>
    <row r="455" spans="1:16" ht="15.75" x14ac:dyDescent="0.3">
      <c r="A455" s="55" t="s">
        <v>44</v>
      </c>
      <c r="B455" s="50">
        <v>45600</v>
      </c>
      <c r="C455" s="47">
        <f>14948*30%</f>
        <v>4484.3999999999996</v>
      </c>
      <c r="D455" s="47">
        <v>0</v>
      </c>
      <c r="E455" s="48">
        <v>0</v>
      </c>
      <c r="F455" s="48">
        <f t="shared" ref="F455:F499" si="195">SUM(C455:E455)</f>
        <v>4484.3999999999996</v>
      </c>
      <c r="G455" s="48">
        <f t="shared" ref="G455:G499" si="196">F455/H455</f>
        <v>70.298097543234789</v>
      </c>
      <c r="H455" s="48">
        <f>63.7912</f>
        <v>63.791200000000003</v>
      </c>
      <c r="I455" s="56">
        <v>74.919499999999999</v>
      </c>
      <c r="J455" s="47">
        <f t="shared" si="188"/>
        <v>4779.2048083999998</v>
      </c>
      <c r="K455" s="49">
        <f>0</f>
        <v>0</v>
      </c>
      <c r="L455" s="48">
        <f t="shared" si="189"/>
        <v>294.80480840000018</v>
      </c>
      <c r="M455" s="46">
        <f t="shared" si="190"/>
        <v>6.5740078583534076E-2</v>
      </c>
      <c r="N455" s="47">
        <f t="shared" ca="1" si="191"/>
        <v>20.633333333333333</v>
      </c>
      <c r="O455" s="46">
        <f t="shared" ca="1" si="192"/>
        <v>3.8233325185900266E-2</v>
      </c>
      <c r="P455" s="47">
        <f t="shared" si="187"/>
        <v>-4484.3999999999996</v>
      </c>
    </row>
    <row r="456" spans="1:16" ht="15.75" x14ac:dyDescent="0.3">
      <c r="A456" s="57" t="s">
        <v>43</v>
      </c>
      <c r="B456" s="50">
        <v>45600</v>
      </c>
      <c r="C456" s="47">
        <f>14948*20%</f>
        <v>2989.6000000000004</v>
      </c>
      <c r="D456" s="47">
        <v>0</v>
      </c>
      <c r="E456" s="48">
        <v>0</v>
      </c>
      <c r="F456" s="48">
        <f t="shared" si="195"/>
        <v>2989.6000000000004</v>
      </c>
      <c r="G456" s="48">
        <f t="shared" si="196"/>
        <v>41.133453952573255</v>
      </c>
      <c r="H456" s="48">
        <f>72.6805</f>
        <v>72.680499999999995</v>
      </c>
      <c r="I456" s="56">
        <v>46.404400000000003</v>
      </c>
      <c r="J456" s="47">
        <f t="shared" si="188"/>
        <v>3372.6949942000001</v>
      </c>
      <c r="K456" s="49">
        <f>0</f>
        <v>0</v>
      </c>
      <c r="L456" s="48">
        <f t="shared" si="189"/>
        <v>383.09499419999975</v>
      </c>
      <c r="M456" s="46">
        <f t="shared" si="190"/>
        <v>0.12814255893765042</v>
      </c>
      <c r="N456" s="47">
        <f t="shared" ca="1" si="191"/>
        <v>20.633333333333333</v>
      </c>
      <c r="O456" s="46">
        <f t="shared" ca="1" si="192"/>
        <v>7.4525559317534976E-2</v>
      </c>
      <c r="P456" s="47">
        <f t="shared" si="187"/>
        <v>-2989.6000000000004</v>
      </c>
    </row>
    <row r="457" spans="1:16" ht="15.75" x14ac:dyDescent="0.3">
      <c r="A457" s="57" t="s">
        <v>42</v>
      </c>
      <c r="B457" s="50">
        <v>45600</v>
      </c>
      <c r="C457" s="47">
        <f>14948*50%</f>
        <v>7474</v>
      </c>
      <c r="D457" s="47">
        <v>0</v>
      </c>
      <c r="E457" s="48">
        <v>0</v>
      </c>
      <c r="F457" s="48">
        <f t="shared" si="195"/>
        <v>7474</v>
      </c>
      <c r="G457" s="48">
        <f t="shared" si="196"/>
        <v>35.765403073795689</v>
      </c>
      <c r="H457" s="48">
        <f>208.9729</f>
        <v>208.97290000000001</v>
      </c>
      <c r="I457" s="56">
        <v>38.984900000000003</v>
      </c>
      <c r="J457" s="47">
        <f t="shared" si="188"/>
        <v>8146.7876092100014</v>
      </c>
      <c r="K457" s="49">
        <f>0</f>
        <v>0</v>
      </c>
      <c r="L457" s="48">
        <f t="shared" si="189"/>
        <v>672.78760921000139</v>
      </c>
      <c r="M457" s="46">
        <f t="shared" si="190"/>
        <v>9.0017073750334672E-2</v>
      </c>
      <c r="N457" s="47">
        <f t="shared" ca="1" si="191"/>
        <v>20.633333333333333</v>
      </c>
      <c r="O457" s="46">
        <f t="shared" ca="1" si="192"/>
        <v>5.2352417690016931E-2</v>
      </c>
      <c r="P457" s="47">
        <f t="shared" si="187"/>
        <v>-7474</v>
      </c>
    </row>
    <row r="458" spans="1:16" ht="15.75" x14ac:dyDescent="0.3">
      <c r="A458" s="55" t="s">
        <v>44</v>
      </c>
      <c r="B458" s="50">
        <v>45629</v>
      </c>
      <c r="C458" s="47">
        <f>14948*30%</f>
        <v>4484.3999999999996</v>
      </c>
      <c r="D458" s="47">
        <v>0</v>
      </c>
      <c r="E458" s="48">
        <v>0</v>
      </c>
      <c r="F458" s="48">
        <f t="shared" si="195"/>
        <v>4484.3999999999996</v>
      </c>
      <c r="G458" s="48">
        <f t="shared" si="196"/>
        <v>72.145178416293959</v>
      </c>
      <c r="H458" s="48">
        <f>62.158</f>
        <v>62.158000000000001</v>
      </c>
      <c r="I458" s="56">
        <v>74.919499999999999</v>
      </c>
      <c r="J458" s="47">
        <f t="shared" si="188"/>
        <v>4656.8462810000001</v>
      </c>
      <c r="K458" s="49">
        <f>0</f>
        <v>0</v>
      </c>
      <c r="L458" s="48">
        <f t="shared" si="189"/>
        <v>172.44628100000045</v>
      </c>
      <c r="M458" s="46">
        <f t="shared" si="190"/>
        <v>3.8454705423245132E-2</v>
      </c>
      <c r="N458" s="47">
        <f t="shared" ca="1" si="191"/>
        <v>19.666666666666668</v>
      </c>
      <c r="O458" s="46">
        <f t="shared" ca="1" si="192"/>
        <v>2.3463888054861434E-2</v>
      </c>
      <c r="P458" s="47">
        <f t="shared" si="187"/>
        <v>-4484.3999999999996</v>
      </c>
    </row>
    <row r="459" spans="1:16" ht="15.75" x14ac:dyDescent="0.3">
      <c r="A459" s="57" t="s">
        <v>43</v>
      </c>
      <c r="B459" s="50">
        <v>45629</v>
      </c>
      <c r="C459" s="47">
        <f>14948*20%</f>
        <v>2989.6000000000004</v>
      </c>
      <c r="D459" s="47">
        <v>0</v>
      </c>
      <c r="E459" s="48">
        <v>0</v>
      </c>
      <c r="F459" s="48">
        <f t="shared" si="195"/>
        <v>2989.6000000000004</v>
      </c>
      <c r="G459" s="48">
        <f t="shared" si="196"/>
        <v>41.417642674469192</v>
      </c>
      <c r="H459" s="48">
        <f>72.1818</f>
        <v>72.181799999999996</v>
      </c>
      <c r="I459" s="56">
        <v>46.404400000000003</v>
      </c>
      <c r="J459" s="47">
        <f t="shared" si="188"/>
        <v>3349.55311992</v>
      </c>
      <c r="K459" s="49">
        <f>0</f>
        <v>0</v>
      </c>
      <c r="L459" s="48">
        <f t="shared" si="189"/>
        <v>359.95311991999961</v>
      </c>
      <c r="M459" s="46">
        <f t="shared" si="190"/>
        <v>0.12040176609579863</v>
      </c>
      <c r="N459" s="47">
        <f t="shared" ca="1" si="191"/>
        <v>19.666666666666668</v>
      </c>
      <c r="O459" s="46">
        <f t="shared" ca="1" si="192"/>
        <v>7.3465484397436442E-2</v>
      </c>
      <c r="P459" s="47">
        <f t="shared" si="187"/>
        <v>-2989.6000000000004</v>
      </c>
    </row>
    <row r="460" spans="1:16" ht="15.75" x14ac:dyDescent="0.3">
      <c r="A460" s="57" t="s">
        <v>42</v>
      </c>
      <c r="B460" s="50">
        <v>45629</v>
      </c>
      <c r="C460" s="47">
        <f>14948*50%</f>
        <v>7474</v>
      </c>
      <c r="D460" s="47">
        <v>0</v>
      </c>
      <c r="E460" s="48">
        <v>0</v>
      </c>
      <c r="F460" s="48">
        <f t="shared" si="195"/>
        <v>7474</v>
      </c>
      <c r="G460" s="48">
        <f t="shared" si="196"/>
        <v>35.982306372440462</v>
      </c>
      <c r="H460" s="48">
        <f>207.7132</f>
        <v>207.7132</v>
      </c>
      <c r="I460" s="56">
        <v>38.984900000000003</v>
      </c>
      <c r="J460" s="47">
        <f t="shared" si="188"/>
        <v>8097.6783306800007</v>
      </c>
      <c r="K460" s="49">
        <f>0</f>
        <v>0</v>
      </c>
      <c r="L460" s="48">
        <f t="shared" si="189"/>
        <v>623.67833068000073</v>
      </c>
      <c r="M460" s="46">
        <f t="shared" si="190"/>
        <v>8.3446391581482565E-2</v>
      </c>
      <c r="N460" s="47">
        <f t="shared" ca="1" si="191"/>
        <v>19.666666666666668</v>
      </c>
      <c r="O460" s="46">
        <f t="shared" ca="1" si="192"/>
        <v>5.0916442320904608E-2</v>
      </c>
      <c r="P460" s="47">
        <f t="shared" si="187"/>
        <v>-7474</v>
      </c>
    </row>
    <row r="461" spans="1:16" ht="15.75" x14ac:dyDescent="0.3">
      <c r="A461" s="55" t="s">
        <v>44</v>
      </c>
      <c r="B461" s="50">
        <v>45635</v>
      </c>
      <c r="C461" s="47">
        <f>50000*30%</f>
        <v>15000</v>
      </c>
      <c r="D461" s="47">
        <v>0</v>
      </c>
      <c r="E461" s="48">
        <v>0</v>
      </c>
      <c r="F461" s="48">
        <f t="shared" si="195"/>
        <v>15000</v>
      </c>
      <c r="G461" s="48">
        <f t="shared" si="196"/>
        <v>72.89313332105489</v>
      </c>
      <c r="H461" s="48">
        <f>205.7807</f>
        <v>205.7807</v>
      </c>
      <c r="I461" s="56">
        <v>74.919499999999999</v>
      </c>
      <c r="J461" s="47">
        <f t="shared" si="188"/>
        <v>15416.98715365</v>
      </c>
      <c r="K461" s="49">
        <f>0</f>
        <v>0</v>
      </c>
      <c r="L461" s="48">
        <f t="shared" si="189"/>
        <v>416.98715364999953</v>
      </c>
      <c r="M461" s="46">
        <f t="shared" si="190"/>
        <v>2.7799143576666636E-2</v>
      </c>
      <c r="N461" s="47">
        <f t="shared" ca="1" si="191"/>
        <v>19.466666666666665</v>
      </c>
      <c r="O461" s="46">
        <f t="shared" ca="1" si="192"/>
        <v>1.7136458369178067E-2</v>
      </c>
      <c r="P461" s="47">
        <f t="shared" si="187"/>
        <v>-15000</v>
      </c>
    </row>
    <row r="462" spans="1:16" ht="15.75" x14ac:dyDescent="0.3">
      <c r="A462" s="57" t="s">
        <v>43</v>
      </c>
      <c r="B462" s="50">
        <v>45635</v>
      </c>
      <c r="C462" s="47">
        <f>50000*20%</f>
        <v>10000</v>
      </c>
      <c r="D462" s="47">
        <v>0</v>
      </c>
      <c r="E462" s="48">
        <v>0</v>
      </c>
      <c r="F462" s="48">
        <f t="shared" si="195"/>
        <v>10000</v>
      </c>
      <c r="G462" s="48">
        <f t="shared" si="196"/>
        <v>41.467003046995387</v>
      </c>
      <c r="H462" s="48">
        <f>241.1556</f>
        <v>241.15559999999999</v>
      </c>
      <c r="I462" s="56">
        <v>46.404400000000003</v>
      </c>
      <c r="J462" s="47">
        <f t="shared" si="188"/>
        <v>11190.680924640001</v>
      </c>
      <c r="K462" s="49">
        <f>0</f>
        <v>0</v>
      </c>
      <c r="L462" s="48">
        <f t="shared" si="189"/>
        <v>1190.6809246400007</v>
      </c>
      <c r="M462" s="46">
        <f t="shared" si="190"/>
        <v>0.11906809246400007</v>
      </c>
      <c r="N462" s="47">
        <f t="shared" ca="1" si="191"/>
        <v>19.466666666666665</v>
      </c>
      <c r="O462" s="46">
        <f t="shared" ca="1" si="192"/>
        <v>7.3398139190137032E-2</v>
      </c>
      <c r="P462" s="47">
        <f t="shared" si="187"/>
        <v>-10000</v>
      </c>
    </row>
    <row r="463" spans="1:16" ht="15.75" x14ac:dyDescent="0.3">
      <c r="A463" s="57" t="s">
        <v>42</v>
      </c>
      <c r="B463" s="50">
        <v>45635</v>
      </c>
      <c r="C463" s="47">
        <f>50000*50%</f>
        <v>25000</v>
      </c>
      <c r="D463" s="47">
        <v>0</v>
      </c>
      <c r="E463" s="48">
        <v>0</v>
      </c>
      <c r="F463" s="48">
        <f t="shared" si="195"/>
        <v>25000</v>
      </c>
      <c r="G463" s="48">
        <f t="shared" si="196"/>
        <v>36.043101782835983</v>
      </c>
      <c r="H463" s="48">
        <f>693.614</f>
        <v>693.61400000000003</v>
      </c>
      <c r="I463" s="56">
        <v>38.984900000000003</v>
      </c>
      <c r="J463" s="47">
        <f t="shared" si="188"/>
        <v>27040.472428600002</v>
      </c>
      <c r="K463" s="49">
        <f>0</f>
        <v>0</v>
      </c>
      <c r="L463" s="48">
        <f t="shared" si="189"/>
        <v>2040.4724286000019</v>
      </c>
      <c r="M463" s="46">
        <f t="shared" si="190"/>
        <v>8.1618897144000072E-2</v>
      </c>
      <c r="N463" s="47">
        <f t="shared" ca="1" si="191"/>
        <v>19.466666666666665</v>
      </c>
      <c r="O463" s="46">
        <f t="shared" ca="1" si="192"/>
        <v>5.0313018787397308E-2</v>
      </c>
      <c r="P463" s="47">
        <f t="shared" si="187"/>
        <v>-25000</v>
      </c>
    </row>
    <row r="464" spans="1:16" ht="15.75" x14ac:dyDescent="0.3">
      <c r="A464" s="55" t="s">
        <v>44</v>
      </c>
      <c r="B464" s="50">
        <v>45659</v>
      </c>
      <c r="C464" s="47">
        <f>14948*30%</f>
        <v>4484.3999999999996</v>
      </c>
      <c r="D464" s="47">
        <v>0</v>
      </c>
      <c r="E464" s="48">
        <v>0</v>
      </c>
      <c r="F464" s="48">
        <f t="shared" si="195"/>
        <v>4484.3999999999996</v>
      </c>
      <c r="G464" s="48">
        <f t="shared" si="196"/>
        <v>72.236290182282104</v>
      </c>
      <c r="H464" s="48">
        <f>62.0796</f>
        <v>62.079599999999999</v>
      </c>
      <c r="I464" s="56">
        <v>74.919499999999999</v>
      </c>
      <c r="J464" s="47">
        <f t="shared" si="188"/>
        <v>4650.9725921999998</v>
      </c>
      <c r="K464" s="49">
        <f>0</f>
        <v>0</v>
      </c>
      <c r="L464" s="48">
        <f t="shared" si="189"/>
        <v>166.57259220000014</v>
      </c>
      <c r="M464" s="46">
        <f t="shared" si="190"/>
        <v>3.7144900588707556E-2</v>
      </c>
      <c r="N464" s="47">
        <f t="shared" ca="1" si="191"/>
        <v>18.7</v>
      </c>
      <c r="O464" s="46">
        <f t="shared" ca="1" si="192"/>
        <v>2.3836299843020891E-2</v>
      </c>
      <c r="P464" s="47">
        <f t="shared" si="187"/>
        <v>-4484.3999999999996</v>
      </c>
    </row>
    <row r="465" spans="1:16" ht="15.75" x14ac:dyDescent="0.3">
      <c r="A465" s="57" t="s">
        <v>43</v>
      </c>
      <c r="B465" s="50">
        <v>45659</v>
      </c>
      <c r="C465" s="47">
        <f>14948*20%</f>
        <v>2989.6000000000004</v>
      </c>
      <c r="D465" s="47">
        <v>0</v>
      </c>
      <c r="E465" s="48">
        <v>0</v>
      </c>
      <c r="F465" s="48">
        <f t="shared" si="195"/>
        <v>2989.6000000000004</v>
      </c>
      <c r="G465" s="48">
        <f t="shared" si="196"/>
        <v>41.706309237160696</v>
      </c>
      <c r="H465" s="48">
        <f>71.6822</f>
        <v>71.682199999999995</v>
      </c>
      <c r="I465" s="56">
        <v>46.404400000000003</v>
      </c>
      <c r="J465" s="47">
        <f t="shared" si="188"/>
        <v>3326.3694816799998</v>
      </c>
      <c r="K465" s="49">
        <f>0</f>
        <v>0</v>
      </c>
      <c r="L465" s="48">
        <f t="shared" si="189"/>
        <v>336.76948167999944</v>
      </c>
      <c r="M465" s="46">
        <f t="shared" si="190"/>
        <v>0.11264700350548548</v>
      </c>
      <c r="N465" s="47">
        <f t="shared" ca="1" si="191"/>
        <v>18.7</v>
      </c>
      <c r="O465" s="46">
        <f t="shared" ca="1" si="192"/>
        <v>7.2286847169295496E-2</v>
      </c>
      <c r="P465" s="47">
        <f t="shared" si="187"/>
        <v>-2989.6000000000004</v>
      </c>
    </row>
    <row r="466" spans="1:16" ht="15.75" x14ac:dyDescent="0.3">
      <c r="A466" s="57" t="s">
        <v>42</v>
      </c>
      <c r="B466" s="50">
        <v>45659</v>
      </c>
      <c r="C466" s="47">
        <f>14948*50%</f>
        <v>7474</v>
      </c>
      <c r="D466" s="47">
        <v>0</v>
      </c>
      <c r="E466" s="48">
        <v>0</v>
      </c>
      <c r="F466" s="48">
        <f t="shared" si="195"/>
        <v>7474</v>
      </c>
      <c r="G466" s="48">
        <f t="shared" si="196"/>
        <v>36.122753564910759</v>
      </c>
      <c r="H466" s="48">
        <f>206.9056</f>
        <v>206.90559999999999</v>
      </c>
      <c r="I466" s="56">
        <v>38.984900000000003</v>
      </c>
      <c r="J466" s="47">
        <f t="shared" si="188"/>
        <v>8066.1941254400008</v>
      </c>
      <c r="K466" s="49">
        <f>0</f>
        <v>0</v>
      </c>
      <c r="L466" s="48">
        <f t="shared" si="189"/>
        <v>592.19412544000079</v>
      </c>
      <c r="M466" s="46">
        <f t="shared" si="190"/>
        <v>7.923389422531453E-2</v>
      </c>
      <c r="N466" s="47">
        <f t="shared" ca="1" si="191"/>
        <v>18.7</v>
      </c>
      <c r="O466" s="46">
        <f t="shared" ca="1" si="192"/>
        <v>5.0845279716779379E-2</v>
      </c>
      <c r="P466" s="47">
        <f t="shared" si="187"/>
        <v>-7474</v>
      </c>
    </row>
    <row r="467" spans="1:16" ht="15.75" x14ac:dyDescent="0.3">
      <c r="A467" s="55" t="s">
        <v>44</v>
      </c>
      <c r="B467" s="50">
        <v>45668</v>
      </c>
      <c r="C467" s="47">
        <f>-12.72</f>
        <v>-12.72</v>
      </c>
      <c r="D467" s="47">
        <v>0</v>
      </c>
      <c r="E467" s="48">
        <v>0</v>
      </c>
      <c r="F467" s="48">
        <f t="shared" si="195"/>
        <v>-12.72</v>
      </c>
      <c r="G467" s="48">
        <f t="shared" si="196"/>
        <v>71.702367531003389</v>
      </c>
      <c r="H467" s="48">
        <f>-0.1774</f>
        <v>-0.1774</v>
      </c>
      <c r="I467" s="56">
        <v>74.919499999999999</v>
      </c>
      <c r="J467" s="47">
        <f t="shared" ref="J467:J469" si="197">PRODUCT(H467:I467)</f>
        <v>-13.290719299999999</v>
      </c>
      <c r="K467" s="49">
        <f>0</f>
        <v>0</v>
      </c>
      <c r="L467" s="48">
        <f t="shared" ref="L467:L469" si="198">SUM(-F467,J467)+K467</f>
        <v>-0.5707192999999986</v>
      </c>
      <c r="M467" s="46">
        <f t="shared" ref="M467:M469" si="199">L467/F467</f>
        <v>4.4867869496855235E-2</v>
      </c>
      <c r="N467" s="47">
        <f t="shared" ref="N467:N469" ca="1" si="200">(DAYS360(B467,NOW(),TRUE))/30</f>
        <v>18.399999999999999</v>
      </c>
      <c r="O467" s="46">
        <f t="shared" ref="O467:O469" ca="1" si="201">M467*12/N467</f>
        <v>2.9261654019688201E-2</v>
      </c>
      <c r="P467" s="47">
        <f t="shared" ref="P467:P469" si="202">-F467</f>
        <v>12.72</v>
      </c>
    </row>
    <row r="468" spans="1:16" ht="15.75" x14ac:dyDescent="0.3">
      <c r="A468" s="57" t="s">
        <v>43</v>
      </c>
      <c r="B468" s="50">
        <v>45668</v>
      </c>
      <c r="C468" s="47">
        <f>-8.53</f>
        <v>-8.5299999999999994</v>
      </c>
      <c r="D468" s="47">
        <v>0</v>
      </c>
      <c r="E468" s="48">
        <v>0</v>
      </c>
      <c r="F468" s="48">
        <f t="shared" si="195"/>
        <v>-8.5299999999999994</v>
      </c>
      <c r="G468" s="48">
        <f t="shared" si="196"/>
        <v>41.630063445583211</v>
      </c>
      <c r="H468" s="48">
        <f>-0.2049</f>
        <v>-0.2049</v>
      </c>
      <c r="I468" s="56">
        <v>46.404400000000003</v>
      </c>
      <c r="J468" s="47">
        <f t="shared" si="197"/>
        <v>-9.5082615600000011</v>
      </c>
      <c r="K468" s="49">
        <f>0</f>
        <v>0</v>
      </c>
      <c r="L468" s="48">
        <f t="shared" si="198"/>
        <v>-0.97826156000000175</v>
      </c>
      <c r="M468" s="46">
        <f t="shared" si="199"/>
        <v>0.11468482532239177</v>
      </c>
      <c r="N468" s="47">
        <f t="shared" ca="1" si="200"/>
        <v>18.399999999999999</v>
      </c>
      <c r="O468" s="46">
        <f t="shared" ca="1" si="201"/>
        <v>7.4794451297212031E-2</v>
      </c>
      <c r="P468" s="47">
        <f t="shared" si="202"/>
        <v>8.5299999999999994</v>
      </c>
    </row>
    <row r="469" spans="1:16" ht="15.75" x14ac:dyDescent="0.3">
      <c r="A469" s="57" t="s">
        <v>42</v>
      </c>
      <c r="B469" s="50">
        <v>45668</v>
      </c>
      <c r="C469" s="47">
        <f>-21.23</f>
        <v>-21.23</v>
      </c>
      <c r="D469" s="47">
        <v>0</v>
      </c>
      <c r="E469" s="48">
        <v>0</v>
      </c>
      <c r="F469" s="48">
        <f t="shared" si="195"/>
        <v>-21.23</v>
      </c>
      <c r="G469" s="48">
        <f t="shared" si="196"/>
        <v>36.056385869565219</v>
      </c>
      <c r="H469" s="48">
        <f>-0.5888</f>
        <v>-0.58879999999999999</v>
      </c>
      <c r="I469" s="56">
        <v>38.984900000000003</v>
      </c>
      <c r="J469" s="47">
        <f t="shared" si="197"/>
        <v>-22.954309120000001</v>
      </c>
      <c r="K469" s="49">
        <f>0</f>
        <v>0</v>
      </c>
      <c r="L469" s="48">
        <f t="shared" si="198"/>
        <v>-1.7243091200000009</v>
      </c>
      <c r="M469" s="46">
        <f t="shared" si="199"/>
        <v>8.1220401318888413E-2</v>
      </c>
      <c r="N469" s="47">
        <f t="shared" ca="1" si="200"/>
        <v>18.399999999999999</v>
      </c>
      <c r="O469" s="46">
        <f t="shared" ca="1" si="201"/>
        <v>5.2969826947101145E-2</v>
      </c>
      <c r="P469" s="47">
        <f t="shared" si="202"/>
        <v>21.23</v>
      </c>
    </row>
    <row r="470" spans="1:16" ht="15.75" x14ac:dyDescent="0.3">
      <c r="A470" s="55" t="s">
        <v>44</v>
      </c>
      <c r="B470" s="50">
        <v>45691</v>
      </c>
      <c r="C470" s="47">
        <f>14948*30%</f>
        <v>4484.3999999999996</v>
      </c>
      <c r="D470" s="47">
        <v>0</v>
      </c>
      <c r="E470" s="48">
        <v>0</v>
      </c>
      <c r="F470" s="48">
        <f t="shared" si="195"/>
        <v>4484.3999999999996</v>
      </c>
      <c r="G470" s="48">
        <f t="shared" si="196"/>
        <v>67.529127244307446</v>
      </c>
      <c r="H470" s="48">
        <f>66.4069</f>
        <v>66.406899999999993</v>
      </c>
      <c r="I470" s="56">
        <v>74.919499999999999</v>
      </c>
      <c r="J470" s="47">
        <f t="shared" si="188"/>
        <v>4975.1717445499999</v>
      </c>
      <c r="K470" s="49">
        <f>0</f>
        <v>0</v>
      </c>
      <c r="L470" s="48">
        <f t="shared" si="189"/>
        <v>490.77174455000022</v>
      </c>
      <c r="M470" s="46">
        <f t="shared" si="190"/>
        <v>0.10943977891133713</v>
      </c>
      <c r="N470" s="47">
        <f t="shared" ca="1" si="191"/>
        <v>17.666666666666668</v>
      </c>
      <c r="O470" s="46">
        <f t="shared" ca="1" si="192"/>
        <v>7.4336453600153507E-2</v>
      </c>
      <c r="P470" s="47">
        <f t="shared" si="187"/>
        <v>-4484.3999999999996</v>
      </c>
    </row>
    <row r="471" spans="1:16" ht="15.75" x14ac:dyDescent="0.3">
      <c r="A471" s="57" t="s">
        <v>43</v>
      </c>
      <c r="B471" s="50">
        <v>45691</v>
      </c>
      <c r="C471" s="47">
        <f>14948*20%</f>
        <v>2989.6000000000004</v>
      </c>
      <c r="D471" s="47">
        <v>0</v>
      </c>
      <c r="E471" s="48">
        <v>0</v>
      </c>
      <c r="F471" s="48">
        <f t="shared" si="195"/>
        <v>2989.6000000000004</v>
      </c>
      <c r="G471" s="48">
        <f t="shared" si="196"/>
        <v>41.910534970539551</v>
      </c>
      <c r="H471" s="48">
        <f>71.3329</f>
        <v>71.332899999999995</v>
      </c>
      <c r="I471" s="56">
        <v>46.404400000000003</v>
      </c>
      <c r="J471" s="47">
        <f t="shared" si="188"/>
        <v>3310.1604247599998</v>
      </c>
      <c r="K471" s="49">
        <f>0</f>
        <v>0</v>
      </c>
      <c r="L471" s="48">
        <f t="shared" si="189"/>
        <v>320.56042475999948</v>
      </c>
      <c r="M471" s="46">
        <f t="shared" si="190"/>
        <v>0.10722518890821496</v>
      </c>
      <c r="N471" s="47">
        <f t="shared" ca="1" si="191"/>
        <v>17.666666666666668</v>
      </c>
      <c r="O471" s="46">
        <f t="shared" ca="1" si="192"/>
        <v>7.2832203786712041E-2</v>
      </c>
      <c r="P471" s="47">
        <f t="shared" si="187"/>
        <v>-2989.6000000000004</v>
      </c>
    </row>
    <row r="472" spans="1:16" ht="15.75" x14ac:dyDescent="0.3">
      <c r="A472" s="57" t="s">
        <v>42</v>
      </c>
      <c r="B472" s="50">
        <v>45691</v>
      </c>
      <c r="C472" s="47">
        <f>14948*50%</f>
        <v>7474</v>
      </c>
      <c r="D472" s="47">
        <v>0</v>
      </c>
      <c r="E472" s="48">
        <v>0</v>
      </c>
      <c r="F472" s="48">
        <f t="shared" si="195"/>
        <v>7474</v>
      </c>
      <c r="G472" s="48">
        <f t="shared" si="196"/>
        <v>36.343513796336282</v>
      </c>
      <c r="H472" s="48">
        <f>205.6488</f>
        <v>205.64879999999999</v>
      </c>
      <c r="I472" s="56">
        <v>38.984900000000003</v>
      </c>
      <c r="J472" s="47">
        <f t="shared" si="188"/>
        <v>8017.1979031200008</v>
      </c>
      <c r="K472" s="49">
        <f>0</f>
        <v>0</v>
      </c>
      <c r="L472" s="48">
        <f t="shared" si="189"/>
        <v>543.19790312000077</v>
      </c>
      <c r="M472" s="46">
        <f t="shared" si="190"/>
        <v>7.2678338656676583E-2</v>
      </c>
      <c r="N472" s="47">
        <f t="shared" ca="1" si="191"/>
        <v>17.666666666666668</v>
      </c>
      <c r="O472" s="46">
        <f t="shared" ca="1" si="192"/>
        <v>4.9366418710195412E-2</v>
      </c>
      <c r="P472" s="47">
        <f t="shared" si="187"/>
        <v>-7474</v>
      </c>
    </row>
    <row r="473" spans="1:16" ht="15.75" x14ac:dyDescent="0.3">
      <c r="A473" s="55" t="s">
        <v>44</v>
      </c>
      <c r="B473" s="50">
        <v>45720</v>
      </c>
      <c r="C473" s="47">
        <f>16614*30%</f>
        <v>4984.2</v>
      </c>
      <c r="D473" s="47">
        <v>0</v>
      </c>
      <c r="E473" s="48">
        <v>0</v>
      </c>
      <c r="F473" s="48">
        <f t="shared" si="195"/>
        <v>4984.2</v>
      </c>
      <c r="G473" s="48">
        <f t="shared" si="196"/>
        <v>63.954607395545423</v>
      </c>
      <c r="H473" s="48">
        <f>77.9334</f>
        <v>77.933400000000006</v>
      </c>
      <c r="I473" s="56">
        <v>74.919499999999999</v>
      </c>
      <c r="J473" s="47">
        <f t="shared" si="188"/>
        <v>5838.7313613000006</v>
      </c>
      <c r="K473" s="49">
        <f>0</f>
        <v>0</v>
      </c>
      <c r="L473" s="48">
        <f t="shared" si="189"/>
        <v>854.53136130000075</v>
      </c>
      <c r="M473" s="46">
        <f t="shared" si="190"/>
        <v>0.17144804809197078</v>
      </c>
      <c r="N473" s="47">
        <f t="shared" ca="1" si="191"/>
        <v>16.633333333333333</v>
      </c>
      <c r="O473" s="46">
        <f t="shared" ca="1" si="192"/>
        <v>0.1236899745753697</v>
      </c>
      <c r="P473" s="47">
        <f t="shared" si="187"/>
        <v>-4984.2</v>
      </c>
    </row>
    <row r="474" spans="1:16" ht="15.75" x14ac:dyDescent="0.3">
      <c r="A474" s="57" t="s">
        <v>43</v>
      </c>
      <c r="B474" s="50">
        <v>45720</v>
      </c>
      <c r="C474" s="47">
        <f>16614*20%</f>
        <v>3322.8</v>
      </c>
      <c r="D474" s="47">
        <v>0</v>
      </c>
      <c r="E474" s="48">
        <v>0</v>
      </c>
      <c r="F474" s="48">
        <f t="shared" si="195"/>
        <v>3322.8</v>
      </c>
      <c r="G474" s="48">
        <f t="shared" si="196"/>
        <v>41.9312503154813</v>
      </c>
      <c r="H474" s="48">
        <f>79.244</f>
        <v>79.244</v>
      </c>
      <c r="I474" s="56">
        <v>46.404400000000003</v>
      </c>
      <c r="J474" s="47">
        <f t="shared" si="188"/>
        <v>3677.2702736000001</v>
      </c>
      <c r="K474" s="49">
        <f>0</f>
        <v>0</v>
      </c>
      <c r="L474" s="48">
        <f t="shared" si="189"/>
        <v>354.47027359999993</v>
      </c>
      <c r="M474" s="46">
        <f t="shared" si="190"/>
        <v>0.10667818514505836</v>
      </c>
      <c r="N474" s="47">
        <f t="shared" ca="1" si="191"/>
        <v>16.633333333333333</v>
      </c>
      <c r="O474" s="46">
        <f t="shared" ca="1" si="192"/>
        <v>7.6962217739921873E-2</v>
      </c>
      <c r="P474" s="47">
        <f t="shared" si="187"/>
        <v>-3322.8</v>
      </c>
    </row>
    <row r="475" spans="1:16" ht="15.75" x14ac:dyDescent="0.3">
      <c r="A475" s="57" t="s">
        <v>42</v>
      </c>
      <c r="B475" s="50">
        <v>45720</v>
      </c>
      <c r="C475" s="47">
        <f>16614*50%</f>
        <v>8307</v>
      </c>
      <c r="D475" s="47">
        <v>0</v>
      </c>
      <c r="E475" s="48">
        <v>0</v>
      </c>
      <c r="F475" s="48">
        <f t="shared" si="195"/>
        <v>8307</v>
      </c>
      <c r="G475" s="48">
        <f t="shared" si="196"/>
        <v>36.224300239140561</v>
      </c>
      <c r="H475" s="48">
        <f>229.3212</f>
        <v>229.3212</v>
      </c>
      <c r="I475" s="56">
        <v>38.984900000000003</v>
      </c>
      <c r="J475" s="47">
        <f t="shared" si="188"/>
        <v>8940.0640498800003</v>
      </c>
      <c r="K475" s="49">
        <f>0</f>
        <v>0</v>
      </c>
      <c r="L475" s="48">
        <f t="shared" si="189"/>
        <v>633.06404988000031</v>
      </c>
      <c r="M475" s="46">
        <f t="shared" si="190"/>
        <v>7.6208504860960674E-2</v>
      </c>
      <c r="N475" s="47">
        <f t="shared" ca="1" si="191"/>
        <v>16.633333333333333</v>
      </c>
      <c r="O475" s="46">
        <f t="shared" ca="1" si="192"/>
        <v>5.4980083667226141E-2</v>
      </c>
      <c r="P475" s="47">
        <f t="shared" si="187"/>
        <v>-8307</v>
      </c>
    </row>
    <row r="476" spans="1:16" ht="15.75" x14ac:dyDescent="0.3">
      <c r="A476" s="55" t="s">
        <v>44</v>
      </c>
      <c r="B476" s="50">
        <v>45744</v>
      </c>
      <c r="C476" s="47">
        <f>16614*30%</f>
        <v>4984.2</v>
      </c>
      <c r="D476" s="47">
        <v>0</v>
      </c>
      <c r="E476" s="48">
        <v>0</v>
      </c>
      <c r="F476" s="48">
        <f t="shared" si="195"/>
        <v>4984.2</v>
      </c>
      <c r="G476" s="48">
        <f t="shared" si="196"/>
        <v>68.39964429220737</v>
      </c>
      <c r="H476" s="48">
        <f>72.8688</f>
        <v>72.868799999999993</v>
      </c>
      <c r="I476" s="56">
        <v>74.919499999999999</v>
      </c>
      <c r="J476" s="47">
        <f t="shared" si="188"/>
        <v>5459.2940615999996</v>
      </c>
      <c r="K476" s="49">
        <f>0</f>
        <v>0</v>
      </c>
      <c r="L476" s="48">
        <f t="shared" si="189"/>
        <v>475.0940615999998</v>
      </c>
      <c r="M476" s="46">
        <f t="shared" si="190"/>
        <v>9.5320023594558767E-2</v>
      </c>
      <c r="N476" s="47">
        <f t="shared" ca="1" si="191"/>
        <v>15.833333333333334</v>
      </c>
      <c r="O476" s="46">
        <f t="shared" ca="1" si="192"/>
        <v>7.2242544197981373E-2</v>
      </c>
      <c r="P476" s="47">
        <f t="shared" si="187"/>
        <v>-4984.2</v>
      </c>
    </row>
    <row r="477" spans="1:16" ht="15.75" x14ac:dyDescent="0.3">
      <c r="A477" s="57" t="s">
        <v>43</v>
      </c>
      <c r="B477" s="50">
        <v>45744</v>
      </c>
      <c r="C477" s="47">
        <f>16614*20%</f>
        <v>3322.8</v>
      </c>
      <c r="D477" s="47">
        <v>0</v>
      </c>
      <c r="E477" s="48">
        <v>0</v>
      </c>
      <c r="F477" s="48">
        <f t="shared" si="195"/>
        <v>3322.8</v>
      </c>
      <c r="G477" s="48">
        <f t="shared" si="196"/>
        <v>42.52890040240419</v>
      </c>
      <c r="H477" s="48">
        <f>78.1304</f>
        <v>78.130399999999995</v>
      </c>
      <c r="I477" s="56">
        <v>46.404400000000003</v>
      </c>
      <c r="J477" s="47">
        <f t="shared" si="188"/>
        <v>3625.5943337600002</v>
      </c>
      <c r="K477" s="49">
        <f>0</f>
        <v>0</v>
      </c>
      <c r="L477" s="48">
        <f t="shared" si="189"/>
        <v>302.79433375999997</v>
      </c>
      <c r="M477" s="46">
        <f t="shared" si="190"/>
        <v>9.1126259106777407E-2</v>
      </c>
      <c r="N477" s="47">
        <f t="shared" ca="1" si="191"/>
        <v>15.833333333333334</v>
      </c>
      <c r="O477" s="46">
        <f t="shared" ca="1" si="192"/>
        <v>6.9064112165136554E-2</v>
      </c>
      <c r="P477" s="47">
        <f t="shared" si="187"/>
        <v>-3322.8</v>
      </c>
    </row>
    <row r="478" spans="1:16" ht="15.75" x14ac:dyDescent="0.3">
      <c r="A478" s="57" t="s">
        <v>42</v>
      </c>
      <c r="B478" s="50">
        <v>45744</v>
      </c>
      <c r="C478" s="47">
        <f>16614*50%</f>
        <v>8307</v>
      </c>
      <c r="D478" s="47">
        <v>0</v>
      </c>
      <c r="E478" s="48">
        <v>0</v>
      </c>
      <c r="F478" s="48">
        <f t="shared" si="195"/>
        <v>8307</v>
      </c>
      <c r="G478" s="48">
        <f t="shared" si="196"/>
        <v>37.180211909752387</v>
      </c>
      <c r="H478" s="48">
        <f>223.4253</f>
        <v>223.42529999999999</v>
      </c>
      <c r="I478" s="56">
        <v>38.984900000000003</v>
      </c>
      <c r="J478" s="47">
        <f t="shared" si="188"/>
        <v>8710.2129779700008</v>
      </c>
      <c r="K478" s="49">
        <f>0</f>
        <v>0</v>
      </c>
      <c r="L478" s="48">
        <f t="shared" si="189"/>
        <v>403.21297797000079</v>
      </c>
      <c r="M478" s="46">
        <f t="shared" si="190"/>
        <v>4.8538940408089662E-2</v>
      </c>
      <c r="N478" s="47">
        <f t="shared" ca="1" si="191"/>
        <v>15.833333333333334</v>
      </c>
      <c r="O478" s="46">
        <f t="shared" ca="1" si="192"/>
        <v>3.6787407467183744E-2</v>
      </c>
      <c r="P478" s="47">
        <f t="shared" si="187"/>
        <v>-8307</v>
      </c>
    </row>
    <row r="479" spans="1:16" ht="15.75" x14ac:dyDescent="0.3">
      <c r="A479" s="55" t="s">
        <v>44</v>
      </c>
      <c r="B479" s="50">
        <v>45752</v>
      </c>
      <c r="C479" s="47">
        <f>-10.55</f>
        <v>-10.55</v>
      </c>
      <c r="D479" s="47">
        <v>0</v>
      </c>
      <c r="E479" s="48">
        <v>0</v>
      </c>
      <c r="F479" s="48">
        <f t="shared" si="195"/>
        <v>-10.55</v>
      </c>
      <c r="G479" s="48">
        <f t="shared" si="196"/>
        <v>66.64560960202148</v>
      </c>
      <c r="H479" s="48">
        <f>-0.1583</f>
        <v>-0.1583</v>
      </c>
      <c r="I479" s="56">
        <v>74.919499999999999</v>
      </c>
      <c r="J479" s="47">
        <f t="shared" si="188"/>
        <v>-11.85975685</v>
      </c>
      <c r="K479" s="49">
        <f>0</f>
        <v>0</v>
      </c>
      <c r="L479" s="48">
        <f t="shared" si="189"/>
        <v>-1.3097568499999994</v>
      </c>
      <c r="M479" s="46">
        <f t="shared" si="190"/>
        <v>0.12414756872037909</v>
      </c>
      <c r="N479" s="47">
        <f t="shared" ca="1" si="191"/>
        <v>15.6</v>
      </c>
      <c r="O479" s="46">
        <f t="shared" ca="1" si="192"/>
        <v>9.5498129784907002E-2</v>
      </c>
      <c r="P479" s="47">
        <f t="shared" si="187"/>
        <v>10.55</v>
      </c>
    </row>
    <row r="480" spans="1:16" ht="15.75" x14ac:dyDescent="0.3">
      <c r="A480" s="57" t="s">
        <v>43</v>
      </c>
      <c r="B480" s="50">
        <v>45752</v>
      </c>
      <c r="C480" s="47">
        <f>-7.82</f>
        <v>-7.82</v>
      </c>
      <c r="D480" s="47">
        <v>0</v>
      </c>
      <c r="E480" s="48">
        <v>0</v>
      </c>
      <c r="F480" s="48">
        <f t="shared" si="195"/>
        <v>-7.82</v>
      </c>
      <c r="G480" s="48">
        <f t="shared" si="196"/>
        <v>42.825848849945231</v>
      </c>
      <c r="H480" s="48">
        <f>-0.1826</f>
        <v>-0.18260000000000001</v>
      </c>
      <c r="I480" s="56">
        <v>46.404400000000003</v>
      </c>
      <c r="J480" s="47">
        <f t="shared" si="188"/>
        <v>-8.4734434400000005</v>
      </c>
      <c r="K480" s="49">
        <f>0</f>
        <v>0</v>
      </c>
      <c r="L480" s="48">
        <f t="shared" si="189"/>
        <v>-0.65344344000000021</v>
      </c>
      <c r="M480" s="46">
        <f t="shared" si="190"/>
        <v>8.3560542199488511E-2</v>
      </c>
      <c r="N480" s="47">
        <f t="shared" ca="1" si="191"/>
        <v>15.6</v>
      </c>
      <c r="O480" s="46">
        <f t="shared" ca="1" si="192"/>
        <v>6.4277340153452711E-2</v>
      </c>
      <c r="P480" s="47">
        <f t="shared" si="187"/>
        <v>7.82</v>
      </c>
    </row>
    <row r="481" spans="1:16" ht="15.75" x14ac:dyDescent="0.3">
      <c r="A481" s="57" t="s">
        <v>42</v>
      </c>
      <c r="B481" s="50">
        <v>45752</v>
      </c>
      <c r="C481" s="47">
        <f>-19.68</f>
        <v>-19.68</v>
      </c>
      <c r="D481" s="47">
        <v>0</v>
      </c>
      <c r="E481" s="48">
        <v>0</v>
      </c>
      <c r="F481" s="48">
        <f t="shared" si="195"/>
        <v>-19.68</v>
      </c>
      <c r="G481" s="48">
        <f t="shared" si="196"/>
        <v>37.507146941109198</v>
      </c>
      <c r="H481" s="48">
        <f>-0.5247</f>
        <v>-0.52470000000000006</v>
      </c>
      <c r="I481" s="56">
        <v>38.984900000000003</v>
      </c>
      <c r="J481" s="47">
        <f t="shared" si="188"/>
        <v>-20.455377030000005</v>
      </c>
      <c r="K481" s="49">
        <f>0</f>
        <v>0</v>
      </c>
      <c r="L481" s="48">
        <f t="shared" si="189"/>
        <v>-0.77537703000000491</v>
      </c>
      <c r="M481" s="46">
        <f t="shared" si="190"/>
        <v>3.9399239329268546E-2</v>
      </c>
      <c r="N481" s="47">
        <f t="shared" ca="1" si="191"/>
        <v>15.6</v>
      </c>
      <c r="O481" s="46">
        <f t="shared" ca="1" si="192"/>
        <v>3.0307107176360419E-2</v>
      </c>
      <c r="P481" s="47">
        <f t="shared" si="187"/>
        <v>19.68</v>
      </c>
    </row>
    <row r="482" spans="1:16" ht="15.75" x14ac:dyDescent="0.3">
      <c r="A482" s="55" t="s">
        <v>44</v>
      </c>
      <c r="B482" s="50">
        <v>45782</v>
      </c>
      <c r="C482" s="47">
        <f>16614*30%</f>
        <v>4984.2</v>
      </c>
      <c r="D482" s="47">
        <v>0</v>
      </c>
      <c r="E482" s="48">
        <v>0</v>
      </c>
      <c r="F482" s="48">
        <f t="shared" si="195"/>
        <v>4984.2</v>
      </c>
      <c r="G482" s="48">
        <f t="shared" si="196"/>
        <v>70.608835100136147</v>
      </c>
      <c r="H482" s="48">
        <f>70.5889</f>
        <v>70.588899999999995</v>
      </c>
      <c r="I482" s="56">
        <v>74.919499999999999</v>
      </c>
      <c r="J482" s="47">
        <f t="shared" si="188"/>
        <v>5288.4850935499999</v>
      </c>
      <c r="K482" s="49">
        <f>0</f>
        <v>0</v>
      </c>
      <c r="L482" s="48">
        <f t="shared" si="189"/>
        <v>304.28509355000006</v>
      </c>
      <c r="M482" s="46">
        <f t="shared" si="190"/>
        <v>6.1049936509369622E-2</v>
      </c>
      <c r="N482" s="47">
        <f t="shared" ca="1" si="191"/>
        <v>14.6</v>
      </c>
      <c r="O482" s="46">
        <f t="shared" ca="1" si="192"/>
        <v>5.017803000770106E-2</v>
      </c>
      <c r="P482" s="47">
        <f t="shared" si="187"/>
        <v>-4984.2</v>
      </c>
    </row>
    <row r="483" spans="1:16" ht="15.75" x14ac:dyDescent="0.3">
      <c r="A483" s="57" t="s">
        <v>43</v>
      </c>
      <c r="B483" s="50">
        <v>45782</v>
      </c>
      <c r="C483" s="47">
        <f>16614*20%</f>
        <v>3322.8</v>
      </c>
      <c r="D483" s="47">
        <v>0</v>
      </c>
      <c r="E483" s="48">
        <v>0</v>
      </c>
      <c r="F483" s="48">
        <f t="shared" si="195"/>
        <v>3322.8</v>
      </c>
      <c r="G483" s="48">
        <f t="shared" si="196"/>
        <v>43.24811176724009</v>
      </c>
      <c r="H483" s="48">
        <f>76.8311</f>
        <v>76.831100000000006</v>
      </c>
      <c r="I483" s="56">
        <v>46.404400000000003</v>
      </c>
      <c r="J483" s="47">
        <f t="shared" si="188"/>
        <v>3565.3010968400004</v>
      </c>
      <c r="K483" s="49">
        <f>0</f>
        <v>0</v>
      </c>
      <c r="L483" s="48">
        <f t="shared" si="189"/>
        <v>242.50109684000017</v>
      </c>
      <c r="M483" s="46">
        <f t="shared" si="190"/>
        <v>7.2980948850367211E-2</v>
      </c>
      <c r="N483" s="47">
        <f t="shared" ca="1" si="191"/>
        <v>14.6</v>
      </c>
      <c r="O483" s="46">
        <f t="shared" ca="1" si="192"/>
        <v>5.9984341520849763E-2</v>
      </c>
      <c r="P483" s="47">
        <f t="shared" si="187"/>
        <v>-3322.8</v>
      </c>
    </row>
    <row r="484" spans="1:16" ht="15.75" x14ac:dyDescent="0.3">
      <c r="A484" s="57" t="s">
        <v>42</v>
      </c>
      <c r="B484" s="50">
        <v>45782</v>
      </c>
      <c r="C484" s="47">
        <f>16614*50%</f>
        <v>8307</v>
      </c>
      <c r="D484" s="47">
        <v>0</v>
      </c>
      <c r="E484" s="48">
        <v>0</v>
      </c>
      <c r="F484" s="48">
        <f t="shared" si="195"/>
        <v>8307</v>
      </c>
      <c r="G484" s="48">
        <f t="shared" si="196"/>
        <v>38.113914125089067</v>
      </c>
      <c r="H484" s="48">
        <f>217.9519</f>
        <v>217.95189999999999</v>
      </c>
      <c r="I484" s="56">
        <v>38.984900000000003</v>
      </c>
      <c r="J484" s="47">
        <f t="shared" si="188"/>
        <v>8496.8330263099997</v>
      </c>
      <c r="K484" s="49">
        <f>0</f>
        <v>0</v>
      </c>
      <c r="L484" s="48">
        <f t="shared" si="189"/>
        <v>189.8330263099997</v>
      </c>
      <c r="M484" s="46">
        <f t="shared" si="190"/>
        <v>2.2852176033465715E-2</v>
      </c>
      <c r="N484" s="47">
        <f t="shared" ca="1" si="191"/>
        <v>14.6</v>
      </c>
      <c r="O484" s="46">
        <f t="shared" ca="1" si="192"/>
        <v>1.8782610438464971E-2</v>
      </c>
      <c r="P484" s="47">
        <f t="shared" ref="P484:P541" si="203">-F484</f>
        <v>-8307</v>
      </c>
    </row>
    <row r="485" spans="1:16" ht="15.75" x14ac:dyDescent="0.3">
      <c r="A485" s="55" t="s">
        <v>44</v>
      </c>
      <c r="B485" s="50">
        <v>45810</v>
      </c>
      <c r="C485" s="47">
        <f>16614*30%</f>
        <v>4984.2</v>
      </c>
      <c r="D485" s="47">
        <v>0</v>
      </c>
      <c r="E485" s="48">
        <v>0</v>
      </c>
      <c r="F485" s="48">
        <f t="shared" si="195"/>
        <v>4984.2</v>
      </c>
      <c r="G485" s="48">
        <f t="shared" si="196"/>
        <v>71.813062998161527</v>
      </c>
      <c r="H485" s="48">
        <f>69.4052</f>
        <v>69.405199999999994</v>
      </c>
      <c r="I485" s="56">
        <v>74.919499999999999</v>
      </c>
      <c r="J485" s="47">
        <f t="shared" si="188"/>
        <v>5199.802881399999</v>
      </c>
      <c r="K485" s="49">
        <f>0</f>
        <v>0</v>
      </c>
      <c r="L485" s="48">
        <f t="shared" si="189"/>
        <v>215.60288139999921</v>
      </c>
      <c r="M485" s="46">
        <f t="shared" si="190"/>
        <v>4.3257269250832474E-2</v>
      </c>
      <c r="N485" s="47">
        <f t="shared" ca="1" si="191"/>
        <v>13.7</v>
      </c>
      <c r="O485" s="46">
        <f t="shared" ca="1" si="192"/>
        <v>3.7889578905838661E-2</v>
      </c>
      <c r="P485" s="47">
        <f t="shared" si="203"/>
        <v>-4984.2</v>
      </c>
    </row>
    <row r="486" spans="1:16" ht="15.75" x14ac:dyDescent="0.3">
      <c r="A486" s="57" t="s">
        <v>43</v>
      </c>
      <c r="B486" s="50">
        <v>45810</v>
      </c>
      <c r="C486" s="47">
        <f>16614*20%</f>
        <v>3322.8</v>
      </c>
      <c r="D486" s="47">
        <v>0</v>
      </c>
      <c r="E486" s="48">
        <v>0</v>
      </c>
      <c r="F486" s="48">
        <f t="shared" si="195"/>
        <v>3322.8</v>
      </c>
      <c r="G486" s="48">
        <f t="shared" si="196"/>
        <v>43.772427638754962</v>
      </c>
      <c r="H486" s="48">
        <f>75.9108</f>
        <v>75.910799999999995</v>
      </c>
      <c r="I486" s="56">
        <v>46.404400000000003</v>
      </c>
      <c r="J486" s="47">
        <f t="shared" si="188"/>
        <v>3522.59512752</v>
      </c>
      <c r="K486" s="49">
        <f>0</f>
        <v>0</v>
      </c>
      <c r="L486" s="48">
        <f t="shared" si="189"/>
        <v>199.79512751999982</v>
      </c>
      <c r="M486" s="46">
        <f t="shared" si="190"/>
        <v>6.0128544456482427E-2</v>
      </c>
      <c r="N486" s="47">
        <f t="shared" ca="1" si="191"/>
        <v>13.7</v>
      </c>
      <c r="O486" s="46">
        <f t="shared" ca="1" si="192"/>
        <v>5.2667338210057604E-2</v>
      </c>
      <c r="P486" s="47">
        <f t="shared" si="203"/>
        <v>-3322.8</v>
      </c>
    </row>
    <row r="487" spans="1:16" ht="15.75" x14ac:dyDescent="0.3">
      <c r="A487" s="57" t="s">
        <v>42</v>
      </c>
      <c r="B487" s="50">
        <v>45810</v>
      </c>
      <c r="C487" s="47">
        <f>16614*50%</f>
        <v>8307</v>
      </c>
      <c r="D487" s="47">
        <v>0</v>
      </c>
      <c r="E487" s="48">
        <v>0</v>
      </c>
      <c r="F487" s="48">
        <f t="shared" si="195"/>
        <v>8307</v>
      </c>
      <c r="G487" s="48">
        <f t="shared" si="196"/>
        <v>38.201305751625746</v>
      </c>
      <c r="H487" s="48">
        <f>217.4533</f>
        <v>217.45330000000001</v>
      </c>
      <c r="I487" s="56">
        <v>38.984900000000003</v>
      </c>
      <c r="J487" s="47">
        <f t="shared" si="188"/>
        <v>8477.3951551700011</v>
      </c>
      <c r="K487" s="49">
        <f>0</f>
        <v>0</v>
      </c>
      <c r="L487" s="48">
        <f t="shared" si="189"/>
        <v>170.39515517000109</v>
      </c>
      <c r="M487" s="46">
        <f t="shared" si="190"/>
        <v>2.0512237290237281E-2</v>
      </c>
      <c r="N487" s="47">
        <f t="shared" ca="1" si="191"/>
        <v>13.7</v>
      </c>
      <c r="O487" s="46">
        <f t="shared" ca="1" si="192"/>
        <v>1.7966923173930466E-2</v>
      </c>
      <c r="P487" s="47">
        <f t="shared" si="203"/>
        <v>-8307</v>
      </c>
    </row>
    <row r="488" spans="1:16" ht="15.75" x14ac:dyDescent="0.3">
      <c r="A488" s="55" t="s">
        <v>44</v>
      </c>
      <c r="B488" s="50">
        <v>45841</v>
      </c>
      <c r="C488" s="47">
        <f>16614*30%</f>
        <v>4984.2</v>
      </c>
      <c r="D488" s="47">
        <v>0</v>
      </c>
      <c r="E488" s="48">
        <v>0</v>
      </c>
      <c r="F488" s="48">
        <f t="shared" si="195"/>
        <v>4984.2</v>
      </c>
      <c r="G488" s="48">
        <f t="shared" si="196"/>
        <v>73.932223603368939</v>
      </c>
      <c r="H488" s="48">
        <f>67.4158</f>
        <v>67.415800000000004</v>
      </c>
      <c r="I488" s="56">
        <v>74.919499999999999</v>
      </c>
      <c r="J488" s="47">
        <f t="shared" si="188"/>
        <v>5050.7580281</v>
      </c>
      <c r="K488" s="49">
        <f>0</f>
        <v>0</v>
      </c>
      <c r="L488" s="48">
        <f t="shared" si="189"/>
        <v>66.558028100000229</v>
      </c>
      <c r="M488" s="46">
        <f t="shared" si="190"/>
        <v>1.335380363950087E-2</v>
      </c>
      <c r="N488" s="47">
        <f t="shared" ca="1" si="191"/>
        <v>12.666666666666666</v>
      </c>
      <c r="O488" s="46">
        <f t="shared" ca="1" si="192"/>
        <v>1.2650971869000825E-2</v>
      </c>
      <c r="P488" s="47">
        <f t="shared" si="203"/>
        <v>-4984.2</v>
      </c>
    </row>
    <row r="489" spans="1:16" ht="15.75" x14ac:dyDescent="0.3">
      <c r="A489" s="57" t="s">
        <v>43</v>
      </c>
      <c r="B489" s="50">
        <v>45841</v>
      </c>
      <c r="C489" s="47">
        <f>16614*20%</f>
        <v>3322.8</v>
      </c>
      <c r="D489" s="47">
        <v>0</v>
      </c>
      <c r="E489" s="48">
        <v>0</v>
      </c>
      <c r="F489" s="48">
        <f t="shared" si="195"/>
        <v>3322.8</v>
      </c>
      <c r="G489" s="48">
        <f t="shared" si="196"/>
        <v>43.818317765882959</v>
      </c>
      <c r="H489" s="48">
        <f>75.8313</f>
        <v>75.831299999999999</v>
      </c>
      <c r="I489" s="56">
        <v>46.404400000000003</v>
      </c>
      <c r="J489" s="47">
        <f t="shared" si="188"/>
        <v>3518.90597772</v>
      </c>
      <c r="K489" s="49">
        <f>0</f>
        <v>0</v>
      </c>
      <c r="L489" s="48">
        <f t="shared" si="189"/>
        <v>196.10597771999983</v>
      </c>
      <c r="M489" s="46">
        <f t="shared" si="190"/>
        <v>5.9018291115926269E-2</v>
      </c>
      <c r="N489" s="47">
        <f t="shared" ca="1" si="191"/>
        <v>12.666666666666666</v>
      </c>
      <c r="O489" s="46">
        <f t="shared" ca="1" si="192"/>
        <v>5.5912065267719628E-2</v>
      </c>
      <c r="P489" s="47">
        <f t="shared" si="203"/>
        <v>-3322.8</v>
      </c>
    </row>
    <row r="490" spans="1:16" ht="15.75" x14ac:dyDescent="0.3">
      <c r="A490" s="57" t="s">
        <v>42</v>
      </c>
      <c r="B490" s="50">
        <v>45841</v>
      </c>
      <c r="C490" s="47">
        <f>16614*50%</f>
        <v>8307</v>
      </c>
      <c r="D490" s="47">
        <v>0</v>
      </c>
      <c r="E490" s="48">
        <v>0</v>
      </c>
      <c r="F490" s="48">
        <f t="shared" si="195"/>
        <v>8307</v>
      </c>
      <c r="G490" s="48">
        <f t="shared" si="196"/>
        <v>37.645316495736296</v>
      </c>
      <c r="H490" s="48">
        <f>220.6649</f>
        <v>220.66489999999999</v>
      </c>
      <c r="I490" s="56">
        <v>38.984900000000003</v>
      </c>
      <c r="J490" s="47">
        <f t="shared" si="188"/>
        <v>8602.5990600099994</v>
      </c>
      <c r="K490" s="49">
        <f>0</f>
        <v>0</v>
      </c>
      <c r="L490" s="48">
        <f t="shared" si="189"/>
        <v>295.59906000999945</v>
      </c>
      <c r="M490" s="46">
        <f t="shared" si="190"/>
        <v>3.5584333695678275E-2</v>
      </c>
      <c r="N490" s="47">
        <f t="shared" ca="1" si="191"/>
        <v>12.666666666666666</v>
      </c>
      <c r="O490" s="46">
        <f t="shared" ca="1" si="192"/>
        <v>3.3711474027484679E-2</v>
      </c>
      <c r="P490" s="47">
        <f t="shared" si="203"/>
        <v>-8307</v>
      </c>
    </row>
    <row r="491" spans="1:16" ht="15.75" x14ac:dyDescent="0.3">
      <c r="A491" s="55" t="s">
        <v>44</v>
      </c>
      <c r="B491" s="50">
        <v>45843</v>
      </c>
      <c r="C491" s="47">
        <f>-8.69</f>
        <v>-8.69</v>
      </c>
      <c r="D491" s="47">
        <v>0</v>
      </c>
      <c r="E491" s="48">
        <v>0</v>
      </c>
      <c r="F491" s="48">
        <f t="shared" si="195"/>
        <v>-8.69</v>
      </c>
      <c r="G491" s="48">
        <f t="shared" si="196"/>
        <v>74.273504273504258</v>
      </c>
      <c r="H491" s="48">
        <f>-0.117</f>
        <v>-0.11700000000000001</v>
      </c>
      <c r="I491" s="56">
        <v>74.919499999999999</v>
      </c>
      <c r="J491" s="47">
        <f t="shared" si="188"/>
        <v>-8.7655814999999997</v>
      </c>
      <c r="K491" s="49">
        <f>0</f>
        <v>0</v>
      </c>
      <c r="L491" s="48">
        <f t="shared" si="189"/>
        <v>-7.558150000000019E-2</v>
      </c>
      <c r="M491" s="46">
        <f t="shared" si="190"/>
        <v>8.6975258918297119E-3</v>
      </c>
      <c r="N491" s="47">
        <f t="shared" ca="1" si="191"/>
        <v>12.6</v>
      </c>
      <c r="O491" s="46">
        <f t="shared" ca="1" si="192"/>
        <v>8.283357992218774E-3</v>
      </c>
      <c r="P491" s="47">
        <f t="shared" si="203"/>
        <v>8.69</v>
      </c>
    </row>
    <row r="492" spans="1:16" ht="15.75" x14ac:dyDescent="0.3">
      <c r="A492" s="57" t="s">
        <v>43</v>
      </c>
      <c r="B492" s="50">
        <v>45843</v>
      </c>
      <c r="C492" s="47">
        <f>-5.91</f>
        <v>-5.91</v>
      </c>
      <c r="D492" s="47">
        <v>0</v>
      </c>
      <c r="E492" s="48">
        <v>0</v>
      </c>
      <c r="F492" s="48">
        <f t="shared" si="195"/>
        <v>-5.91</v>
      </c>
      <c r="G492" s="48">
        <f t="shared" si="196"/>
        <v>43.84272997032641</v>
      </c>
      <c r="H492" s="48">
        <f>-0.1348</f>
        <v>-0.1348</v>
      </c>
      <c r="I492" s="56">
        <v>46.404400000000003</v>
      </c>
      <c r="J492" s="47">
        <f t="shared" si="188"/>
        <v>-6.2553131200000003</v>
      </c>
      <c r="K492" s="49">
        <f>0</f>
        <v>0</v>
      </c>
      <c r="L492" s="48">
        <f t="shared" si="189"/>
        <v>-0.34531312000000014</v>
      </c>
      <c r="M492" s="46">
        <f t="shared" si="190"/>
        <v>5.8428615905245368E-2</v>
      </c>
      <c r="N492" s="47">
        <f t="shared" ca="1" si="191"/>
        <v>12.6</v>
      </c>
      <c r="O492" s="46">
        <f t="shared" ca="1" si="192"/>
        <v>5.5646300862138447E-2</v>
      </c>
      <c r="P492" s="47">
        <f t="shared" si="203"/>
        <v>5.91</v>
      </c>
    </row>
    <row r="493" spans="1:16" ht="15.75" x14ac:dyDescent="0.3">
      <c r="A493" s="57" t="s">
        <v>42</v>
      </c>
      <c r="B493" s="50">
        <v>45843</v>
      </c>
      <c r="C493" s="47">
        <f>-14.6</f>
        <v>-14.6</v>
      </c>
      <c r="D493" s="47">
        <v>0</v>
      </c>
      <c r="E493" s="48">
        <v>0</v>
      </c>
      <c r="F493" s="48">
        <f t="shared" si="195"/>
        <v>-14.6</v>
      </c>
      <c r="G493" s="48">
        <f t="shared" si="196"/>
        <v>37.64827230531202</v>
      </c>
      <c r="H493" s="48">
        <f>-0.3878</f>
        <v>-0.38779999999999998</v>
      </c>
      <c r="I493" s="56">
        <v>38.984900000000003</v>
      </c>
      <c r="J493" s="47">
        <f t="shared" si="188"/>
        <v>-15.118344220000001</v>
      </c>
      <c r="K493" s="49">
        <f>0</f>
        <v>0</v>
      </c>
      <c r="L493" s="48">
        <f t="shared" si="189"/>
        <v>-0.51834422000000124</v>
      </c>
      <c r="M493" s="46">
        <f t="shared" si="190"/>
        <v>3.5503028767123371E-2</v>
      </c>
      <c r="N493" s="47">
        <f t="shared" ca="1" si="191"/>
        <v>12.6</v>
      </c>
      <c r="O493" s="46">
        <f t="shared" ca="1" si="192"/>
        <v>3.3812408349641304E-2</v>
      </c>
      <c r="P493" s="47">
        <f t="shared" si="203"/>
        <v>14.6</v>
      </c>
    </row>
    <row r="494" spans="1:16" ht="15.75" x14ac:dyDescent="0.3">
      <c r="A494" s="55" t="s">
        <v>44</v>
      </c>
      <c r="B494" s="50">
        <v>45873</v>
      </c>
      <c r="C494" s="47">
        <f>16614*30%</f>
        <v>4984.2</v>
      </c>
      <c r="D494" s="47">
        <v>0</v>
      </c>
      <c r="E494" s="48">
        <v>0</v>
      </c>
      <c r="F494" s="48">
        <f t="shared" si="195"/>
        <v>4984.2</v>
      </c>
      <c r="G494" s="48">
        <f t="shared" si="196"/>
        <v>72.440450496409369</v>
      </c>
      <c r="H494" s="48">
        <f>68.8041</f>
        <v>68.804100000000005</v>
      </c>
      <c r="I494" s="56">
        <v>74.919499999999999</v>
      </c>
      <c r="J494" s="47">
        <f t="shared" si="188"/>
        <v>5154.7687699500002</v>
      </c>
      <c r="K494" s="49">
        <f>0</f>
        <v>0</v>
      </c>
      <c r="L494" s="48">
        <f t="shared" si="189"/>
        <v>170.56876995000039</v>
      </c>
      <c r="M494" s="46">
        <f t="shared" si="190"/>
        <v>3.4221895178764977E-2</v>
      </c>
      <c r="N494" s="47">
        <f t="shared" ca="1" si="191"/>
        <v>11.633333333333333</v>
      </c>
      <c r="O494" s="46">
        <f t="shared" ca="1" si="192"/>
        <v>3.5300522247436655E-2</v>
      </c>
      <c r="P494" s="47">
        <f t="shared" si="203"/>
        <v>-4984.2</v>
      </c>
    </row>
    <row r="495" spans="1:16" ht="15.75" x14ac:dyDescent="0.3">
      <c r="A495" s="57" t="s">
        <v>43</v>
      </c>
      <c r="B495" s="50">
        <v>45873</v>
      </c>
      <c r="C495" s="47">
        <f>16614*20%</f>
        <v>3322.8</v>
      </c>
      <c r="D495" s="47">
        <v>0</v>
      </c>
      <c r="E495" s="48">
        <v>0</v>
      </c>
      <c r="F495" s="48">
        <f t="shared" si="195"/>
        <v>3322.8</v>
      </c>
      <c r="G495" s="48">
        <f t="shared" si="196"/>
        <v>44.170311191460513</v>
      </c>
      <c r="H495" s="48">
        <f>75.227</f>
        <v>75.227000000000004</v>
      </c>
      <c r="I495" s="56">
        <v>46.404400000000003</v>
      </c>
      <c r="J495" s="47">
        <f t="shared" si="188"/>
        <v>3490.8637988000005</v>
      </c>
      <c r="K495" s="49">
        <f>0</f>
        <v>0</v>
      </c>
      <c r="L495" s="48">
        <f t="shared" si="189"/>
        <v>168.06379880000031</v>
      </c>
      <c r="M495" s="46">
        <f t="shared" si="190"/>
        <v>5.0578969182617159E-2</v>
      </c>
      <c r="N495" s="47">
        <f t="shared" ca="1" si="191"/>
        <v>11.633333333333333</v>
      </c>
      <c r="O495" s="46">
        <f t="shared" ca="1" si="192"/>
        <v>5.2173148727054947E-2</v>
      </c>
      <c r="P495" s="47">
        <f t="shared" si="203"/>
        <v>-3322.8</v>
      </c>
    </row>
    <row r="496" spans="1:16" ht="15.75" x14ac:dyDescent="0.3">
      <c r="A496" s="57" t="s">
        <v>42</v>
      </c>
      <c r="B496" s="50">
        <v>45873</v>
      </c>
      <c r="C496" s="47">
        <f>16614*50%</f>
        <v>8307</v>
      </c>
      <c r="D496" s="47">
        <v>0</v>
      </c>
      <c r="E496" s="48">
        <v>0</v>
      </c>
      <c r="F496" s="48">
        <f t="shared" si="195"/>
        <v>8307</v>
      </c>
      <c r="G496" s="48">
        <f t="shared" si="196"/>
        <v>37.84810276532172</v>
      </c>
      <c r="H496" s="48">
        <f>219.4826</f>
        <v>219.48259999999999</v>
      </c>
      <c r="I496" s="56">
        <v>38.984900000000003</v>
      </c>
      <c r="J496" s="47">
        <f t="shared" si="188"/>
        <v>8556.5072127399999</v>
      </c>
      <c r="K496" s="49">
        <f>0</f>
        <v>0</v>
      </c>
      <c r="L496" s="48">
        <f t="shared" si="189"/>
        <v>249.50721273999989</v>
      </c>
      <c r="M496" s="46">
        <f t="shared" si="190"/>
        <v>3.0035778589141676E-2</v>
      </c>
      <c r="N496" s="47">
        <f t="shared" ca="1" si="191"/>
        <v>11.633333333333333</v>
      </c>
      <c r="O496" s="46">
        <f t="shared" ca="1" si="192"/>
        <v>3.098246502031806E-2</v>
      </c>
      <c r="P496" s="47">
        <f t="shared" si="203"/>
        <v>-8307</v>
      </c>
    </row>
    <row r="497" spans="1:16" ht="15.75" x14ac:dyDescent="0.3">
      <c r="A497" s="55" t="s">
        <v>44</v>
      </c>
      <c r="B497" s="50">
        <v>45901</v>
      </c>
      <c r="C497" s="47">
        <f>16614*30%</f>
        <v>4984.2</v>
      </c>
      <c r="D497" s="47">
        <v>0</v>
      </c>
      <c r="E497" s="48">
        <v>0</v>
      </c>
      <c r="F497" s="48">
        <f t="shared" si="195"/>
        <v>4984.2</v>
      </c>
      <c r="G497" s="48">
        <f t="shared" si="196"/>
        <v>71.81099367212623</v>
      </c>
      <c r="H497" s="48">
        <f>69.4072</f>
        <v>69.407200000000003</v>
      </c>
      <c r="I497" s="56">
        <v>74.919499999999999</v>
      </c>
      <c r="J497" s="47">
        <f t="shared" si="188"/>
        <v>5199.9527204000005</v>
      </c>
      <c r="K497" s="49">
        <f>0</f>
        <v>0</v>
      </c>
      <c r="L497" s="48">
        <f t="shared" si="189"/>
        <v>215.75272040000073</v>
      </c>
      <c r="M497" s="46">
        <f t="shared" si="190"/>
        <v>4.3287332049275859E-2</v>
      </c>
      <c r="N497" s="47">
        <f t="shared" ca="1" si="191"/>
        <v>10.733333333333333</v>
      </c>
      <c r="O497" s="46">
        <f t="shared" ca="1" si="192"/>
        <v>4.8395774961923321E-2</v>
      </c>
      <c r="P497" s="47">
        <f t="shared" si="203"/>
        <v>-4984.2</v>
      </c>
    </row>
    <row r="498" spans="1:16" ht="15.75" x14ac:dyDescent="0.3">
      <c r="A498" s="57" t="s">
        <v>43</v>
      </c>
      <c r="B498" s="50">
        <v>45901</v>
      </c>
      <c r="C498" s="47">
        <f>16614*20%</f>
        <v>3322.8</v>
      </c>
      <c r="D498" s="47">
        <v>0</v>
      </c>
      <c r="E498" s="48">
        <v>0</v>
      </c>
      <c r="F498" s="48">
        <f t="shared" si="195"/>
        <v>3322.8</v>
      </c>
      <c r="G498" s="48">
        <f t="shared" si="196"/>
        <v>44.005000688654157</v>
      </c>
      <c r="H498" s="48">
        <f>75.5096</f>
        <v>75.509600000000006</v>
      </c>
      <c r="I498" s="56">
        <v>46.404400000000003</v>
      </c>
      <c r="J498" s="47">
        <f t="shared" si="188"/>
        <v>3503.9776822400004</v>
      </c>
      <c r="K498" s="49">
        <f>0</f>
        <v>0</v>
      </c>
      <c r="L498" s="48">
        <f t="shared" si="189"/>
        <v>181.17768224000019</v>
      </c>
      <c r="M498" s="46">
        <f t="shared" si="190"/>
        <v>5.4525605585650713E-2</v>
      </c>
      <c r="N498" s="47">
        <f t="shared" ca="1" si="191"/>
        <v>10.733333333333333</v>
      </c>
      <c r="O498" s="46">
        <f t="shared" ca="1" si="192"/>
        <v>6.0960304381472846E-2</v>
      </c>
      <c r="P498" s="47">
        <f t="shared" si="203"/>
        <v>-3322.8</v>
      </c>
    </row>
    <row r="499" spans="1:16" ht="15.75" x14ac:dyDescent="0.3">
      <c r="A499" s="57" t="s">
        <v>42</v>
      </c>
      <c r="B499" s="50">
        <v>45901</v>
      </c>
      <c r="C499" s="47">
        <f>16614*50%</f>
        <v>8307</v>
      </c>
      <c r="D499" s="47">
        <v>0</v>
      </c>
      <c r="E499" s="48">
        <v>0</v>
      </c>
      <c r="F499" s="48">
        <f t="shared" si="195"/>
        <v>8307</v>
      </c>
      <c r="G499" s="48">
        <f t="shared" si="196"/>
        <v>36.875012484768583</v>
      </c>
      <c r="H499" s="48">
        <f>225.2745</f>
        <v>225.27449999999999</v>
      </c>
      <c r="I499" s="56">
        <v>38.984900000000003</v>
      </c>
      <c r="J499" s="47">
        <f t="shared" si="188"/>
        <v>8782.3038550500005</v>
      </c>
      <c r="K499" s="49">
        <f>0</f>
        <v>0</v>
      </c>
      <c r="L499" s="48">
        <f t="shared" si="189"/>
        <v>475.30385505000049</v>
      </c>
      <c r="M499" s="46">
        <f t="shared" si="190"/>
        <v>5.7217269176598112E-2</v>
      </c>
      <c r="N499" s="47">
        <f t="shared" ca="1" si="191"/>
        <v>10.733333333333333</v>
      </c>
      <c r="O499" s="46">
        <f t="shared" ca="1" si="192"/>
        <v>6.3969617712966845E-2</v>
      </c>
      <c r="P499" s="47">
        <f t="shared" si="203"/>
        <v>-8307</v>
      </c>
    </row>
    <row r="500" spans="1:16" ht="15.75" x14ac:dyDescent="0.3">
      <c r="A500" s="55" t="s">
        <v>44</v>
      </c>
      <c r="B500" s="50">
        <v>45934</v>
      </c>
      <c r="C500" s="47">
        <f>-9.89</f>
        <v>-9.89</v>
      </c>
      <c r="D500" s="47">
        <v>0</v>
      </c>
      <c r="E500" s="48">
        <v>0</v>
      </c>
      <c r="F500" s="48">
        <f t="shared" ref="F500:F517" si="204">SUM(C500:E500)</f>
        <v>-9.89</v>
      </c>
      <c r="G500" s="48">
        <f t="shared" ref="G500:G517" si="205">F500/H500</f>
        <v>73.205033308660262</v>
      </c>
      <c r="H500" s="48">
        <f>-0.1351</f>
        <v>-0.1351</v>
      </c>
      <c r="I500" s="56">
        <v>74.919499999999999</v>
      </c>
      <c r="J500" s="47">
        <f t="shared" si="188"/>
        <v>-10.121624450000001</v>
      </c>
      <c r="K500" s="49">
        <f>0</f>
        <v>0</v>
      </c>
      <c r="L500" s="48">
        <f t="shared" si="189"/>
        <v>-0.23162444999999998</v>
      </c>
      <c r="M500" s="46">
        <f t="shared" si="190"/>
        <v>2.3420065722952473E-2</v>
      </c>
      <c r="N500" s="47">
        <f t="shared" ca="1" si="191"/>
        <v>9.6333333333333329</v>
      </c>
      <c r="O500" s="46">
        <f t="shared" ca="1" si="192"/>
        <v>2.9173784291567098E-2</v>
      </c>
      <c r="P500" s="47">
        <f t="shared" si="203"/>
        <v>9.89</v>
      </c>
    </row>
    <row r="501" spans="1:16" ht="15.75" x14ac:dyDescent="0.3">
      <c r="A501" s="57" t="s">
        <v>43</v>
      </c>
      <c r="B501" s="50">
        <v>45934</v>
      </c>
      <c r="C501" s="47">
        <f>-6.9</f>
        <v>-6.9</v>
      </c>
      <c r="D501" s="47">
        <v>0</v>
      </c>
      <c r="E501" s="48">
        <v>0</v>
      </c>
      <c r="F501" s="48">
        <f t="shared" si="204"/>
        <v>-6.9</v>
      </c>
      <c r="G501" s="48">
        <f t="shared" si="205"/>
        <v>44.315992292870909</v>
      </c>
      <c r="H501" s="48">
        <f>-0.1557</f>
        <v>-0.15570000000000001</v>
      </c>
      <c r="I501" s="56">
        <v>46.404400000000003</v>
      </c>
      <c r="J501" s="47">
        <f t="shared" si="188"/>
        <v>-7.2251650800000009</v>
      </c>
      <c r="K501" s="49">
        <f>0</f>
        <v>0</v>
      </c>
      <c r="L501" s="48">
        <f t="shared" si="189"/>
        <v>-0.32516508000000055</v>
      </c>
      <c r="M501" s="46">
        <f t="shared" si="190"/>
        <v>4.7125373913043556E-2</v>
      </c>
      <c r="N501" s="47">
        <f t="shared" ca="1" si="191"/>
        <v>9.6333333333333329</v>
      </c>
      <c r="O501" s="46">
        <f t="shared" ca="1" si="192"/>
        <v>5.8702887919362221E-2</v>
      </c>
      <c r="P501" s="47">
        <f t="shared" si="203"/>
        <v>6.9</v>
      </c>
    </row>
    <row r="502" spans="1:16" ht="15.75" x14ac:dyDescent="0.3">
      <c r="A502" s="57" t="s">
        <v>42</v>
      </c>
      <c r="B502" s="50">
        <v>45934</v>
      </c>
      <c r="C502" s="47">
        <f>-16.84</f>
        <v>-16.84</v>
      </c>
      <c r="D502" s="47">
        <v>0</v>
      </c>
      <c r="E502" s="48">
        <v>0</v>
      </c>
      <c r="F502" s="48">
        <f t="shared" si="204"/>
        <v>-16.84</v>
      </c>
      <c r="G502" s="48">
        <f t="shared" si="205"/>
        <v>37.606074140241184</v>
      </c>
      <c r="H502" s="48">
        <f>-0.4478</f>
        <v>-0.44779999999999998</v>
      </c>
      <c r="I502" s="56">
        <v>38.984900000000003</v>
      </c>
      <c r="J502" s="47">
        <f t="shared" ref="J502:J541" si="206">PRODUCT(H502:I502)</f>
        <v>-17.45743822</v>
      </c>
      <c r="K502" s="49">
        <f>0</f>
        <v>0</v>
      </c>
      <c r="L502" s="48">
        <f t="shared" ref="L502:L541" si="207">SUM(-F502,J502)+K502</f>
        <v>-0.61743822000000037</v>
      </c>
      <c r="M502" s="46">
        <f t="shared" ref="M502:M541" si="208">L502/F502</f>
        <v>3.6664977434679356E-2</v>
      </c>
      <c r="N502" s="47">
        <f t="shared" ref="N502:N541" ca="1" si="209">(DAYS360(B502,NOW(),TRUE))/30</f>
        <v>9.6333333333333329</v>
      </c>
      <c r="O502" s="46">
        <f t="shared" ref="O502:O541" ca="1" si="210">M502*12/N502</f>
        <v>4.5672636250811652E-2</v>
      </c>
      <c r="P502" s="47">
        <f t="shared" si="203"/>
        <v>16.84</v>
      </c>
    </row>
    <row r="503" spans="1:16" ht="15.75" x14ac:dyDescent="0.3">
      <c r="A503" s="55" t="s">
        <v>44</v>
      </c>
      <c r="B503" s="50">
        <v>45936</v>
      </c>
      <c r="C503" s="47">
        <f>16614*30%</f>
        <v>4984.2</v>
      </c>
      <c r="D503" s="47">
        <v>0</v>
      </c>
      <c r="E503" s="48">
        <v>0</v>
      </c>
      <c r="F503" s="48">
        <f t="shared" si="204"/>
        <v>4984.2</v>
      </c>
      <c r="G503" s="48">
        <f t="shared" si="205"/>
        <v>73.703512014787421</v>
      </c>
      <c r="H503" s="48">
        <f>67.625</f>
        <v>67.625</v>
      </c>
      <c r="I503" s="56">
        <v>74.919499999999999</v>
      </c>
      <c r="J503" s="47">
        <f t="shared" si="206"/>
        <v>5066.4311875000003</v>
      </c>
      <c r="K503" s="49">
        <f>0</f>
        <v>0</v>
      </c>
      <c r="L503" s="48">
        <f t="shared" si="207"/>
        <v>82.231187500000487</v>
      </c>
      <c r="M503" s="46">
        <f t="shared" si="208"/>
        <v>1.6498372356647101E-2</v>
      </c>
      <c r="N503" s="47">
        <f t="shared" ca="1" si="209"/>
        <v>9.5666666666666664</v>
      </c>
      <c r="O503" s="46">
        <f t="shared" ca="1" si="210"/>
        <v>2.0694822468268145E-2</v>
      </c>
      <c r="P503" s="47">
        <f t="shared" si="203"/>
        <v>-4984.2</v>
      </c>
    </row>
    <row r="504" spans="1:16" ht="15.75" x14ac:dyDescent="0.3">
      <c r="A504" s="57" t="s">
        <v>43</v>
      </c>
      <c r="B504" s="50">
        <v>45936</v>
      </c>
      <c r="C504" s="47">
        <f>16614*20%</f>
        <v>3322.8</v>
      </c>
      <c r="D504" s="47">
        <v>0</v>
      </c>
      <c r="E504" s="48">
        <v>0</v>
      </c>
      <c r="F504" s="48">
        <f t="shared" si="204"/>
        <v>3322.8</v>
      </c>
      <c r="G504" s="48">
        <f t="shared" si="205"/>
        <v>44.373637027708817</v>
      </c>
      <c r="H504" s="48">
        <f>74.8823</f>
        <v>74.882300000000001</v>
      </c>
      <c r="I504" s="56">
        <v>46.404400000000003</v>
      </c>
      <c r="J504" s="47">
        <f t="shared" si="206"/>
        <v>3474.8682021200002</v>
      </c>
      <c r="K504" s="49">
        <f>0</f>
        <v>0</v>
      </c>
      <c r="L504" s="48">
        <f t="shared" si="207"/>
        <v>152.06820212000002</v>
      </c>
      <c r="M504" s="46">
        <f t="shared" si="208"/>
        <v>4.576507828337547E-2</v>
      </c>
      <c r="N504" s="47">
        <f t="shared" ca="1" si="209"/>
        <v>9.5666666666666664</v>
      </c>
      <c r="O504" s="46">
        <f t="shared" ca="1" si="210"/>
        <v>5.7405673108066789E-2</v>
      </c>
      <c r="P504" s="47">
        <f t="shared" si="203"/>
        <v>-3322.8</v>
      </c>
    </row>
    <row r="505" spans="1:16" ht="15.75" x14ac:dyDescent="0.3">
      <c r="A505" s="57" t="s">
        <v>42</v>
      </c>
      <c r="B505" s="50">
        <v>45936</v>
      </c>
      <c r="C505" s="47">
        <f>16614*50%</f>
        <v>8307</v>
      </c>
      <c r="D505" s="47">
        <v>0</v>
      </c>
      <c r="E505" s="48">
        <v>0</v>
      </c>
      <c r="F505" s="48">
        <f t="shared" si="204"/>
        <v>8307</v>
      </c>
      <c r="G505" s="48">
        <f t="shared" si="205"/>
        <v>37.670616329738294</v>
      </c>
      <c r="H505" s="48">
        <f>220.5167</f>
        <v>220.51669999999999</v>
      </c>
      <c r="I505" s="56">
        <v>38.984900000000003</v>
      </c>
      <c r="J505" s="47">
        <f t="shared" si="206"/>
        <v>8596.8214978300002</v>
      </c>
      <c r="K505" s="49">
        <f>0</f>
        <v>0</v>
      </c>
      <c r="L505" s="48">
        <f t="shared" si="207"/>
        <v>289.82149783000023</v>
      </c>
      <c r="M505" s="46">
        <f t="shared" si="208"/>
        <v>3.488882843746241E-2</v>
      </c>
      <c r="N505" s="47">
        <f t="shared" ca="1" si="209"/>
        <v>9.5666666666666664</v>
      </c>
      <c r="O505" s="46">
        <f t="shared" ca="1" si="210"/>
        <v>4.3762990374517308E-2</v>
      </c>
      <c r="P505" s="47">
        <f t="shared" si="203"/>
        <v>-8307</v>
      </c>
    </row>
    <row r="506" spans="1:16" ht="15.75" x14ac:dyDescent="0.3">
      <c r="A506" s="55" t="s">
        <v>44</v>
      </c>
      <c r="B506" s="50">
        <v>45954</v>
      </c>
      <c r="C506" s="47">
        <f>-63028.62</f>
        <v>-63028.62</v>
      </c>
      <c r="D506" s="47">
        <v>0</v>
      </c>
      <c r="E506" s="48">
        <v>0</v>
      </c>
      <c r="F506" s="48">
        <f t="shared" si="204"/>
        <v>-63028.62</v>
      </c>
      <c r="G506" s="48">
        <f t="shared" si="205"/>
        <v>75.451895281058782</v>
      </c>
      <c r="H506" s="48">
        <f>-835.3484</f>
        <v>-835.34839999999997</v>
      </c>
      <c r="I506" s="56">
        <v>74.919499999999999</v>
      </c>
      <c r="J506" s="47">
        <f t="shared" si="206"/>
        <v>-62583.884453799998</v>
      </c>
      <c r="K506" s="49">
        <f>0</f>
        <v>0</v>
      </c>
      <c r="L506" s="48">
        <f t="shared" si="207"/>
        <v>444.73554620000505</v>
      </c>
      <c r="M506" s="46">
        <f t="shared" si="208"/>
        <v>-7.0560889037393649E-3</v>
      </c>
      <c r="N506" s="47">
        <f t="shared" ca="1" si="209"/>
        <v>8.9666666666666668</v>
      </c>
      <c r="O506" s="46">
        <f t="shared" ca="1" si="210"/>
        <v>-9.4430929566772168E-3</v>
      </c>
      <c r="P506" s="47">
        <f t="shared" si="203"/>
        <v>63028.62</v>
      </c>
    </row>
    <row r="507" spans="1:16" ht="15.75" x14ac:dyDescent="0.3">
      <c r="A507" s="57" t="s">
        <v>43</v>
      </c>
      <c r="B507" s="50">
        <v>45954</v>
      </c>
      <c r="C507" s="47">
        <f>-44108.74</f>
        <v>-44108.74</v>
      </c>
      <c r="D507" s="47">
        <v>0</v>
      </c>
      <c r="E507" s="48">
        <v>0</v>
      </c>
      <c r="F507" s="48">
        <f t="shared" si="204"/>
        <v>-44108.74</v>
      </c>
      <c r="G507" s="48">
        <f t="shared" si="205"/>
        <v>44.649196195346569</v>
      </c>
      <c r="H507" s="48">
        <f>-987.8955</f>
        <v>-987.89549999999997</v>
      </c>
      <c r="I507" s="56">
        <v>46.404400000000003</v>
      </c>
      <c r="J507" s="47">
        <f t="shared" si="206"/>
        <v>-45842.6979402</v>
      </c>
      <c r="K507" s="49">
        <f>0</f>
        <v>0</v>
      </c>
      <c r="L507" s="48">
        <f t="shared" si="207"/>
        <v>-1733.9579402000018</v>
      </c>
      <c r="M507" s="46">
        <f t="shared" si="208"/>
        <v>3.9310983269982364E-2</v>
      </c>
      <c r="N507" s="47">
        <f t="shared" ca="1" si="209"/>
        <v>8.9666666666666668</v>
      </c>
      <c r="O507" s="46">
        <f t="shared" ca="1" si="210"/>
        <v>5.2609494339009855E-2</v>
      </c>
      <c r="P507" s="47">
        <f t="shared" si="203"/>
        <v>44108.74</v>
      </c>
    </row>
    <row r="508" spans="1:16" ht="15.75" x14ac:dyDescent="0.3">
      <c r="A508" s="57" t="s">
        <v>42</v>
      </c>
      <c r="B508" s="50">
        <v>45954</v>
      </c>
      <c r="C508" s="47">
        <f>107137.36</f>
        <v>107137.36</v>
      </c>
      <c r="D508" s="47">
        <v>0</v>
      </c>
      <c r="E508" s="48">
        <v>0</v>
      </c>
      <c r="F508" s="48">
        <f t="shared" si="204"/>
        <v>107137.36</v>
      </c>
      <c r="G508" s="48">
        <f t="shared" si="205"/>
        <v>37.671601378925693</v>
      </c>
      <c r="H508" s="48">
        <f>2843.9821</f>
        <v>2843.9821000000002</v>
      </c>
      <c r="I508" s="56">
        <v>38.984900000000003</v>
      </c>
      <c r="J508" s="47">
        <f t="shared" si="206"/>
        <v>110872.35777029002</v>
      </c>
      <c r="K508" s="49">
        <f>0</f>
        <v>0</v>
      </c>
      <c r="L508" s="48">
        <f t="shared" si="207"/>
        <v>3734.9977702900214</v>
      </c>
      <c r="M508" s="46">
        <f t="shared" si="208"/>
        <v>3.4861767830475024E-2</v>
      </c>
      <c r="N508" s="47">
        <f t="shared" ca="1" si="209"/>
        <v>8.9666666666666668</v>
      </c>
      <c r="O508" s="46">
        <f t="shared" ca="1" si="210"/>
        <v>4.665515397386992E-2</v>
      </c>
      <c r="P508" s="47">
        <f t="shared" si="203"/>
        <v>-107137.36</v>
      </c>
    </row>
    <row r="509" spans="1:16" ht="15.75" x14ac:dyDescent="0.3">
      <c r="A509" s="55" t="s">
        <v>44</v>
      </c>
      <c r="B509" s="50">
        <v>45964</v>
      </c>
      <c r="C509" s="47">
        <f>16614*28%</f>
        <v>4651.92</v>
      </c>
      <c r="D509" s="47">
        <v>0</v>
      </c>
      <c r="E509" s="48">
        <v>0</v>
      </c>
      <c r="F509" s="48">
        <f t="shared" si="204"/>
        <v>4651.92</v>
      </c>
      <c r="G509" s="48">
        <f t="shared" si="205"/>
        <v>76.012013111153962</v>
      </c>
      <c r="H509" s="48">
        <f>61.1998</f>
        <v>61.199800000000003</v>
      </c>
      <c r="I509" s="56">
        <v>74.919499999999999</v>
      </c>
      <c r="J509" s="47">
        <f t="shared" si="206"/>
        <v>4585.0584161000006</v>
      </c>
      <c r="K509" s="49">
        <f>0</f>
        <v>0</v>
      </c>
      <c r="L509" s="48">
        <f t="shared" si="207"/>
        <v>-66.861583899999459</v>
      </c>
      <c r="M509" s="46">
        <f t="shared" si="208"/>
        <v>-1.4372900630277274E-2</v>
      </c>
      <c r="N509" s="47">
        <f t="shared" ca="1" si="209"/>
        <v>8.6666666666666661</v>
      </c>
      <c r="O509" s="46">
        <f t="shared" ca="1" si="210"/>
        <v>-1.9900939334230074E-2</v>
      </c>
      <c r="P509" s="47">
        <f t="shared" si="203"/>
        <v>-4651.92</v>
      </c>
    </row>
    <row r="510" spans="1:16" ht="15.75" x14ac:dyDescent="0.3">
      <c r="A510" s="57" t="s">
        <v>43</v>
      </c>
      <c r="B510" s="50">
        <v>45964</v>
      </c>
      <c r="C510" s="47">
        <f>16614*19%</f>
        <v>3156.66</v>
      </c>
      <c r="D510" s="47">
        <v>0</v>
      </c>
      <c r="E510" s="48">
        <v>0</v>
      </c>
      <c r="F510" s="48">
        <f t="shared" si="204"/>
        <v>3156.66</v>
      </c>
      <c r="G510" s="48">
        <f t="shared" si="205"/>
        <v>44.766937254301318</v>
      </c>
      <c r="H510" s="48">
        <f>70.5132</f>
        <v>70.513199999999998</v>
      </c>
      <c r="I510" s="56">
        <v>46.404400000000003</v>
      </c>
      <c r="J510" s="47">
        <f t="shared" si="206"/>
        <v>3272.1227380800001</v>
      </c>
      <c r="K510" s="49">
        <f>0</f>
        <v>0</v>
      </c>
      <c r="L510" s="48">
        <f t="shared" si="207"/>
        <v>115.46273808000024</v>
      </c>
      <c r="M510" s="46">
        <f t="shared" si="208"/>
        <v>3.6577502195358463E-2</v>
      </c>
      <c r="N510" s="47">
        <f t="shared" ca="1" si="209"/>
        <v>8.6666666666666661</v>
      </c>
      <c r="O510" s="46">
        <f t="shared" ca="1" si="210"/>
        <v>5.0645772270496339E-2</v>
      </c>
      <c r="P510" s="47">
        <f t="shared" si="203"/>
        <v>-3156.66</v>
      </c>
    </row>
    <row r="511" spans="1:16" ht="15.75" x14ac:dyDescent="0.3">
      <c r="A511" s="57" t="s">
        <v>42</v>
      </c>
      <c r="B511" s="50">
        <v>45964</v>
      </c>
      <c r="C511" s="47">
        <f>16614*53%</f>
        <v>8805.42</v>
      </c>
      <c r="D511" s="47">
        <v>0</v>
      </c>
      <c r="E511" s="48">
        <v>0</v>
      </c>
      <c r="F511" s="48">
        <f t="shared" si="204"/>
        <v>8805.42</v>
      </c>
      <c r="G511" s="48">
        <f t="shared" si="205"/>
        <v>37.538415890462119</v>
      </c>
      <c r="H511" s="48">
        <f>234.5709</f>
        <v>234.57089999999999</v>
      </c>
      <c r="I511" s="56">
        <v>38.984900000000003</v>
      </c>
      <c r="J511" s="47">
        <f t="shared" si="206"/>
        <v>9144.7230794100014</v>
      </c>
      <c r="K511" s="49">
        <f>0</f>
        <v>0</v>
      </c>
      <c r="L511" s="48">
        <f t="shared" si="207"/>
        <v>339.30307941000137</v>
      </c>
      <c r="M511" s="46">
        <f t="shared" si="208"/>
        <v>3.853343502183898E-2</v>
      </c>
      <c r="N511" s="47">
        <f t="shared" ca="1" si="209"/>
        <v>8.6666666666666661</v>
      </c>
      <c r="O511" s="46">
        <f t="shared" ca="1" si="210"/>
        <v>5.3353986953315516E-2</v>
      </c>
      <c r="P511" s="47">
        <f t="shared" si="203"/>
        <v>-8805.42</v>
      </c>
    </row>
    <row r="512" spans="1:16" ht="15.75" x14ac:dyDescent="0.3">
      <c r="A512" s="55" t="s">
        <v>44</v>
      </c>
      <c r="B512" s="50">
        <v>45993</v>
      </c>
      <c r="C512" s="47">
        <f>16614*28%</f>
        <v>4651.92</v>
      </c>
      <c r="D512" s="47">
        <v>0</v>
      </c>
      <c r="E512" s="48">
        <v>0</v>
      </c>
      <c r="F512" s="48">
        <f t="shared" si="204"/>
        <v>4651.92</v>
      </c>
      <c r="G512" s="48">
        <f t="shared" si="205"/>
        <v>76.886664595164589</v>
      </c>
      <c r="H512" s="48">
        <f>60.5036</f>
        <v>60.503599999999999</v>
      </c>
      <c r="I512" s="56">
        <v>74.919499999999999</v>
      </c>
      <c r="J512" s="47">
        <f t="shared" si="206"/>
        <v>4532.8994602000002</v>
      </c>
      <c r="K512" s="49">
        <f>0</f>
        <v>0</v>
      </c>
      <c r="L512" s="48">
        <f t="shared" si="207"/>
        <v>-119.02053979999982</v>
      </c>
      <c r="M512" s="46">
        <f t="shared" si="208"/>
        <v>-2.5585250778173276E-2</v>
      </c>
      <c r="N512" s="47">
        <f t="shared" ca="1" si="209"/>
        <v>7.7</v>
      </c>
      <c r="O512" s="46">
        <f t="shared" ca="1" si="210"/>
        <v>-3.9873118095854455E-2</v>
      </c>
      <c r="P512" s="47">
        <f t="shared" si="203"/>
        <v>-4651.92</v>
      </c>
    </row>
    <row r="513" spans="1:16" ht="15.75" x14ac:dyDescent="0.3">
      <c r="A513" s="57" t="s">
        <v>43</v>
      </c>
      <c r="B513" s="50">
        <v>45993</v>
      </c>
      <c r="C513" s="47">
        <f>16614*19%</f>
        <v>3156.66</v>
      </c>
      <c r="D513" s="47">
        <v>0</v>
      </c>
      <c r="E513" s="48">
        <v>0</v>
      </c>
      <c r="F513" s="48">
        <f t="shared" si="204"/>
        <v>3156.66</v>
      </c>
      <c r="G513" s="48">
        <f t="shared" si="205"/>
        <v>45.024711344396977</v>
      </c>
      <c r="H513" s="48">
        <f>70.1095</f>
        <v>70.109499999999997</v>
      </c>
      <c r="I513" s="56">
        <v>46.404400000000003</v>
      </c>
      <c r="J513" s="47">
        <f t="shared" si="206"/>
        <v>3253.3892817999999</v>
      </c>
      <c r="K513" s="49">
        <f>0</f>
        <v>0</v>
      </c>
      <c r="L513" s="48">
        <f t="shared" si="207"/>
        <v>96.729281800000081</v>
      </c>
      <c r="M513" s="46">
        <f t="shared" si="208"/>
        <v>3.0642920618628576E-2</v>
      </c>
      <c r="N513" s="47">
        <f t="shared" ca="1" si="209"/>
        <v>7.7</v>
      </c>
      <c r="O513" s="46">
        <f t="shared" ca="1" si="210"/>
        <v>4.7755200964096481E-2</v>
      </c>
      <c r="P513" s="47">
        <f t="shared" si="203"/>
        <v>-3156.66</v>
      </c>
    </row>
    <row r="514" spans="1:16" ht="15.75" x14ac:dyDescent="0.3">
      <c r="A514" s="57" t="s">
        <v>42</v>
      </c>
      <c r="B514" s="50">
        <v>45993</v>
      </c>
      <c r="C514" s="47">
        <f>16614*53%</f>
        <v>8805.42</v>
      </c>
      <c r="D514" s="47">
        <v>0</v>
      </c>
      <c r="E514" s="48">
        <v>0</v>
      </c>
      <c r="F514" s="48">
        <f t="shared" si="204"/>
        <v>8805.42</v>
      </c>
      <c r="G514" s="48">
        <f t="shared" si="205"/>
        <v>37.504600004088893</v>
      </c>
      <c r="H514" s="48">
        <f>234.7824</f>
        <v>234.7824</v>
      </c>
      <c r="I514" s="56">
        <v>38.984900000000003</v>
      </c>
      <c r="J514" s="47">
        <f t="shared" si="206"/>
        <v>9152.9683857600012</v>
      </c>
      <c r="K514" s="49">
        <f>0</f>
        <v>0</v>
      </c>
      <c r="L514" s="48">
        <f t="shared" si="207"/>
        <v>347.54838576000111</v>
      </c>
      <c r="M514" s="46">
        <f t="shared" si="208"/>
        <v>3.946982492146895E-2</v>
      </c>
      <c r="N514" s="47">
        <f t="shared" ca="1" si="209"/>
        <v>7.7</v>
      </c>
      <c r="O514" s="46">
        <f t="shared" ca="1" si="210"/>
        <v>6.1511415462029533E-2</v>
      </c>
      <c r="P514" s="47">
        <f t="shared" si="203"/>
        <v>-8805.42</v>
      </c>
    </row>
    <row r="515" spans="1:16" ht="15.75" x14ac:dyDescent="0.3">
      <c r="A515" s="55" t="s">
        <v>44</v>
      </c>
      <c r="B515" s="50">
        <v>46014</v>
      </c>
      <c r="C515" s="47">
        <f>50000*28%</f>
        <v>14000.000000000002</v>
      </c>
      <c r="D515" s="47">
        <v>0</v>
      </c>
      <c r="E515" s="48">
        <v>0</v>
      </c>
      <c r="F515" s="48">
        <f t="shared" si="204"/>
        <v>14000.000000000002</v>
      </c>
      <c r="G515" s="48">
        <f t="shared" si="205"/>
        <v>77.066836213706338</v>
      </c>
      <c r="H515" s="48">
        <f>181.6605</f>
        <v>181.66050000000001</v>
      </c>
      <c r="I515" s="56">
        <v>74.919499999999999</v>
      </c>
      <c r="J515" s="47">
        <f t="shared" si="206"/>
        <v>13609.913829750001</v>
      </c>
      <c r="K515" s="49">
        <f>0</f>
        <v>0</v>
      </c>
      <c r="L515" s="48">
        <f t="shared" si="207"/>
        <v>-390.08617025000058</v>
      </c>
      <c r="M515" s="46">
        <f t="shared" si="208"/>
        <v>-2.7863297875000036E-2</v>
      </c>
      <c r="N515" s="47">
        <f t="shared" ca="1" si="209"/>
        <v>7</v>
      </c>
      <c r="O515" s="46">
        <f t="shared" ca="1" si="210"/>
        <v>-4.776565350000006E-2</v>
      </c>
      <c r="P515" s="47">
        <f t="shared" si="203"/>
        <v>-14000.000000000002</v>
      </c>
    </row>
    <row r="516" spans="1:16" ht="15.75" x14ac:dyDescent="0.3">
      <c r="A516" s="57" t="s">
        <v>43</v>
      </c>
      <c r="B516" s="50">
        <v>46014</v>
      </c>
      <c r="C516" s="47">
        <f>50000*19%</f>
        <v>9500</v>
      </c>
      <c r="D516" s="47">
        <v>0</v>
      </c>
      <c r="E516" s="48">
        <v>0</v>
      </c>
      <c r="F516" s="48">
        <f t="shared" si="204"/>
        <v>9500</v>
      </c>
      <c r="G516" s="48">
        <f t="shared" si="205"/>
        <v>44.966008064535217</v>
      </c>
      <c r="H516" s="48">
        <f>211.2707</f>
        <v>211.27070000000001</v>
      </c>
      <c r="I516" s="56">
        <v>46.404400000000003</v>
      </c>
      <c r="J516" s="47">
        <f t="shared" si="206"/>
        <v>9803.8900710800008</v>
      </c>
      <c r="K516" s="49">
        <f>0</f>
        <v>0</v>
      </c>
      <c r="L516" s="48">
        <f t="shared" si="207"/>
        <v>303.89007108000078</v>
      </c>
      <c r="M516" s="46">
        <f t="shared" si="208"/>
        <v>3.1988428534736928E-2</v>
      </c>
      <c r="N516" s="47">
        <f t="shared" ca="1" si="209"/>
        <v>7</v>
      </c>
      <c r="O516" s="46">
        <f t="shared" ca="1" si="210"/>
        <v>5.4837306059549014E-2</v>
      </c>
      <c r="P516" s="47">
        <f t="shared" si="203"/>
        <v>-9500</v>
      </c>
    </row>
    <row r="517" spans="1:16" ht="15.75" x14ac:dyDescent="0.3">
      <c r="A517" s="57" t="s">
        <v>42</v>
      </c>
      <c r="B517" s="50">
        <v>46014</v>
      </c>
      <c r="C517" s="47">
        <f>50000*53%</f>
        <v>26500</v>
      </c>
      <c r="D517" s="47">
        <v>0</v>
      </c>
      <c r="E517" s="48">
        <v>0</v>
      </c>
      <c r="F517" s="48">
        <f t="shared" si="204"/>
        <v>26500</v>
      </c>
      <c r="G517" s="48">
        <f t="shared" si="205"/>
        <v>37.709703304323426</v>
      </c>
      <c r="H517" s="48">
        <f>702.7369</f>
        <v>702.73689999999999</v>
      </c>
      <c r="I517" s="56">
        <v>38.984900000000003</v>
      </c>
      <c r="J517" s="47">
        <f t="shared" si="206"/>
        <v>27396.127772810003</v>
      </c>
      <c r="K517" s="49">
        <f>0</f>
        <v>0</v>
      </c>
      <c r="L517" s="48">
        <f t="shared" si="207"/>
        <v>896.12777281000308</v>
      </c>
      <c r="M517" s="46">
        <f t="shared" si="208"/>
        <v>3.3816142370188797E-2</v>
      </c>
      <c r="N517" s="47">
        <f t="shared" ca="1" si="209"/>
        <v>7</v>
      </c>
      <c r="O517" s="46">
        <f t="shared" ca="1" si="210"/>
        <v>5.7970529777466515E-2</v>
      </c>
      <c r="P517" s="47">
        <f t="shared" si="203"/>
        <v>-26500</v>
      </c>
    </row>
    <row r="518" spans="1:16" ht="15.75" x14ac:dyDescent="0.3">
      <c r="A518" s="55" t="s">
        <v>44</v>
      </c>
      <c r="B518" s="50">
        <v>46024</v>
      </c>
      <c r="C518" s="47">
        <f>16614*28%</f>
        <v>4651.92</v>
      </c>
      <c r="D518" s="47">
        <v>0</v>
      </c>
      <c r="E518" s="48">
        <v>0</v>
      </c>
      <c r="F518" s="48">
        <f t="shared" ref="F518:F520" si="211">SUM(C518:E518)</f>
        <v>4651.92</v>
      </c>
      <c r="G518" s="48">
        <f t="shared" ref="G518:G520" si="212">F518/H518</f>
        <v>77.86630600712391</v>
      </c>
      <c r="H518" s="48">
        <f>59.7424</f>
        <v>59.742400000000004</v>
      </c>
      <c r="I518" s="56">
        <v>74.919499999999999</v>
      </c>
      <c r="J518" s="47">
        <f t="shared" ref="J518:J523" si="213">PRODUCT(H518:I518)</f>
        <v>4475.8707368000005</v>
      </c>
      <c r="K518" s="49">
        <f>0</f>
        <v>0</v>
      </c>
      <c r="L518" s="48">
        <f t="shared" ref="L518:L523" si="214">SUM(-F518,J518)+K518</f>
        <v>-176.04926319999959</v>
      </c>
      <c r="M518" s="46">
        <f t="shared" ref="M518:M523" si="215">L518/F518</f>
        <v>-3.7844430514712118E-2</v>
      </c>
      <c r="N518" s="47">
        <f t="shared" ref="N518:N523" ca="1" si="216">(DAYS360(B518,NOW(),TRUE))/30</f>
        <v>6.7</v>
      </c>
      <c r="O518" s="46">
        <f t="shared" ref="O518:O523" ca="1" si="217">M518*12/N518</f>
        <v>-6.7781069578588871E-2</v>
      </c>
      <c r="P518" s="47">
        <f t="shared" ref="P518:P523" si="218">-F518</f>
        <v>-4651.92</v>
      </c>
    </row>
    <row r="519" spans="1:16" ht="15.75" x14ac:dyDescent="0.3">
      <c r="A519" s="57" t="s">
        <v>43</v>
      </c>
      <c r="B519" s="50">
        <v>46024</v>
      </c>
      <c r="C519" s="47">
        <f>16614*19%</f>
        <v>3156.66</v>
      </c>
      <c r="D519" s="47">
        <v>0</v>
      </c>
      <c r="E519" s="48">
        <v>0</v>
      </c>
      <c r="F519" s="48">
        <f t="shared" si="211"/>
        <v>3156.66</v>
      </c>
      <c r="G519" s="48">
        <f t="shared" si="212"/>
        <v>45.081232076959104</v>
      </c>
      <c r="H519" s="48">
        <f>70.0216</f>
        <v>70.021600000000007</v>
      </c>
      <c r="I519" s="56">
        <v>46.404400000000003</v>
      </c>
      <c r="J519" s="47">
        <f t="shared" si="213"/>
        <v>3249.3103350400006</v>
      </c>
      <c r="K519" s="49">
        <f>0</f>
        <v>0</v>
      </c>
      <c r="L519" s="48">
        <f t="shared" si="214"/>
        <v>92.650335040000755</v>
      </c>
      <c r="M519" s="46">
        <f t="shared" si="215"/>
        <v>2.9350748905488954E-2</v>
      </c>
      <c r="N519" s="47">
        <f t="shared" ca="1" si="216"/>
        <v>6.7</v>
      </c>
      <c r="O519" s="46">
        <f t="shared" ca="1" si="217"/>
        <v>5.2568505502368273E-2</v>
      </c>
      <c r="P519" s="47">
        <f t="shared" si="218"/>
        <v>-3156.66</v>
      </c>
    </row>
    <row r="520" spans="1:16" ht="15.75" x14ac:dyDescent="0.3">
      <c r="A520" s="57" t="s">
        <v>42</v>
      </c>
      <c r="B520" s="50">
        <v>46024</v>
      </c>
      <c r="C520" s="47">
        <f>16614*53%</f>
        <v>8805.42</v>
      </c>
      <c r="D520" s="47">
        <v>0</v>
      </c>
      <c r="E520" s="48">
        <v>0</v>
      </c>
      <c r="F520" s="48">
        <f t="shared" si="211"/>
        <v>8805.42</v>
      </c>
      <c r="G520" s="48">
        <f t="shared" si="212"/>
        <v>37.804011542016696</v>
      </c>
      <c r="H520" s="48">
        <f>232.9229</f>
        <v>232.9229</v>
      </c>
      <c r="I520" s="56">
        <v>38.984900000000003</v>
      </c>
      <c r="J520" s="47">
        <f t="shared" si="213"/>
        <v>9080.4759642099998</v>
      </c>
      <c r="K520" s="49">
        <f>0</f>
        <v>0</v>
      </c>
      <c r="L520" s="48">
        <f t="shared" si="214"/>
        <v>275.05596420999973</v>
      </c>
      <c r="M520" s="46">
        <f t="shared" si="215"/>
        <v>3.1237120342925122E-2</v>
      </c>
      <c r="N520" s="47">
        <f t="shared" ca="1" si="216"/>
        <v>6.7</v>
      </c>
      <c r="O520" s="46">
        <f t="shared" ca="1" si="217"/>
        <v>5.5947081211209171E-2</v>
      </c>
      <c r="P520" s="47">
        <f t="shared" si="218"/>
        <v>-8805.42</v>
      </c>
    </row>
    <row r="521" spans="1:16" ht="15.75" x14ac:dyDescent="0.3">
      <c r="A521" s="55" t="s">
        <v>44</v>
      </c>
      <c r="B521" s="50">
        <v>46025</v>
      </c>
      <c r="C521" s="47">
        <f>-33.62</f>
        <v>-33.619999999999997</v>
      </c>
      <c r="D521" s="47">
        <v>0</v>
      </c>
      <c r="E521" s="48">
        <v>0</v>
      </c>
      <c r="F521" s="48">
        <f t="shared" ref="F521:F541" si="219">SUM(C521:E521)</f>
        <v>-33.619999999999997</v>
      </c>
      <c r="G521" s="48">
        <f t="shared" ref="G521:G541" si="220">F521/H521</f>
        <v>77.878156126939999</v>
      </c>
      <c r="H521" s="48">
        <f>-0.4317</f>
        <v>-0.43169999999999997</v>
      </c>
      <c r="I521" s="56">
        <v>74.919499999999999</v>
      </c>
      <c r="J521" s="47">
        <f t="shared" si="213"/>
        <v>-32.342748149999998</v>
      </c>
      <c r="K521" s="49">
        <f>0</f>
        <v>0</v>
      </c>
      <c r="L521" s="48">
        <f t="shared" si="214"/>
        <v>1.277251849999999</v>
      </c>
      <c r="M521" s="46">
        <f t="shared" si="215"/>
        <v>-3.7990834324806634E-2</v>
      </c>
      <c r="N521" s="47">
        <f t="shared" ca="1" si="216"/>
        <v>6.666666666666667</v>
      </c>
      <c r="O521" s="46">
        <f t="shared" ca="1" si="217"/>
        <v>-6.838350178465194E-2</v>
      </c>
      <c r="P521" s="47">
        <f t="shared" si="218"/>
        <v>33.619999999999997</v>
      </c>
    </row>
    <row r="522" spans="1:16" ht="15.75" x14ac:dyDescent="0.3">
      <c r="A522" s="57" t="s">
        <v>43</v>
      </c>
      <c r="B522" s="50">
        <v>46025</v>
      </c>
      <c r="C522" s="47">
        <f>-22.38</f>
        <v>-22.38</v>
      </c>
      <c r="D522" s="47">
        <v>0</v>
      </c>
      <c r="E522" s="48">
        <v>0</v>
      </c>
      <c r="F522" s="48">
        <f t="shared" si="219"/>
        <v>-22.38</v>
      </c>
      <c r="G522" s="48">
        <f t="shared" si="220"/>
        <v>45.084609186140206</v>
      </c>
      <c r="H522" s="48">
        <f>-0.4964</f>
        <v>-0.49640000000000001</v>
      </c>
      <c r="I522" s="56">
        <v>46.404400000000003</v>
      </c>
      <c r="J522" s="47">
        <f t="shared" si="213"/>
        <v>-23.035144160000002</v>
      </c>
      <c r="K522" s="49">
        <f>0</f>
        <v>0</v>
      </c>
      <c r="L522" s="48">
        <f t="shared" si="214"/>
        <v>-0.65514416000000253</v>
      </c>
      <c r="M522" s="46">
        <f t="shared" si="215"/>
        <v>2.9273644325290553E-2</v>
      </c>
      <c r="N522" s="47">
        <f t="shared" ca="1" si="216"/>
        <v>6.666666666666667</v>
      </c>
      <c r="O522" s="46">
        <f t="shared" ca="1" si="217"/>
        <v>5.2692559785522987E-2</v>
      </c>
      <c r="P522" s="47">
        <f t="shared" si="218"/>
        <v>22.38</v>
      </c>
    </row>
    <row r="523" spans="1:16" ht="15.75" x14ac:dyDescent="0.3">
      <c r="A523" s="57" t="s">
        <v>42</v>
      </c>
      <c r="B523" s="50">
        <v>46025</v>
      </c>
      <c r="C523" s="47">
        <f>-61.98</f>
        <v>-61.98</v>
      </c>
      <c r="D523" s="47">
        <v>0</v>
      </c>
      <c r="E523" s="48">
        <v>0</v>
      </c>
      <c r="F523" s="48">
        <f t="shared" si="219"/>
        <v>-61.98</v>
      </c>
      <c r="G523" s="48">
        <f t="shared" si="220"/>
        <v>37.804208600182982</v>
      </c>
      <c r="H523" s="48">
        <f>-1.6395</f>
        <v>-1.6395</v>
      </c>
      <c r="I523" s="56">
        <v>38.984900000000003</v>
      </c>
      <c r="J523" s="47">
        <f t="shared" si="213"/>
        <v>-63.915743550000002</v>
      </c>
      <c r="K523" s="49">
        <f>0</f>
        <v>0</v>
      </c>
      <c r="L523" s="48">
        <f t="shared" si="214"/>
        <v>-1.9357435500000051</v>
      </c>
      <c r="M523" s="46">
        <f t="shared" si="215"/>
        <v>3.1231744917715475E-2</v>
      </c>
      <c r="N523" s="47">
        <f t="shared" ca="1" si="216"/>
        <v>6.666666666666667</v>
      </c>
      <c r="O523" s="46">
        <f t="shared" ca="1" si="217"/>
        <v>5.6217140851887851E-2</v>
      </c>
      <c r="P523" s="47">
        <f t="shared" si="218"/>
        <v>61.98</v>
      </c>
    </row>
    <row r="524" spans="1:16" ht="15.75" x14ac:dyDescent="0.3">
      <c r="A524" s="55" t="s">
        <v>44</v>
      </c>
      <c r="B524" s="50">
        <v>46056</v>
      </c>
      <c r="C524" s="47">
        <f>16614*28%</f>
        <v>4651.92</v>
      </c>
      <c r="D524" s="47">
        <v>0</v>
      </c>
      <c r="E524" s="48">
        <v>0</v>
      </c>
      <c r="F524" s="48">
        <f t="shared" si="219"/>
        <v>4651.92</v>
      </c>
      <c r="G524" s="48">
        <f t="shared" si="220"/>
        <v>76.082501541465845</v>
      </c>
      <c r="H524" s="48">
        <f>61.1431</f>
        <v>61.143099999999997</v>
      </c>
      <c r="I524" s="56">
        <v>74.919499999999999</v>
      </c>
      <c r="J524" s="47">
        <f t="shared" si="206"/>
        <v>4580.8104804499999</v>
      </c>
      <c r="K524" s="49">
        <f>0</f>
        <v>0</v>
      </c>
      <c r="L524" s="48">
        <f t="shared" si="207"/>
        <v>-71.109519550000186</v>
      </c>
      <c r="M524" s="46">
        <f t="shared" si="208"/>
        <v>-1.528605813298599E-2</v>
      </c>
      <c r="N524" s="47">
        <f t="shared" ca="1" si="209"/>
        <v>5.666666666666667</v>
      </c>
      <c r="O524" s="46">
        <f t="shared" ca="1" si="210"/>
        <v>-3.2370476046323274E-2</v>
      </c>
      <c r="P524" s="47">
        <f t="shared" si="203"/>
        <v>-4651.92</v>
      </c>
    </row>
    <row r="525" spans="1:16" ht="15.75" x14ac:dyDescent="0.3">
      <c r="A525" s="57" t="s">
        <v>43</v>
      </c>
      <c r="B525" s="50">
        <v>46056</v>
      </c>
      <c r="C525" s="47">
        <f>16614*19%</f>
        <v>3156.66</v>
      </c>
      <c r="D525" s="47">
        <v>0</v>
      </c>
      <c r="E525" s="48">
        <v>0</v>
      </c>
      <c r="F525" s="48">
        <f t="shared" si="219"/>
        <v>3156.66</v>
      </c>
      <c r="G525" s="48">
        <f t="shared" si="220"/>
        <v>44.984160506863773</v>
      </c>
      <c r="H525" s="48">
        <f>70.1727</f>
        <v>70.172700000000006</v>
      </c>
      <c r="I525" s="56">
        <v>46.404400000000003</v>
      </c>
      <c r="J525" s="47">
        <f t="shared" si="206"/>
        <v>3256.3220398800004</v>
      </c>
      <c r="K525" s="49">
        <f>0</f>
        <v>0</v>
      </c>
      <c r="L525" s="48">
        <f t="shared" si="207"/>
        <v>99.66203988000052</v>
      </c>
      <c r="M525" s="46">
        <f t="shared" si="208"/>
        <v>3.1571990610328803E-2</v>
      </c>
      <c r="N525" s="47">
        <f t="shared" ca="1" si="209"/>
        <v>5.666666666666667</v>
      </c>
      <c r="O525" s="46">
        <f t="shared" ca="1" si="210"/>
        <v>6.6858333057166874E-2</v>
      </c>
      <c r="P525" s="47">
        <f t="shared" si="203"/>
        <v>-3156.66</v>
      </c>
    </row>
    <row r="526" spans="1:16" ht="15.75" x14ac:dyDescent="0.3">
      <c r="A526" s="57" t="s">
        <v>42</v>
      </c>
      <c r="B526" s="50">
        <v>46056</v>
      </c>
      <c r="C526" s="47">
        <f>16614*53%</f>
        <v>8805.42</v>
      </c>
      <c r="D526" s="47">
        <v>0</v>
      </c>
      <c r="E526" s="48">
        <v>0</v>
      </c>
      <c r="F526" s="48">
        <f t="shared" si="219"/>
        <v>8805.42</v>
      </c>
      <c r="G526" s="48">
        <f t="shared" si="220"/>
        <v>37.619003675848596</v>
      </c>
      <c r="H526" s="48">
        <f>234.0684</f>
        <v>234.0684</v>
      </c>
      <c r="I526" s="56">
        <v>38.984900000000003</v>
      </c>
      <c r="J526" s="47">
        <f t="shared" si="206"/>
        <v>9125.1331671600001</v>
      </c>
      <c r="K526" s="49">
        <f>0</f>
        <v>0</v>
      </c>
      <c r="L526" s="48">
        <f t="shared" si="207"/>
        <v>319.71316716000001</v>
      </c>
      <c r="M526" s="46">
        <f t="shared" si="208"/>
        <v>3.6308678877327825E-2</v>
      </c>
      <c r="N526" s="47">
        <f t="shared" ca="1" si="209"/>
        <v>5.666666666666667</v>
      </c>
      <c r="O526" s="46">
        <f t="shared" ca="1" si="210"/>
        <v>7.6888967034341268E-2</v>
      </c>
      <c r="P526" s="47">
        <f t="shared" si="203"/>
        <v>-8805.42</v>
      </c>
    </row>
    <row r="527" spans="1:16" ht="15.75" x14ac:dyDescent="0.3">
      <c r="A527" s="55" t="s">
        <v>44</v>
      </c>
      <c r="B527" s="50">
        <v>46084</v>
      </c>
      <c r="C527" s="47">
        <f>21812*28%</f>
        <v>6107.3600000000006</v>
      </c>
      <c r="D527" s="47">
        <v>0</v>
      </c>
      <c r="E527" s="48">
        <v>0</v>
      </c>
      <c r="F527" s="48">
        <f t="shared" si="219"/>
        <v>6107.3600000000006</v>
      </c>
      <c r="G527" s="48">
        <f t="shared" si="220"/>
        <v>73.171830445930098</v>
      </c>
      <c r="H527" s="48">
        <f>83.466</f>
        <v>83.465999999999994</v>
      </c>
      <c r="I527" s="56">
        <v>74.919499999999999</v>
      </c>
      <c r="J527" s="47">
        <f t="shared" si="206"/>
        <v>6253.2309869999999</v>
      </c>
      <c r="K527" s="49">
        <f>0</f>
        <v>0</v>
      </c>
      <c r="L527" s="48">
        <f t="shared" si="207"/>
        <v>145.87098699999933</v>
      </c>
      <c r="M527" s="46">
        <f t="shared" si="208"/>
        <v>2.3884458587671156E-2</v>
      </c>
      <c r="N527" s="47">
        <f t="shared" ca="1" si="209"/>
        <v>4.666666666666667</v>
      </c>
      <c r="O527" s="46">
        <f t="shared" ca="1" si="210"/>
        <v>6.1417179225440106E-2</v>
      </c>
      <c r="P527" s="47">
        <f t="shared" si="203"/>
        <v>-6107.3600000000006</v>
      </c>
    </row>
    <row r="528" spans="1:16" ht="15.75" x14ac:dyDescent="0.3">
      <c r="A528" s="57" t="s">
        <v>43</v>
      </c>
      <c r="B528" s="50">
        <v>46084</v>
      </c>
      <c r="C528" s="47">
        <f>21812*19%</f>
        <v>4144.28</v>
      </c>
      <c r="D528" s="47">
        <v>0</v>
      </c>
      <c r="E528" s="48">
        <v>0</v>
      </c>
      <c r="F528" s="48">
        <f t="shared" si="219"/>
        <v>4144.28</v>
      </c>
      <c r="G528" s="48">
        <f t="shared" si="220"/>
        <v>45.315310488407867</v>
      </c>
      <c r="H528" s="48">
        <f>91.4543</f>
        <v>91.454300000000003</v>
      </c>
      <c r="I528" s="56">
        <v>46.404400000000003</v>
      </c>
      <c r="J528" s="47">
        <f t="shared" si="206"/>
        <v>4243.8819189200003</v>
      </c>
      <c r="K528" s="49">
        <f>0</f>
        <v>0</v>
      </c>
      <c r="L528" s="48">
        <f t="shared" si="207"/>
        <v>99.601918920000571</v>
      </c>
      <c r="M528" s="46">
        <f t="shared" si="208"/>
        <v>2.4033588203499903E-2</v>
      </c>
      <c r="N528" s="47">
        <f t="shared" ca="1" si="209"/>
        <v>4.666666666666667</v>
      </c>
      <c r="O528" s="46">
        <f t="shared" ca="1" si="210"/>
        <v>6.1800655380428317E-2</v>
      </c>
      <c r="P528" s="47">
        <f t="shared" si="203"/>
        <v>-4144.28</v>
      </c>
    </row>
    <row r="529" spans="1:16" ht="15.75" x14ac:dyDescent="0.3">
      <c r="A529" s="57" t="s">
        <v>42</v>
      </c>
      <c r="B529" s="50">
        <v>46084</v>
      </c>
      <c r="C529" s="47">
        <f>21812*53%</f>
        <v>11560.36</v>
      </c>
      <c r="D529" s="47">
        <v>0</v>
      </c>
      <c r="E529" s="48">
        <v>0</v>
      </c>
      <c r="F529" s="48">
        <f t="shared" si="219"/>
        <v>11560.36</v>
      </c>
      <c r="G529" s="48">
        <f t="shared" si="220"/>
        <v>37.933502278728398</v>
      </c>
      <c r="H529" s="48">
        <f>304.7533</f>
        <v>304.75330000000002</v>
      </c>
      <c r="I529" s="56">
        <v>38.984900000000003</v>
      </c>
      <c r="J529" s="47">
        <f t="shared" si="206"/>
        <v>11880.776925170001</v>
      </c>
      <c r="K529" s="49">
        <f>0</f>
        <v>0</v>
      </c>
      <c r="L529" s="48">
        <f t="shared" si="207"/>
        <v>320.41692517000047</v>
      </c>
      <c r="M529" s="46">
        <f t="shared" si="208"/>
        <v>2.7716863935898228E-2</v>
      </c>
      <c r="N529" s="47">
        <f t="shared" ca="1" si="209"/>
        <v>4.666666666666667</v>
      </c>
      <c r="O529" s="46">
        <f t="shared" ca="1" si="210"/>
        <v>7.1271935835166875E-2</v>
      </c>
      <c r="P529" s="47">
        <f t="shared" si="203"/>
        <v>-11560.36</v>
      </c>
    </row>
    <row r="530" spans="1:16" ht="15.75" x14ac:dyDescent="0.3">
      <c r="A530" s="55" t="s">
        <v>44</v>
      </c>
      <c r="B530" s="50">
        <v>46111</v>
      </c>
      <c r="C530" s="47">
        <f>21812*28%</f>
        <v>6107.3600000000006</v>
      </c>
      <c r="D530" s="47">
        <v>0</v>
      </c>
      <c r="E530" s="48">
        <v>0</v>
      </c>
      <c r="F530" s="48">
        <f t="shared" si="219"/>
        <v>6107.3600000000006</v>
      </c>
      <c r="G530" s="48">
        <f t="shared" si="220"/>
        <v>66.75892343781085</v>
      </c>
      <c r="H530" s="48">
        <f>91.4838</f>
        <v>91.483800000000002</v>
      </c>
      <c r="I530" s="56">
        <v>74.919499999999999</v>
      </c>
      <c r="J530" s="47">
        <f t="shared" si="206"/>
        <v>6853.9205541000001</v>
      </c>
      <c r="K530" s="49">
        <f>0</f>
        <v>0</v>
      </c>
      <c r="L530" s="48">
        <f t="shared" si="207"/>
        <v>746.56055409999954</v>
      </c>
      <c r="M530" s="46">
        <f t="shared" si="208"/>
        <v>0.12223948712700733</v>
      </c>
      <c r="N530" s="47">
        <f t="shared" ca="1" si="209"/>
        <v>3.7666666666666666</v>
      </c>
      <c r="O530" s="46">
        <f t="shared" ca="1" si="210"/>
        <v>0.38943553420993487</v>
      </c>
      <c r="P530" s="47">
        <f t="shared" si="203"/>
        <v>-6107.3600000000006</v>
      </c>
    </row>
    <row r="531" spans="1:16" ht="15.75" x14ac:dyDescent="0.3">
      <c r="A531" s="57" t="s">
        <v>43</v>
      </c>
      <c r="B531" s="50">
        <v>46111</v>
      </c>
      <c r="C531" s="47">
        <f>21812*19%</f>
        <v>4144.28</v>
      </c>
      <c r="D531" s="47">
        <v>0</v>
      </c>
      <c r="E531" s="48">
        <v>0</v>
      </c>
      <c r="F531" s="48">
        <f t="shared" si="219"/>
        <v>4144.28</v>
      </c>
      <c r="G531" s="48">
        <f t="shared" si="220"/>
        <v>45.066017690261653</v>
      </c>
      <c r="H531" s="48">
        <f>91.9602</f>
        <v>91.9602</v>
      </c>
      <c r="I531" s="56">
        <v>46.404400000000003</v>
      </c>
      <c r="J531" s="47">
        <f t="shared" si="206"/>
        <v>4267.3579048800002</v>
      </c>
      <c r="K531" s="49">
        <f>0</f>
        <v>0</v>
      </c>
      <c r="L531" s="48">
        <f t="shared" si="207"/>
        <v>123.07790488000046</v>
      </c>
      <c r="M531" s="46">
        <f t="shared" si="208"/>
        <v>2.9698259982433733E-2</v>
      </c>
      <c r="N531" s="47">
        <f t="shared" ca="1" si="209"/>
        <v>3.7666666666666666</v>
      </c>
      <c r="O531" s="46">
        <f t="shared" ca="1" si="210"/>
        <v>9.4613925607753488E-2</v>
      </c>
      <c r="P531" s="47">
        <f t="shared" si="203"/>
        <v>-4144.28</v>
      </c>
    </row>
    <row r="532" spans="1:16" ht="15.75" x14ac:dyDescent="0.3">
      <c r="A532" s="57" t="s">
        <v>42</v>
      </c>
      <c r="B532" s="50">
        <v>46111</v>
      </c>
      <c r="C532" s="47">
        <f>21812*53%</f>
        <v>11560.36</v>
      </c>
      <c r="D532" s="47">
        <v>0</v>
      </c>
      <c r="E532" s="48">
        <v>0</v>
      </c>
      <c r="F532" s="48">
        <f t="shared" si="219"/>
        <v>11560.36</v>
      </c>
      <c r="G532" s="48">
        <f t="shared" si="220"/>
        <v>37.217900479986504</v>
      </c>
      <c r="H532" s="48">
        <f>310.6129</f>
        <v>310.61290000000002</v>
      </c>
      <c r="I532" s="56">
        <v>38.984900000000003</v>
      </c>
      <c r="J532" s="47">
        <f t="shared" si="206"/>
        <v>12109.212845210002</v>
      </c>
      <c r="K532" s="49">
        <f>0</f>
        <v>0</v>
      </c>
      <c r="L532" s="48">
        <f t="shared" si="207"/>
        <v>548.85284521000176</v>
      </c>
      <c r="M532" s="46">
        <f t="shared" si="208"/>
        <v>4.7477141300963095E-2</v>
      </c>
      <c r="N532" s="47">
        <f t="shared" ca="1" si="209"/>
        <v>3.7666666666666666</v>
      </c>
      <c r="O532" s="46">
        <f t="shared" ca="1" si="210"/>
        <v>0.1512546094543957</v>
      </c>
      <c r="P532" s="47">
        <f t="shared" si="203"/>
        <v>-11560.36</v>
      </c>
    </row>
    <row r="533" spans="1:16" ht="15.75" x14ac:dyDescent="0.3">
      <c r="A533" s="55" t="s">
        <v>44</v>
      </c>
      <c r="B533" s="50">
        <v>46116</v>
      </c>
      <c r="C533" s="47">
        <f>-30.86</f>
        <v>-30.86</v>
      </c>
      <c r="D533" s="47">
        <v>0</v>
      </c>
      <c r="E533" s="48">
        <v>0</v>
      </c>
      <c r="F533" s="48">
        <f t="shared" si="219"/>
        <v>-30.86</v>
      </c>
      <c r="G533" s="48">
        <f t="shared" si="220"/>
        <v>68.033509700176367</v>
      </c>
      <c r="H533" s="48">
        <f>-0.4536</f>
        <v>-0.4536</v>
      </c>
      <c r="I533" s="56">
        <v>74.919499999999999</v>
      </c>
      <c r="J533" s="47">
        <f t="shared" si="206"/>
        <v>-33.983485199999997</v>
      </c>
      <c r="K533" s="49">
        <f>0</f>
        <v>0</v>
      </c>
      <c r="L533" s="48">
        <f t="shared" si="207"/>
        <v>-3.1234851999999975</v>
      </c>
      <c r="M533" s="46">
        <f t="shared" si="208"/>
        <v>0.10121468567725203</v>
      </c>
      <c r="N533" s="47">
        <f t="shared" ca="1" si="209"/>
        <v>3.6333333333333333</v>
      </c>
      <c r="O533" s="46">
        <f t="shared" ca="1" si="210"/>
        <v>0.33428703526431869</v>
      </c>
      <c r="P533" s="47">
        <f t="shared" si="203"/>
        <v>30.86</v>
      </c>
    </row>
    <row r="534" spans="1:16" ht="15.75" x14ac:dyDescent="0.3">
      <c r="A534" s="57" t="s">
        <v>43</v>
      </c>
      <c r="B534" s="50">
        <v>46116</v>
      </c>
      <c r="C534" s="47">
        <f>-23.46</f>
        <v>-23.46</v>
      </c>
      <c r="D534" s="47">
        <v>0</v>
      </c>
      <c r="E534" s="48">
        <v>0</v>
      </c>
      <c r="F534" s="48">
        <f t="shared" si="219"/>
        <v>-23.46</v>
      </c>
      <c r="G534" s="48">
        <f t="shared" si="220"/>
        <v>45.020149683362121</v>
      </c>
      <c r="H534" s="48">
        <f>-0.5211</f>
        <v>-0.52110000000000001</v>
      </c>
      <c r="I534" s="56">
        <v>46.404400000000003</v>
      </c>
      <c r="J534" s="47">
        <f t="shared" si="206"/>
        <v>-24.181332840000003</v>
      </c>
      <c r="K534" s="49">
        <f>0</f>
        <v>0</v>
      </c>
      <c r="L534" s="48">
        <f t="shared" si="207"/>
        <v>-0.72133284000000231</v>
      </c>
      <c r="M534" s="46">
        <f t="shared" si="208"/>
        <v>3.074735038363181E-2</v>
      </c>
      <c r="N534" s="47">
        <f t="shared" ca="1" si="209"/>
        <v>3.6333333333333333</v>
      </c>
      <c r="O534" s="46">
        <f t="shared" ca="1" si="210"/>
        <v>0.10155088200098579</v>
      </c>
      <c r="P534" s="47">
        <f t="shared" si="203"/>
        <v>23.46</v>
      </c>
    </row>
    <row r="535" spans="1:16" ht="15.75" x14ac:dyDescent="0.3">
      <c r="A535" s="57" t="s">
        <v>42</v>
      </c>
      <c r="B535" s="50">
        <v>46116</v>
      </c>
      <c r="C535" s="47">
        <f>-63.66</f>
        <v>-63.66</v>
      </c>
      <c r="D535" s="47">
        <v>0</v>
      </c>
      <c r="E535" s="48">
        <v>0</v>
      </c>
      <c r="F535" s="48">
        <f t="shared" si="219"/>
        <v>-63.66</v>
      </c>
      <c r="G535" s="48">
        <f t="shared" si="220"/>
        <v>36.983675129262764</v>
      </c>
      <c r="H535" s="48">
        <f>-1.7213</f>
        <v>-1.7213000000000001</v>
      </c>
      <c r="I535" s="56">
        <v>38.984900000000003</v>
      </c>
      <c r="J535" s="47">
        <f t="shared" si="206"/>
        <v>-67.104708370000012</v>
      </c>
      <c r="K535" s="49">
        <f>0</f>
        <v>0</v>
      </c>
      <c r="L535" s="48">
        <f t="shared" si="207"/>
        <v>-3.444708370000015</v>
      </c>
      <c r="M535" s="46">
        <f t="shared" si="208"/>
        <v>5.4111033144832156E-2</v>
      </c>
      <c r="N535" s="47">
        <f t="shared" ca="1" si="209"/>
        <v>3.6333333333333333</v>
      </c>
      <c r="O535" s="46">
        <f t="shared" ca="1" si="210"/>
        <v>0.17871533882696861</v>
      </c>
      <c r="P535" s="47">
        <f t="shared" si="203"/>
        <v>63.66</v>
      </c>
    </row>
    <row r="536" spans="1:16" ht="15.75" x14ac:dyDescent="0.3">
      <c r="A536" s="55" t="s">
        <v>44</v>
      </c>
      <c r="B536" s="50">
        <v>46146</v>
      </c>
      <c r="C536" s="47">
        <f>21812*28%</f>
        <v>6107.3600000000006</v>
      </c>
      <c r="D536" s="47">
        <v>0</v>
      </c>
      <c r="E536" s="48">
        <v>0</v>
      </c>
      <c r="F536" s="48">
        <f t="shared" si="219"/>
        <v>6107.3600000000006</v>
      </c>
      <c r="G536" s="48">
        <f t="shared" si="220"/>
        <v>73.320551714533721</v>
      </c>
      <c r="H536" s="48">
        <f>83.2967</f>
        <v>83.296700000000001</v>
      </c>
      <c r="I536" s="56">
        <v>74.919499999999999</v>
      </c>
      <c r="J536" s="47">
        <f t="shared" si="206"/>
        <v>6240.5471156499998</v>
      </c>
      <c r="K536" s="49">
        <f>0</f>
        <v>0</v>
      </c>
      <c r="L536" s="48">
        <f t="shared" si="207"/>
        <v>133.18711564999921</v>
      </c>
      <c r="M536" s="46">
        <f t="shared" si="208"/>
        <v>2.1807641214861936E-2</v>
      </c>
      <c r="N536" s="47">
        <f t="shared" ca="1" si="209"/>
        <v>2.6333333333333333</v>
      </c>
      <c r="O536" s="46">
        <f t="shared" ca="1" si="210"/>
        <v>9.937659287785186E-2</v>
      </c>
      <c r="P536" s="47">
        <f t="shared" si="203"/>
        <v>-6107.3600000000006</v>
      </c>
    </row>
    <row r="537" spans="1:16" ht="15.75" x14ac:dyDescent="0.3">
      <c r="A537" s="57" t="s">
        <v>43</v>
      </c>
      <c r="B537" s="50">
        <v>46146</v>
      </c>
      <c r="C537" s="47">
        <f>21812*19%</f>
        <v>4144.28</v>
      </c>
      <c r="D537" s="47">
        <v>0</v>
      </c>
      <c r="E537" s="48">
        <v>0</v>
      </c>
      <c r="F537" s="48">
        <f t="shared" si="219"/>
        <v>4144.28</v>
      </c>
      <c r="G537" s="48">
        <f t="shared" si="220"/>
        <v>45.265320522132519</v>
      </c>
      <c r="H537" s="48">
        <f>91.5553</f>
        <v>91.555300000000003</v>
      </c>
      <c r="I537" s="56">
        <v>46.404400000000003</v>
      </c>
      <c r="J537" s="47">
        <f t="shared" si="206"/>
        <v>4248.5687633200005</v>
      </c>
      <c r="K537" s="49">
        <f>0</f>
        <v>0</v>
      </c>
      <c r="L537" s="48">
        <f t="shared" si="207"/>
        <v>104.28876332000073</v>
      </c>
      <c r="M537" s="46">
        <f t="shared" si="208"/>
        <v>2.5164507060333938E-2</v>
      </c>
      <c r="N537" s="47">
        <f t="shared" ca="1" si="209"/>
        <v>2.6333333333333333</v>
      </c>
      <c r="O537" s="46">
        <f t="shared" ca="1" si="210"/>
        <v>0.1146737030597496</v>
      </c>
      <c r="P537" s="47">
        <f t="shared" si="203"/>
        <v>-4144.28</v>
      </c>
    </row>
    <row r="538" spans="1:16" ht="15.75" x14ac:dyDescent="0.3">
      <c r="A538" s="57" t="s">
        <v>42</v>
      </c>
      <c r="B538" s="50">
        <v>46146</v>
      </c>
      <c r="C538" s="47">
        <f>21812*53%</f>
        <v>11560.36</v>
      </c>
      <c r="D538" s="47">
        <v>0</v>
      </c>
      <c r="E538" s="48">
        <v>0</v>
      </c>
      <c r="F538" s="48">
        <f t="shared" si="219"/>
        <v>11560.36</v>
      </c>
      <c r="G538" s="48">
        <f t="shared" si="220"/>
        <v>37.725201999765048</v>
      </c>
      <c r="H538" s="48">
        <f>306.436</f>
        <v>306.43599999999998</v>
      </c>
      <c r="I538" s="56">
        <v>38.984900000000003</v>
      </c>
      <c r="J538" s="47">
        <f t="shared" si="206"/>
        <v>11946.376816399999</v>
      </c>
      <c r="K538" s="49">
        <f>0</f>
        <v>0</v>
      </c>
      <c r="L538" s="48">
        <f t="shared" si="207"/>
        <v>386.01681639999879</v>
      </c>
      <c r="M538" s="46">
        <f t="shared" si="208"/>
        <v>3.3391418294931884E-2</v>
      </c>
      <c r="N538" s="47">
        <f t="shared" ca="1" si="209"/>
        <v>2.6333333333333333</v>
      </c>
      <c r="O538" s="46">
        <f t="shared" ca="1" si="210"/>
        <v>0.15216342514146175</v>
      </c>
      <c r="P538" s="47">
        <f t="shared" si="203"/>
        <v>-11560.36</v>
      </c>
    </row>
    <row r="539" spans="1:16" ht="15.75" x14ac:dyDescent="0.3">
      <c r="A539" s="55" t="s">
        <v>44</v>
      </c>
      <c r="B539" s="50">
        <v>46174</v>
      </c>
      <c r="C539" s="47">
        <f>21812*28%</f>
        <v>6107.3600000000006</v>
      </c>
      <c r="D539" s="47">
        <v>0</v>
      </c>
      <c r="E539" s="48">
        <v>0</v>
      </c>
      <c r="F539" s="48">
        <f t="shared" si="219"/>
        <v>6107.3600000000006</v>
      </c>
      <c r="G539" s="48">
        <f t="shared" si="220"/>
        <v>71.710825265802882</v>
      </c>
      <c r="H539" s="48">
        <f>85.1665</f>
        <v>85.166499999999999</v>
      </c>
      <c r="I539" s="56">
        <v>74.919499999999999</v>
      </c>
      <c r="J539" s="47">
        <f t="shared" si="206"/>
        <v>6380.6315967499995</v>
      </c>
      <c r="K539" s="49">
        <f>0</f>
        <v>0</v>
      </c>
      <c r="L539" s="48">
        <f t="shared" si="207"/>
        <v>273.27159674999893</v>
      </c>
      <c r="M539" s="46">
        <f t="shared" si="208"/>
        <v>4.4744635448049387E-2</v>
      </c>
      <c r="N539" s="47">
        <f t="shared" ca="1" si="209"/>
        <v>1.7333333333333334</v>
      </c>
      <c r="O539" s="46">
        <f t="shared" ca="1" si="210"/>
        <v>0.3097705531018804</v>
      </c>
      <c r="P539" s="47">
        <f t="shared" si="203"/>
        <v>-6107.3600000000006</v>
      </c>
    </row>
    <row r="540" spans="1:16" ht="15.75" x14ac:dyDescent="0.3">
      <c r="A540" s="57" t="s">
        <v>43</v>
      </c>
      <c r="B540" s="50">
        <v>46174</v>
      </c>
      <c r="C540" s="47">
        <f>21812*19%</f>
        <v>4144.28</v>
      </c>
      <c r="D540" s="47">
        <v>0</v>
      </c>
      <c r="E540" s="48">
        <v>0</v>
      </c>
      <c r="F540" s="48">
        <f t="shared" si="219"/>
        <v>4144.28</v>
      </c>
      <c r="G540" s="48">
        <f t="shared" si="220"/>
        <v>45.292925097951354</v>
      </c>
      <c r="H540" s="48">
        <f>91.4995</f>
        <v>91.499499999999998</v>
      </c>
      <c r="I540" s="56">
        <v>46.404400000000003</v>
      </c>
      <c r="J540" s="47">
        <f t="shared" si="206"/>
        <v>4245.9793977999998</v>
      </c>
      <c r="K540" s="49">
        <f>0</f>
        <v>0</v>
      </c>
      <c r="L540" s="48">
        <f t="shared" si="207"/>
        <v>101.69939780000004</v>
      </c>
      <c r="M540" s="46">
        <f t="shared" si="208"/>
        <v>2.4539702384974001E-2</v>
      </c>
      <c r="N540" s="47">
        <f t="shared" ca="1" si="209"/>
        <v>1.7333333333333334</v>
      </c>
      <c r="O540" s="46">
        <f t="shared" ca="1" si="210"/>
        <v>0.16989024728058924</v>
      </c>
      <c r="P540" s="47">
        <f t="shared" si="203"/>
        <v>-4144.28</v>
      </c>
    </row>
    <row r="541" spans="1:16" ht="15.75" x14ac:dyDescent="0.3">
      <c r="A541" s="57" t="s">
        <v>42</v>
      </c>
      <c r="B541" s="50">
        <v>46174</v>
      </c>
      <c r="C541" s="47">
        <f>21812*53%</f>
        <v>11560.36</v>
      </c>
      <c r="D541" s="47">
        <v>0</v>
      </c>
      <c r="E541" s="48">
        <v>0</v>
      </c>
      <c r="F541" s="48">
        <f t="shared" si="219"/>
        <v>11560.36</v>
      </c>
      <c r="G541" s="48">
        <f t="shared" si="220"/>
        <v>37.716610909157346</v>
      </c>
      <c r="H541" s="48">
        <f>306.5058</f>
        <v>306.50580000000002</v>
      </c>
      <c r="I541" s="56">
        <v>38.984900000000003</v>
      </c>
      <c r="J541" s="47">
        <f t="shared" si="206"/>
        <v>11949.097962420003</v>
      </c>
      <c r="K541" s="49">
        <f>0</f>
        <v>0</v>
      </c>
      <c r="L541" s="48">
        <f t="shared" si="207"/>
        <v>388.73796242000208</v>
      </c>
      <c r="M541" s="46">
        <f t="shared" si="208"/>
        <v>3.3626804218899936E-2</v>
      </c>
      <c r="N541" s="47">
        <f t="shared" ca="1" si="209"/>
        <v>1.7333333333333334</v>
      </c>
      <c r="O541" s="46">
        <f t="shared" ca="1" si="210"/>
        <v>0.23280095228469186</v>
      </c>
      <c r="P541" s="47">
        <f t="shared" si="203"/>
        <v>-11560.36</v>
      </c>
    </row>
    <row r="542" spans="1:16" ht="15.75" x14ac:dyDescent="0.3">
      <c r="A542" s="55" t="s">
        <v>44</v>
      </c>
      <c r="B542" s="50">
        <v>46206</v>
      </c>
      <c r="C542" s="47">
        <f>21812*28%</f>
        <v>6107.3600000000006</v>
      </c>
      <c r="D542" s="47">
        <v>0</v>
      </c>
      <c r="E542" s="48">
        <v>0</v>
      </c>
      <c r="F542" s="48">
        <f t="shared" ref="F542:F544" si="221">SUM(C542:E542)</f>
        <v>6107.3600000000006</v>
      </c>
      <c r="G542" s="48">
        <f t="shared" ref="G542:G544" si="222">F542/H542</f>
        <v>74.919558531825146</v>
      </c>
      <c r="H542" s="48">
        <f>81.5189</f>
        <v>81.518900000000002</v>
      </c>
      <c r="I542" s="56">
        <v>74.919499999999999</v>
      </c>
      <c r="J542" s="47">
        <f t="shared" ref="J542:J544" si="223">PRODUCT(H542:I542)</f>
        <v>6107.35522855</v>
      </c>
      <c r="K542" s="49">
        <f>0</f>
        <v>0</v>
      </c>
      <c r="L542" s="48">
        <f t="shared" ref="L542:L544" si="224">SUM(-F542,J542)+K542</f>
        <v>-4.7714500005895388E-3</v>
      </c>
      <c r="M542" s="46">
        <f t="shared" ref="M542:M544" si="225">L542/F542</f>
        <v>-7.8126228036165195E-7</v>
      </c>
      <c r="N542" s="47">
        <f t="shared" ref="N542:N544" ca="1" si="226">(DAYS360(B542,NOW(),TRUE))/30</f>
        <v>0.66666666666666663</v>
      </c>
      <c r="O542" s="46">
        <f t="shared" ref="O542:O544" ca="1" si="227">M542*12/N542</f>
        <v>-1.4062721046509736E-5</v>
      </c>
      <c r="P542" s="47">
        <f t="shared" si="153"/>
        <v>-6107.3600000000006</v>
      </c>
    </row>
    <row r="543" spans="1:16" ht="15.75" x14ac:dyDescent="0.3">
      <c r="A543" s="57" t="s">
        <v>43</v>
      </c>
      <c r="B543" s="50">
        <v>46206</v>
      </c>
      <c r="C543" s="47">
        <f>21812*19%</f>
        <v>4144.28</v>
      </c>
      <c r="D543" s="47">
        <v>0</v>
      </c>
      <c r="E543" s="48">
        <v>0</v>
      </c>
      <c r="F543" s="48">
        <f t="shared" si="221"/>
        <v>4144.28</v>
      </c>
      <c r="G543" s="48">
        <f t="shared" si="222"/>
        <v>46.404405433337921</v>
      </c>
      <c r="H543" s="48">
        <f>89.3079</f>
        <v>89.307900000000004</v>
      </c>
      <c r="I543" s="56">
        <v>46.404400000000003</v>
      </c>
      <c r="J543" s="47">
        <f t="shared" si="223"/>
        <v>4144.27951476</v>
      </c>
      <c r="K543" s="49">
        <f>0</f>
        <v>0</v>
      </c>
      <c r="L543" s="48">
        <f t="shared" si="224"/>
        <v>-4.8523999976168852E-4</v>
      </c>
      <c r="M543" s="46">
        <f t="shared" si="225"/>
        <v>-1.1708668327470358E-7</v>
      </c>
      <c r="N543" s="47">
        <f t="shared" ca="1" si="226"/>
        <v>0.66666666666666663</v>
      </c>
      <c r="O543" s="46">
        <f t="shared" ca="1" si="227"/>
        <v>-2.1075602989446646E-6</v>
      </c>
      <c r="P543" s="47">
        <f t="shared" si="153"/>
        <v>-4144.28</v>
      </c>
    </row>
    <row r="544" spans="1:16" ht="15.75" x14ac:dyDescent="0.3">
      <c r="A544" s="57" t="s">
        <v>42</v>
      </c>
      <c r="B544" s="50">
        <v>46206</v>
      </c>
      <c r="C544" s="47">
        <f>21812*53%</f>
        <v>11560.36</v>
      </c>
      <c r="D544" s="47">
        <v>0</v>
      </c>
      <c r="E544" s="48">
        <v>0</v>
      </c>
      <c r="F544" s="48">
        <f t="shared" si="221"/>
        <v>11560.36</v>
      </c>
      <c r="G544" s="48">
        <f t="shared" si="222"/>
        <v>38.984913038698409</v>
      </c>
      <c r="H544" s="48">
        <f>296.5342</f>
        <v>296.5342</v>
      </c>
      <c r="I544" s="56">
        <v>38.984900000000003</v>
      </c>
      <c r="J544" s="47">
        <f t="shared" si="223"/>
        <v>11560.35613358</v>
      </c>
      <c r="K544" s="49">
        <f>0</f>
        <v>0</v>
      </c>
      <c r="L544" s="48">
        <f t="shared" si="224"/>
        <v>-3.8664200001221616E-3</v>
      </c>
      <c r="M544" s="46">
        <f t="shared" si="225"/>
        <v>-3.3445498238135848E-7</v>
      </c>
      <c r="N544" s="47">
        <f t="shared" ca="1" si="226"/>
        <v>0.66666666666666663</v>
      </c>
      <c r="O544" s="46">
        <f t="shared" ca="1" si="227"/>
        <v>-6.0201896828644531E-6</v>
      </c>
      <c r="P544" s="47">
        <f t="shared" si="153"/>
        <v>-11560.36</v>
      </c>
    </row>
    <row r="545" spans="1:16" x14ac:dyDescent="0.25">
      <c r="B545" s="60">
        <f ca="1">TODAY()</f>
        <v>46226</v>
      </c>
      <c r="C545" s="61">
        <f>SUM(C2:C544)</f>
        <v>2112909.2000000025</v>
      </c>
      <c r="D545" s="61">
        <f>SUM(D2:D544)</f>
        <v>2436.4416736250005</v>
      </c>
      <c r="E545" s="61">
        <f>SUM(E2:E544)</f>
        <v>23.01</v>
      </c>
      <c r="F545" s="61">
        <f>SUM(F2:F544)</f>
        <v>2115368.6516736276</v>
      </c>
      <c r="G545" s="62"/>
      <c r="H545" s="62"/>
      <c r="I545" s="62"/>
      <c r="J545" s="61">
        <f>SUM(J2:J544)</f>
        <v>3412655.1467122827</v>
      </c>
      <c r="K545" s="61">
        <f>SUM(K2:K544)</f>
        <v>0</v>
      </c>
      <c r="L545" s="61">
        <f>SUM(L2:L544)</f>
        <v>1297286.4950386593</v>
      </c>
      <c r="M545" s="63">
        <f>L545/F545</f>
        <v>0.61326733475617978</v>
      </c>
      <c r="N545" s="62"/>
      <c r="O545" s="62"/>
      <c r="P545" s="61">
        <f>J545</f>
        <v>3412655.1467122827</v>
      </c>
    </row>
    <row r="547" spans="1:16" x14ac:dyDescent="0.25">
      <c r="F547" s="58"/>
    </row>
    <row r="548" spans="1:16" x14ac:dyDescent="0.25">
      <c r="F548" s="58"/>
      <c r="I548" s="59" t="s">
        <v>61</v>
      </c>
      <c r="J548" s="64">
        <f ca="1">XIRR(P2:P545,B2:B545)*100</f>
        <v>9.6230620145797729</v>
      </c>
    </row>
    <row r="549" spans="1:16" x14ac:dyDescent="0.25">
      <c r="C549" s="58"/>
      <c r="F549" s="58"/>
    </row>
    <row r="550" spans="1:16" x14ac:dyDescent="0.25">
      <c r="C550" s="58"/>
    </row>
    <row r="551" spans="1:16" x14ac:dyDescent="0.25">
      <c r="I551" s="58"/>
      <c r="J551" s="58"/>
    </row>
    <row r="552" spans="1:16" x14ac:dyDescent="0.25">
      <c r="J552" s="58"/>
    </row>
    <row r="554" spans="1:16" x14ac:dyDescent="0.25">
      <c r="A554" s="45" t="s">
        <v>41</v>
      </c>
      <c r="B554" s="44"/>
      <c r="C554" s="44"/>
      <c r="D554" s="44"/>
      <c r="E554" s="44"/>
      <c r="F554" s="44"/>
      <c r="G554" s="44"/>
      <c r="H554" s="44"/>
      <c r="I554" s="44"/>
      <c r="J554" s="44"/>
      <c r="K554" s="44"/>
      <c r="L554" s="44"/>
      <c r="M554" s="44"/>
      <c r="N554" s="44"/>
      <c r="O554" s="44"/>
      <c r="P554" s="44"/>
    </row>
    <row r="555" spans="1:16" ht="15.75" x14ac:dyDescent="0.3">
      <c r="A555" s="43" t="s">
        <v>40</v>
      </c>
      <c r="B555" s="42">
        <v>42353</v>
      </c>
      <c r="C555" s="39">
        <f>500*48%</f>
        <v>240</v>
      </c>
      <c r="D555" s="39">
        <f>120*48%*1.145</f>
        <v>65.951999999999998</v>
      </c>
      <c r="E555" s="39">
        <v>7.8976930000000001E-2</v>
      </c>
      <c r="F555" s="39">
        <f t="shared" ref="F555:F566" si="228">SUM(C555:E555)</f>
        <v>306.03097693000001</v>
      </c>
      <c r="G555" s="39">
        <f t="shared" ref="G555:G566" si="229">F555/H555</f>
        <v>16.890612098017126</v>
      </c>
      <c r="H555" s="41">
        <f>18.1585*0.998761082876817*0.99902974377762</f>
        <v>18.118406553539081</v>
      </c>
      <c r="I555" s="41">
        <v>14.0808</v>
      </c>
      <c r="J555" s="39">
        <f t="shared" ref="J555:J566" si="230">PRODUCT(H555:I555)</f>
        <v>255.12165899907311</v>
      </c>
      <c r="K555" s="41">
        <f>0</f>
        <v>0</v>
      </c>
      <c r="L555" s="40">
        <f t="shared" ref="L555:L566" si="231">SUM(-F555,J555)+K555</f>
        <v>-50.909317930926903</v>
      </c>
      <c r="M555" s="38">
        <f t="shared" ref="M555:M566" si="232">L555/F555</f>
        <v>-0.16635347977394996</v>
      </c>
      <c r="N555" s="39">
        <f t="shared" ref="N555:N566" ca="1" si="233">(DAYS360(B555,NOW(),TRUE))/30</f>
        <v>127.26666666666667</v>
      </c>
      <c r="O555" s="38">
        <f t="shared" ref="O555:O566" ca="1" si="234">M555*12/N555</f>
        <v>-1.5685503593143527E-2</v>
      </c>
      <c r="P555" s="39"/>
    </row>
    <row r="556" spans="1:16" ht="15.75" x14ac:dyDescent="0.3">
      <c r="A556" s="43" t="s">
        <v>39</v>
      </c>
      <c r="B556" s="42">
        <v>42353</v>
      </c>
      <c r="C556" s="39">
        <f>500*23%</f>
        <v>115</v>
      </c>
      <c r="D556" s="39">
        <f>120*23%*1.145</f>
        <v>31.602000000000004</v>
      </c>
      <c r="E556" s="39">
        <v>3.7929151000000001E-2</v>
      </c>
      <c r="F556" s="39">
        <f t="shared" si="228"/>
        <v>146.63992915099999</v>
      </c>
      <c r="G556" s="39">
        <f t="shared" si="229"/>
        <v>16.852307318325256</v>
      </c>
      <c r="H556" s="41">
        <f>8.7208*0.998758303991613*0.999024506942517</f>
        <v>8.7014749008014611</v>
      </c>
      <c r="I556" s="41">
        <v>13.8469</v>
      </c>
      <c r="J556" s="39">
        <f t="shared" si="230"/>
        <v>120.48845280390775</v>
      </c>
      <c r="K556" s="41">
        <f>0</f>
        <v>0</v>
      </c>
      <c r="L556" s="40">
        <f t="shared" si="231"/>
        <v>-26.151476347092242</v>
      </c>
      <c r="M556" s="38">
        <f t="shared" si="232"/>
        <v>-0.17833803179325872</v>
      </c>
      <c r="N556" s="39">
        <f t="shared" ca="1" si="233"/>
        <v>127.26666666666667</v>
      </c>
      <c r="O556" s="38">
        <f t="shared" ca="1" si="234"/>
        <v>-1.6815529451433511E-2</v>
      </c>
      <c r="P556" s="39"/>
    </row>
    <row r="557" spans="1:16" ht="15.75" x14ac:dyDescent="0.3">
      <c r="A557" s="43" t="s">
        <v>38</v>
      </c>
      <c r="B557" s="42">
        <v>42353</v>
      </c>
      <c r="C557" s="39">
        <f>500*29%</f>
        <v>145</v>
      </c>
      <c r="D557" s="39">
        <f>120*29%*1.145</f>
        <v>39.845999999999997</v>
      </c>
      <c r="E557" s="39">
        <v>4.7846619E-2</v>
      </c>
      <c r="F557" s="39">
        <f t="shared" si="228"/>
        <v>184.89384661900002</v>
      </c>
      <c r="G557" s="39">
        <f t="shared" si="229"/>
        <v>16.844241050254233</v>
      </c>
      <c r="H557" s="41">
        <f>11.001*0.998762438542958*0.999025662471961</f>
        <v>10.976680164299204</v>
      </c>
      <c r="I557" s="41">
        <v>13.8124</v>
      </c>
      <c r="J557" s="39">
        <f t="shared" si="230"/>
        <v>151.61429710136633</v>
      </c>
      <c r="K557" s="41">
        <f>0</f>
        <v>0</v>
      </c>
      <c r="L557" s="40">
        <f t="shared" si="231"/>
        <v>-33.279549517633683</v>
      </c>
      <c r="M557" s="38">
        <f t="shared" si="232"/>
        <v>-0.17999273705528401</v>
      </c>
      <c r="N557" s="39">
        <f t="shared" ca="1" si="233"/>
        <v>127.26666666666667</v>
      </c>
      <c r="O557" s="38">
        <f t="shared" ca="1" si="234"/>
        <v>-1.6971551948638617E-2</v>
      </c>
      <c r="P557" s="39"/>
    </row>
    <row r="558" spans="1:16" ht="15.75" x14ac:dyDescent="0.3">
      <c r="A558" s="43" t="s">
        <v>40</v>
      </c>
      <c r="B558" s="42">
        <v>42370</v>
      </c>
      <c r="C558" s="39">
        <f>50000*48%</f>
        <v>24000</v>
      </c>
      <c r="D558" s="39">
        <f t="shared" ref="D558:D566" si="235">C558*0.25%*1.145</f>
        <v>68.7</v>
      </c>
      <c r="E558" s="39">
        <v>7.8285998760000002</v>
      </c>
      <c r="F558" s="39">
        <f t="shared" si="228"/>
        <v>24076.528599876001</v>
      </c>
      <c r="G558" s="39">
        <f t="shared" si="229"/>
        <v>13.405716180783321</v>
      </c>
      <c r="H558" s="41">
        <f>1799.964*0.998761082876817*0.99902974377762</f>
        <v>1795.9897311856384</v>
      </c>
      <c r="I558" s="41">
        <v>14.0808</v>
      </c>
      <c r="J558" s="39">
        <f t="shared" si="230"/>
        <v>25288.972206878738</v>
      </c>
      <c r="K558" s="41">
        <f>0</f>
        <v>0</v>
      </c>
      <c r="L558" s="40">
        <f t="shared" si="231"/>
        <v>1212.4436070027368</v>
      </c>
      <c r="M558" s="38">
        <f t="shared" si="232"/>
        <v>5.0357907784471106E-2</v>
      </c>
      <c r="N558" s="39">
        <f t="shared" ca="1" si="233"/>
        <v>126.73333333333333</v>
      </c>
      <c r="O558" s="38">
        <f t="shared" ca="1" si="234"/>
        <v>4.7682395587610726E-3</v>
      </c>
      <c r="P558" s="39"/>
    </row>
    <row r="559" spans="1:16" ht="15.75" x14ac:dyDescent="0.3">
      <c r="A559" s="43" t="s">
        <v>39</v>
      </c>
      <c r="B559" s="42">
        <v>42370</v>
      </c>
      <c r="C559" s="39">
        <f>50000*23%</f>
        <v>11500</v>
      </c>
      <c r="D559" s="39">
        <f t="shared" si="235"/>
        <v>32.918750000000003</v>
      </c>
      <c r="E559" s="39">
        <v>3.7789486889999999</v>
      </c>
      <c r="F559" s="39">
        <f t="shared" si="228"/>
        <v>11536.697698689</v>
      </c>
      <c r="G559" s="39">
        <f t="shared" si="229"/>
        <v>13.307325043909072</v>
      </c>
      <c r="H559" s="41">
        <f>868.8688*0.998758303991613*0.999024506942517</f>
        <v>866.94340602805744</v>
      </c>
      <c r="I559" s="41">
        <v>13.8469</v>
      </c>
      <c r="J559" s="39">
        <f t="shared" si="230"/>
        <v>12004.478648929908</v>
      </c>
      <c r="K559" s="41">
        <f>0</f>
        <v>0</v>
      </c>
      <c r="L559" s="40">
        <f t="shared" si="231"/>
        <v>467.78095024090726</v>
      </c>
      <c r="M559" s="38">
        <f t="shared" si="232"/>
        <v>4.0547213982564931E-2</v>
      </c>
      <c r="N559" s="39">
        <f t="shared" ca="1" si="233"/>
        <v>126.73333333333333</v>
      </c>
      <c r="O559" s="38">
        <f t="shared" ca="1" si="234"/>
        <v>3.8392943276494935E-3</v>
      </c>
      <c r="P559" s="39"/>
    </row>
    <row r="560" spans="1:16" ht="15.75" x14ac:dyDescent="0.3">
      <c r="A560" s="43" t="s">
        <v>38</v>
      </c>
      <c r="B560" s="42">
        <v>42370</v>
      </c>
      <c r="C560" s="39">
        <f>50000*29%</f>
        <v>14499.999999999998</v>
      </c>
      <c r="D560" s="39">
        <f t="shared" si="235"/>
        <v>41.506249999999994</v>
      </c>
      <c r="E560" s="39">
        <v>4.7556599479999999</v>
      </c>
      <c r="F560" s="39">
        <f t="shared" si="228"/>
        <v>14546.261909947998</v>
      </c>
      <c r="G560" s="39">
        <f t="shared" si="229"/>
        <v>13.332784431056636</v>
      </c>
      <c r="H560" s="41">
        <f>1093.4318*0.998762438542958*0.999025662471961</f>
        <v>1091.0145577742003</v>
      </c>
      <c r="I560" s="41">
        <v>13.8124</v>
      </c>
      <c r="J560" s="39">
        <f t="shared" si="230"/>
        <v>15069.529477800364</v>
      </c>
      <c r="K560" s="41">
        <f>0</f>
        <v>0</v>
      </c>
      <c r="L560" s="40">
        <f t="shared" si="231"/>
        <v>523.26756785236648</v>
      </c>
      <c r="M560" s="38">
        <f t="shared" si="232"/>
        <v>3.5972648580905216E-2</v>
      </c>
      <c r="N560" s="39">
        <f t="shared" ca="1" si="233"/>
        <v>126.73333333333333</v>
      </c>
      <c r="O560" s="38">
        <f t="shared" ca="1" si="234"/>
        <v>3.4061424221793475E-3</v>
      </c>
      <c r="P560" s="39"/>
    </row>
    <row r="561" spans="1:16" ht="15.75" x14ac:dyDescent="0.3">
      <c r="A561" s="43" t="s">
        <v>40</v>
      </c>
      <c r="B561" s="42">
        <v>42466</v>
      </c>
      <c r="C561" s="39">
        <f>10000*48%</f>
        <v>4800</v>
      </c>
      <c r="D561" s="39">
        <f t="shared" si="235"/>
        <v>13.74</v>
      </c>
      <c r="E561" s="39">
        <v>1.601594905</v>
      </c>
      <c r="F561" s="39">
        <f t="shared" si="228"/>
        <v>4815.3415949049995</v>
      </c>
      <c r="G561" s="39">
        <f t="shared" si="229"/>
        <v>13.105532437706049</v>
      </c>
      <c r="H561" s="41">
        <f>367.785*0.99902974377762</f>
        <v>367.42815431525202</v>
      </c>
      <c r="I561" s="41">
        <v>14.0808</v>
      </c>
      <c r="J561" s="39">
        <f t="shared" si="230"/>
        <v>5173.6823552822007</v>
      </c>
      <c r="K561" s="41">
        <f>0</f>
        <v>0</v>
      </c>
      <c r="L561" s="40">
        <f t="shared" si="231"/>
        <v>358.34076037720115</v>
      </c>
      <c r="M561" s="38">
        <f t="shared" si="232"/>
        <v>7.4416477692123256E-2</v>
      </c>
      <c r="N561" s="39">
        <f t="shared" ca="1" si="233"/>
        <v>123.56666666666666</v>
      </c>
      <c r="O561" s="38">
        <f t="shared" ca="1" si="234"/>
        <v>7.2268497354098663E-3</v>
      </c>
      <c r="P561" s="39"/>
    </row>
    <row r="562" spans="1:16" ht="15.75" x14ac:dyDescent="0.3">
      <c r="A562" s="43" t="s">
        <v>39</v>
      </c>
      <c r="B562" s="42">
        <v>42466</v>
      </c>
      <c r="C562" s="39">
        <f>10000*23%</f>
        <v>2300</v>
      </c>
      <c r="D562" s="39">
        <f t="shared" si="235"/>
        <v>6.5837500000000002</v>
      </c>
      <c r="E562" s="39">
        <v>0.733787772</v>
      </c>
      <c r="F562" s="39">
        <f t="shared" si="228"/>
        <v>2307.3175377719999</v>
      </c>
      <c r="G562" s="39">
        <f t="shared" si="229"/>
        <v>13.706202514268643</v>
      </c>
      <c r="H562" s="41">
        <f>168.5055*0.999024506942517</f>
        <v>168.34112405460232</v>
      </c>
      <c r="I562" s="41">
        <v>13.8469</v>
      </c>
      <c r="J562" s="39">
        <f t="shared" si="230"/>
        <v>2331.002710671673</v>
      </c>
      <c r="K562" s="41">
        <f>0</f>
        <v>0</v>
      </c>
      <c r="L562" s="40">
        <f t="shared" si="231"/>
        <v>23.685172899673034</v>
      </c>
      <c r="M562" s="38">
        <f t="shared" si="232"/>
        <v>1.0265242001559956E-2</v>
      </c>
      <c r="N562" s="39">
        <f t="shared" ca="1" si="233"/>
        <v>123.56666666666666</v>
      </c>
      <c r="O562" s="38">
        <f t="shared" ca="1" si="234"/>
        <v>9.9689428663652128E-4</v>
      </c>
      <c r="P562" s="39"/>
    </row>
    <row r="563" spans="1:16" ht="15.75" x14ac:dyDescent="0.3">
      <c r="A563" s="43" t="s">
        <v>38</v>
      </c>
      <c r="B563" s="42">
        <v>42466</v>
      </c>
      <c r="C563" s="39">
        <f>10000*29%</f>
        <v>2900</v>
      </c>
      <c r="D563" s="39">
        <f t="shared" si="235"/>
        <v>8.3012499999999996</v>
      </c>
      <c r="E563" s="39">
        <v>0.92355409899999996</v>
      </c>
      <c r="F563" s="39">
        <f t="shared" si="228"/>
        <v>2909.2248040989998</v>
      </c>
      <c r="G563" s="39">
        <f t="shared" si="229"/>
        <v>13.730779372592309</v>
      </c>
      <c r="H563" s="41">
        <f>212.0828*0.999025662471961</f>
        <v>211.87615976890839</v>
      </c>
      <c r="I563" s="41">
        <v>13.8124</v>
      </c>
      <c r="J563" s="39">
        <f t="shared" si="230"/>
        <v>2926.5182691920704</v>
      </c>
      <c r="K563" s="41">
        <f>0</f>
        <v>0</v>
      </c>
      <c r="L563" s="40">
        <f t="shared" si="231"/>
        <v>17.293465093070608</v>
      </c>
      <c r="M563" s="38">
        <f t="shared" si="232"/>
        <v>5.9443550284270568E-3</v>
      </c>
      <c r="N563" s="39">
        <f t="shared" ca="1" si="233"/>
        <v>123.56666666666666</v>
      </c>
      <c r="O563" s="38">
        <f t="shared" ca="1" si="234"/>
        <v>5.7727753175984369E-4</v>
      </c>
      <c r="P563" s="39"/>
    </row>
    <row r="564" spans="1:16" ht="15.75" x14ac:dyDescent="0.3">
      <c r="A564" s="43" t="s">
        <v>40</v>
      </c>
      <c r="B564" s="42">
        <v>42496</v>
      </c>
      <c r="C564" s="39">
        <f>10000*48%</f>
        <v>4800</v>
      </c>
      <c r="D564" s="39">
        <f t="shared" si="235"/>
        <v>13.74</v>
      </c>
      <c r="E564" s="39">
        <v>1.5674916800000001</v>
      </c>
      <c r="F564" s="39">
        <f t="shared" si="228"/>
        <v>4815.3074916799997</v>
      </c>
      <c r="G564" s="39">
        <f t="shared" si="229"/>
        <v>13.390568890925694</v>
      </c>
      <c r="H564" s="41">
        <f>359.6044</f>
        <v>359.6044</v>
      </c>
      <c r="I564" s="41">
        <v>14.0808</v>
      </c>
      <c r="J564" s="39">
        <f t="shared" si="230"/>
        <v>5063.5176355200001</v>
      </c>
      <c r="K564" s="41">
        <f>0</f>
        <v>0</v>
      </c>
      <c r="L564" s="40">
        <f t="shared" si="231"/>
        <v>248.21014384000046</v>
      </c>
      <c r="M564" s="38">
        <f t="shared" si="232"/>
        <v>5.1546063105806582E-2</v>
      </c>
      <c r="N564" s="39">
        <f t="shared" ca="1" si="233"/>
        <v>122.56666666666666</v>
      </c>
      <c r="O564" s="38">
        <f t="shared" ca="1" si="234"/>
        <v>5.0466637797362988E-3</v>
      </c>
      <c r="P564" s="39"/>
    </row>
    <row r="565" spans="1:16" ht="15.75" x14ac:dyDescent="0.3">
      <c r="A565" s="43" t="s">
        <v>39</v>
      </c>
      <c r="B565" s="42">
        <v>42496</v>
      </c>
      <c r="C565" s="39">
        <f>10000*23%</f>
        <v>2300</v>
      </c>
      <c r="D565" s="39">
        <f t="shared" si="235"/>
        <v>6.5837500000000002</v>
      </c>
      <c r="E565" s="39">
        <v>0.72706837099999999</v>
      </c>
      <c r="F565" s="39">
        <f t="shared" si="228"/>
        <v>2307.3108183709996</v>
      </c>
      <c r="G565" s="39">
        <f t="shared" si="229"/>
        <v>13.832831843547584</v>
      </c>
      <c r="H565" s="41">
        <f>166.7996</f>
        <v>166.7996</v>
      </c>
      <c r="I565" s="41">
        <v>13.8469</v>
      </c>
      <c r="J565" s="39">
        <f t="shared" si="230"/>
        <v>2309.6573812399997</v>
      </c>
      <c r="K565" s="41">
        <f>0</f>
        <v>0</v>
      </c>
      <c r="L565" s="40">
        <f t="shared" si="231"/>
        <v>2.3465628690000813</v>
      </c>
      <c r="M565" s="38">
        <f t="shared" si="232"/>
        <v>1.0170120342333393E-3</v>
      </c>
      <c r="N565" s="39">
        <f t="shared" ca="1" si="233"/>
        <v>122.56666666666666</v>
      </c>
      <c r="O565" s="38">
        <f t="shared" ca="1" si="234"/>
        <v>9.9571480098994332E-5</v>
      </c>
      <c r="P565" s="39"/>
    </row>
    <row r="566" spans="1:16" ht="15.75" x14ac:dyDescent="0.3">
      <c r="A566" s="43" t="s">
        <v>38</v>
      </c>
      <c r="B566" s="42">
        <v>42496</v>
      </c>
      <c r="C566" s="39">
        <f>10000*29%</f>
        <v>2900</v>
      </c>
      <c r="D566" s="39">
        <f t="shared" si="235"/>
        <v>8.3012499999999996</v>
      </c>
      <c r="E566" s="39">
        <v>0.91853670600000004</v>
      </c>
      <c r="F566" s="39">
        <f t="shared" si="228"/>
        <v>2909.2197867059999</v>
      </c>
      <c r="G566" s="39">
        <f t="shared" si="229"/>
        <v>13.805758244774827</v>
      </c>
      <c r="H566" s="41">
        <f>210.7251</f>
        <v>210.7251</v>
      </c>
      <c r="I566" s="41">
        <v>13.8124</v>
      </c>
      <c r="J566" s="39">
        <f t="shared" si="230"/>
        <v>2910.61937124</v>
      </c>
      <c r="K566" s="41">
        <f>0</f>
        <v>0</v>
      </c>
      <c r="L566" s="40">
        <f t="shared" si="231"/>
        <v>1.3995845340000415</v>
      </c>
      <c r="M566" s="38">
        <f t="shared" si="232"/>
        <v>4.8108587065012997E-4</v>
      </c>
      <c r="N566" s="39">
        <f t="shared" ca="1" si="233"/>
        <v>122.56666666666666</v>
      </c>
      <c r="O566" s="38">
        <f t="shared" ca="1" si="234"/>
        <v>4.7101145889052705E-5</v>
      </c>
      <c r="P566" s="39"/>
    </row>
    <row r="570" spans="1:16" ht="15.75" x14ac:dyDescent="0.3">
      <c r="F570" s="37">
        <v>920.43200000000002</v>
      </c>
      <c r="G570" s="34">
        <f>F570*H572</f>
        <v>0.7581915120976348</v>
      </c>
      <c r="H570" s="36">
        <f>F570-G570</f>
        <v>919.67380848790242</v>
      </c>
      <c r="I570" s="34">
        <f>H570/F570</f>
        <v>0.99917626558822636</v>
      </c>
    </row>
    <row r="571" spans="1:16" ht="15.75" x14ac:dyDescent="0.3">
      <c r="F571" s="37">
        <v>103.4417</v>
      </c>
      <c r="G571" s="34">
        <f>F571*H572</f>
        <v>8.5208487902365307E-2</v>
      </c>
      <c r="H571" s="36">
        <f>F571-G571</f>
        <v>103.35649151209763</v>
      </c>
      <c r="I571" s="34">
        <f>H571/F571</f>
        <v>0.99917626558822636</v>
      </c>
    </row>
    <row r="572" spans="1:16" x14ac:dyDescent="0.25">
      <c r="F572" s="36">
        <f>SUM(F570:F571)</f>
        <v>1023.8737</v>
      </c>
      <c r="G572" s="35">
        <v>0.84340000000000004</v>
      </c>
      <c r="H572" s="34">
        <f>G572/F572</f>
        <v>8.2373441177363972E-4</v>
      </c>
      <c r="I572" s="34"/>
    </row>
  </sheetData>
  <autoFilter ref="A1:P1" xr:uid="{00000000-0001-0000-0200-000000000000}"/>
  <pageMargins left="0.7" right="0.7" top="0.75" bottom="0.75" header="0.3" footer="0.3"/>
  <pageSetup orientation="portrait" r:id="rId1"/>
  <headerFooter>
    <oddFooter>&amp;LLevel 1 –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O101"/>
  <sheetViews>
    <sheetView zoomScale="85" zoomScaleNormal="85" workbookViewId="0">
      <pane xSplit="2" ySplit="1" topLeftCell="C78" activePane="bottomRight" state="frozen"/>
      <selection pane="topRight" activeCell="C1" sqref="C1"/>
      <selection pane="bottomLeft" activeCell="A2" sqref="A2"/>
      <selection pane="bottomRight" activeCell="J107" sqref="J107"/>
    </sheetView>
  </sheetViews>
  <sheetFormatPr defaultRowHeight="15" x14ac:dyDescent="0.25"/>
  <cols>
    <col min="1" max="1" width="52.140625" style="33" bestFit="1" customWidth="1"/>
    <col min="2" max="2" width="15.42578125" style="33" bestFit="1" customWidth="1"/>
    <col min="3" max="3" width="19.85546875" style="33" bestFit="1" customWidth="1"/>
    <col min="4" max="4" width="20" style="33" bestFit="1" customWidth="1"/>
    <col min="5" max="5" width="14.42578125" style="33" bestFit="1" customWidth="1"/>
    <col min="6" max="6" width="10.7109375" style="33" bestFit="1" customWidth="1"/>
    <col min="7" max="7" width="11.85546875" style="33" bestFit="1" customWidth="1"/>
    <col min="8" max="8" width="12.5703125" style="33" bestFit="1" customWidth="1"/>
    <col min="9" max="9" width="18.28515625" style="33" bestFit="1" customWidth="1"/>
    <col min="10" max="10" width="15.5703125" style="33" bestFit="1" customWidth="1"/>
    <col min="11" max="11" width="18.28515625" style="33" bestFit="1" customWidth="1"/>
    <col min="12" max="12" width="21" style="33" bestFit="1" customWidth="1"/>
    <col min="13" max="13" width="15.42578125" style="33" bestFit="1" customWidth="1"/>
    <col min="14" max="14" width="15.5703125" style="33" bestFit="1" customWidth="1"/>
    <col min="15" max="15" width="14.42578125" style="33" bestFit="1" customWidth="1"/>
    <col min="16" max="16" width="9.140625" style="33"/>
    <col min="17" max="17" width="10.28515625" style="33" bestFit="1" customWidth="1"/>
    <col min="18" max="16384" width="9.140625" style="33"/>
  </cols>
  <sheetData>
    <row r="1" spans="1:15" ht="26.25" x14ac:dyDescent="0.25">
      <c r="A1" s="53" t="s">
        <v>54</v>
      </c>
      <c r="B1" s="53" t="s">
        <v>53</v>
      </c>
      <c r="C1" s="54" t="s">
        <v>52</v>
      </c>
      <c r="D1" s="54" t="s">
        <v>51</v>
      </c>
      <c r="E1" s="54" t="s">
        <v>1</v>
      </c>
      <c r="F1" s="54" t="s">
        <v>49</v>
      </c>
      <c r="G1" s="54" t="s">
        <v>48</v>
      </c>
      <c r="H1" s="53" t="s">
        <v>47</v>
      </c>
      <c r="I1" s="54" t="s">
        <v>46</v>
      </c>
      <c r="J1" s="53" t="s">
        <v>45</v>
      </c>
      <c r="K1" s="54" t="s">
        <v>17</v>
      </c>
      <c r="L1" s="54" t="s">
        <v>18</v>
      </c>
      <c r="M1" s="54" t="s">
        <v>3</v>
      </c>
      <c r="N1" s="53" t="s">
        <v>19</v>
      </c>
      <c r="O1" s="53" t="s">
        <v>60</v>
      </c>
    </row>
    <row r="2" spans="1:15" ht="15.75" x14ac:dyDescent="0.3">
      <c r="A2" s="51" t="s">
        <v>57</v>
      </c>
      <c r="B2" s="50">
        <v>42353</v>
      </c>
      <c r="C2" s="47">
        <f>1000*48%</f>
        <v>480</v>
      </c>
      <c r="D2" s="47">
        <f>20*48%*1.145</f>
        <v>10.991999999999999</v>
      </c>
      <c r="E2" s="47">
        <f t="shared" ref="E2:E13" si="0">C2+D2</f>
        <v>490.99200000000002</v>
      </c>
      <c r="F2" s="47">
        <f t="shared" ref="F2:F65" si="1">E2/G2</f>
        <v>11.476047300295633</v>
      </c>
      <c r="G2" s="49">
        <f>42.9399*0.997664677664677*0.998703245950692</f>
        <v>42.784069039812309</v>
      </c>
      <c r="H2" s="37">
        <v>37.285699999999999</v>
      </c>
      <c r="I2" s="47">
        <f t="shared" ref="I2:I13" si="2">PRODUCT(G2:H2)</f>
        <v>1595.2339629977298</v>
      </c>
      <c r="J2" s="49">
        <f>0</f>
        <v>0</v>
      </c>
      <c r="K2" s="48">
        <f t="shared" ref="K2:K13" si="3">SUM(-E2,I2)+J2</f>
        <v>1104.2419629977298</v>
      </c>
      <c r="L2" s="46">
        <f t="shared" ref="L2:L98" si="4">K2/E2</f>
        <v>2.2490019450372509</v>
      </c>
      <c r="M2" s="47">
        <f t="shared" ref="M2:M13" ca="1" si="5">(DAYS360(B2,NOW(),TRUE))/30</f>
        <v>127.26666666666667</v>
      </c>
      <c r="N2" s="46">
        <f t="shared" ref="N2:N13" ca="1" si="6">L2*12/M2</f>
        <v>0.21205885285841025</v>
      </c>
      <c r="O2" s="47">
        <f>-E2</f>
        <v>-490.99200000000002</v>
      </c>
    </row>
    <row r="3" spans="1:15" ht="15.75" x14ac:dyDescent="0.3">
      <c r="A3" s="51" t="s">
        <v>56</v>
      </c>
      <c r="B3" s="50">
        <v>42353</v>
      </c>
      <c r="C3" s="47">
        <f>1000*29%</f>
        <v>290</v>
      </c>
      <c r="D3" s="47">
        <f>20*29%*1.145</f>
        <v>6.641</v>
      </c>
      <c r="E3" s="47">
        <f t="shared" si="0"/>
        <v>296.64100000000002</v>
      </c>
      <c r="F3" s="47">
        <f t="shared" si="1"/>
        <v>12.592648535234504</v>
      </c>
      <c r="G3" s="49">
        <f>23.6425*0.997659168081494*0.998707930843536</f>
        <v>23.55668064347163</v>
      </c>
      <c r="H3" s="37">
        <v>28.310300000000002</v>
      </c>
      <c r="I3" s="47">
        <f t="shared" si="2"/>
        <v>666.89669602087497</v>
      </c>
      <c r="J3" s="49">
        <f>0</f>
        <v>0</v>
      </c>
      <c r="K3" s="48">
        <f t="shared" si="3"/>
        <v>370.25569602087495</v>
      </c>
      <c r="L3" s="46">
        <f t="shared" si="4"/>
        <v>1.248160894889361</v>
      </c>
      <c r="M3" s="47">
        <f t="shared" ca="1" si="5"/>
        <v>127.26666666666667</v>
      </c>
      <c r="N3" s="46">
        <f t="shared" ca="1" si="6"/>
        <v>0.11768934577270035</v>
      </c>
      <c r="O3" s="47">
        <f t="shared" ref="O3:O66" si="7">-E3</f>
        <v>-296.64100000000002</v>
      </c>
    </row>
    <row r="4" spans="1:15" ht="15.75" x14ac:dyDescent="0.3">
      <c r="A4" s="51" t="s">
        <v>55</v>
      </c>
      <c r="B4" s="50">
        <v>42353</v>
      </c>
      <c r="C4" s="47">
        <f>1000*23%</f>
        <v>230</v>
      </c>
      <c r="D4" s="47">
        <f>20*23%*1.145</f>
        <v>5.2670000000000003</v>
      </c>
      <c r="E4" s="47">
        <f t="shared" si="0"/>
        <v>235.267</v>
      </c>
      <c r="F4" s="47">
        <f t="shared" si="1"/>
        <v>13.623924278888861</v>
      </c>
      <c r="G4" s="49">
        <f>17.3305*0.99778548713501*0.998643588249979</f>
        <v>17.268666148164169</v>
      </c>
      <c r="H4" s="37">
        <v>32.323900000000002</v>
      </c>
      <c r="I4" s="47">
        <f t="shared" si="2"/>
        <v>558.19063770664377</v>
      </c>
      <c r="J4" s="49">
        <f>0</f>
        <v>0</v>
      </c>
      <c r="K4" s="48">
        <f t="shared" si="3"/>
        <v>322.92363770664377</v>
      </c>
      <c r="L4" s="46">
        <f t="shared" si="4"/>
        <v>1.3725836505189584</v>
      </c>
      <c r="M4" s="47">
        <f t="shared" ca="1" si="5"/>
        <v>127.26666666666667</v>
      </c>
      <c r="N4" s="46">
        <f t="shared" ca="1" si="6"/>
        <v>0.12942119282001702</v>
      </c>
      <c r="O4" s="47">
        <f t="shared" si="7"/>
        <v>-235.267</v>
      </c>
    </row>
    <row r="5" spans="1:15" ht="15.75" x14ac:dyDescent="0.3">
      <c r="A5" s="51" t="s">
        <v>57</v>
      </c>
      <c r="B5" s="50">
        <v>42370</v>
      </c>
      <c r="C5" s="47">
        <f>1000*48%</f>
        <v>480</v>
      </c>
      <c r="D5" s="47">
        <f>20*48%*1.145</f>
        <v>10.991999999999999</v>
      </c>
      <c r="E5" s="47">
        <f t="shared" si="0"/>
        <v>490.99200000000002</v>
      </c>
      <c r="F5" s="47">
        <f t="shared" si="1"/>
        <v>11.587333454117088</v>
      </c>
      <c r="G5" s="49">
        <f>42.5275*0.997664677664677*0.998703245950692</f>
        <v>42.373165659226451</v>
      </c>
      <c r="H5" s="37">
        <v>37.285699999999999</v>
      </c>
      <c r="I5" s="47">
        <f t="shared" si="2"/>
        <v>1579.9131428202197</v>
      </c>
      <c r="J5" s="49">
        <f>0</f>
        <v>0</v>
      </c>
      <c r="K5" s="48">
        <f t="shared" si="3"/>
        <v>1088.9211428202198</v>
      </c>
      <c r="L5" s="46">
        <f t="shared" si="4"/>
        <v>2.217798136874368</v>
      </c>
      <c r="M5" s="47">
        <f t="shared" ca="1" si="5"/>
        <v>126.73333333333333</v>
      </c>
      <c r="N5" s="46">
        <f t="shared" ca="1" si="6"/>
        <v>0.20999666735264927</v>
      </c>
      <c r="O5" s="47">
        <f t="shared" si="7"/>
        <v>-490.99200000000002</v>
      </c>
    </row>
    <row r="6" spans="1:15" ht="15.75" x14ac:dyDescent="0.3">
      <c r="A6" s="51" t="s">
        <v>56</v>
      </c>
      <c r="B6" s="50">
        <v>42370</v>
      </c>
      <c r="C6" s="47">
        <f>1000*29%</f>
        <v>290</v>
      </c>
      <c r="D6" s="47">
        <f>20*29%*1.145</f>
        <v>6.641</v>
      </c>
      <c r="E6" s="47">
        <f t="shared" si="0"/>
        <v>296.64100000000002</v>
      </c>
      <c r="F6" s="47">
        <f t="shared" si="1"/>
        <v>12.682338159439144</v>
      </c>
      <c r="G6" s="49">
        <f>23.4753*0.997659168081494*0.998707930843536</f>
        <v>23.390087558832171</v>
      </c>
      <c r="H6" s="37">
        <v>28.310300000000002</v>
      </c>
      <c r="I6" s="47">
        <f t="shared" si="2"/>
        <v>662.18039581680648</v>
      </c>
      <c r="J6" s="49">
        <f>0</f>
        <v>0</v>
      </c>
      <c r="K6" s="48">
        <f t="shared" si="3"/>
        <v>365.53939581680646</v>
      </c>
      <c r="L6" s="46">
        <f t="shared" si="4"/>
        <v>1.2322618782191486</v>
      </c>
      <c r="M6" s="47">
        <f t="shared" ca="1" si="5"/>
        <v>126.73333333333333</v>
      </c>
      <c r="N6" s="46">
        <f t="shared" ca="1" si="6"/>
        <v>0.11667918888976683</v>
      </c>
      <c r="O6" s="47">
        <f t="shared" si="7"/>
        <v>-296.64100000000002</v>
      </c>
    </row>
    <row r="7" spans="1:15" ht="15.75" x14ac:dyDescent="0.3">
      <c r="A7" s="51" t="s">
        <v>55</v>
      </c>
      <c r="B7" s="50">
        <v>42370</v>
      </c>
      <c r="C7" s="47">
        <f>1000*23%</f>
        <v>230</v>
      </c>
      <c r="D7" s="47">
        <f>20*23%*1.145</f>
        <v>5.2670000000000003</v>
      </c>
      <c r="E7" s="47">
        <f t="shared" si="0"/>
        <v>235.267</v>
      </c>
      <c r="F7" s="47">
        <f t="shared" si="1"/>
        <v>13.67656134311585</v>
      </c>
      <c r="G7" s="49">
        <f>17.2638*0.99778548713501*0.998643588249979</f>
        <v>17.20220412848311</v>
      </c>
      <c r="H7" s="37">
        <v>32.323900000000002</v>
      </c>
      <c r="I7" s="47">
        <f t="shared" si="2"/>
        <v>556.04232602867523</v>
      </c>
      <c r="J7" s="49">
        <f>0</f>
        <v>0</v>
      </c>
      <c r="K7" s="48">
        <f t="shared" si="3"/>
        <v>320.77532602867524</v>
      </c>
      <c r="L7" s="46">
        <f t="shared" si="4"/>
        <v>1.3634522734963903</v>
      </c>
      <c r="M7" s="47">
        <f t="shared" ca="1" si="5"/>
        <v>126.73333333333333</v>
      </c>
      <c r="N7" s="46">
        <f t="shared" ca="1" si="6"/>
        <v>0.12910121474452932</v>
      </c>
      <c r="O7" s="47">
        <f t="shared" si="7"/>
        <v>-235.267</v>
      </c>
    </row>
    <row r="8" spans="1:15" ht="15.75" x14ac:dyDescent="0.3">
      <c r="A8" s="51" t="s">
        <v>57</v>
      </c>
      <c r="B8" s="50">
        <v>42439</v>
      </c>
      <c r="C8" s="47">
        <f>4977*48%</f>
        <v>2388.96</v>
      </c>
      <c r="D8" s="47">
        <f>20*48%*1.145</f>
        <v>10.991999999999999</v>
      </c>
      <c r="E8" s="47">
        <f t="shared" ref="E8:E10" si="8">C8+D8</f>
        <v>2399.9520000000002</v>
      </c>
      <c r="F8" s="47">
        <f t="shared" si="1"/>
        <v>10.815496769188529</v>
      </c>
      <c r="G8" s="49">
        <f>222.1875*0.998703245950692</f>
        <v>221.89937745966938</v>
      </c>
      <c r="H8" s="37">
        <v>37.285699999999999</v>
      </c>
      <c r="I8" s="47">
        <f t="shared" si="2"/>
        <v>8273.6736181479937</v>
      </c>
      <c r="J8" s="49">
        <f>0</f>
        <v>0</v>
      </c>
      <c r="K8" s="48">
        <f t="shared" ref="K8:K10" si="9">SUM(-E8,I8)+J8</f>
        <v>5873.7216181479935</v>
      </c>
      <c r="L8" s="46">
        <f t="shared" ref="L8:L10" si="10">K8/E8</f>
        <v>2.4474329562207879</v>
      </c>
      <c r="M8" s="47">
        <f t="shared" ref="M8:M10" ca="1" si="11">(DAYS360(B8,NOW(),TRUE))/30</f>
        <v>124.43333333333334</v>
      </c>
      <c r="N8" s="46">
        <f t="shared" ref="N8:N10" ca="1" si="12">L8*12/M8</f>
        <v>0.23602353716568006</v>
      </c>
      <c r="O8" s="47">
        <f t="shared" si="7"/>
        <v>-2399.9520000000002</v>
      </c>
    </row>
    <row r="9" spans="1:15" ht="15.75" x14ac:dyDescent="0.3">
      <c r="A9" s="51" t="s">
        <v>56</v>
      </c>
      <c r="B9" s="50">
        <v>42439</v>
      </c>
      <c r="C9" s="47">
        <f>4977*29%</f>
        <v>1443.33</v>
      </c>
      <c r="D9" s="47">
        <f>20*29%*1.145</f>
        <v>6.641</v>
      </c>
      <c r="E9" s="47">
        <f t="shared" si="8"/>
        <v>1449.971</v>
      </c>
      <c r="F9" s="47">
        <f t="shared" si="1"/>
        <v>12.567926649775458</v>
      </c>
      <c r="G9" s="49">
        <f>115.52*0.998707930843536</f>
        <v>115.37074017104528</v>
      </c>
      <c r="H9" s="37">
        <v>28.310300000000002</v>
      </c>
      <c r="I9" s="47">
        <f t="shared" si="2"/>
        <v>3266.1802654643434</v>
      </c>
      <c r="J9" s="49">
        <f>0</f>
        <v>0</v>
      </c>
      <c r="K9" s="48">
        <f t="shared" si="9"/>
        <v>1816.2092654643434</v>
      </c>
      <c r="L9" s="46">
        <f t="shared" si="10"/>
        <v>1.2525831657766557</v>
      </c>
      <c r="M9" s="47">
        <f t="shared" ca="1" si="11"/>
        <v>124.43333333333334</v>
      </c>
      <c r="N9" s="46">
        <f t="shared" ca="1" si="12"/>
        <v>0.12079559059190893</v>
      </c>
      <c r="O9" s="47">
        <f t="shared" si="7"/>
        <v>-1449.971</v>
      </c>
    </row>
    <row r="10" spans="1:15" ht="15.75" x14ac:dyDescent="0.3">
      <c r="A10" s="51" t="s">
        <v>55</v>
      </c>
      <c r="B10" s="50">
        <v>42439</v>
      </c>
      <c r="C10" s="47">
        <f>4977*23%</f>
        <v>1144.71</v>
      </c>
      <c r="D10" s="47">
        <f>20*23%*1.145</f>
        <v>5.2670000000000003</v>
      </c>
      <c r="E10" s="47">
        <f t="shared" si="8"/>
        <v>1149.9770000000001</v>
      </c>
      <c r="F10" s="47">
        <f t="shared" si="1"/>
        <v>13.444736134553457</v>
      </c>
      <c r="G10" s="49">
        <f xml:space="preserve"> 85.6498*0.998643588249979</f>
        <v>85.533623604893052</v>
      </c>
      <c r="H10" s="37">
        <v>32.323900000000002</v>
      </c>
      <c r="I10" s="47">
        <f t="shared" si="2"/>
        <v>2764.7802960422027</v>
      </c>
      <c r="J10" s="49">
        <f>0</f>
        <v>0</v>
      </c>
      <c r="K10" s="48">
        <f t="shared" si="9"/>
        <v>1614.8032960422026</v>
      </c>
      <c r="L10" s="46">
        <f t="shared" si="10"/>
        <v>1.404204863264398</v>
      </c>
      <c r="M10" s="47">
        <f t="shared" ca="1" si="11"/>
        <v>124.43333333333334</v>
      </c>
      <c r="N10" s="46">
        <f t="shared" ca="1" si="12"/>
        <v>0.13541755981119294</v>
      </c>
      <c r="O10" s="47">
        <f t="shared" si="7"/>
        <v>-1149.9770000000001</v>
      </c>
    </row>
    <row r="11" spans="1:15" ht="15.75" x14ac:dyDescent="0.3">
      <c r="A11" s="51" t="s">
        <v>57</v>
      </c>
      <c r="B11" s="50">
        <v>42667</v>
      </c>
      <c r="C11" s="47">
        <f>-269.52</f>
        <v>-269.52</v>
      </c>
      <c r="D11" s="47">
        <v>0</v>
      </c>
      <c r="E11" s="47">
        <f t="shared" si="0"/>
        <v>-269.52</v>
      </c>
      <c r="F11" s="47">
        <f t="shared" si="1"/>
        <v>13.022240045610696</v>
      </c>
      <c r="G11" s="49">
        <f>-20.6969</f>
        <v>-20.696899999999999</v>
      </c>
      <c r="H11" s="37">
        <v>37.285699999999999</v>
      </c>
      <c r="I11" s="47">
        <f t="shared" si="2"/>
        <v>-771.6984043299999</v>
      </c>
      <c r="J11" s="49">
        <f>0</f>
        <v>0</v>
      </c>
      <c r="K11" s="48">
        <f t="shared" si="3"/>
        <v>-502.17840432999992</v>
      </c>
      <c r="L11" s="46">
        <f t="shared" si="4"/>
        <v>1.8632324292445828</v>
      </c>
      <c r="M11" s="47">
        <f t="shared" ca="1" si="5"/>
        <v>116.96666666666667</v>
      </c>
      <c r="N11" s="46">
        <f t="shared" ca="1" si="6"/>
        <v>0.19115522215105435</v>
      </c>
      <c r="O11" s="47">
        <f t="shared" si="7"/>
        <v>269.52</v>
      </c>
    </row>
    <row r="12" spans="1:15" ht="15.75" x14ac:dyDescent="0.3">
      <c r="A12" s="51" t="s">
        <v>56</v>
      </c>
      <c r="B12" s="50">
        <v>42667</v>
      </c>
      <c r="C12" s="47">
        <v>0</v>
      </c>
      <c r="D12" s="47">
        <v>0</v>
      </c>
      <c r="E12" s="47">
        <f t="shared" si="0"/>
        <v>0</v>
      </c>
      <c r="F12" s="47" t="e">
        <f t="shared" si="1"/>
        <v>#DIV/0!</v>
      </c>
      <c r="G12" s="49">
        <v>0</v>
      </c>
      <c r="H12" s="37">
        <v>28.310300000000002</v>
      </c>
      <c r="I12" s="47">
        <f t="shared" si="2"/>
        <v>0</v>
      </c>
      <c r="J12" s="49">
        <f>0</f>
        <v>0</v>
      </c>
      <c r="K12" s="48">
        <f t="shared" si="3"/>
        <v>0</v>
      </c>
      <c r="L12" s="46">
        <v>0</v>
      </c>
      <c r="M12" s="47">
        <f t="shared" ca="1" si="5"/>
        <v>116.96666666666667</v>
      </c>
      <c r="N12" s="46">
        <f t="shared" ca="1" si="6"/>
        <v>0</v>
      </c>
      <c r="O12" s="47">
        <f t="shared" si="7"/>
        <v>0</v>
      </c>
    </row>
    <row r="13" spans="1:15" ht="15.75" x14ac:dyDescent="0.3">
      <c r="A13" s="51" t="s">
        <v>55</v>
      </c>
      <c r="B13" s="50">
        <v>42667</v>
      </c>
      <c r="C13" s="47">
        <f>269.52</f>
        <v>269.52</v>
      </c>
      <c r="D13" s="47">
        <v>0</v>
      </c>
      <c r="E13" s="47">
        <f t="shared" si="0"/>
        <v>269.52</v>
      </c>
      <c r="F13" s="47">
        <f t="shared" si="1"/>
        <v>15.225914334459421</v>
      </c>
      <c r="G13" s="49">
        <f>17.7014</f>
        <v>17.7014</v>
      </c>
      <c r="H13" s="37">
        <v>32.323900000000002</v>
      </c>
      <c r="I13" s="47">
        <f t="shared" si="2"/>
        <v>572.17828345999999</v>
      </c>
      <c r="J13" s="49">
        <f>0</f>
        <v>0</v>
      </c>
      <c r="K13" s="48">
        <f t="shared" si="3"/>
        <v>302.65828346000001</v>
      </c>
      <c r="L13" s="46">
        <f t="shared" si="4"/>
        <v>1.1229529662362721</v>
      </c>
      <c r="M13" s="47">
        <f t="shared" ca="1" si="5"/>
        <v>116.96666666666667</v>
      </c>
      <c r="N13" s="46">
        <f t="shared" ca="1" si="6"/>
        <v>0.11520748584926131</v>
      </c>
      <c r="O13" s="47">
        <f t="shared" si="7"/>
        <v>-269.52</v>
      </c>
    </row>
    <row r="14" spans="1:15" ht="15.75" x14ac:dyDescent="0.3">
      <c r="A14" s="51" t="s">
        <v>57</v>
      </c>
      <c r="B14" s="50">
        <v>42712</v>
      </c>
      <c r="C14" s="48">
        <f>2000*46%</f>
        <v>920</v>
      </c>
      <c r="D14" s="48">
        <v>2.9624000000000001</v>
      </c>
      <c r="E14" s="48">
        <f t="shared" ref="E14:E37" si="13">C14+D14</f>
        <v>922.9624</v>
      </c>
      <c r="F14" s="47">
        <f t="shared" si="1"/>
        <v>12.381145550788911</v>
      </c>
      <c r="G14" s="48">
        <f>74.5458</f>
        <v>74.5458</v>
      </c>
      <c r="H14" s="37">
        <v>37.285699999999999</v>
      </c>
      <c r="I14" s="47">
        <f t="shared" ref="I14:I77" si="14">PRODUCT(G14:H14)</f>
        <v>2779.4923350599997</v>
      </c>
      <c r="J14" s="49">
        <f>0</f>
        <v>0</v>
      </c>
      <c r="K14" s="48">
        <f t="shared" ref="K14:K77" si="15">SUM(-E14,I14)+J14</f>
        <v>1856.5299350599998</v>
      </c>
      <c r="L14" s="46">
        <f t="shared" ref="L14:L77" si="16">K14/E14</f>
        <v>2.0114903218809346</v>
      </c>
      <c r="M14" s="47">
        <f t="shared" ref="M14:M77" ca="1" si="17">(DAYS360(B14,NOW(),TRUE))/30</f>
        <v>115.5</v>
      </c>
      <c r="N14" s="46">
        <f t="shared" ref="N14:N77" ca="1" si="18">L14*12/M14</f>
        <v>0.20898600746814905</v>
      </c>
      <c r="O14" s="47">
        <f t="shared" si="7"/>
        <v>-922.9624</v>
      </c>
    </row>
    <row r="15" spans="1:15" ht="15.75" x14ac:dyDescent="0.3">
      <c r="A15" s="51" t="s">
        <v>56</v>
      </c>
      <c r="B15" s="50">
        <v>42712</v>
      </c>
      <c r="C15" s="48">
        <f>2000*28%</f>
        <v>560</v>
      </c>
      <c r="D15" s="48">
        <v>1.8031999999999999</v>
      </c>
      <c r="E15" s="48">
        <f t="shared" si="13"/>
        <v>561.80319999999995</v>
      </c>
      <c r="F15" s="47">
        <f t="shared" si="1"/>
        <v>14.150037906169008</v>
      </c>
      <c r="G15" s="48">
        <f>39.7033</f>
        <v>39.703299999999999</v>
      </c>
      <c r="H15" s="37">
        <v>28.310300000000002</v>
      </c>
      <c r="I15" s="47">
        <f t="shared" si="14"/>
        <v>1124.0123339900001</v>
      </c>
      <c r="J15" s="49">
        <f>0</f>
        <v>0</v>
      </c>
      <c r="K15" s="48">
        <f t="shared" si="15"/>
        <v>562.20913399000017</v>
      </c>
      <c r="L15" s="46">
        <f t="shared" si="16"/>
        <v>1.0007225554963024</v>
      </c>
      <c r="M15" s="47">
        <f t="shared" ca="1" si="17"/>
        <v>115.5</v>
      </c>
      <c r="N15" s="46">
        <f t="shared" ca="1" si="18"/>
        <v>0.10397117459701843</v>
      </c>
      <c r="O15" s="47">
        <f t="shared" si="7"/>
        <v>-561.80319999999995</v>
      </c>
    </row>
    <row r="16" spans="1:15" ht="15.75" x14ac:dyDescent="0.3">
      <c r="A16" s="51" t="s">
        <v>55</v>
      </c>
      <c r="B16" s="50">
        <v>42712</v>
      </c>
      <c r="C16" s="48">
        <f>2000*26%</f>
        <v>520</v>
      </c>
      <c r="D16" s="48">
        <v>1.6744000000000001</v>
      </c>
      <c r="E16" s="48">
        <f t="shared" si="13"/>
        <v>521.67439999999999</v>
      </c>
      <c r="F16" s="47">
        <f t="shared" si="1"/>
        <v>15.855111754086304</v>
      </c>
      <c r="G16" s="48">
        <f>32.9026</f>
        <v>32.9026</v>
      </c>
      <c r="H16" s="37">
        <v>32.323900000000002</v>
      </c>
      <c r="I16" s="47">
        <f t="shared" si="14"/>
        <v>1063.5403521400001</v>
      </c>
      <c r="J16" s="49">
        <f>0</f>
        <v>0</v>
      </c>
      <c r="K16" s="48">
        <f t="shared" si="15"/>
        <v>541.8659521400001</v>
      </c>
      <c r="L16" s="46">
        <f t="shared" si="16"/>
        <v>1.0387052769696963</v>
      </c>
      <c r="M16" s="47">
        <f t="shared" ca="1" si="17"/>
        <v>115.5</v>
      </c>
      <c r="N16" s="46">
        <f t="shared" ca="1" si="18"/>
        <v>0.10791743137347494</v>
      </c>
      <c r="O16" s="47">
        <f t="shared" si="7"/>
        <v>-521.67439999999999</v>
      </c>
    </row>
    <row r="17" spans="1:15" ht="15.75" x14ac:dyDescent="0.3">
      <c r="A17" s="51" t="s">
        <v>57</v>
      </c>
      <c r="B17" s="50">
        <v>42742</v>
      </c>
      <c r="C17" s="48">
        <f>-4.09</f>
        <v>-4.09</v>
      </c>
      <c r="D17" s="48">
        <v>0</v>
      </c>
      <c r="E17" s="48">
        <f t="shared" si="13"/>
        <v>-4.09</v>
      </c>
      <c r="F17" s="47">
        <f t="shared" si="1"/>
        <v>12.363966142684403</v>
      </c>
      <c r="G17" s="48">
        <f>-0.3308</f>
        <v>-0.33079999999999998</v>
      </c>
      <c r="H17" s="37">
        <v>37.285699999999999</v>
      </c>
      <c r="I17" s="47">
        <f t="shared" si="14"/>
        <v>-12.334109559999998</v>
      </c>
      <c r="J17" s="49">
        <f>0</f>
        <v>0</v>
      </c>
      <c r="K17" s="48">
        <f t="shared" si="15"/>
        <v>-8.2441095599999983</v>
      </c>
      <c r="L17" s="46">
        <f t="shared" si="16"/>
        <v>2.0156747090464546</v>
      </c>
      <c r="M17" s="47">
        <f t="shared" ca="1" si="17"/>
        <v>114.53333333333333</v>
      </c>
      <c r="N17" s="46">
        <f t="shared" ca="1" si="18"/>
        <v>0.21118826986516989</v>
      </c>
      <c r="O17" s="47">
        <f t="shared" si="7"/>
        <v>4.09</v>
      </c>
    </row>
    <row r="18" spans="1:15" ht="15.75" x14ac:dyDescent="0.3">
      <c r="A18" s="51" t="s">
        <v>56</v>
      </c>
      <c r="B18" s="50">
        <v>42742</v>
      </c>
      <c r="C18" s="48">
        <f>-2.63</f>
        <v>-2.63</v>
      </c>
      <c r="D18" s="48">
        <v>0</v>
      </c>
      <c r="E18" s="48">
        <f t="shared" si="13"/>
        <v>-2.63</v>
      </c>
      <c r="F18" s="47">
        <f t="shared" si="1"/>
        <v>14.231601731601732</v>
      </c>
      <c r="G18" s="48">
        <f>-0.1848</f>
        <v>-0.18479999999999999</v>
      </c>
      <c r="H18" s="37">
        <v>28.310300000000002</v>
      </c>
      <c r="I18" s="47">
        <f t="shared" si="14"/>
        <v>-5.2317434399999998</v>
      </c>
      <c r="J18" s="49">
        <f>0</f>
        <v>0</v>
      </c>
      <c r="K18" s="48">
        <f t="shared" si="15"/>
        <v>-2.6017434399999999</v>
      </c>
      <c r="L18" s="46">
        <f t="shared" si="16"/>
        <v>0.98925606083650186</v>
      </c>
      <c r="M18" s="47">
        <f t="shared" ca="1" si="17"/>
        <v>114.53333333333333</v>
      </c>
      <c r="N18" s="46">
        <f t="shared" ca="1" si="18"/>
        <v>0.10364731720056482</v>
      </c>
      <c r="O18" s="47">
        <f t="shared" si="7"/>
        <v>2.63</v>
      </c>
    </row>
    <row r="19" spans="1:15" ht="15.75" x14ac:dyDescent="0.3">
      <c r="A19" s="51" t="s">
        <v>55</v>
      </c>
      <c r="B19" s="50">
        <v>42742</v>
      </c>
      <c r="C19" s="48">
        <f>-2.48</f>
        <v>-2.48</v>
      </c>
      <c r="D19" s="48">
        <v>0</v>
      </c>
      <c r="E19" s="48">
        <f t="shared" si="13"/>
        <v>-2.48</v>
      </c>
      <c r="F19" s="47">
        <f t="shared" si="1"/>
        <v>15.726062143310081</v>
      </c>
      <c r="G19" s="48">
        <f>-0.1577</f>
        <v>-0.15770000000000001</v>
      </c>
      <c r="H19" s="37">
        <v>32.323900000000002</v>
      </c>
      <c r="I19" s="47">
        <f t="shared" si="14"/>
        <v>-5.0974790300000006</v>
      </c>
      <c r="J19" s="49">
        <f>0</f>
        <v>0</v>
      </c>
      <c r="K19" s="48">
        <f t="shared" si="15"/>
        <v>-2.6174790300000006</v>
      </c>
      <c r="L19" s="46">
        <f t="shared" si="16"/>
        <v>1.0554350927419358</v>
      </c>
      <c r="M19" s="47">
        <f t="shared" ca="1" si="17"/>
        <v>114.53333333333333</v>
      </c>
      <c r="N19" s="46">
        <f t="shared" ca="1" si="18"/>
        <v>0.1105810923710992</v>
      </c>
      <c r="O19" s="47">
        <f t="shared" si="7"/>
        <v>2.48</v>
      </c>
    </row>
    <row r="20" spans="1:15" ht="15.75" x14ac:dyDescent="0.3">
      <c r="A20" s="51" t="s">
        <v>57</v>
      </c>
      <c r="B20" s="50">
        <v>43032</v>
      </c>
      <c r="C20" s="48">
        <f>-443.53</f>
        <v>-443.53</v>
      </c>
      <c r="D20" s="48">
        <v>0</v>
      </c>
      <c r="E20" s="48">
        <f t="shared" si="13"/>
        <v>-443.53</v>
      </c>
      <c r="F20" s="47">
        <f t="shared" si="1"/>
        <v>14.849323874155887</v>
      </c>
      <c r="G20" s="48">
        <f>-29.8687</f>
        <v>-29.8687</v>
      </c>
      <c r="H20" s="37">
        <v>37.285699999999999</v>
      </c>
      <c r="I20" s="47">
        <f t="shared" si="14"/>
        <v>-1113.6753875899999</v>
      </c>
      <c r="J20" s="49">
        <f>0</f>
        <v>0</v>
      </c>
      <c r="K20" s="48">
        <f t="shared" si="15"/>
        <v>-670.14538758999993</v>
      </c>
      <c r="L20" s="46">
        <f t="shared" si="16"/>
        <v>1.5109358726354474</v>
      </c>
      <c r="M20" s="47">
        <f t="shared" ca="1" si="17"/>
        <v>104.96666666666667</v>
      </c>
      <c r="N20" s="46">
        <f t="shared" ca="1" si="18"/>
        <v>0.1727332213873487</v>
      </c>
      <c r="O20" s="47">
        <f t="shared" si="7"/>
        <v>443.53</v>
      </c>
    </row>
    <row r="21" spans="1:15" ht="15.75" x14ac:dyDescent="0.3">
      <c r="A21" s="51" t="s">
        <v>56</v>
      </c>
      <c r="B21" s="50">
        <v>43032</v>
      </c>
      <c r="C21" s="48">
        <v>0</v>
      </c>
      <c r="D21" s="48">
        <v>0</v>
      </c>
      <c r="E21" s="48">
        <f t="shared" si="13"/>
        <v>0</v>
      </c>
      <c r="F21" s="47" t="e">
        <f t="shared" si="1"/>
        <v>#DIV/0!</v>
      </c>
      <c r="G21" s="48">
        <v>0</v>
      </c>
      <c r="H21" s="37">
        <v>28.310300000000002</v>
      </c>
      <c r="I21" s="47">
        <f t="shared" si="14"/>
        <v>0</v>
      </c>
      <c r="J21" s="49">
        <f>0</f>
        <v>0</v>
      </c>
      <c r="K21" s="48">
        <f t="shared" si="15"/>
        <v>0</v>
      </c>
      <c r="L21" s="46">
        <v>0</v>
      </c>
      <c r="M21" s="47">
        <f t="shared" ca="1" si="17"/>
        <v>104.96666666666667</v>
      </c>
      <c r="N21" s="46">
        <f t="shared" ca="1" si="18"/>
        <v>0</v>
      </c>
      <c r="O21" s="47">
        <f t="shared" si="7"/>
        <v>0</v>
      </c>
    </row>
    <row r="22" spans="1:15" ht="15.75" x14ac:dyDescent="0.3">
      <c r="A22" s="51" t="s">
        <v>55</v>
      </c>
      <c r="B22" s="50">
        <v>43032</v>
      </c>
      <c r="C22" s="48">
        <f>443.53</f>
        <v>443.53</v>
      </c>
      <c r="D22" s="48">
        <v>0</v>
      </c>
      <c r="E22" s="48">
        <f t="shared" si="13"/>
        <v>443.53</v>
      </c>
      <c r="F22" s="47">
        <f t="shared" si="1"/>
        <v>16.294927421754736</v>
      </c>
      <c r="G22" s="48">
        <f>27.2189</f>
        <v>27.218900000000001</v>
      </c>
      <c r="H22" s="37">
        <v>32.323900000000002</v>
      </c>
      <c r="I22" s="47">
        <f t="shared" si="14"/>
        <v>879.82100171000013</v>
      </c>
      <c r="J22" s="49">
        <f>0</f>
        <v>0</v>
      </c>
      <c r="K22" s="48">
        <f t="shared" si="15"/>
        <v>436.29100171000016</v>
      </c>
      <c r="L22" s="46">
        <f t="shared" si="16"/>
        <v>0.9836786727166148</v>
      </c>
      <c r="M22" s="47">
        <f t="shared" ca="1" si="17"/>
        <v>104.96666666666667</v>
      </c>
      <c r="N22" s="46">
        <f t="shared" ca="1" si="18"/>
        <v>0.11245612009462728</v>
      </c>
      <c r="O22" s="47">
        <f t="shared" si="7"/>
        <v>-443.53</v>
      </c>
    </row>
    <row r="23" spans="1:15" ht="15.75" x14ac:dyDescent="0.3">
      <c r="A23" s="51" t="s">
        <v>57</v>
      </c>
      <c r="B23" s="50">
        <v>43046</v>
      </c>
      <c r="C23" s="48">
        <f>5000*44%</f>
        <v>2200</v>
      </c>
      <c r="D23" s="48">
        <f>6.61*44%</f>
        <v>2.9084000000000003</v>
      </c>
      <c r="E23" s="48">
        <f t="shared" si="13"/>
        <v>2202.9083999999998</v>
      </c>
      <c r="F23" s="47">
        <f t="shared" si="1"/>
        <v>15.26405487804878</v>
      </c>
      <c r="G23" s="48">
        <f>144.32</f>
        <v>144.32</v>
      </c>
      <c r="H23" s="37">
        <v>37.285699999999999</v>
      </c>
      <c r="I23" s="47">
        <f t="shared" si="14"/>
        <v>5381.0722239999996</v>
      </c>
      <c r="J23" s="49">
        <f>0</f>
        <v>0</v>
      </c>
      <c r="K23" s="48">
        <f t="shared" si="15"/>
        <v>3178.1638239999997</v>
      </c>
      <c r="L23" s="46">
        <f t="shared" si="16"/>
        <v>1.4427126538715818</v>
      </c>
      <c r="M23" s="47">
        <f t="shared" ca="1" si="17"/>
        <v>104.53333333333333</v>
      </c>
      <c r="N23" s="46">
        <f t="shared" ca="1" si="18"/>
        <v>0.16561752404138055</v>
      </c>
      <c r="O23" s="47">
        <f t="shared" si="7"/>
        <v>-2202.9083999999998</v>
      </c>
    </row>
    <row r="24" spans="1:15" ht="15.75" x14ac:dyDescent="0.3">
      <c r="A24" s="51" t="s">
        <v>56</v>
      </c>
      <c r="B24" s="50">
        <v>43046</v>
      </c>
      <c r="C24" s="48">
        <f>5000*27%</f>
        <v>1350</v>
      </c>
      <c r="D24" s="48">
        <f>6.61*27%</f>
        <v>1.7847000000000002</v>
      </c>
      <c r="E24" s="48">
        <f t="shared" si="13"/>
        <v>1351.7846999999999</v>
      </c>
      <c r="F24" s="47">
        <f t="shared" si="1"/>
        <v>14.929011844611944</v>
      </c>
      <c r="G24" s="48">
        <f>90.5475</f>
        <v>90.547499999999999</v>
      </c>
      <c r="H24" s="37">
        <v>28.310300000000002</v>
      </c>
      <c r="I24" s="47">
        <f t="shared" si="14"/>
        <v>2563.4268892499999</v>
      </c>
      <c r="J24" s="49">
        <f>0</f>
        <v>0</v>
      </c>
      <c r="K24" s="48">
        <f t="shared" si="15"/>
        <v>1211.64218925</v>
      </c>
      <c r="L24" s="46">
        <f t="shared" si="16"/>
        <v>0.89632778744277852</v>
      </c>
      <c r="M24" s="47">
        <f t="shared" ca="1" si="17"/>
        <v>104.53333333333333</v>
      </c>
      <c r="N24" s="46">
        <f t="shared" ca="1" si="18"/>
        <v>0.10289477151766591</v>
      </c>
      <c r="O24" s="47">
        <f t="shared" si="7"/>
        <v>-1351.7846999999999</v>
      </c>
    </row>
    <row r="25" spans="1:15" ht="15.75" x14ac:dyDescent="0.3">
      <c r="A25" s="51" t="s">
        <v>55</v>
      </c>
      <c r="B25" s="50">
        <v>43046</v>
      </c>
      <c r="C25" s="48">
        <f>5000*29%</f>
        <v>1450</v>
      </c>
      <c r="D25" s="48">
        <f>6.61*29%</f>
        <v>1.9169</v>
      </c>
      <c r="E25" s="48">
        <f t="shared" si="13"/>
        <v>1451.9168999999999</v>
      </c>
      <c r="F25" s="47">
        <f t="shared" si="1"/>
        <v>16.270893381446534</v>
      </c>
      <c r="G25" s="48">
        <f>89.234</f>
        <v>89.233999999999995</v>
      </c>
      <c r="H25" s="37">
        <v>32.323900000000002</v>
      </c>
      <c r="I25" s="47">
        <f t="shared" si="14"/>
        <v>2884.3908925999999</v>
      </c>
      <c r="J25" s="49">
        <f>0</f>
        <v>0</v>
      </c>
      <c r="K25" s="48">
        <f t="shared" si="15"/>
        <v>1432.4739926</v>
      </c>
      <c r="L25" s="46">
        <f t="shared" si="16"/>
        <v>0.98660880150923236</v>
      </c>
      <c r="M25" s="47">
        <f t="shared" ca="1" si="17"/>
        <v>104.53333333333333</v>
      </c>
      <c r="N25" s="46">
        <f t="shared" ca="1" si="18"/>
        <v>0.11325866343855984</v>
      </c>
      <c r="O25" s="47">
        <f t="shared" si="7"/>
        <v>-1451.9168999999999</v>
      </c>
    </row>
    <row r="26" spans="1:15" ht="15.75" x14ac:dyDescent="0.3">
      <c r="A26" s="51" t="s">
        <v>57</v>
      </c>
      <c r="B26" s="50">
        <v>43106</v>
      </c>
      <c r="C26" s="48">
        <f>-3.99</f>
        <v>-3.99</v>
      </c>
      <c r="D26" s="48">
        <v>0</v>
      </c>
      <c r="E26" s="48">
        <f t="shared" si="13"/>
        <v>-3.99</v>
      </c>
      <c r="F26" s="47">
        <f t="shared" si="1"/>
        <v>15.561622464898596</v>
      </c>
      <c r="G26" s="48">
        <f>-0.2564</f>
        <v>-0.25640000000000002</v>
      </c>
      <c r="H26" s="37">
        <v>37.285699999999999</v>
      </c>
      <c r="I26" s="47">
        <f t="shared" si="14"/>
        <v>-9.5600534800000005</v>
      </c>
      <c r="J26" s="49">
        <f>0</f>
        <v>0</v>
      </c>
      <c r="K26" s="48">
        <f t="shared" si="15"/>
        <v>-5.5700534800000003</v>
      </c>
      <c r="L26" s="46">
        <f t="shared" si="16"/>
        <v>1.3960033784461152</v>
      </c>
      <c r="M26" s="47">
        <f t="shared" ca="1" si="17"/>
        <v>102.56666666666666</v>
      </c>
      <c r="N26" s="46">
        <f t="shared" ca="1" si="18"/>
        <v>0.16332831207039372</v>
      </c>
      <c r="O26" s="47">
        <f t="shared" si="7"/>
        <v>3.99</v>
      </c>
    </row>
    <row r="27" spans="1:15" ht="15.75" x14ac:dyDescent="0.3">
      <c r="A27" s="51" t="s">
        <v>56</v>
      </c>
      <c r="B27" s="50">
        <v>43106</v>
      </c>
      <c r="C27" s="48">
        <f>-2.35</f>
        <v>-2.35</v>
      </c>
      <c r="D27" s="48">
        <v>0</v>
      </c>
      <c r="E27" s="48">
        <f t="shared" si="13"/>
        <v>-2.35</v>
      </c>
      <c r="F27" s="47">
        <f t="shared" si="1"/>
        <v>14.892268694550065</v>
      </c>
      <c r="G27" s="48">
        <f>-0.1578</f>
        <v>-0.1578</v>
      </c>
      <c r="H27" s="37">
        <v>28.310300000000002</v>
      </c>
      <c r="I27" s="47">
        <f t="shared" si="14"/>
        <v>-4.4673653399999997</v>
      </c>
      <c r="J27" s="49">
        <f>0</f>
        <v>0</v>
      </c>
      <c r="K27" s="48">
        <f t="shared" si="15"/>
        <v>-2.1173653399999997</v>
      </c>
      <c r="L27" s="46">
        <f t="shared" si="16"/>
        <v>0.90100652765957434</v>
      </c>
      <c r="M27" s="47">
        <f t="shared" ca="1" si="17"/>
        <v>102.56666666666666</v>
      </c>
      <c r="N27" s="46">
        <f t="shared" ca="1" si="18"/>
        <v>0.10541512835796125</v>
      </c>
      <c r="O27" s="47">
        <f t="shared" si="7"/>
        <v>2.35</v>
      </c>
    </row>
    <row r="28" spans="1:15" ht="15.75" x14ac:dyDescent="0.3">
      <c r="A28" s="51" t="s">
        <v>55</v>
      </c>
      <c r="B28" s="50">
        <v>43106</v>
      </c>
      <c r="C28" s="48">
        <f>-2.51</f>
        <v>-2.5099999999999998</v>
      </c>
      <c r="D28" s="48">
        <v>0</v>
      </c>
      <c r="E28" s="48">
        <f t="shared" si="13"/>
        <v>-2.5099999999999998</v>
      </c>
      <c r="F28" s="47">
        <f t="shared" si="1"/>
        <v>16.151866151866148</v>
      </c>
      <c r="G28" s="48">
        <f>-0.1554</f>
        <v>-0.15540000000000001</v>
      </c>
      <c r="H28" s="37">
        <v>32.323900000000002</v>
      </c>
      <c r="I28" s="47">
        <f t="shared" si="14"/>
        <v>-5.0231340600000003</v>
      </c>
      <c r="J28" s="49">
        <f>0</f>
        <v>0</v>
      </c>
      <c r="K28" s="48">
        <f t="shared" si="15"/>
        <v>-2.5131340600000005</v>
      </c>
      <c r="L28" s="46">
        <f t="shared" si="16"/>
        <v>1.0012486294820719</v>
      </c>
      <c r="M28" s="47">
        <f t="shared" ca="1" si="17"/>
        <v>102.56666666666666</v>
      </c>
      <c r="N28" s="46">
        <f t="shared" ca="1" si="18"/>
        <v>0.11714316107037566</v>
      </c>
      <c r="O28" s="47">
        <f t="shared" si="7"/>
        <v>2.5099999999999998</v>
      </c>
    </row>
    <row r="29" spans="1:15" ht="15.75" x14ac:dyDescent="0.3">
      <c r="A29" s="51" t="s">
        <v>57</v>
      </c>
      <c r="B29" s="50">
        <v>43397</v>
      </c>
      <c r="C29" s="48">
        <v>-92.79</v>
      </c>
      <c r="D29" s="48">
        <v>0</v>
      </c>
      <c r="E29" s="48">
        <f t="shared" si="13"/>
        <v>-92.79</v>
      </c>
      <c r="F29" s="47">
        <f t="shared" si="1"/>
        <v>14.429446707927722</v>
      </c>
      <c r="G29" s="48">
        <f>-6.4306</f>
        <v>-6.4306000000000001</v>
      </c>
      <c r="H29" s="37">
        <v>37.285699999999999</v>
      </c>
      <c r="I29" s="47">
        <f t="shared" si="14"/>
        <v>-239.76942241999998</v>
      </c>
      <c r="J29" s="49">
        <f>0</f>
        <v>0</v>
      </c>
      <c r="K29" s="48">
        <f t="shared" si="15"/>
        <v>-146.97942241999999</v>
      </c>
      <c r="L29" s="46">
        <f t="shared" si="16"/>
        <v>1.5840006727017997</v>
      </c>
      <c r="M29" s="47">
        <f t="shared" ca="1" si="17"/>
        <v>92.966666666666669</v>
      </c>
      <c r="N29" s="46">
        <f t="shared" ca="1" si="18"/>
        <v>0.20446046689589381</v>
      </c>
      <c r="O29" s="47">
        <f t="shared" si="7"/>
        <v>92.79</v>
      </c>
    </row>
    <row r="30" spans="1:15" ht="15.75" x14ac:dyDescent="0.3">
      <c r="A30" s="51" t="s">
        <v>56</v>
      </c>
      <c r="B30" s="50">
        <v>43397</v>
      </c>
      <c r="C30" s="48">
        <v>-232.14</v>
      </c>
      <c r="D30" s="48">
        <v>0</v>
      </c>
      <c r="E30" s="48">
        <f t="shared" si="13"/>
        <v>-232.14</v>
      </c>
      <c r="F30" s="47">
        <f t="shared" si="1"/>
        <v>15.033805662772322</v>
      </c>
      <c r="G30" s="48">
        <f>-15.4412</f>
        <v>-15.4412</v>
      </c>
      <c r="H30" s="37">
        <v>28.310300000000002</v>
      </c>
      <c r="I30" s="47">
        <f t="shared" si="14"/>
        <v>-437.14500436000003</v>
      </c>
      <c r="J30" s="49">
        <f>0</f>
        <v>0</v>
      </c>
      <c r="K30" s="48">
        <f t="shared" si="15"/>
        <v>-205.00500436000004</v>
      </c>
      <c r="L30" s="46">
        <f t="shared" si="16"/>
        <v>0.88310934935814622</v>
      </c>
      <c r="M30" s="47">
        <f t="shared" ca="1" si="17"/>
        <v>92.966666666666669</v>
      </c>
      <c r="N30" s="46">
        <f t="shared" ca="1" si="18"/>
        <v>0.11399045025777435</v>
      </c>
      <c r="O30" s="47">
        <f t="shared" si="7"/>
        <v>232.14</v>
      </c>
    </row>
    <row r="31" spans="1:15" ht="15.75" x14ac:dyDescent="0.3">
      <c r="A31" s="51" t="s">
        <v>55</v>
      </c>
      <c r="B31" s="50">
        <v>43397</v>
      </c>
      <c r="C31" s="48">
        <v>324.93</v>
      </c>
      <c r="D31" s="48">
        <v>0</v>
      </c>
      <c r="E31" s="48">
        <f t="shared" si="13"/>
        <v>324.93</v>
      </c>
      <c r="F31" s="47">
        <f t="shared" si="1"/>
        <v>16.85680046067888</v>
      </c>
      <c r="G31" s="48">
        <f>19.2759</f>
        <v>19.2759</v>
      </c>
      <c r="H31" s="37">
        <v>32.323900000000002</v>
      </c>
      <c r="I31" s="47">
        <f t="shared" si="14"/>
        <v>623.07226401000003</v>
      </c>
      <c r="J31" s="49">
        <f>0</f>
        <v>0</v>
      </c>
      <c r="K31" s="48">
        <f t="shared" si="15"/>
        <v>298.14226401000002</v>
      </c>
      <c r="L31" s="46">
        <f t="shared" si="16"/>
        <v>0.91755844031022071</v>
      </c>
      <c r="M31" s="47">
        <f t="shared" ca="1" si="17"/>
        <v>92.966666666666669</v>
      </c>
      <c r="N31" s="46">
        <f t="shared" ca="1" si="18"/>
        <v>0.11843708802856918</v>
      </c>
      <c r="O31" s="47">
        <f t="shared" si="7"/>
        <v>-324.93</v>
      </c>
    </row>
    <row r="32" spans="1:15" ht="15.75" x14ac:dyDescent="0.3">
      <c r="A32" s="51" t="s">
        <v>57</v>
      </c>
      <c r="B32" s="50">
        <v>43452</v>
      </c>
      <c r="C32" s="48">
        <f>5000*42%</f>
        <v>2100</v>
      </c>
      <c r="D32" s="48">
        <f>12.51*42%</f>
        <v>5.2542</v>
      </c>
      <c r="E32" s="48">
        <f t="shared" si="13"/>
        <v>2105.2541999999999</v>
      </c>
      <c r="F32" s="47">
        <f t="shared" si="1"/>
        <v>15.5204373212232</v>
      </c>
      <c r="G32" s="48">
        <f>135.644</f>
        <v>135.64400000000001</v>
      </c>
      <c r="H32" s="37">
        <v>37.285699999999999</v>
      </c>
      <c r="I32" s="47">
        <f t="shared" si="14"/>
        <v>5057.5814908000002</v>
      </c>
      <c r="J32" s="49">
        <f>0</f>
        <v>0</v>
      </c>
      <c r="K32" s="48">
        <f t="shared" si="15"/>
        <v>2952.3272908000004</v>
      </c>
      <c r="L32" s="46">
        <f t="shared" si="16"/>
        <v>1.4023614301778857</v>
      </c>
      <c r="M32" s="47">
        <f t="shared" ca="1" si="17"/>
        <v>91.166666666666671</v>
      </c>
      <c r="N32" s="46">
        <f t="shared" ca="1" si="18"/>
        <v>0.18458870744571806</v>
      </c>
      <c r="O32" s="47">
        <f t="shared" si="7"/>
        <v>-2105.2541999999999</v>
      </c>
    </row>
    <row r="33" spans="1:15" ht="15.75" x14ac:dyDescent="0.3">
      <c r="A33" s="51" t="s">
        <v>56</v>
      </c>
      <c r="B33" s="50">
        <v>43452</v>
      </c>
      <c r="C33" s="48">
        <f>5000*26%</f>
        <v>1300</v>
      </c>
      <c r="D33" s="48">
        <f>12.51*26%</f>
        <v>3.2526000000000002</v>
      </c>
      <c r="E33" s="48">
        <f t="shared" si="13"/>
        <v>1303.2526</v>
      </c>
      <c r="F33" s="47">
        <f t="shared" si="1"/>
        <v>15.447970698402161</v>
      </c>
      <c r="G33" s="48">
        <f>84.364</f>
        <v>84.364000000000004</v>
      </c>
      <c r="H33" s="37">
        <v>28.310300000000002</v>
      </c>
      <c r="I33" s="47">
        <f t="shared" si="14"/>
        <v>2388.3701492000005</v>
      </c>
      <c r="J33" s="49">
        <f>0</f>
        <v>0</v>
      </c>
      <c r="K33" s="48">
        <f t="shared" si="15"/>
        <v>1085.1175492000004</v>
      </c>
      <c r="L33" s="46">
        <f t="shared" si="16"/>
        <v>0.83262258536833178</v>
      </c>
      <c r="M33" s="47">
        <f t="shared" ca="1" si="17"/>
        <v>91.166666666666671</v>
      </c>
      <c r="N33" s="46">
        <f t="shared" ca="1" si="18"/>
        <v>0.10959566023129778</v>
      </c>
      <c r="O33" s="47">
        <f t="shared" si="7"/>
        <v>-1303.2526</v>
      </c>
    </row>
    <row r="34" spans="1:15" ht="15.75" x14ac:dyDescent="0.3">
      <c r="A34" s="51" t="s">
        <v>55</v>
      </c>
      <c r="B34" s="50">
        <v>43452</v>
      </c>
      <c r="C34" s="48">
        <f>5000*32%</f>
        <v>1600</v>
      </c>
      <c r="D34" s="48">
        <f>12.51*32%</f>
        <v>4.0031999999999996</v>
      </c>
      <c r="E34" s="48">
        <f t="shared" si="13"/>
        <v>1604.0032000000001</v>
      </c>
      <c r="F34" s="47">
        <f t="shared" si="1"/>
        <v>17.851454823889739</v>
      </c>
      <c r="G34" s="48">
        <f>89.8528</f>
        <v>89.852800000000002</v>
      </c>
      <c r="H34" s="37">
        <v>32.323900000000002</v>
      </c>
      <c r="I34" s="47">
        <f t="shared" si="14"/>
        <v>2904.3929219200004</v>
      </c>
      <c r="J34" s="49">
        <f>0</f>
        <v>0</v>
      </c>
      <c r="K34" s="48">
        <f t="shared" si="15"/>
        <v>1300.3897219200003</v>
      </c>
      <c r="L34" s="46">
        <f t="shared" si="16"/>
        <v>0.81071516685253509</v>
      </c>
      <c r="M34" s="47">
        <f t="shared" ca="1" si="17"/>
        <v>91.166666666666671</v>
      </c>
      <c r="N34" s="46">
        <f t="shared" ca="1" si="18"/>
        <v>0.10671205121276513</v>
      </c>
      <c r="O34" s="47">
        <f t="shared" si="7"/>
        <v>-1604.0032000000001</v>
      </c>
    </row>
    <row r="35" spans="1:15" ht="15.75" x14ac:dyDescent="0.3">
      <c r="A35" s="51" t="s">
        <v>57</v>
      </c>
      <c r="B35" s="50">
        <v>43470</v>
      </c>
      <c r="C35" s="48">
        <f>-3.71</f>
        <v>-3.71</v>
      </c>
      <c r="D35" s="48">
        <v>0</v>
      </c>
      <c r="E35" s="48">
        <f t="shared" si="13"/>
        <v>-3.71</v>
      </c>
      <c r="F35" s="47">
        <f t="shared" si="1"/>
        <v>15.204918032786885</v>
      </c>
      <c r="G35" s="48">
        <f>-0.244</f>
        <v>-0.24399999999999999</v>
      </c>
      <c r="H35" s="37">
        <v>37.285699999999999</v>
      </c>
      <c r="I35" s="47">
        <f t="shared" si="14"/>
        <v>-9.0977107999999998</v>
      </c>
      <c r="J35" s="49">
        <f>0</f>
        <v>0</v>
      </c>
      <c r="K35" s="48">
        <f t="shared" si="15"/>
        <v>-5.3877107999999998</v>
      </c>
      <c r="L35" s="46">
        <f t="shared" si="16"/>
        <v>1.4522131536388139</v>
      </c>
      <c r="M35" s="47">
        <f t="shared" ca="1" si="17"/>
        <v>90.6</v>
      </c>
      <c r="N35" s="46">
        <f t="shared" ca="1" si="18"/>
        <v>0.19234611306474356</v>
      </c>
      <c r="O35" s="47">
        <f t="shared" si="7"/>
        <v>3.71</v>
      </c>
    </row>
    <row r="36" spans="1:15" ht="15.75" x14ac:dyDescent="0.3">
      <c r="A36" s="51" t="s">
        <v>56</v>
      </c>
      <c r="B36" s="50">
        <v>43470</v>
      </c>
      <c r="C36" s="48">
        <f>-2.27</f>
        <v>-2.27</v>
      </c>
      <c r="D36" s="48">
        <v>0</v>
      </c>
      <c r="E36" s="48">
        <f t="shared" si="13"/>
        <v>-2.27</v>
      </c>
      <c r="F36" s="47">
        <f t="shared" si="1"/>
        <v>15.558601782042494</v>
      </c>
      <c r="G36" s="48">
        <f>-0.1459</f>
        <v>-0.1459</v>
      </c>
      <c r="H36" s="37">
        <v>28.310300000000002</v>
      </c>
      <c r="I36" s="47">
        <f t="shared" si="14"/>
        <v>-4.1304727699999999</v>
      </c>
      <c r="J36" s="49">
        <f>0</f>
        <v>0</v>
      </c>
      <c r="K36" s="48">
        <f t="shared" si="15"/>
        <v>-1.8604727699999999</v>
      </c>
      <c r="L36" s="46">
        <f t="shared" si="16"/>
        <v>0.81959152863436113</v>
      </c>
      <c r="M36" s="47">
        <f t="shared" ca="1" si="17"/>
        <v>90.6</v>
      </c>
      <c r="N36" s="46">
        <f t="shared" ca="1" si="18"/>
        <v>0.10855516935554453</v>
      </c>
      <c r="O36" s="47">
        <f t="shared" si="7"/>
        <v>2.27</v>
      </c>
    </row>
    <row r="37" spans="1:15" ht="15.75" x14ac:dyDescent="0.3">
      <c r="A37" s="51" t="s">
        <v>55</v>
      </c>
      <c r="B37" s="50">
        <v>43470</v>
      </c>
      <c r="C37" s="48">
        <f>-2.87</f>
        <v>-2.87</v>
      </c>
      <c r="D37" s="48">
        <v>0</v>
      </c>
      <c r="E37" s="48">
        <f t="shared" si="13"/>
        <v>-2.87</v>
      </c>
      <c r="F37" s="47">
        <f t="shared" si="1"/>
        <v>17.859365276913504</v>
      </c>
      <c r="G37" s="48">
        <f>-0.1607</f>
        <v>-0.16070000000000001</v>
      </c>
      <c r="H37" s="37">
        <v>32.323900000000002</v>
      </c>
      <c r="I37" s="47">
        <f t="shared" si="14"/>
        <v>-5.1944507300000007</v>
      </c>
      <c r="J37" s="49">
        <f>0</f>
        <v>0</v>
      </c>
      <c r="K37" s="48">
        <f t="shared" si="15"/>
        <v>-2.3244507300000006</v>
      </c>
      <c r="L37" s="46">
        <f t="shared" si="16"/>
        <v>0.80991314634146361</v>
      </c>
      <c r="M37" s="47">
        <f t="shared" ca="1" si="17"/>
        <v>90.6</v>
      </c>
      <c r="N37" s="46">
        <f t="shared" ca="1" si="18"/>
        <v>0.10727326441608789</v>
      </c>
      <c r="O37" s="47">
        <f t="shared" si="7"/>
        <v>2.87</v>
      </c>
    </row>
    <row r="38" spans="1:15" ht="15.75" x14ac:dyDescent="0.3">
      <c r="A38" s="51" t="s">
        <v>57</v>
      </c>
      <c r="B38" s="50">
        <v>43762</v>
      </c>
      <c r="C38" s="48">
        <v>-84.05</v>
      </c>
      <c r="D38" s="48">
        <v>0</v>
      </c>
      <c r="E38" s="48">
        <f t="shared" ref="E38:E40" si="19">C38+D38</f>
        <v>-84.05</v>
      </c>
      <c r="F38" s="47">
        <f t="shared" si="1"/>
        <v>15.87826349794083</v>
      </c>
      <c r="G38" s="48">
        <f>-5.2934</f>
        <v>-5.2934000000000001</v>
      </c>
      <c r="H38" s="37">
        <v>37.285699999999999</v>
      </c>
      <c r="I38" s="47">
        <f t="shared" si="14"/>
        <v>-197.36812437999998</v>
      </c>
      <c r="J38" s="49">
        <f>0</f>
        <v>0</v>
      </c>
      <c r="K38" s="48">
        <f t="shared" si="15"/>
        <v>-113.31812437999999</v>
      </c>
      <c r="L38" s="46">
        <f t="shared" si="16"/>
        <v>1.3482227766805472</v>
      </c>
      <c r="M38" s="47">
        <f t="shared" ca="1" si="17"/>
        <v>80.966666666666669</v>
      </c>
      <c r="N38" s="46">
        <f t="shared" ca="1" si="18"/>
        <v>0.19981893767188019</v>
      </c>
      <c r="O38" s="47">
        <f t="shared" si="7"/>
        <v>84.05</v>
      </c>
    </row>
    <row r="39" spans="1:15" ht="15.75" x14ac:dyDescent="0.3">
      <c r="A39" s="51" t="s">
        <v>56</v>
      </c>
      <c r="B39" s="50">
        <v>43762</v>
      </c>
      <c r="C39" s="48">
        <v>-214.24</v>
      </c>
      <c r="D39" s="48">
        <v>0</v>
      </c>
      <c r="E39" s="48">
        <f t="shared" si="19"/>
        <v>-214.24</v>
      </c>
      <c r="F39" s="47">
        <f t="shared" si="1"/>
        <v>17.10280523046956</v>
      </c>
      <c r="G39" s="48">
        <f>-12.5266</f>
        <v>-12.5266</v>
      </c>
      <c r="H39" s="37">
        <v>28.310300000000002</v>
      </c>
      <c r="I39" s="47">
        <f t="shared" si="14"/>
        <v>-354.63180398000003</v>
      </c>
      <c r="J39" s="49">
        <f>0</f>
        <v>0</v>
      </c>
      <c r="K39" s="48">
        <f t="shared" si="15"/>
        <v>-140.39180398000002</v>
      </c>
      <c r="L39" s="46">
        <f t="shared" si="16"/>
        <v>0.65530154957057507</v>
      </c>
      <c r="M39" s="47">
        <f t="shared" ca="1" si="17"/>
        <v>80.966666666666669</v>
      </c>
      <c r="N39" s="46">
        <f t="shared" ca="1" si="18"/>
        <v>9.7121678816552912E-2</v>
      </c>
      <c r="O39" s="47">
        <f t="shared" si="7"/>
        <v>214.24</v>
      </c>
    </row>
    <row r="40" spans="1:15" ht="15.75" x14ac:dyDescent="0.3">
      <c r="A40" s="51" t="s">
        <v>55</v>
      </c>
      <c r="B40" s="50">
        <v>43762</v>
      </c>
      <c r="C40" s="48">
        <v>298.29000000000002</v>
      </c>
      <c r="D40" s="48">
        <v>0</v>
      </c>
      <c r="E40" s="48">
        <f t="shared" si="19"/>
        <v>298.29000000000002</v>
      </c>
      <c r="F40" s="47">
        <f t="shared" si="1"/>
        <v>20.370686534955031</v>
      </c>
      <c r="G40" s="48">
        <f>14.6431</f>
        <v>14.6431</v>
      </c>
      <c r="H40" s="37">
        <v>32.323900000000002</v>
      </c>
      <c r="I40" s="47">
        <f t="shared" si="14"/>
        <v>473.32210009000005</v>
      </c>
      <c r="J40" s="49">
        <f>0</f>
        <v>0</v>
      </c>
      <c r="K40" s="48">
        <f t="shared" si="15"/>
        <v>175.03210009000003</v>
      </c>
      <c r="L40" s="46">
        <f t="shared" si="16"/>
        <v>0.58678500817995916</v>
      </c>
      <c r="M40" s="47">
        <f t="shared" ca="1" si="17"/>
        <v>80.966666666666669</v>
      </c>
      <c r="N40" s="46">
        <f t="shared" ca="1" si="18"/>
        <v>8.696690117117549E-2</v>
      </c>
      <c r="O40" s="47">
        <f t="shared" si="7"/>
        <v>-298.29000000000002</v>
      </c>
    </row>
    <row r="41" spans="1:15" ht="15.75" x14ac:dyDescent="0.3">
      <c r="A41" s="51" t="s">
        <v>57</v>
      </c>
      <c r="B41" s="50">
        <v>43768</v>
      </c>
      <c r="C41" s="48">
        <f>5000*40%</f>
        <v>2000</v>
      </c>
      <c r="D41" s="48">
        <f>64.92*40%</f>
        <v>25.968000000000004</v>
      </c>
      <c r="E41" s="48">
        <f t="shared" ref="E41:E43" si="20">C41+D41</f>
        <v>2025.9680000000001</v>
      </c>
      <c r="F41" s="47">
        <f t="shared" si="1"/>
        <v>16.525118822048739</v>
      </c>
      <c r="G41" s="48">
        <f>122.5993</f>
        <v>122.5993</v>
      </c>
      <c r="H41" s="37">
        <v>37.285699999999999</v>
      </c>
      <c r="I41" s="47">
        <f t="shared" si="14"/>
        <v>4571.2007200099997</v>
      </c>
      <c r="J41" s="49">
        <f>0</f>
        <v>0</v>
      </c>
      <c r="K41" s="48">
        <f t="shared" si="15"/>
        <v>2545.2327200099999</v>
      </c>
      <c r="L41" s="46">
        <f t="shared" si="16"/>
        <v>1.2563045023465325</v>
      </c>
      <c r="M41" s="47">
        <f t="shared" ca="1" si="17"/>
        <v>80.766666666666666</v>
      </c>
      <c r="N41" s="46">
        <f t="shared" ca="1" si="18"/>
        <v>0.18665688024958799</v>
      </c>
      <c r="O41" s="47">
        <f t="shared" si="7"/>
        <v>-2025.9680000000001</v>
      </c>
    </row>
    <row r="42" spans="1:15" ht="15.75" x14ac:dyDescent="0.3">
      <c r="A42" s="51" t="s">
        <v>56</v>
      </c>
      <c r="B42" s="50">
        <v>43768</v>
      </c>
      <c r="C42" s="48">
        <f>5000*25%</f>
        <v>1250</v>
      </c>
      <c r="D42" s="48">
        <f>64.92*25%</f>
        <v>16.23</v>
      </c>
      <c r="E42" s="48">
        <f t="shared" si="20"/>
        <v>1266.23</v>
      </c>
      <c r="F42" s="47">
        <f t="shared" si="1"/>
        <v>17.428293397308053</v>
      </c>
      <c r="G42" s="48">
        <f>72.6537</f>
        <v>72.653700000000001</v>
      </c>
      <c r="H42" s="37">
        <v>28.310300000000002</v>
      </c>
      <c r="I42" s="47">
        <f t="shared" si="14"/>
        <v>2056.8480431100002</v>
      </c>
      <c r="J42" s="49">
        <f>0</f>
        <v>0</v>
      </c>
      <c r="K42" s="48">
        <f t="shared" si="15"/>
        <v>790.61804311000014</v>
      </c>
      <c r="L42" s="46">
        <f t="shared" si="16"/>
        <v>0.62438738863397658</v>
      </c>
      <c r="M42" s="47">
        <f t="shared" ca="1" si="17"/>
        <v>80.766666666666666</v>
      </c>
      <c r="N42" s="46">
        <f t="shared" ca="1" si="18"/>
        <v>9.2769071361218147E-2</v>
      </c>
      <c r="O42" s="47">
        <f t="shared" si="7"/>
        <v>-1266.23</v>
      </c>
    </row>
    <row r="43" spans="1:15" ht="15.75" x14ac:dyDescent="0.3">
      <c r="A43" s="51" t="s">
        <v>55</v>
      </c>
      <c r="B43" s="50">
        <v>43768</v>
      </c>
      <c r="C43" s="48">
        <f>5000*35%</f>
        <v>1750</v>
      </c>
      <c r="D43" s="48">
        <f>64.92*35%</f>
        <v>22.721999999999998</v>
      </c>
      <c r="E43" s="48">
        <f t="shared" si="20"/>
        <v>1772.722</v>
      </c>
      <c r="F43" s="47">
        <f t="shared" si="1"/>
        <v>20.635097272550549</v>
      </c>
      <c r="G43" s="48">
        <f>85.9081</f>
        <v>85.908100000000005</v>
      </c>
      <c r="H43" s="37">
        <v>32.323900000000002</v>
      </c>
      <c r="I43" s="47">
        <f t="shared" si="14"/>
        <v>2776.8848335900002</v>
      </c>
      <c r="J43" s="49">
        <f>0</f>
        <v>0</v>
      </c>
      <c r="K43" s="48">
        <f t="shared" si="15"/>
        <v>1004.1628335900002</v>
      </c>
      <c r="L43" s="46">
        <f t="shared" si="16"/>
        <v>0.56645251403773422</v>
      </c>
      <c r="M43" s="47">
        <f t="shared" ca="1" si="17"/>
        <v>80.766666666666666</v>
      </c>
      <c r="N43" s="46">
        <f t="shared" ca="1" si="18"/>
        <v>8.4161331016749621E-2</v>
      </c>
      <c r="O43" s="47">
        <f t="shared" si="7"/>
        <v>-1772.722</v>
      </c>
    </row>
    <row r="44" spans="1:15" ht="15.75" x14ac:dyDescent="0.3">
      <c r="A44" s="51" t="s">
        <v>57</v>
      </c>
      <c r="B44" s="50">
        <v>43834</v>
      </c>
      <c r="C44" s="48">
        <f>-3.61</f>
        <v>-3.61</v>
      </c>
      <c r="D44" s="48">
        <v>0</v>
      </c>
      <c r="E44" s="48">
        <f t="shared" ref="E44:E46" si="21">C44+D44</f>
        <v>-3.61</v>
      </c>
      <c r="F44" s="47">
        <f t="shared" si="1"/>
        <v>16.806331471135941</v>
      </c>
      <c r="G44" s="48">
        <f>-0.2148</f>
        <v>-0.21479999999999999</v>
      </c>
      <c r="H44" s="37">
        <v>37.285699999999999</v>
      </c>
      <c r="I44" s="47">
        <f t="shared" si="14"/>
        <v>-8.008968359999999</v>
      </c>
      <c r="J44" s="49">
        <f>0</f>
        <v>0</v>
      </c>
      <c r="K44" s="48">
        <f t="shared" si="15"/>
        <v>-4.3989683599999996</v>
      </c>
      <c r="L44" s="46">
        <f t="shared" si="16"/>
        <v>1.2185507922437673</v>
      </c>
      <c r="M44" s="47">
        <f t="shared" ca="1" si="17"/>
        <v>78.63333333333334</v>
      </c>
      <c r="N44" s="46">
        <f t="shared" ca="1" si="18"/>
        <v>0.18595942569213914</v>
      </c>
      <c r="O44" s="47">
        <f t="shared" si="7"/>
        <v>3.61</v>
      </c>
    </row>
    <row r="45" spans="1:15" ht="15.75" x14ac:dyDescent="0.3">
      <c r="A45" s="51" t="s">
        <v>56</v>
      </c>
      <c r="B45" s="50">
        <v>43834</v>
      </c>
      <c r="C45" s="48">
        <f>-2.17</f>
        <v>-2.17</v>
      </c>
      <c r="D45" s="48">
        <v>0</v>
      </c>
      <c r="E45" s="48">
        <f t="shared" si="21"/>
        <v>-2.17</v>
      </c>
      <c r="F45" s="47">
        <f t="shared" si="1"/>
        <v>17.304625199362039</v>
      </c>
      <c r="G45" s="48">
        <f>-0.1254</f>
        <v>-0.12540000000000001</v>
      </c>
      <c r="H45" s="37">
        <v>28.310300000000002</v>
      </c>
      <c r="I45" s="47">
        <f t="shared" si="14"/>
        <v>-3.5501116200000005</v>
      </c>
      <c r="J45" s="49">
        <f>0</f>
        <v>0</v>
      </c>
      <c r="K45" s="48">
        <f t="shared" si="15"/>
        <v>-1.3801116200000005</v>
      </c>
      <c r="L45" s="46">
        <f t="shared" si="16"/>
        <v>0.63599613824884815</v>
      </c>
      <c r="M45" s="47">
        <f t="shared" ca="1" si="17"/>
        <v>78.63333333333334</v>
      </c>
      <c r="N45" s="46">
        <f t="shared" ca="1" si="18"/>
        <v>9.7057486125301115E-2</v>
      </c>
      <c r="O45" s="47">
        <f t="shared" si="7"/>
        <v>2.17</v>
      </c>
    </row>
    <row r="46" spans="1:15" ht="15.75" x14ac:dyDescent="0.3">
      <c r="A46" s="51" t="s">
        <v>55</v>
      </c>
      <c r="B46" s="50">
        <v>43834</v>
      </c>
      <c r="C46" s="48">
        <f>-3.07</f>
        <v>-3.07</v>
      </c>
      <c r="D46" s="48">
        <v>0</v>
      </c>
      <c r="E46" s="48">
        <f t="shared" si="21"/>
        <v>-3.07</v>
      </c>
      <c r="F46" s="47">
        <f t="shared" si="1"/>
        <v>20.729237002025656</v>
      </c>
      <c r="G46" s="48">
        <f>-0.1481</f>
        <v>-0.14810000000000001</v>
      </c>
      <c r="H46" s="37">
        <v>32.323900000000002</v>
      </c>
      <c r="I46" s="47">
        <f t="shared" si="14"/>
        <v>-4.7871695900000004</v>
      </c>
      <c r="J46" s="49">
        <f>0</f>
        <v>0</v>
      </c>
      <c r="K46" s="48">
        <f t="shared" si="15"/>
        <v>-1.7171695900000006</v>
      </c>
      <c r="L46" s="46">
        <f t="shared" si="16"/>
        <v>0.55933862866449535</v>
      </c>
      <c r="M46" s="47">
        <f t="shared" ca="1" si="17"/>
        <v>78.63333333333334</v>
      </c>
      <c r="N46" s="46">
        <f t="shared" ca="1" si="18"/>
        <v>8.5359010733030219E-2</v>
      </c>
      <c r="O46" s="47">
        <f t="shared" si="7"/>
        <v>3.07</v>
      </c>
    </row>
    <row r="47" spans="1:15" ht="15.75" x14ac:dyDescent="0.3">
      <c r="A47" s="51" t="s">
        <v>57</v>
      </c>
      <c r="B47" s="50">
        <v>44128</v>
      </c>
      <c r="C47" s="48">
        <f>223.25</f>
        <v>223.25</v>
      </c>
      <c r="D47" s="48">
        <v>0</v>
      </c>
      <c r="E47" s="48">
        <f t="shared" ref="E47:E52" si="22">C47+D47</f>
        <v>223.25</v>
      </c>
      <c r="F47" s="47">
        <f t="shared" si="1"/>
        <v>15.676567656765677</v>
      </c>
      <c r="G47" s="48">
        <f>14.241</f>
        <v>14.241</v>
      </c>
      <c r="H47" s="37">
        <v>37.285699999999999</v>
      </c>
      <c r="I47" s="47">
        <f t="shared" si="14"/>
        <v>530.98565369999994</v>
      </c>
      <c r="J47" s="49">
        <f>0</f>
        <v>0</v>
      </c>
      <c r="K47" s="48">
        <f t="shared" si="15"/>
        <v>307.73565369999994</v>
      </c>
      <c r="L47" s="46">
        <f t="shared" si="16"/>
        <v>1.3784351789473681</v>
      </c>
      <c r="M47" s="47">
        <f t="shared" ca="1" si="17"/>
        <v>68.966666666666669</v>
      </c>
      <c r="N47" s="46">
        <f t="shared" ca="1" si="18"/>
        <v>0.23984372374144633</v>
      </c>
      <c r="O47" s="47">
        <f t="shared" si="7"/>
        <v>-223.25</v>
      </c>
    </row>
    <row r="48" spans="1:15" ht="15.75" x14ac:dyDescent="0.3">
      <c r="A48" s="51" t="s">
        <v>56</v>
      </c>
      <c r="B48" s="50">
        <v>44128</v>
      </c>
      <c r="C48" s="48">
        <f>-625.14</f>
        <v>-625.14</v>
      </c>
      <c r="D48" s="48">
        <v>0</v>
      </c>
      <c r="E48" s="48">
        <f t="shared" si="22"/>
        <v>-625.14</v>
      </c>
      <c r="F48" s="47">
        <f t="shared" si="1"/>
        <v>19.220055710306408</v>
      </c>
      <c r="G48" s="48">
        <f>-32.5254</f>
        <v>-32.525399999999998</v>
      </c>
      <c r="H48" s="37">
        <v>28.310300000000002</v>
      </c>
      <c r="I48" s="47">
        <f t="shared" si="14"/>
        <v>-920.80383161999998</v>
      </c>
      <c r="J48" s="49">
        <f>0</f>
        <v>0</v>
      </c>
      <c r="K48" s="48">
        <f t="shared" si="15"/>
        <v>-295.66383162</v>
      </c>
      <c r="L48" s="46">
        <f t="shared" si="16"/>
        <v>0.47295618840579712</v>
      </c>
      <c r="M48" s="47">
        <f t="shared" ca="1" si="17"/>
        <v>68.966666666666669</v>
      </c>
      <c r="N48" s="46">
        <f t="shared" ca="1" si="18"/>
        <v>8.2293005232521491E-2</v>
      </c>
      <c r="O48" s="47">
        <f t="shared" si="7"/>
        <v>625.14</v>
      </c>
    </row>
    <row r="49" spans="1:15" ht="15.75" x14ac:dyDescent="0.3">
      <c r="A49" s="51" t="s">
        <v>55</v>
      </c>
      <c r="B49" s="50">
        <v>44128</v>
      </c>
      <c r="C49" s="48">
        <f>401.89</f>
        <v>401.89</v>
      </c>
      <c r="D49" s="48">
        <v>0</v>
      </c>
      <c r="E49" s="48">
        <f t="shared" si="22"/>
        <v>401.89</v>
      </c>
      <c r="F49" s="47">
        <f t="shared" si="1"/>
        <v>23.034377615002811</v>
      </c>
      <c r="G49" s="48">
        <f>17.4474</f>
        <v>17.447399999999998</v>
      </c>
      <c r="H49" s="37">
        <v>32.323900000000002</v>
      </c>
      <c r="I49" s="47">
        <f t="shared" si="14"/>
        <v>563.96801285999993</v>
      </c>
      <c r="J49" s="49">
        <f>0</f>
        <v>0</v>
      </c>
      <c r="K49" s="48">
        <f t="shared" si="15"/>
        <v>162.07801285999994</v>
      </c>
      <c r="L49" s="46">
        <f t="shared" si="16"/>
        <v>0.40328948931299596</v>
      </c>
      <c r="M49" s="47">
        <f t="shared" ca="1" si="17"/>
        <v>68.966666666666669</v>
      </c>
      <c r="N49" s="46">
        <f t="shared" ca="1" si="18"/>
        <v>7.017120162043429E-2</v>
      </c>
      <c r="O49" s="47">
        <f t="shared" si="7"/>
        <v>-401.89</v>
      </c>
    </row>
    <row r="50" spans="1:15" ht="15.75" x14ac:dyDescent="0.3">
      <c r="A50" s="51" t="s">
        <v>57</v>
      </c>
      <c r="B50" s="50">
        <v>44180</v>
      </c>
      <c r="C50" s="48">
        <f>5000*38%</f>
        <v>1900</v>
      </c>
      <c r="D50" s="48">
        <f>56.4*38%</f>
        <v>21.431999999999999</v>
      </c>
      <c r="E50" s="48">
        <f t="shared" si="22"/>
        <v>1921.432</v>
      </c>
      <c r="F50" s="47">
        <f t="shared" si="1"/>
        <v>18.741143606229908</v>
      </c>
      <c r="G50" s="48">
        <f>102.5248</f>
        <v>102.5248</v>
      </c>
      <c r="H50" s="37">
        <v>37.285699999999999</v>
      </c>
      <c r="I50" s="47">
        <f t="shared" si="14"/>
        <v>3822.7089353599999</v>
      </c>
      <c r="J50" s="49">
        <f>0</f>
        <v>0</v>
      </c>
      <c r="K50" s="48">
        <f t="shared" si="15"/>
        <v>1901.2769353599999</v>
      </c>
      <c r="L50" s="46">
        <f t="shared" si="16"/>
        <v>0.98951039399780993</v>
      </c>
      <c r="M50" s="47">
        <f t="shared" ca="1" si="17"/>
        <v>67.266666666666666</v>
      </c>
      <c r="N50" s="46">
        <f t="shared" ca="1" si="18"/>
        <v>0.17652316245748839</v>
      </c>
      <c r="O50" s="47">
        <f t="shared" si="7"/>
        <v>-1921.432</v>
      </c>
    </row>
    <row r="51" spans="1:15" ht="15.75" x14ac:dyDescent="0.3">
      <c r="A51" s="51" t="s">
        <v>56</v>
      </c>
      <c r="B51" s="50">
        <v>44180</v>
      </c>
      <c r="C51" s="48">
        <f>5000*24%</f>
        <v>1200</v>
      </c>
      <c r="D51" s="48">
        <f>56.4*24%</f>
        <v>13.536</v>
      </c>
      <c r="E51" s="48">
        <f t="shared" si="22"/>
        <v>1213.5360000000001</v>
      </c>
      <c r="F51" s="47">
        <f t="shared" si="1"/>
        <v>20.319067711472776</v>
      </c>
      <c r="G51" s="48">
        <f>59.724</f>
        <v>59.723999999999997</v>
      </c>
      <c r="H51" s="37">
        <v>28.310300000000002</v>
      </c>
      <c r="I51" s="47">
        <f t="shared" si="14"/>
        <v>1690.8043571999999</v>
      </c>
      <c r="J51" s="49">
        <f>0</f>
        <v>0</v>
      </c>
      <c r="K51" s="48">
        <f t="shared" si="15"/>
        <v>477.26835719999985</v>
      </c>
      <c r="L51" s="46">
        <f t="shared" si="16"/>
        <v>0.39328734969543533</v>
      </c>
      <c r="M51" s="47">
        <f t="shared" ca="1" si="17"/>
        <v>67.266666666666666</v>
      </c>
      <c r="N51" s="46">
        <f t="shared" ca="1" si="18"/>
        <v>7.016028042138589E-2</v>
      </c>
      <c r="O51" s="47">
        <f t="shared" si="7"/>
        <v>-1213.5360000000001</v>
      </c>
    </row>
    <row r="52" spans="1:15" ht="15.75" x14ac:dyDescent="0.3">
      <c r="A52" s="51" t="s">
        <v>55</v>
      </c>
      <c r="B52" s="50">
        <v>44180</v>
      </c>
      <c r="C52" s="48">
        <f>5000*38%</f>
        <v>1900</v>
      </c>
      <c r="D52" s="48">
        <f>56.4*38%</f>
        <v>21.431999999999999</v>
      </c>
      <c r="E52" s="48">
        <f t="shared" si="22"/>
        <v>1921.432</v>
      </c>
      <c r="F52" s="47">
        <f t="shared" si="1"/>
        <v>23.560820090249166</v>
      </c>
      <c r="G52" s="48">
        <f>81.552</f>
        <v>81.552000000000007</v>
      </c>
      <c r="H52" s="37">
        <v>32.323900000000002</v>
      </c>
      <c r="I52" s="47">
        <f t="shared" si="14"/>
        <v>2636.0786928000002</v>
      </c>
      <c r="J52" s="49">
        <f>0</f>
        <v>0</v>
      </c>
      <c r="K52" s="48">
        <f t="shared" si="15"/>
        <v>714.64669280000021</v>
      </c>
      <c r="L52" s="46">
        <f t="shared" si="16"/>
        <v>0.37193441807984889</v>
      </c>
      <c r="M52" s="47">
        <f t="shared" ca="1" si="17"/>
        <v>67.266666666666666</v>
      </c>
      <c r="N52" s="46">
        <f t="shared" ca="1" si="18"/>
        <v>6.6351035930993854E-2</v>
      </c>
      <c r="O52" s="47">
        <f t="shared" si="7"/>
        <v>-1921.432</v>
      </c>
    </row>
    <row r="53" spans="1:15" ht="15.75" x14ac:dyDescent="0.3">
      <c r="A53" s="51" t="s">
        <v>57</v>
      </c>
      <c r="B53" s="50">
        <v>44205</v>
      </c>
      <c r="C53" s="48">
        <f>-3.63</f>
        <v>-3.63</v>
      </c>
      <c r="D53" s="48">
        <v>0</v>
      </c>
      <c r="E53" s="48">
        <f t="shared" ref="E53:E58" si="23">C53+D53</f>
        <v>-3.63</v>
      </c>
      <c r="F53" s="47">
        <f t="shared" si="1"/>
        <v>19.145569620253166</v>
      </c>
      <c r="G53" s="48">
        <f>-0.1896</f>
        <v>-0.18959999999999999</v>
      </c>
      <c r="H53" s="37">
        <v>37.285699999999999</v>
      </c>
      <c r="I53" s="47">
        <f t="shared" si="14"/>
        <v>-7.0693687199999991</v>
      </c>
      <c r="J53" s="49">
        <f>0</f>
        <v>0</v>
      </c>
      <c r="K53" s="48">
        <f t="shared" si="15"/>
        <v>-3.4393687199999992</v>
      </c>
      <c r="L53" s="46">
        <f t="shared" si="16"/>
        <v>0.94748449586776839</v>
      </c>
      <c r="M53" s="47">
        <f t="shared" ca="1" si="17"/>
        <v>66.466666666666669</v>
      </c>
      <c r="N53" s="46">
        <f t="shared" ca="1" si="18"/>
        <v>0.17106039042748075</v>
      </c>
      <c r="O53" s="47">
        <f t="shared" si="7"/>
        <v>3.63</v>
      </c>
    </row>
    <row r="54" spans="1:15" ht="15.75" x14ac:dyDescent="0.3">
      <c r="A54" s="51" t="s">
        <v>56</v>
      </c>
      <c r="B54" s="50">
        <v>44205</v>
      </c>
      <c r="C54" s="48">
        <f>-2.05</f>
        <v>-2.0499999999999998</v>
      </c>
      <c r="D54" s="48">
        <v>0</v>
      </c>
      <c r="E54" s="48">
        <f t="shared" si="23"/>
        <v>-2.0499999999999998</v>
      </c>
      <c r="F54" s="47">
        <f t="shared" si="1"/>
        <v>20.23692003948667</v>
      </c>
      <c r="G54" s="48">
        <f>-0.1013</f>
        <v>-0.1013</v>
      </c>
      <c r="H54" s="37">
        <v>28.310300000000002</v>
      </c>
      <c r="I54" s="47">
        <f t="shared" si="14"/>
        <v>-2.8678333900000004</v>
      </c>
      <c r="J54" s="49">
        <f>0</f>
        <v>0</v>
      </c>
      <c r="K54" s="48">
        <f t="shared" si="15"/>
        <v>-0.81783339000000055</v>
      </c>
      <c r="L54" s="46">
        <f t="shared" si="16"/>
        <v>0.39894311707317104</v>
      </c>
      <c r="M54" s="47">
        <f t="shared" ca="1" si="17"/>
        <v>66.466666666666669</v>
      </c>
      <c r="N54" s="46">
        <f t="shared" ca="1" si="18"/>
        <v>7.2025838588937602E-2</v>
      </c>
      <c r="O54" s="47">
        <f t="shared" si="7"/>
        <v>2.0499999999999998</v>
      </c>
    </row>
    <row r="55" spans="1:15" ht="15.75" x14ac:dyDescent="0.3">
      <c r="A55" s="51" t="s">
        <v>55</v>
      </c>
      <c r="B55" s="50">
        <v>44205</v>
      </c>
      <c r="C55" s="48">
        <f>-3.17</f>
        <v>-3.17</v>
      </c>
      <c r="D55" s="48">
        <v>0</v>
      </c>
      <c r="E55" s="48">
        <f t="shared" si="23"/>
        <v>-3.17</v>
      </c>
      <c r="F55" s="47">
        <f t="shared" si="1"/>
        <v>23.41211225997046</v>
      </c>
      <c r="G55" s="48">
        <f>-0.1354</f>
        <v>-0.13539999999999999</v>
      </c>
      <c r="H55" s="37">
        <v>32.323900000000002</v>
      </c>
      <c r="I55" s="47">
        <f t="shared" si="14"/>
        <v>-4.3766560600000002</v>
      </c>
      <c r="J55" s="49">
        <f>0</f>
        <v>0</v>
      </c>
      <c r="K55" s="48">
        <f t="shared" si="15"/>
        <v>-1.2066560600000003</v>
      </c>
      <c r="L55" s="46">
        <f t="shared" si="16"/>
        <v>0.38064859936908524</v>
      </c>
      <c r="M55" s="47">
        <f t="shared" ca="1" si="17"/>
        <v>66.466666666666669</v>
      </c>
      <c r="N55" s="46">
        <f t="shared" ca="1" si="18"/>
        <v>6.8722916636344361E-2</v>
      </c>
      <c r="O55" s="47">
        <f t="shared" si="7"/>
        <v>3.17</v>
      </c>
    </row>
    <row r="56" spans="1:15" ht="15.75" x14ac:dyDescent="0.3">
      <c r="A56" s="51" t="s">
        <v>57</v>
      </c>
      <c r="B56" s="50">
        <v>44494</v>
      </c>
      <c r="C56" s="48">
        <f>-4918.99</f>
        <v>-4918.99</v>
      </c>
      <c r="D56" s="48">
        <v>0</v>
      </c>
      <c r="E56" s="48">
        <f t="shared" si="23"/>
        <v>-4918.99</v>
      </c>
      <c r="F56" s="47">
        <f t="shared" si="1"/>
        <v>25.038175787795556</v>
      </c>
      <c r="G56" s="48">
        <f>-196.4596</f>
        <v>-196.45959999999999</v>
      </c>
      <c r="H56" s="37">
        <v>37.285699999999999</v>
      </c>
      <c r="I56" s="47">
        <f t="shared" si="14"/>
        <v>-7325.1337077199996</v>
      </c>
      <c r="J56" s="49">
        <f>0</f>
        <v>0</v>
      </c>
      <c r="K56" s="48">
        <f t="shared" si="15"/>
        <v>-2406.1437077199998</v>
      </c>
      <c r="L56" s="46">
        <f t="shared" si="16"/>
        <v>0.48915401489330124</v>
      </c>
      <c r="M56" s="47">
        <f t="shared" ca="1" si="17"/>
        <v>56.93333333333333</v>
      </c>
      <c r="N56" s="46">
        <f t="shared" ca="1" si="18"/>
        <v>0.10310037784636325</v>
      </c>
      <c r="O56" s="47">
        <f t="shared" si="7"/>
        <v>4918.99</v>
      </c>
    </row>
    <row r="57" spans="1:15" ht="15.75" x14ac:dyDescent="0.3">
      <c r="A57" s="51" t="s">
        <v>56</v>
      </c>
      <c r="B57" s="50">
        <v>44494</v>
      </c>
      <c r="C57" s="48">
        <v>827.54</v>
      </c>
      <c r="D57" s="48">
        <v>0</v>
      </c>
      <c r="E57" s="48">
        <f t="shared" si="23"/>
        <v>827.54</v>
      </c>
      <c r="F57" s="47">
        <f t="shared" si="1"/>
        <v>21.020038558158554</v>
      </c>
      <c r="G57" s="48">
        <f>39.3691</f>
        <v>39.369100000000003</v>
      </c>
      <c r="H57" s="37">
        <v>28.310300000000002</v>
      </c>
      <c r="I57" s="47">
        <f t="shared" si="14"/>
        <v>1114.5510317300002</v>
      </c>
      <c r="J57" s="49">
        <f>0</f>
        <v>0</v>
      </c>
      <c r="K57" s="48">
        <f t="shared" si="15"/>
        <v>287.01103173000024</v>
      </c>
      <c r="L57" s="46">
        <f t="shared" si="16"/>
        <v>0.34682436103390801</v>
      </c>
      <c r="M57" s="47">
        <f t="shared" ca="1" si="17"/>
        <v>56.93333333333333</v>
      </c>
      <c r="N57" s="46">
        <f t="shared" ca="1" si="18"/>
        <v>7.3101153379512243E-2</v>
      </c>
      <c r="O57" s="47">
        <f t="shared" si="7"/>
        <v>-827.54</v>
      </c>
    </row>
    <row r="58" spans="1:15" ht="15.75" x14ac:dyDescent="0.3">
      <c r="A58" s="51" t="s">
        <v>55</v>
      </c>
      <c r="B58" s="50">
        <v>44494</v>
      </c>
      <c r="C58" s="48">
        <f>4091.45</f>
        <v>4091.45</v>
      </c>
      <c r="D58" s="48">
        <v>0</v>
      </c>
      <c r="E58" s="48">
        <f t="shared" si="23"/>
        <v>4091.45</v>
      </c>
      <c r="F58" s="47">
        <f t="shared" si="1"/>
        <v>23.83131081674567</v>
      </c>
      <c r="G58" s="48">
        <f>171.6838</f>
        <v>171.68379999999999</v>
      </c>
      <c r="H58" s="37">
        <v>32.323900000000002</v>
      </c>
      <c r="I58" s="47">
        <f t="shared" si="14"/>
        <v>5549.4899828199996</v>
      </c>
      <c r="J58" s="49">
        <f>0</f>
        <v>0</v>
      </c>
      <c r="K58" s="48">
        <f t="shared" si="15"/>
        <v>1458.0399828199998</v>
      </c>
      <c r="L58" s="46">
        <f t="shared" si="16"/>
        <v>0.35636265451612503</v>
      </c>
      <c r="M58" s="47">
        <f t="shared" ca="1" si="17"/>
        <v>56.93333333333333</v>
      </c>
      <c r="N58" s="46">
        <f t="shared" ca="1" si="18"/>
        <v>7.5111566525646961E-2</v>
      </c>
      <c r="O58" s="47">
        <f t="shared" si="7"/>
        <v>-4091.45</v>
      </c>
    </row>
    <row r="59" spans="1:15" ht="15.75" x14ac:dyDescent="0.3">
      <c r="A59" s="51" t="s">
        <v>57</v>
      </c>
      <c r="B59" s="50">
        <v>44545</v>
      </c>
      <c r="C59" s="48">
        <f>5000*36%</f>
        <v>1800</v>
      </c>
      <c r="D59" s="48">
        <f>11.8*36%</f>
        <v>4.2480000000000002</v>
      </c>
      <c r="E59" s="48">
        <f t="shared" ref="E59:E61" si="24">C59+D59</f>
        <v>1804.248</v>
      </c>
      <c r="F59" s="47">
        <f t="shared" si="1"/>
        <v>24.019553808919031</v>
      </c>
      <c r="G59" s="48">
        <f>75.1158</f>
        <v>75.115799999999993</v>
      </c>
      <c r="H59" s="37">
        <v>37.285699999999999</v>
      </c>
      <c r="I59" s="47">
        <f t="shared" si="14"/>
        <v>2800.7451840599997</v>
      </c>
      <c r="J59" s="49">
        <f>0</f>
        <v>0</v>
      </c>
      <c r="K59" s="48">
        <f t="shared" si="15"/>
        <v>996.49718405999965</v>
      </c>
      <c r="L59" s="46">
        <f t="shared" si="16"/>
        <v>0.55230610429386628</v>
      </c>
      <c r="M59" s="47">
        <f t="shared" ca="1" si="17"/>
        <v>55.266666666666666</v>
      </c>
      <c r="N59" s="46">
        <f t="shared" ca="1" si="18"/>
        <v>0.11992171142689498</v>
      </c>
      <c r="O59" s="47">
        <f t="shared" si="7"/>
        <v>-1804.248</v>
      </c>
    </row>
    <row r="60" spans="1:15" ht="15.75" x14ac:dyDescent="0.3">
      <c r="A60" s="51" t="s">
        <v>56</v>
      </c>
      <c r="B60" s="50">
        <v>44545</v>
      </c>
      <c r="C60" s="48">
        <f>5000*23%</f>
        <v>1150</v>
      </c>
      <c r="D60" s="48">
        <f>11.8*23%</f>
        <v>2.7140000000000004</v>
      </c>
      <c r="E60" s="48">
        <f t="shared" si="24"/>
        <v>1152.7139999999999</v>
      </c>
      <c r="F60" s="47">
        <f t="shared" si="1"/>
        <v>21.302569694057638</v>
      </c>
      <c r="G60" s="48">
        <f>54.1115</f>
        <v>54.111499999999999</v>
      </c>
      <c r="H60" s="37">
        <v>28.310300000000002</v>
      </c>
      <c r="I60" s="47">
        <f t="shared" si="14"/>
        <v>1531.9127984500001</v>
      </c>
      <c r="J60" s="49">
        <f>0</f>
        <v>0</v>
      </c>
      <c r="K60" s="48">
        <f t="shared" si="15"/>
        <v>379.19879845000014</v>
      </c>
      <c r="L60" s="46">
        <f t="shared" si="16"/>
        <v>0.32896173591194361</v>
      </c>
      <c r="M60" s="47">
        <f t="shared" ca="1" si="17"/>
        <v>55.266666666666666</v>
      </c>
      <c r="N60" s="46">
        <f t="shared" ca="1" si="18"/>
        <v>7.1427156169058925E-2</v>
      </c>
      <c r="O60" s="47">
        <f t="shared" si="7"/>
        <v>-1152.7139999999999</v>
      </c>
    </row>
    <row r="61" spans="1:15" ht="15.75" x14ac:dyDescent="0.3">
      <c r="A61" s="51" t="s">
        <v>55</v>
      </c>
      <c r="B61" s="50">
        <v>44545</v>
      </c>
      <c r="C61" s="48">
        <f>5000*41%</f>
        <v>2050</v>
      </c>
      <c r="D61" s="48">
        <f>11.8*41%</f>
        <v>4.8380000000000001</v>
      </c>
      <c r="E61" s="48">
        <f t="shared" si="24"/>
        <v>2054.8380000000002</v>
      </c>
      <c r="F61" s="47">
        <f t="shared" si="1"/>
        <v>24.249910604596163</v>
      </c>
      <c r="G61" s="48">
        <f>84.7359</f>
        <v>84.735900000000001</v>
      </c>
      <c r="H61" s="37">
        <v>32.323900000000002</v>
      </c>
      <c r="I61" s="47">
        <f t="shared" si="14"/>
        <v>2738.9947580100002</v>
      </c>
      <c r="J61" s="49">
        <f>0</f>
        <v>0</v>
      </c>
      <c r="K61" s="48">
        <f t="shared" si="15"/>
        <v>684.15675800999998</v>
      </c>
      <c r="L61" s="46">
        <f t="shared" si="16"/>
        <v>0.33294924369220341</v>
      </c>
      <c r="M61" s="47">
        <f t="shared" ca="1" si="17"/>
        <v>55.266666666666666</v>
      </c>
      <c r="N61" s="46">
        <f t="shared" ca="1" si="18"/>
        <v>7.2292960029670214E-2</v>
      </c>
      <c r="O61" s="47">
        <f t="shared" si="7"/>
        <v>-2054.8380000000002</v>
      </c>
    </row>
    <row r="62" spans="1:15" ht="15.75" x14ac:dyDescent="0.3">
      <c r="A62" s="51" t="s">
        <v>57</v>
      </c>
      <c r="B62" s="50">
        <v>44569</v>
      </c>
      <c r="C62" s="48">
        <f>-3.16</f>
        <v>-3.16</v>
      </c>
      <c r="D62" s="48">
        <v>0</v>
      </c>
      <c r="E62" s="48">
        <f t="shared" ref="E62:E64" si="25">C62+D62</f>
        <v>-3.16</v>
      </c>
      <c r="F62" s="47">
        <f t="shared" si="1"/>
        <v>24.6875</v>
      </c>
      <c r="G62" s="48">
        <f>-0.128</f>
        <v>-0.128</v>
      </c>
      <c r="H62" s="37">
        <v>37.285699999999999</v>
      </c>
      <c r="I62" s="47">
        <f t="shared" si="14"/>
        <v>-4.7725695999999997</v>
      </c>
      <c r="J62" s="49">
        <f>0</f>
        <v>0</v>
      </c>
      <c r="K62" s="48">
        <f t="shared" si="15"/>
        <v>-1.6125695999999996</v>
      </c>
      <c r="L62" s="46">
        <f t="shared" si="16"/>
        <v>0.51030683544303779</v>
      </c>
      <c r="M62" s="47">
        <f t="shared" ca="1" si="17"/>
        <v>54.5</v>
      </c>
      <c r="N62" s="46">
        <f t="shared" ca="1" si="18"/>
        <v>0.11236113807920098</v>
      </c>
      <c r="O62" s="47">
        <f t="shared" si="7"/>
        <v>3.16</v>
      </c>
    </row>
    <row r="63" spans="1:15" ht="15.75" x14ac:dyDescent="0.3">
      <c r="A63" s="51" t="s">
        <v>56</v>
      </c>
      <c r="B63" s="50">
        <v>44569</v>
      </c>
      <c r="C63" s="48">
        <f>-2.04</f>
        <v>-2.04</v>
      </c>
      <c r="D63" s="48">
        <v>0</v>
      </c>
      <c r="E63" s="48">
        <f t="shared" si="25"/>
        <v>-2.04</v>
      </c>
      <c r="F63" s="47">
        <f t="shared" si="1"/>
        <v>21.118012422360248</v>
      </c>
      <c r="G63" s="48">
        <f>-0.0966</f>
        <v>-9.6600000000000005E-2</v>
      </c>
      <c r="H63" s="37">
        <v>28.310300000000002</v>
      </c>
      <c r="I63" s="47">
        <f t="shared" si="14"/>
        <v>-2.7347749800000005</v>
      </c>
      <c r="J63" s="49">
        <f>0</f>
        <v>0</v>
      </c>
      <c r="K63" s="48">
        <f t="shared" si="15"/>
        <v>-0.69477498000000049</v>
      </c>
      <c r="L63" s="46">
        <f t="shared" si="16"/>
        <v>0.34057597058823552</v>
      </c>
      <c r="M63" s="47">
        <f t="shared" ca="1" si="17"/>
        <v>54.5</v>
      </c>
      <c r="N63" s="46">
        <f t="shared" ca="1" si="18"/>
        <v>7.4989204533189482E-2</v>
      </c>
      <c r="O63" s="47">
        <f t="shared" si="7"/>
        <v>2.04</v>
      </c>
    </row>
    <row r="64" spans="1:15" ht="15.75" x14ac:dyDescent="0.3">
      <c r="A64" s="51" t="s">
        <v>55</v>
      </c>
      <c r="B64" s="50">
        <v>44569</v>
      </c>
      <c r="C64" s="48">
        <f>-3.65</f>
        <v>-3.65</v>
      </c>
      <c r="D64" s="48">
        <v>0</v>
      </c>
      <c r="E64" s="48">
        <f t="shared" si="25"/>
        <v>-3.65</v>
      </c>
      <c r="F64" s="47">
        <f t="shared" si="1"/>
        <v>23.903077930582842</v>
      </c>
      <c r="G64" s="48">
        <f>-0.1527</f>
        <v>-0.1527</v>
      </c>
      <c r="H64" s="37">
        <v>32.323900000000002</v>
      </c>
      <c r="I64" s="47">
        <f t="shared" si="14"/>
        <v>-4.9358595300000001</v>
      </c>
      <c r="J64" s="49">
        <f>0</f>
        <v>0</v>
      </c>
      <c r="K64" s="48">
        <f t="shared" si="15"/>
        <v>-1.2858595300000002</v>
      </c>
      <c r="L64" s="46">
        <f t="shared" si="16"/>
        <v>0.35229028219178088</v>
      </c>
      <c r="M64" s="47">
        <f t="shared" ca="1" si="17"/>
        <v>54.5</v>
      </c>
      <c r="N64" s="46">
        <f t="shared" ca="1" si="18"/>
        <v>7.7568502500942577E-2</v>
      </c>
      <c r="O64" s="47">
        <f t="shared" si="7"/>
        <v>3.65</v>
      </c>
    </row>
    <row r="65" spans="1:15" ht="15.75" x14ac:dyDescent="0.3">
      <c r="A65" s="51" t="s">
        <v>57</v>
      </c>
      <c r="B65" s="50">
        <v>44859</v>
      </c>
      <c r="C65" s="48">
        <v>-982.72</v>
      </c>
      <c r="D65" s="48">
        <v>0</v>
      </c>
      <c r="E65" s="48">
        <f t="shared" ref="E65:E67" si="26">C65+D65</f>
        <v>-982.72</v>
      </c>
      <c r="F65" s="47">
        <f t="shared" si="1"/>
        <v>25.288989078631793</v>
      </c>
      <c r="G65" s="48">
        <f>-38.8596</f>
        <v>-38.8596</v>
      </c>
      <c r="H65" s="37">
        <v>37.285699999999999</v>
      </c>
      <c r="I65" s="47">
        <f t="shared" si="14"/>
        <v>-1448.9073877199999</v>
      </c>
      <c r="J65" s="49">
        <f>0</f>
        <v>0</v>
      </c>
      <c r="K65" s="48">
        <f t="shared" si="15"/>
        <v>-466.18738771999983</v>
      </c>
      <c r="L65" s="46">
        <f t="shared" si="16"/>
        <v>0.47438475630901966</v>
      </c>
      <c r="M65" s="47">
        <f t="shared" ca="1" si="17"/>
        <v>44.93333333333333</v>
      </c>
      <c r="N65" s="46">
        <f t="shared" ca="1" si="18"/>
        <v>0.12669029100240883</v>
      </c>
      <c r="O65" s="47">
        <f t="shared" si="7"/>
        <v>982.72</v>
      </c>
    </row>
    <row r="66" spans="1:15" ht="15.75" x14ac:dyDescent="0.3">
      <c r="A66" s="51" t="s">
        <v>56</v>
      </c>
      <c r="B66" s="50">
        <v>44859</v>
      </c>
      <c r="C66" s="48">
        <f>-523.39</f>
        <v>-523.39</v>
      </c>
      <c r="D66" s="48">
        <v>0</v>
      </c>
      <c r="E66" s="48">
        <f t="shared" si="26"/>
        <v>-523.39</v>
      </c>
      <c r="F66" s="47">
        <f t="shared" ref="F66:F76" si="27">E66/G66</f>
        <v>21.366781653773142</v>
      </c>
      <c r="G66" s="48">
        <f>-24.4955</f>
        <v>-24.4955</v>
      </c>
      <c r="H66" s="37">
        <v>28.310300000000002</v>
      </c>
      <c r="I66" s="47">
        <f t="shared" si="14"/>
        <v>-693.47495365000009</v>
      </c>
      <c r="J66" s="49">
        <f>0</f>
        <v>0</v>
      </c>
      <c r="K66" s="48">
        <f t="shared" si="15"/>
        <v>-170.0849536500001</v>
      </c>
      <c r="L66" s="46">
        <f t="shared" si="16"/>
        <v>0.32496790853856611</v>
      </c>
      <c r="M66" s="47">
        <f t="shared" ca="1" si="17"/>
        <v>44.93333333333333</v>
      </c>
      <c r="N66" s="46">
        <f t="shared" ca="1" si="18"/>
        <v>8.6786681805551782E-2</v>
      </c>
      <c r="O66" s="47">
        <f t="shared" si="7"/>
        <v>523.39</v>
      </c>
    </row>
    <row r="67" spans="1:15" ht="15.75" x14ac:dyDescent="0.3">
      <c r="A67" s="51" t="s">
        <v>55</v>
      </c>
      <c r="B67" s="50">
        <v>44859</v>
      </c>
      <c r="C67" s="48">
        <v>1506.11</v>
      </c>
      <c r="D67" s="48">
        <v>0</v>
      </c>
      <c r="E67" s="48">
        <f t="shared" si="26"/>
        <v>1506.11</v>
      </c>
      <c r="F67" s="47">
        <f t="shared" si="27"/>
        <v>24.270644656013715</v>
      </c>
      <c r="G67" s="48">
        <f>62.0548</f>
        <v>62.0548</v>
      </c>
      <c r="H67" s="37">
        <v>32.323900000000002</v>
      </c>
      <c r="I67" s="47">
        <f t="shared" si="14"/>
        <v>2005.8531497200001</v>
      </c>
      <c r="J67" s="49">
        <f>0</f>
        <v>0</v>
      </c>
      <c r="K67" s="48">
        <f t="shared" si="15"/>
        <v>499.74314972000025</v>
      </c>
      <c r="L67" s="46">
        <f t="shared" si="16"/>
        <v>0.33181052494173752</v>
      </c>
      <c r="M67" s="47">
        <f t="shared" ca="1" si="17"/>
        <v>44.93333333333333</v>
      </c>
      <c r="N67" s="46">
        <f t="shared" ca="1" si="18"/>
        <v>8.8614086779692514E-2</v>
      </c>
      <c r="O67" s="47">
        <f t="shared" ref="O67" si="28">-E67</f>
        <v>-1506.11</v>
      </c>
    </row>
    <row r="68" spans="1:15" ht="15.75" x14ac:dyDescent="0.3">
      <c r="A68" s="51" t="s">
        <v>57</v>
      </c>
      <c r="B68" s="50">
        <v>44904</v>
      </c>
      <c r="C68" s="48">
        <f>5000*34%</f>
        <v>1700.0000000000002</v>
      </c>
      <c r="D68" s="48">
        <v>0</v>
      </c>
      <c r="E68" s="48">
        <f t="shared" ref="E68:E70" si="29">C68+D68</f>
        <v>1700.0000000000002</v>
      </c>
      <c r="F68" s="47">
        <f t="shared" si="27"/>
        <v>26.425705682925734</v>
      </c>
      <c r="G68" s="48">
        <f>64.3313</f>
        <v>64.331299999999999</v>
      </c>
      <c r="H68" s="37">
        <v>37.285699999999999</v>
      </c>
      <c r="I68" s="47">
        <f t="shared" si="14"/>
        <v>2398.6375524099999</v>
      </c>
      <c r="J68" s="49">
        <f>0</f>
        <v>0</v>
      </c>
      <c r="K68" s="48">
        <f t="shared" si="15"/>
        <v>698.63755240999967</v>
      </c>
      <c r="L68" s="46">
        <f t="shared" si="16"/>
        <v>0.41096326612352918</v>
      </c>
      <c r="M68" s="47">
        <f t="shared" ca="1" si="17"/>
        <v>43.466666666666669</v>
      </c>
      <c r="N68" s="46">
        <f t="shared" ca="1" si="18"/>
        <v>0.11345611641447124</v>
      </c>
      <c r="O68" s="47">
        <f t="shared" ref="O68:O97" si="30">-E68</f>
        <v>-1700.0000000000002</v>
      </c>
    </row>
    <row r="69" spans="1:15" ht="15.75" x14ac:dyDescent="0.3">
      <c r="A69" s="51" t="s">
        <v>56</v>
      </c>
      <c r="B69" s="50">
        <v>44904</v>
      </c>
      <c r="C69" s="48">
        <f>5000*22%</f>
        <v>1100</v>
      </c>
      <c r="D69" s="48">
        <v>0</v>
      </c>
      <c r="E69" s="48">
        <f t="shared" si="29"/>
        <v>1100</v>
      </c>
      <c r="F69" s="47">
        <f t="shared" si="27"/>
        <v>21.733804364147915</v>
      </c>
      <c r="G69" s="48">
        <f>50.6124</f>
        <v>50.612400000000001</v>
      </c>
      <c r="H69" s="37">
        <v>28.310300000000002</v>
      </c>
      <c r="I69" s="47">
        <f t="shared" si="14"/>
        <v>1432.8522277200002</v>
      </c>
      <c r="J69" s="49">
        <f>0</f>
        <v>0</v>
      </c>
      <c r="K69" s="48">
        <f t="shared" si="15"/>
        <v>332.8522277200002</v>
      </c>
      <c r="L69" s="46">
        <f t="shared" si="16"/>
        <v>0.30259293429090928</v>
      </c>
      <c r="M69" s="47">
        <f t="shared" ca="1" si="17"/>
        <v>43.466666666666669</v>
      </c>
      <c r="N69" s="46">
        <f t="shared" ca="1" si="18"/>
        <v>8.3537926644729546E-2</v>
      </c>
      <c r="O69" s="47">
        <f t="shared" si="30"/>
        <v>-1100</v>
      </c>
    </row>
    <row r="70" spans="1:15" ht="15.75" x14ac:dyDescent="0.3">
      <c r="A70" s="51" t="s">
        <v>55</v>
      </c>
      <c r="B70" s="50">
        <v>44904</v>
      </c>
      <c r="C70" s="48">
        <f>5000*44%</f>
        <v>2200</v>
      </c>
      <c r="D70" s="48">
        <v>0</v>
      </c>
      <c r="E70" s="48">
        <f t="shared" si="29"/>
        <v>2200</v>
      </c>
      <c r="F70" s="47">
        <f t="shared" si="27"/>
        <v>24.680527400433704</v>
      </c>
      <c r="G70" s="48">
        <f>89.1391</f>
        <v>89.139099999999999</v>
      </c>
      <c r="H70" s="37">
        <v>32.323900000000002</v>
      </c>
      <c r="I70" s="47">
        <f t="shared" si="14"/>
        <v>2881.3233544899999</v>
      </c>
      <c r="J70" s="49">
        <f>0</f>
        <v>0</v>
      </c>
      <c r="K70" s="48">
        <f t="shared" si="15"/>
        <v>681.32335448999993</v>
      </c>
      <c r="L70" s="46">
        <f t="shared" si="16"/>
        <v>0.3096924338590909</v>
      </c>
      <c r="M70" s="47">
        <f t="shared" ca="1" si="17"/>
        <v>43.466666666666669</v>
      </c>
      <c r="N70" s="46">
        <f t="shared" ca="1" si="18"/>
        <v>8.5497911188092565E-2</v>
      </c>
      <c r="O70" s="47">
        <f t="shared" si="30"/>
        <v>-2200</v>
      </c>
    </row>
    <row r="71" spans="1:15" ht="15.75" x14ac:dyDescent="0.3">
      <c r="A71" s="51" t="s">
        <v>57</v>
      </c>
      <c r="B71" s="50">
        <v>44904</v>
      </c>
      <c r="C71" s="48">
        <f>-2.98</f>
        <v>-2.98</v>
      </c>
      <c r="D71" s="48">
        <v>0</v>
      </c>
      <c r="E71" s="48">
        <f t="shared" ref="E71:E76" si="31">C71+D71</f>
        <v>-2.98</v>
      </c>
      <c r="F71" s="47">
        <f t="shared" si="27"/>
        <v>25.601374570446733</v>
      </c>
      <c r="G71" s="48">
        <f>-0.1164</f>
        <v>-0.1164</v>
      </c>
      <c r="H71" s="37">
        <v>37.285699999999999</v>
      </c>
      <c r="I71" s="47">
        <f t="shared" si="14"/>
        <v>-4.3400554800000002</v>
      </c>
      <c r="J71" s="49">
        <f>0</f>
        <v>0</v>
      </c>
      <c r="K71" s="48">
        <f t="shared" si="15"/>
        <v>-1.3600554800000002</v>
      </c>
      <c r="L71" s="46">
        <f t="shared" si="16"/>
        <v>0.45639445637583897</v>
      </c>
      <c r="M71" s="47">
        <f t="shared" ca="1" si="17"/>
        <v>43.466666666666669</v>
      </c>
      <c r="N71" s="46">
        <f t="shared" ca="1" si="18"/>
        <v>0.12599846955161198</v>
      </c>
      <c r="O71" s="47">
        <f t="shared" si="30"/>
        <v>2.98</v>
      </c>
    </row>
    <row r="72" spans="1:15" ht="15.75" x14ac:dyDescent="0.3">
      <c r="A72" s="51" t="s">
        <v>56</v>
      </c>
      <c r="B72" s="50">
        <v>44904</v>
      </c>
      <c r="C72" s="48">
        <f>-1.95</f>
        <v>-1.95</v>
      </c>
      <c r="D72" s="48">
        <v>0</v>
      </c>
      <c r="E72" s="48">
        <f t="shared" si="31"/>
        <v>-1.95</v>
      </c>
      <c r="F72" s="47">
        <f t="shared" si="27"/>
        <v>21.812080536912752</v>
      </c>
      <c r="G72" s="48">
        <f>-0.0894</f>
        <v>-8.9399999999999993E-2</v>
      </c>
      <c r="H72" s="37">
        <v>28.310300000000002</v>
      </c>
      <c r="I72" s="47">
        <f t="shared" si="14"/>
        <v>-2.5309408200000001</v>
      </c>
      <c r="J72" s="49">
        <f>0</f>
        <v>0</v>
      </c>
      <c r="K72" s="48">
        <f t="shared" si="15"/>
        <v>-0.58094082000000014</v>
      </c>
      <c r="L72" s="46">
        <f t="shared" si="16"/>
        <v>0.29791836923076931</v>
      </c>
      <c r="M72" s="47">
        <f t="shared" ca="1" si="17"/>
        <v>43.466666666666669</v>
      </c>
      <c r="N72" s="46">
        <f t="shared" ca="1" si="18"/>
        <v>8.2247402548371887E-2</v>
      </c>
      <c r="O72" s="47">
        <f t="shared" si="30"/>
        <v>1.95</v>
      </c>
    </row>
    <row r="73" spans="1:15" ht="15.75" x14ac:dyDescent="0.3">
      <c r="A73" s="51" t="s">
        <v>55</v>
      </c>
      <c r="B73" s="50">
        <v>44904</v>
      </c>
      <c r="C73" s="48">
        <f>-3.92</f>
        <v>-3.92</v>
      </c>
      <c r="D73" s="48">
        <v>0</v>
      </c>
      <c r="E73" s="48">
        <f t="shared" si="31"/>
        <v>-3.92</v>
      </c>
      <c r="F73" s="47">
        <f t="shared" si="27"/>
        <v>24.76310802274163</v>
      </c>
      <c r="G73" s="48">
        <f>-0.1583</f>
        <v>-0.1583</v>
      </c>
      <c r="H73" s="37">
        <v>32.323900000000002</v>
      </c>
      <c r="I73" s="47">
        <f t="shared" si="14"/>
        <v>-5.1168733700000004</v>
      </c>
      <c r="J73" s="49">
        <f>0</f>
        <v>0</v>
      </c>
      <c r="K73" s="48">
        <f t="shared" si="15"/>
        <v>-1.1968733700000005</v>
      </c>
      <c r="L73" s="46">
        <f t="shared" si="16"/>
        <v>0.30532483928571441</v>
      </c>
      <c r="M73" s="47">
        <f t="shared" ca="1" si="17"/>
        <v>43.466666666666669</v>
      </c>
      <c r="N73" s="46">
        <f t="shared" ca="1" si="18"/>
        <v>8.4292133545135872E-2</v>
      </c>
      <c r="O73" s="47">
        <f t="shared" si="30"/>
        <v>3.92</v>
      </c>
    </row>
    <row r="74" spans="1:15" ht="15.75" x14ac:dyDescent="0.3">
      <c r="A74" s="51" t="s">
        <v>57</v>
      </c>
      <c r="B74" s="50">
        <v>45224</v>
      </c>
      <c r="C74" s="48">
        <f>-1590.37</f>
        <v>-1590.37</v>
      </c>
      <c r="D74" s="48">
        <v>0</v>
      </c>
      <c r="E74" s="48">
        <f t="shared" si="31"/>
        <v>-1590.37</v>
      </c>
      <c r="F74" s="47">
        <f t="shared" si="27"/>
        <v>27.876041821862703</v>
      </c>
      <c r="G74" s="48">
        <f>-57.0515</f>
        <v>-57.051499999999997</v>
      </c>
      <c r="H74" s="37">
        <v>37.285699999999999</v>
      </c>
      <c r="I74" s="47">
        <f t="shared" si="14"/>
        <v>-2127.2051135499996</v>
      </c>
      <c r="J74" s="49">
        <f>0</f>
        <v>0</v>
      </c>
      <c r="K74" s="48">
        <f t="shared" si="15"/>
        <v>-536.83511354999973</v>
      </c>
      <c r="L74" s="46">
        <f t="shared" si="16"/>
        <v>0.33755359667876017</v>
      </c>
      <c r="M74" s="47">
        <f t="shared" ca="1" si="17"/>
        <v>32.93333333333333</v>
      </c>
      <c r="N74" s="46">
        <f t="shared" ca="1" si="18"/>
        <v>0.12299523765622841</v>
      </c>
      <c r="O74" s="47">
        <f t="shared" si="30"/>
        <v>1590.37</v>
      </c>
    </row>
    <row r="75" spans="1:15" ht="15.75" x14ac:dyDescent="0.3">
      <c r="A75" s="51" t="s">
        <v>56</v>
      </c>
      <c r="B75" s="50">
        <v>45224</v>
      </c>
      <c r="C75" s="48">
        <f>-440.96</f>
        <v>-440.96</v>
      </c>
      <c r="D75" s="48">
        <v>0</v>
      </c>
      <c r="E75" s="48">
        <f t="shared" si="31"/>
        <v>-440.96</v>
      </c>
      <c r="F75" s="47">
        <f t="shared" si="27"/>
        <v>22.996010534275506</v>
      </c>
      <c r="G75" s="48">
        <f>-19.1755</f>
        <v>-19.1755</v>
      </c>
      <c r="H75" s="37">
        <v>28.310300000000002</v>
      </c>
      <c r="I75" s="47">
        <f t="shared" si="14"/>
        <v>-542.86415765000004</v>
      </c>
      <c r="J75" s="49">
        <f>0</f>
        <v>0</v>
      </c>
      <c r="K75" s="48">
        <f t="shared" si="15"/>
        <v>-101.90415765000006</v>
      </c>
      <c r="L75" s="46">
        <f t="shared" si="16"/>
        <v>0.23109614851687243</v>
      </c>
      <c r="M75" s="47">
        <f t="shared" ca="1" si="17"/>
        <v>32.93333333333333</v>
      </c>
      <c r="N75" s="46">
        <f t="shared" ca="1" si="18"/>
        <v>8.4205074358374585E-2</v>
      </c>
      <c r="O75" s="47">
        <f t="shared" si="30"/>
        <v>440.96</v>
      </c>
    </row>
    <row r="76" spans="1:15" ht="15.75" x14ac:dyDescent="0.3">
      <c r="A76" s="51" t="s">
        <v>55</v>
      </c>
      <c r="B76" s="50">
        <v>45224</v>
      </c>
      <c r="C76" s="48">
        <f>2031.33</f>
        <v>2031.33</v>
      </c>
      <c r="D76" s="48">
        <v>0</v>
      </c>
      <c r="E76" s="48">
        <f t="shared" si="31"/>
        <v>2031.33</v>
      </c>
      <c r="F76" s="47">
        <f t="shared" si="27"/>
        <v>26.162233590405389</v>
      </c>
      <c r="G76" s="48">
        <f>77.6436</f>
        <v>77.643600000000006</v>
      </c>
      <c r="H76" s="37">
        <v>32.323900000000002</v>
      </c>
      <c r="I76" s="47">
        <f t="shared" si="14"/>
        <v>2509.7439620400005</v>
      </c>
      <c r="J76" s="49">
        <f>0</f>
        <v>0</v>
      </c>
      <c r="K76" s="48">
        <f t="shared" si="15"/>
        <v>478.41396204000057</v>
      </c>
      <c r="L76" s="46">
        <f t="shared" si="16"/>
        <v>0.23551759784968498</v>
      </c>
      <c r="M76" s="47">
        <f t="shared" ca="1" si="17"/>
        <v>32.93333333333333</v>
      </c>
      <c r="N76" s="46">
        <f t="shared" ca="1" si="18"/>
        <v>8.5816128771140296E-2</v>
      </c>
      <c r="O76" s="47">
        <f t="shared" si="30"/>
        <v>-2031.33</v>
      </c>
    </row>
    <row r="77" spans="1:15" ht="15.75" x14ac:dyDescent="0.3">
      <c r="A77" s="51" t="s">
        <v>57</v>
      </c>
      <c r="B77" s="50">
        <v>45276</v>
      </c>
      <c r="C77" s="48">
        <f>5000*32%</f>
        <v>1600</v>
      </c>
      <c r="D77" s="48">
        <v>0</v>
      </c>
      <c r="E77" s="48">
        <f t="shared" ref="E77:E79" si="32">C77+D77</f>
        <v>1600</v>
      </c>
      <c r="F77" s="47">
        <f t="shared" ref="F77:F79" si="33">E77/G77</f>
        <v>31.234321834547892</v>
      </c>
      <c r="G77" s="48">
        <f>51.2257</f>
        <v>51.225700000000003</v>
      </c>
      <c r="H77" s="37">
        <v>37.285699999999999</v>
      </c>
      <c r="I77" s="47">
        <f t="shared" si="14"/>
        <v>1909.9860824899999</v>
      </c>
      <c r="J77" s="49">
        <f>0</f>
        <v>0</v>
      </c>
      <c r="K77" s="48">
        <f t="shared" si="15"/>
        <v>309.98608248999994</v>
      </c>
      <c r="L77" s="46">
        <f t="shared" si="16"/>
        <v>0.19374130155624997</v>
      </c>
      <c r="M77" s="47">
        <f t="shared" ca="1" si="17"/>
        <v>31.233333333333334</v>
      </c>
      <c r="N77" s="46">
        <f t="shared" ca="1" si="18"/>
        <v>7.443635918916755E-2</v>
      </c>
      <c r="O77" s="47">
        <f t="shared" si="30"/>
        <v>-1600</v>
      </c>
    </row>
    <row r="78" spans="1:15" ht="15.75" x14ac:dyDescent="0.3">
      <c r="A78" s="51" t="s">
        <v>56</v>
      </c>
      <c r="B78" s="50">
        <v>45276</v>
      </c>
      <c r="C78" s="48">
        <f>5000*21%</f>
        <v>1050</v>
      </c>
      <c r="D78" s="48">
        <v>0</v>
      </c>
      <c r="E78" s="48">
        <f t="shared" si="32"/>
        <v>1050</v>
      </c>
      <c r="F78" s="47">
        <f t="shared" si="33"/>
        <v>23.289807271299637</v>
      </c>
      <c r="G78" s="48">
        <f>45.0841</f>
        <v>45.084099999999999</v>
      </c>
      <c r="H78" s="37">
        <v>28.310300000000002</v>
      </c>
      <c r="I78" s="47">
        <f t="shared" ref="I78:I97" si="34">PRODUCT(G78:H78)</f>
        <v>1276.34439623</v>
      </c>
      <c r="J78" s="49">
        <f>0</f>
        <v>0</v>
      </c>
      <c r="K78" s="48">
        <f t="shared" ref="K78:K97" si="35">SUM(-E78,I78)+J78</f>
        <v>226.34439623000003</v>
      </c>
      <c r="L78" s="46">
        <f t="shared" ref="L78:L97" si="36">K78/E78</f>
        <v>0.21556609164761908</v>
      </c>
      <c r="M78" s="47">
        <f t="shared" ref="M78:M97" ca="1" si="37">(DAYS360(B78,NOW(),TRUE))/30</f>
        <v>31.233333333333334</v>
      </c>
      <c r="N78" s="46">
        <f t="shared" ref="N78:N97" ca="1" si="38">L78*12/M78</f>
        <v>8.2821550686385137E-2</v>
      </c>
      <c r="O78" s="47">
        <f t="shared" si="30"/>
        <v>-1050</v>
      </c>
    </row>
    <row r="79" spans="1:15" ht="15.75" x14ac:dyDescent="0.3">
      <c r="A79" s="51" t="s">
        <v>55</v>
      </c>
      <c r="B79" s="50">
        <v>45276</v>
      </c>
      <c r="C79" s="48">
        <f>5000*47%</f>
        <v>2350</v>
      </c>
      <c r="D79" s="48">
        <v>0</v>
      </c>
      <c r="E79" s="48">
        <f t="shared" si="32"/>
        <v>2350</v>
      </c>
      <c r="F79" s="47">
        <f t="shared" si="33"/>
        <v>26.757817837330688</v>
      </c>
      <c r="G79" s="48">
        <f>87.8248</f>
        <v>87.824799999999996</v>
      </c>
      <c r="H79" s="37">
        <v>32.323900000000002</v>
      </c>
      <c r="I79" s="47">
        <f t="shared" si="34"/>
        <v>2838.8400527200001</v>
      </c>
      <c r="J79" s="49">
        <f>0</f>
        <v>0</v>
      </c>
      <c r="K79" s="48">
        <f t="shared" si="35"/>
        <v>488.84005272000013</v>
      </c>
      <c r="L79" s="46">
        <f t="shared" si="36"/>
        <v>0.20801704371063837</v>
      </c>
      <c r="M79" s="47">
        <f t="shared" ca="1" si="37"/>
        <v>31.233333333333334</v>
      </c>
      <c r="N79" s="46">
        <f t="shared" ca="1" si="38"/>
        <v>7.9921169408569706E-2</v>
      </c>
      <c r="O79" s="47">
        <f t="shared" si="30"/>
        <v>-2350</v>
      </c>
    </row>
    <row r="80" spans="1:15" ht="15.75" x14ac:dyDescent="0.3">
      <c r="A80" s="51" t="s">
        <v>57</v>
      </c>
      <c r="B80" s="50">
        <v>45297</v>
      </c>
      <c r="C80" s="48">
        <f>-3.01</f>
        <v>-3.01</v>
      </c>
      <c r="D80" s="48">
        <v>0</v>
      </c>
      <c r="E80" s="48">
        <f t="shared" ref="E80:E82" si="39">C80+D80</f>
        <v>-3.01</v>
      </c>
      <c r="F80" s="47">
        <f t="shared" ref="F80:F82" si="40">E80/G80</f>
        <v>31.617647058823525</v>
      </c>
      <c r="G80" s="48">
        <f>-0.0952</f>
        <v>-9.5200000000000007E-2</v>
      </c>
      <c r="H80" s="37">
        <v>37.285699999999999</v>
      </c>
      <c r="I80" s="47">
        <f t="shared" si="34"/>
        <v>-3.5495986400000001</v>
      </c>
      <c r="J80" s="49">
        <f>0</f>
        <v>0</v>
      </c>
      <c r="K80" s="48">
        <f t="shared" si="35"/>
        <v>-0.53959864000000035</v>
      </c>
      <c r="L80" s="46">
        <f t="shared" si="36"/>
        <v>0.17926865116279084</v>
      </c>
      <c r="M80" s="47">
        <f t="shared" ca="1" si="37"/>
        <v>30.566666666666666</v>
      </c>
      <c r="N80" s="46">
        <f t="shared" ca="1" si="38"/>
        <v>7.0378096421597286E-2</v>
      </c>
      <c r="O80" s="47">
        <f t="shared" si="30"/>
        <v>3.01</v>
      </c>
    </row>
    <row r="81" spans="1:15" ht="15.75" x14ac:dyDescent="0.3">
      <c r="A81" s="51" t="s">
        <v>56</v>
      </c>
      <c r="B81" s="50">
        <v>45297</v>
      </c>
      <c r="C81" s="48">
        <f>-1.79</f>
        <v>-1.79</v>
      </c>
      <c r="D81" s="48">
        <v>0</v>
      </c>
      <c r="E81" s="48">
        <f t="shared" si="39"/>
        <v>-1.79</v>
      </c>
      <c r="F81" s="47">
        <f t="shared" si="40"/>
        <v>23.398692810457518</v>
      </c>
      <c r="G81" s="48">
        <f>-0.0765</f>
        <v>-7.6499999999999999E-2</v>
      </c>
      <c r="H81" s="37">
        <v>28.310300000000002</v>
      </c>
      <c r="I81" s="47">
        <f t="shared" si="34"/>
        <v>-2.16573795</v>
      </c>
      <c r="J81" s="49">
        <f>0</f>
        <v>0</v>
      </c>
      <c r="K81" s="48">
        <f t="shared" si="35"/>
        <v>-0.37573794999999999</v>
      </c>
      <c r="L81" s="46">
        <f t="shared" si="36"/>
        <v>0.20990946927374302</v>
      </c>
      <c r="M81" s="47">
        <f t="shared" ca="1" si="37"/>
        <v>30.566666666666666</v>
      </c>
      <c r="N81" s="46">
        <f t="shared" ca="1" si="38"/>
        <v>8.2407207130368032E-2</v>
      </c>
      <c r="O81" s="47">
        <f t="shared" si="30"/>
        <v>1.79</v>
      </c>
    </row>
    <row r="82" spans="1:15" ht="15.75" x14ac:dyDescent="0.3">
      <c r="A82" s="51" t="s">
        <v>55</v>
      </c>
      <c r="B82" s="50">
        <v>45297</v>
      </c>
      <c r="C82" s="48">
        <f>-4.05</f>
        <v>-4.05</v>
      </c>
      <c r="D82" s="48">
        <v>0</v>
      </c>
      <c r="E82" s="48">
        <f t="shared" si="39"/>
        <v>-4.05</v>
      </c>
      <c r="F82" s="47">
        <f t="shared" si="40"/>
        <v>26.697429136453525</v>
      </c>
      <c r="G82" s="48">
        <f>-0.1517</f>
        <v>-0.1517</v>
      </c>
      <c r="H82" s="37">
        <v>32.323900000000002</v>
      </c>
      <c r="I82" s="47">
        <f t="shared" si="34"/>
        <v>-4.9035356300000004</v>
      </c>
      <c r="J82" s="49">
        <f>0</f>
        <v>0</v>
      </c>
      <c r="K82" s="48">
        <f t="shared" si="35"/>
        <v>-0.85353563000000054</v>
      </c>
      <c r="L82" s="46">
        <f t="shared" si="36"/>
        <v>0.21074953827160509</v>
      </c>
      <c r="M82" s="47">
        <f t="shared" ca="1" si="37"/>
        <v>30.566666666666666</v>
      </c>
      <c r="N82" s="46">
        <f t="shared" ca="1" si="38"/>
        <v>8.273700521022663E-2</v>
      </c>
      <c r="O82" s="47">
        <f t="shared" si="30"/>
        <v>4.05</v>
      </c>
    </row>
    <row r="83" spans="1:15" ht="15.75" x14ac:dyDescent="0.3">
      <c r="A83" s="51" t="s">
        <v>57</v>
      </c>
      <c r="B83" s="50">
        <v>45297</v>
      </c>
      <c r="C83" s="48">
        <f>-4094.03</f>
        <v>-4094.03</v>
      </c>
      <c r="D83" s="48">
        <v>0</v>
      </c>
      <c r="E83" s="48">
        <f t="shared" ref="E83:E94" si="41">C83+D83</f>
        <v>-4094.03</v>
      </c>
      <c r="F83" s="47">
        <f t="shared" ref="F83:F94" si="42">E83/G83</f>
        <v>36.598999837299239</v>
      </c>
      <c r="G83" s="48">
        <f>-111.8618</f>
        <v>-111.8618</v>
      </c>
      <c r="H83" s="37">
        <v>37.285699999999999</v>
      </c>
      <c r="I83" s="47">
        <f t="shared" si="34"/>
        <v>-4170.8455162600003</v>
      </c>
      <c r="J83" s="49">
        <f>0</f>
        <v>0</v>
      </c>
      <c r="K83" s="48">
        <f t="shared" si="35"/>
        <v>-76.815516260000095</v>
      </c>
      <c r="L83" s="46">
        <f t="shared" si="36"/>
        <v>1.876281225589458E-2</v>
      </c>
      <c r="M83" s="47">
        <f t="shared" ca="1" si="37"/>
        <v>30.566666666666666</v>
      </c>
      <c r="N83" s="46">
        <f t="shared" ca="1" si="38"/>
        <v>7.3659895442988541E-3</v>
      </c>
      <c r="O83" s="47">
        <f t="shared" si="30"/>
        <v>4094.03</v>
      </c>
    </row>
    <row r="84" spans="1:15" ht="15.75" x14ac:dyDescent="0.3">
      <c r="A84" s="51" t="s">
        <v>56</v>
      </c>
      <c r="B84" s="50">
        <v>45297</v>
      </c>
      <c r="C84" s="48">
        <f>332.2</f>
        <v>332.2</v>
      </c>
      <c r="D84" s="48">
        <v>0</v>
      </c>
      <c r="E84" s="48">
        <f t="shared" si="41"/>
        <v>332.2</v>
      </c>
      <c r="F84" s="47">
        <f t="shared" si="42"/>
        <v>25.150471287428548</v>
      </c>
      <c r="G84" s="48">
        <f>13.2085</f>
        <v>13.208500000000001</v>
      </c>
      <c r="H84" s="37">
        <v>28.310300000000002</v>
      </c>
      <c r="I84" s="47">
        <f t="shared" si="34"/>
        <v>373.93659755000004</v>
      </c>
      <c r="J84" s="49">
        <f>0</f>
        <v>0</v>
      </c>
      <c r="K84" s="48">
        <f t="shared" si="35"/>
        <v>41.736597550000056</v>
      </c>
      <c r="L84" s="46">
        <f t="shared" si="36"/>
        <v>0.12563695830824823</v>
      </c>
      <c r="M84" s="47">
        <f t="shared" ca="1" si="37"/>
        <v>30.566666666666666</v>
      </c>
      <c r="N84" s="46">
        <f t="shared" ca="1" si="38"/>
        <v>4.9323124308581635E-2</v>
      </c>
      <c r="O84" s="47">
        <f t="shared" si="30"/>
        <v>-332.2</v>
      </c>
    </row>
    <row r="85" spans="1:15" ht="15.75" x14ac:dyDescent="0.3">
      <c r="A85" s="51" t="s">
        <v>55</v>
      </c>
      <c r="B85" s="50">
        <v>45297</v>
      </c>
      <c r="C85" s="48">
        <f>3761.83</f>
        <v>3761.83</v>
      </c>
      <c r="D85" s="48">
        <v>0</v>
      </c>
      <c r="E85" s="48">
        <f t="shared" si="41"/>
        <v>3761.83</v>
      </c>
      <c r="F85" s="47">
        <f t="shared" si="42"/>
        <v>29.343218851647023</v>
      </c>
      <c r="G85" s="48">
        <f>128.201</f>
        <v>128.20099999999999</v>
      </c>
      <c r="H85" s="37">
        <v>32.323900000000002</v>
      </c>
      <c r="I85" s="47">
        <f t="shared" si="34"/>
        <v>4143.9563039000004</v>
      </c>
      <c r="J85" s="49">
        <f>0</f>
        <v>0</v>
      </c>
      <c r="K85" s="48">
        <f t="shared" si="35"/>
        <v>382.12630390000049</v>
      </c>
      <c r="L85" s="46">
        <f t="shared" si="36"/>
        <v>0.1015798969916239</v>
      </c>
      <c r="M85" s="47">
        <f t="shared" ca="1" si="37"/>
        <v>30.566666666666666</v>
      </c>
      <c r="N85" s="46">
        <f t="shared" ca="1" si="38"/>
        <v>3.9878694565959216E-2</v>
      </c>
      <c r="O85" s="47">
        <f t="shared" si="30"/>
        <v>-3761.83</v>
      </c>
    </row>
    <row r="86" spans="1:15" ht="15.75" x14ac:dyDescent="0.3">
      <c r="A86" s="51" t="s">
        <v>57</v>
      </c>
      <c r="B86" s="50">
        <v>45635</v>
      </c>
      <c r="C86" s="47">
        <f>5000*30%</f>
        <v>1500</v>
      </c>
      <c r="D86" s="48">
        <v>0</v>
      </c>
      <c r="E86" s="48">
        <f t="shared" si="41"/>
        <v>1500</v>
      </c>
      <c r="F86" s="47">
        <f t="shared" si="42"/>
        <v>37.314732353863072</v>
      </c>
      <c r="G86" s="48">
        <f>40.1986</f>
        <v>40.198599999999999</v>
      </c>
      <c r="H86" s="37">
        <v>37.285699999999999</v>
      </c>
      <c r="I86" s="47">
        <f t="shared" si="34"/>
        <v>1498.8329400199998</v>
      </c>
      <c r="J86" s="49">
        <f>0</f>
        <v>0</v>
      </c>
      <c r="K86" s="48">
        <f t="shared" si="35"/>
        <v>-1.1670599800002037</v>
      </c>
      <c r="L86" s="46">
        <f t="shared" si="36"/>
        <v>-7.7803998666680252E-4</v>
      </c>
      <c r="M86" s="47">
        <f t="shared" ca="1" si="37"/>
        <v>19.466666666666665</v>
      </c>
      <c r="N86" s="46">
        <f t="shared" ca="1" si="38"/>
        <v>-4.7961369041104273E-4</v>
      </c>
      <c r="O86" s="47">
        <f t="shared" si="30"/>
        <v>-1500</v>
      </c>
    </row>
    <row r="87" spans="1:15" ht="15.75" x14ac:dyDescent="0.3">
      <c r="A87" s="51" t="s">
        <v>56</v>
      </c>
      <c r="B87" s="50">
        <v>45635</v>
      </c>
      <c r="C87" s="47">
        <f>5000*20%</f>
        <v>1000</v>
      </c>
      <c r="D87" s="48">
        <v>0</v>
      </c>
      <c r="E87" s="48">
        <f t="shared" si="41"/>
        <v>1000</v>
      </c>
      <c r="F87" s="47">
        <f t="shared" si="42"/>
        <v>25.36770488226848</v>
      </c>
      <c r="G87" s="48">
        <f>39.4202</f>
        <v>39.420200000000001</v>
      </c>
      <c r="H87" s="37">
        <v>28.310300000000002</v>
      </c>
      <c r="I87" s="47">
        <f t="shared" si="34"/>
        <v>1115.9976880600002</v>
      </c>
      <c r="J87" s="49">
        <f>0</f>
        <v>0</v>
      </c>
      <c r="K87" s="48">
        <f t="shared" si="35"/>
        <v>115.9976880600002</v>
      </c>
      <c r="L87" s="46">
        <f t="shared" si="36"/>
        <v>0.1159976880600002</v>
      </c>
      <c r="M87" s="47">
        <f t="shared" ca="1" si="37"/>
        <v>19.466666666666665</v>
      </c>
      <c r="N87" s="46">
        <f t="shared" ca="1" si="38"/>
        <v>7.1505424146575472E-2</v>
      </c>
      <c r="O87" s="47">
        <f t="shared" si="30"/>
        <v>-1000</v>
      </c>
    </row>
    <row r="88" spans="1:15" ht="15.75" x14ac:dyDescent="0.3">
      <c r="A88" s="51" t="s">
        <v>55</v>
      </c>
      <c r="B88" s="50">
        <v>45635</v>
      </c>
      <c r="C88" s="47">
        <f>5000*50%</f>
        <v>2500</v>
      </c>
      <c r="D88" s="48">
        <v>0</v>
      </c>
      <c r="E88" s="48">
        <f t="shared" si="41"/>
        <v>2500</v>
      </c>
      <c r="F88" s="47">
        <f t="shared" si="42"/>
        <v>29.673203079841095</v>
      </c>
      <c r="G88" s="48">
        <f>84.2511</f>
        <v>84.251099999999994</v>
      </c>
      <c r="H88" s="37">
        <v>32.323900000000002</v>
      </c>
      <c r="I88" s="47">
        <f t="shared" si="34"/>
        <v>2723.32413129</v>
      </c>
      <c r="J88" s="49">
        <f>0</f>
        <v>0</v>
      </c>
      <c r="K88" s="48">
        <f t="shared" si="35"/>
        <v>223.32413128999997</v>
      </c>
      <c r="L88" s="46">
        <f t="shared" si="36"/>
        <v>8.9329652515999988E-2</v>
      </c>
      <c r="M88" s="47">
        <f t="shared" ca="1" si="37"/>
        <v>19.466666666666665</v>
      </c>
      <c r="N88" s="46">
        <f t="shared" ca="1" si="38"/>
        <v>5.5066224153698627E-2</v>
      </c>
      <c r="O88" s="47">
        <f t="shared" si="30"/>
        <v>-2500</v>
      </c>
    </row>
    <row r="89" spans="1:15" ht="15.75" x14ac:dyDescent="0.3">
      <c r="A89" s="51" t="s">
        <v>57</v>
      </c>
      <c r="B89" s="50">
        <v>45668</v>
      </c>
      <c r="C89" s="48">
        <f>-2.61</f>
        <v>-2.61</v>
      </c>
      <c r="D89" s="48">
        <v>0</v>
      </c>
      <c r="E89" s="48">
        <f t="shared" si="41"/>
        <v>-2.61</v>
      </c>
      <c r="F89" s="47">
        <f t="shared" si="42"/>
        <v>36.199722607489598</v>
      </c>
      <c r="G89" s="48">
        <f>-0.0721</f>
        <v>-7.2099999999999997E-2</v>
      </c>
      <c r="H89" s="37">
        <v>37.285699999999999</v>
      </c>
      <c r="I89" s="47">
        <f t="shared" ref="I89:I94" si="43">PRODUCT(G89:H89)</f>
        <v>-2.68829897</v>
      </c>
      <c r="J89" s="49">
        <f>0</f>
        <v>0</v>
      </c>
      <c r="K89" s="48">
        <f t="shared" ref="K89:K94" si="44">SUM(-E89,I89)+J89</f>
        <v>-7.8298970000000079E-2</v>
      </c>
      <c r="L89" s="46">
        <f t="shared" ref="L89:L94" si="45">K89/E89</f>
        <v>2.9999605363984706E-2</v>
      </c>
      <c r="M89" s="47">
        <f t="shared" ref="M89:M94" ca="1" si="46">(DAYS360(B89,NOW(),TRUE))/30</f>
        <v>18.399999999999999</v>
      </c>
      <c r="N89" s="46">
        <f t="shared" ref="N89:N94" ca="1" si="47">L89*12/M89</f>
        <v>1.9564960019990026E-2</v>
      </c>
      <c r="O89" s="47">
        <f t="shared" ref="O89:O94" si="48">-E89</f>
        <v>2.61</v>
      </c>
    </row>
    <row r="90" spans="1:15" ht="15.75" x14ac:dyDescent="0.3">
      <c r="A90" s="51" t="s">
        <v>56</v>
      </c>
      <c r="B90" s="50">
        <v>45668</v>
      </c>
      <c r="C90" s="48">
        <f>-1.78</f>
        <v>-1.78</v>
      </c>
      <c r="D90" s="48">
        <v>0</v>
      </c>
      <c r="E90" s="48">
        <f t="shared" si="41"/>
        <v>-1.78</v>
      </c>
      <c r="F90" s="47">
        <f t="shared" si="42"/>
        <v>25.464949928469242</v>
      </c>
      <c r="G90" s="48">
        <f>-0.0699</f>
        <v>-6.9900000000000004E-2</v>
      </c>
      <c r="H90" s="37">
        <v>28.310300000000002</v>
      </c>
      <c r="I90" s="47">
        <f t="shared" si="43"/>
        <v>-1.9788899700000002</v>
      </c>
      <c r="J90" s="49">
        <f>0</f>
        <v>0</v>
      </c>
      <c r="K90" s="48">
        <f t="shared" si="44"/>
        <v>-0.19888997000000019</v>
      </c>
      <c r="L90" s="46">
        <f t="shared" si="45"/>
        <v>0.1117359382022473</v>
      </c>
      <c r="M90" s="47">
        <f t="shared" ca="1" si="46"/>
        <v>18.399999999999999</v>
      </c>
      <c r="N90" s="46">
        <f t="shared" ca="1" si="47"/>
        <v>7.2871264044943887E-2</v>
      </c>
      <c r="O90" s="47">
        <f t="shared" si="48"/>
        <v>1.78</v>
      </c>
    </row>
    <row r="91" spans="1:15" ht="15.75" x14ac:dyDescent="0.3">
      <c r="A91" s="51" t="s">
        <v>55</v>
      </c>
      <c r="B91" s="50">
        <v>45668</v>
      </c>
      <c r="C91" s="48">
        <f>-4.46</f>
        <v>-4.46</v>
      </c>
      <c r="D91" s="48">
        <v>0</v>
      </c>
      <c r="E91" s="48">
        <f t="shared" si="41"/>
        <v>-4.46</v>
      </c>
      <c r="F91" s="47">
        <f t="shared" si="42"/>
        <v>29.693741677762983</v>
      </c>
      <c r="G91" s="48">
        <f>-0.1502</f>
        <v>-0.1502</v>
      </c>
      <c r="H91" s="37">
        <v>32.323900000000002</v>
      </c>
      <c r="I91" s="47">
        <f t="shared" si="43"/>
        <v>-4.8550497799999999</v>
      </c>
      <c r="J91" s="49">
        <f>0</f>
        <v>0</v>
      </c>
      <c r="K91" s="48">
        <f t="shared" si="44"/>
        <v>-0.39504977999999991</v>
      </c>
      <c r="L91" s="46">
        <f t="shared" si="45"/>
        <v>8.8576183856502219E-2</v>
      </c>
      <c r="M91" s="47">
        <f t="shared" ca="1" si="46"/>
        <v>18.399999999999999</v>
      </c>
      <c r="N91" s="46">
        <f t="shared" ca="1" si="47"/>
        <v>5.7767076428153624E-2</v>
      </c>
      <c r="O91" s="47">
        <f t="shared" si="48"/>
        <v>4.46</v>
      </c>
    </row>
    <row r="92" spans="1:15" ht="15.75" x14ac:dyDescent="0.3">
      <c r="A92" s="51" t="s">
        <v>57</v>
      </c>
      <c r="B92" s="50">
        <v>45954</v>
      </c>
      <c r="C92" s="48">
        <f>-1592.54</f>
        <v>-1592.54</v>
      </c>
      <c r="D92" s="48">
        <v>0</v>
      </c>
      <c r="E92" s="48">
        <f t="shared" si="41"/>
        <v>-1592.54</v>
      </c>
      <c r="F92" s="47">
        <f t="shared" si="42"/>
        <v>38.855991235967664</v>
      </c>
      <c r="G92" s="48">
        <f>-40.9857</f>
        <v>-40.985700000000001</v>
      </c>
      <c r="H92" s="37">
        <v>37.285699999999999</v>
      </c>
      <c r="I92" s="47">
        <f t="shared" si="43"/>
        <v>-1528.18051449</v>
      </c>
      <c r="J92" s="49">
        <f>0</f>
        <v>0</v>
      </c>
      <c r="K92" s="48">
        <f t="shared" si="44"/>
        <v>64.359485510000013</v>
      </c>
      <c r="L92" s="46">
        <f t="shared" si="45"/>
        <v>-4.0413104543684943E-2</v>
      </c>
      <c r="M92" s="47">
        <f t="shared" ca="1" si="46"/>
        <v>8.9666666666666668</v>
      </c>
      <c r="N92" s="46">
        <f t="shared" ca="1" si="47"/>
        <v>-5.4084452177422228E-2</v>
      </c>
      <c r="O92" s="47">
        <f t="shared" si="48"/>
        <v>1592.54</v>
      </c>
    </row>
    <row r="93" spans="1:15" ht="15.75" x14ac:dyDescent="0.3">
      <c r="A93" s="51" t="s">
        <v>56</v>
      </c>
      <c r="B93" s="50">
        <v>45954</v>
      </c>
      <c r="C93" s="48">
        <f>-1150.06</f>
        <v>-1150.06</v>
      </c>
      <c r="D93" s="48">
        <v>0</v>
      </c>
      <c r="E93" s="48">
        <f t="shared" si="41"/>
        <v>-1150.06</v>
      </c>
      <c r="F93" s="47">
        <f t="shared" si="42"/>
        <v>27.281827929441011</v>
      </c>
      <c r="G93" s="48">
        <f>-42.1548</f>
        <v>-42.154800000000002</v>
      </c>
      <c r="H93" s="37">
        <v>28.310300000000002</v>
      </c>
      <c r="I93" s="47">
        <f t="shared" si="43"/>
        <v>-1193.41503444</v>
      </c>
      <c r="J93" s="49">
        <f>0</f>
        <v>0</v>
      </c>
      <c r="K93" s="48">
        <f t="shared" si="44"/>
        <v>-43.355034440000054</v>
      </c>
      <c r="L93" s="46">
        <f t="shared" si="45"/>
        <v>3.769806309236045E-2</v>
      </c>
      <c r="M93" s="47">
        <f t="shared" ca="1" si="46"/>
        <v>8.9666666666666668</v>
      </c>
      <c r="N93" s="46">
        <f t="shared" ca="1" si="47"/>
        <v>5.0450939454460081E-2</v>
      </c>
      <c r="O93" s="47">
        <f t="shared" si="48"/>
        <v>1150.06</v>
      </c>
    </row>
    <row r="94" spans="1:15" ht="15.75" x14ac:dyDescent="0.3">
      <c r="A94" s="51" t="s">
        <v>55</v>
      </c>
      <c r="B94" s="50">
        <v>45954</v>
      </c>
      <c r="C94" s="48">
        <f>2742.6</f>
        <v>2742.6</v>
      </c>
      <c r="D94" s="48">
        <v>0</v>
      </c>
      <c r="E94" s="48">
        <f t="shared" si="41"/>
        <v>2742.6</v>
      </c>
      <c r="F94" s="47">
        <f t="shared" si="42"/>
        <v>31.261327187301241</v>
      </c>
      <c r="G94" s="48">
        <f>87.7314</f>
        <v>87.731399999999994</v>
      </c>
      <c r="H94" s="37">
        <v>32.323900000000002</v>
      </c>
      <c r="I94" s="47">
        <f t="shared" si="43"/>
        <v>2835.8210004600001</v>
      </c>
      <c r="J94" s="49">
        <f>0</f>
        <v>0</v>
      </c>
      <c r="K94" s="48">
        <f t="shared" si="44"/>
        <v>93.221000460000141</v>
      </c>
      <c r="L94" s="46">
        <f t="shared" si="45"/>
        <v>3.3990009647779533E-2</v>
      </c>
      <c r="M94" s="47">
        <f t="shared" ca="1" si="46"/>
        <v>8.9666666666666668</v>
      </c>
      <c r="N94" s="46">
        <f t="shared" ca="1" si="47"/>
        <v>4.5488488747957738E-2</v>
      </c>
      <c r="O94" s="47">
        <f t="shared" si="48"/>
        <v>-2742.6</v>
      </c>
    </row>
    <row r="95" spans="1:15" ht="15.75" x14ac:dyDescent="0.3">
      <c r="A95" s="51" t="s">
        <v>57</v>
      </c>
      <c r="B95" s="50">
        <v>46014</v>
      </c>
      <c r="C95" s="47">
        <f>5000*28%</f>
        <v>1400.0000000000002</v>
      </c>
      <c r="D95" s="48">
        <v>0</v>
      </c>
      <c r="E95" s="48">
        <f t="shared" ref="E95:E97" si="49">C95+D95</f>
        <v>1400.0000000000002</v>
      </c>
      <c r="F95" s="47">
        <f t="shared" ref="F95:F97" si="50">E95/G95</f>
        <v>39.355359216041251</v>
      </c>
      <c r="G95" s="48">
        <f>35.5733</f>
        <v>35.573300000000003</v>
      </c>
      <c r="H95" s="37">
        <v>37.285699999999999</v>
      </c>
      <c r="I95" s="47">
        <f t="shared" si="34"/>
        <v>1326.3753918100001</v>
      </c>
      <c r="J95" s="49">
        <f>0</f>
        <v>0</v>
      </c>
      <c r="K95" s="48">
        <f t="shared" si="35"/>
        <v>-73.624608190000117</v>
      </c>
      <c r="L95" s="46">
        <f t="shared" si="36"/>
        <v>-5.2589005850000078E-2</v>
      </c>
      <c r="M95" s="47">
        <f t="shared" ca="1" si="37"/>
        <v>7</v>
      </c>
      <c r="N95" s="46">
        <f t="shared" ca="1" si="38"/>
        <v>-9.0152581457142986E-2</v>
      </c>
      <c r="O95" s="47">
        <f t="shared" si="30"/>
        <v>-1400.0000000000002</v>
      </c>
    </row>
    <row r="96" spans="1:15" ht="15.75" x14ac:dyDescent="0.3">
      <c r="A96" s="51" t="s">
        <v>56</v>
      </c>
      <c r="B96" s="50">
        <v>46014</v>
      </c>
      <c r="C96" s="47">
        <f>5000*19%</f>
        <v>950</v>
      </c>
      <c r="D96" s="48">
        <v>0</v>
      </c>
      <c r="E96" s="48">
        <f t="shared" si="49"/>
        <v>950</v>
      </c>
      <c r="F96" s="47">
        <f t="shared" si="50"/>
        <v>27.452442255955013</v>
      </c>
      <c r="G96" s="48">
        <f>34.6053</f>
        <v>34.6053</v>
      </c>
      <c r="H96" s="37">
        <v>28.310300000000002</v>
      </c>
      <c r="I96" s="47">
        <f t="shared" si="34"/>
        <v>979.68642459</v>
      </c>
      <c r="J96" s="49">
        <f>0</f>
        <v>0</v>
      </c>
      <c r="K96" s="48">
        <f t="shared" si="35"/>
        <v>29.686424590000001</v>
      </c>
      <c r="L96" s="46">
        <f t="shared" si="36"/>
        <v>3.1248867989473687E-2</v>
      </c>
      <c r="M96" s="47">
        <f t="shared" ca="1" si="37"/>
        <v>7</v>
      </c>
      <c r="N96" s="46">
        <f t="shared" ca="1" si="38"/>
        <v>5.3569487981954891E-2</v>
      </c>
      <c r="O96" s="47">
        <f t="shared" si="30"/>
        <v>-950</v>
      </c>
    </row>
    <row r="97" spans="1:15" ht="15.75" x14ac:dyDescent="0.3">
      <c r="A97" s="51" t="s">
        <v>55</v>
      </c>
      <c r="B97" s="50">
        <v>46014</v>
      </c>
      <c r="C97" s="47">
        <f>5000*53%</f>
        <v>2650</v>
      </c>
      <c r="D97" s="48">
        <v>0</v>
      </c>
      <c r="E97" s="48">
        <f t="shared" si="49"/>
        <v>2650</v>
      </c>
      <c r="F97" s="47">
        <f t="shared" si="50"/>
        <v>31.295023500791235</v>
      </c>
      <c r="G97" s="48">
        <f>84.678</f>
        <v>84.677999999999997</v>
      </c>
      <c r="H97" s="37">
        <v>32.323900000000002</v>
      </c>
      <c r="I97" s="47">
        <f t="shared" si="34"/>
        <v>2737.1232042000001</v>
      </c>
      <c r="J97" s="49">
        <f>0</f>
        <v>0</v>
      </c>
      <c r="K97" s="48">
        <f t="shared" si="35"/>
        <v>87.123204200000146</v>
      </c>
      <c r="L97" s="46">
        <f t="shared" si="36"/>
        <v>3.2876680830188736E-2</v>
      </c>
      <c r="M97" s="47">
        <f t="shared" ca="1" si="37"/>
        <v>7</v>
      </c>
      <c r="N97" s="46">
        <f t="shared" ca="1" si="38"/>
        <v>5.6360024280323544E-2</v>
      </c>
      <c r="O97" s="47">
        <f t="shared" si="30"/>
        <v>-2650</v>
      </c>
    </row>
    <row r="98" spans="1:15" x14ac:dyDescent="0.25">
      <c r="B98" s="60">
        <f ca="1">TODAY()</f>
        <v>46226</v>
      </c>
      <c r="C98" s="61">
        <f>SUM(C2:C97)</f>
        <v>53897</v>
      </c>
      <c r="D98" s="61">
        <f>SUM(D2:D97)</f>
        <v>227.37999999999997</v>
      </c>
      <c r="E98" s="61">
        <f>SUM(E2:E97)</f>
        <v>54124.380000000005</v>
      </c>
      <c r="F98" s="62"/>
      <c r="G98" s="62"/>
      <c r="H98" s="62"/>
      <c r="I98" s="61">
        <f>SUM(I2:I97)</f>
        <v>92791.0848668455</v>
      </c>
      <c r="J98" s="61">
        <f>SUM(J2:J97)</f>
        <v>0</v>
      </c>
      <c r="K98" s="61">
        <f>SUM(K2:K97)</f>
        <v>38666.704866845481</v>
      </c>
      <c r="L98" s="63">
        <f t="shared" si="4"/>
        <v>0.71440457824820303</v>
      </c>
      <c r="M98" s="62"/>
      <c r="N98" s="62"/>
      <c r="O98" s="61">
        <f>I98</f>
        <v>92791.0848668455</v>
      </c>
    </row>
    <row r="101" spans="1:15" x14ac:dyDescent="0.25">
      <c r="H101" s="59" t="s">
        <v>61</v>
      </c>
      <c r="I101" s="64">
        <f ca="1">XIRR(O2:O98,B2:B98)*100</f>
        <v>9.3599364161491394</v>
      </c>
    </row>
  </sheetData>
  <autoFilter ref="A1:O98" xr:uid="{00000000-0001-0000-0300-000000000000}"/>
  <pageMargins left="0.7" right="0.7" top="0.75" bottom="0.75" header="0.3" footer="0.3"/>
  <pageSetup orientation="portrait" r:id="rId1"/>
  <headerFooter>
    <oddFooter>&amp;LLevel 1 –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A56E-6480-4BCE-8E99-37D0538FD5B6}">
  <sheetPr>
    <pageSetUpPr autoPageBreaks="0"/>
  </sheetPr>
  <dimension ref="A1:O620"/>
  <sheetViews>
    <sheetView zoomScale="85" zoomScaleNormal="85" workbookViewId="0">
      <pane xSplit="2" ySplit="1" topLeftCell="C582" activePane="bottomRight" state="frozen"/>
      <selection activeCell="M770" sqref="M770"/>
      <selection pane="topRight" activeCell="M770" sqref="M770"/>
      <selection pane="bottomLeft" activeCell="M770" sqref="M770"/>
      <selection pane="bottomRight" activeCell="A614" sqref="A614"/>
    </sheetView>
  </sheetViews>
  <sheetFormatPr defaultRowHeight="15" x14ac:dyDescent="0.25"/>
  <cols>
    <col min="1" max="1" width="104.7109375" style="86" bestFit="1" customWidth="1"/>
    <col min="2" max="2" width="14.85546875" style="86" bestFit="1" customWidth="1"/>
    <col min="3" max="3" width="13.5703125" style="86" bestFit="1" customWidth="1"/>
    <col min="4" max="4" width="9.85546875" style="86" bestFit="1" customWidth="1"/>
    <col min="5" max="5" width="11.140625" style="86" bestFit="1" customWidth="1"/>
    <col min="6" max="6" width="12.140625" style="86" bestFit="1" customWidth="1"/>
    <col min="7" max="7" width="17.7109375" style="86" bestFit="1" customWidth="1"/>
    <col min="8" max="8" width="14.5703125" style="86" bestFit="1" customWidth="1"/>
    <col min="9" max="9" width="17.140625" style="86" bestFit="1" customWidth="1"/>
    <col min="10" max="10" width="19.5703125" style="86" bestFit="1" customWidth="1"/>
    <col min="11" max="11" width="14.5703125" style="86" bestFit="1" customWidth="1"/>
    <col min="12" max="12" width="16.85546875" style="86" bestFit="1" customWidth="1"/>
    <col min="13" max="13" width="11.85546875" style="86" customWidth="1"/>
    <col min="14" max="14" width="13.85546875" style="86" bestFit="1" customWidth="1"/>
    <col min="15" max="15" width="17.28515625" style="86" bestFit="1" customWidth="1"/>
    <col min="16" max="16384" width="9.140625" style="86"/>
  </cols>
  <sheetData>
    <row r="1" spans="1:15" s="75" customFormat="1" ht="27" x14ac:dyDescent="0.3">
      <c r="A1" s="53" t="s">
        <v>54</v>
      </c>
      <c r="B1" s="53" t="s">
        <v>53</v>
      </c>
      <c r="C1" s="54" t="s">
        <v>1</v>
      </c>
      <c r="D1" s="54" t="s">
        <v>49</v>
      </c>
      <c r="E1" s="54" t="s">
        <v>48</v>
      </c>
      <c r="F1" s="53" t="s">
        <v>47</v>
      </c>
      <c r="G1" s="54" t="s">
        <v>46</v>
      </c>
      <c r="H1" s="53" t="s">
        <v>45</v>
      </c>
      <c r="I1" s="54" t="s">
        <v>17</v>
      </c>
      <c r="J1" s="54" t="s">
        <v>18</v>
      </c>
      <c r="K1" s="54" t="s">
        <v>3</v>
      </c>
      <c r="L1" s="53" t="s">
        <v>19</v>
      </c>
      <c r="M1" s="74" t="s">
        <v>58</v>
      </c>
      <c r="N1" s="53" t="s">
        <v>60</v>
      </c>
      <c r="O1" s="53" t="s">
        <v>62</v>
      </c>
    </row>
    <row r="2" spans="1:15" s="75" customFormat="1" x14ac:dyDescent="0.3">
      <c r="A2" s="51" t="s">
        <v>63</v>
      </c>
      <c r="B2" s="50">
        <v>43948</v>
      </c>
      <c r="C2" s="47">
        <v>10000</v>
      </c>
      <c r="D2" s="47">
        <f t="shared" ref="D2:D41" si="0">C2/E2</f>
        <v>35.049963723287547</v>
      </c>
      <c r="E2" s="49">
        <f>285.307</f>
        <v>285.30700000000002</v>
      </c>
      <c r="F2" s="37">
        <f>VLOOKUP("INF846K01859", [1]NAVAll!B$1:E$501244,4,FALSE)</f>
        <v>120.29</v>
      </c>
      <c r="G2" s="47">
        <f t="shared" ref="G2:G41" si="1">PRODUCT(E2:F2)</f>
        <v>34319.579030000001</v>
      </c>
      <c r="H2" s="49">
        <f>0</f>
        <v>0</v>
      </c>
      <c r="I2" s="48">
        <f t="shared" ref="I2:I41" si="2">SUM(-C2,G2)+H2</f>
        <v>24319.579030000001</v>
      </c>
      <c r="J2" s="46">
        <f t="shared" ref="J2:J41" si="3">I2/C2</f>
        <v>2.4319579030000003</v>
      </c>
      <c r="K2" s="47">
        <f t="shared" ref="K2:K41" ca="1" si="4">(DAYS360(B2,NOW(),TRUE))/30</f>
        <v>74.86666666666666</v>
      </c>
      <c r="L2" s="46">
        <f t="shared" ref="L2:L41" ca="1" si="5">J2*12/K2</f>
        <v>0.38980625337488872</v>
      </c>
      <c r="M2" s="57"/>
      <c r="N2" s="47">
        <f t="shared" ref="N2:N41" si="6">-C2</f>
        <v>-10000</v>
      </c>
      <c r="O2" s="51" t="s">
        <v>64</v>
      </c>
    </row>
    <row r="3" spans="1:15" s="75" customFormat="1" x14ac:dyDescent="0.3">
      <c r="A3" s="51" t="s">
        <v>63</v>
      </c>
      <c r="B3" s="50">
        <v>43978</v>
      </c>
      <c r="C3" s="47">
        <v>10000</v>
      </c>
      <c r="D3" s="47">
        <f t="shared" si="0"/>
        <v>34.770031014867669</v>
      </c>
      <c r="E3" s="49">
        <f>287.604</f>
        <v>287.60399999999998</v>
      </c>
      <c r="F3" s="37">
        <f>VLOOKUP("INF846K01859", [1]NAVAll!B$1:E$501244,4,FALSE)</f>
        <v>120.29</v>
      </c>
      <c r="G3" s="47">
        <f t="shared" si="1"/>
        <v>34595.885159999998</v>
      </c>
      <c r="H3" s="49">
        <f>0</f>
        <v>0</v>
      </c>
      <c r="I3" s="48">
        <f t="shared" si="2"/>
        <v>24595.885159999998</v>
      </c>
      <c r="J3" s="46">
        <f t="shared" si="3"/>
        <v>2.4595885159999997</v>
      </c>
      <c r="K3" s="47">
        <f t="shared" ca="1" si="4"/>
        <v>73.86666666666666</v>
      </c>
      <c r="L3" s="46">
        <f t="shared" ca="1" si="5"/>
        <v>0.39957214158844762</v>
      </c>
      <c r="M3" s="57"/>
      <c r="N3" s="47">
        <f t="shared" si="6"/>
        <v>-10000</v>
      </c>
      <c r="O3" s="51" t="s">
        <v>64</v>
      </c>
    </row>
    <row r="4" spans="1:15" s="75" customFormat="1" x14ac:dyDescent="0.3">
      <c r="A4" s="51" t="s">
        <v>63</v>
      </c>
      <c r="B4" s="50">
        <v>44011</v>
      </c>
      <c r="C4" s="47">
        <v>10000</v>
      </c>
      <c r="D4" s="47">
        <f t="shared" si="0"/>
        <v>37.630058891042161</v>
      </c>
      <c r="E4" s="49">
        <f>265.745</f>
        <v>265.745</v>
      </c>
      <c r="F4" s="37">
        <f>VLOOKUP("INF846K01859", [1]NAVAll!B$1:E$501244,4,FALSE)</f>
        <v>120.29</v>
      </c>
      <c r="G4" s="47">
        <f t="shared" si="1"/>
        <v>31966.466050000003</v>
      </c>
      <c r="H4" s="49">
        <f>0</f>
        <v>0</v>
      </c>
      <c r="I4" s="48">
        <f t="shared" si="2"/>
        <v>21966.466050000003</v>
      </c>
      <c r="J4" s="46">
        <f t="shared" si="3"/>
        <v>2.1966466050000002</v>
      </c>
      <c r="K4" s="47">
        <f t="shared" ca="1" si="4"/>
        <v>72.8</v>
      </c>
      <c r="L4" s="46">
        <f t="shared" ca="1" si="5"/>
        <v>0.36208460521978031</v>
      </c>
      <c r="M4" s="57"/>
      <c r="N4" s="47">
        <f t="shared" si="6"/>
        <v>-10000</v>
      </c>
      <c r="O4" s="51" t="s">
        <v>64</v>
      </c>
    </row>
    <row r="5" spans="1:15" s="75" customFormat="1" x14ac:dyDescent="0.3">
      <c r="A5" s="51" t="s">
        <v>63</v>
      </c>
      <c r="B5" s="50">
        <v>44039</v>
      </c>
      <c r="C5" s="47">
        <v>10000</v>
      </c>
      <c r="D5" s="47">
        <f t="shared" si="0"/>
        <v>38.441873964472023</v>
      </c>
      <c r="E5" s="49">
        <f>260.133</f>
        <v>260.13299999999998</v>
      </c>
      <c r="F5" s="37">
        <f>VLOOKUP("INF846K01859", [1]NAVAll!B$1:E$501244,4,FALSE)</f>
        <v>120.29</v>
      </c>
      <c r="G5" s="47">
        <f t="shared" si="1"/>
        <v>31291.398570000001</v>
      </c>
      <c r="H5" s="49">
        <f>0</f>
        <v>0</v>
      </c>
      <c r="I5" s="48">
        <f t="shared" si="2"/>
        <v>21291.398570000001</v>
      </c>
      <c r="J5" s="46">
        <f t="shared" si="3"/>
        <v>2.1291398570000002</v>
      </c>
      <c r="K5" s="47">
        <f t="shared" ca="1" si="4"/>
        <v>71.86666666666666</v>
      </c>
      <c r="L5" s="46">
        <f t="shared" ca="1" si="5"/>
        <v>0.35551500395176261</v>
      </c>
      <c r="M5" s="57"/>
      <c r="N5" s="47">
        <f t="shared" si="6"/>
        <v>-10000</v>
      </c>
      <c r="O5" s="51" t="s">
        <v>64</v>
      </c>
    </row>
    <row r="6" spans="1:15" s="75" customFormat="1" x14ac:dyDescent="0.3">
      <c r="A6" s="51" t="s">
        <v>63</v>
      </c>
      <c r="B6" s="50">
        <v>44070</v>
      </c>
      <c r="C6" s="47">
        <v>10000</v>
      </c>
      <c r="D6" s="47">
        <f t="shared" si="0"/>
        <v>42.332163554547108</v>
      </c>
      <c r="E6" s="49">
        <f>236.227</f>
        <v>236.227</v>
      </c>
      <c r="F6" s="37">
        <f>VLOOKUP("INF846K01859", [1]NAVAll!B$1:E$501244,4,FALSE)</f>
        <v>120.29</v>
      </c>
      <c r="G6" s="47">
        <f t="shared" si="1"/>
        <v>28415.745830000003</v>
      </c>
      <c r="H6" s="49">
        <f>0</f>
        <v>0</v>
      </c>
      <c r="I6" s="48">
        <f t="shared" si="2"/>
        <v>18415.745830000003</v>
      </c>
      <c r="J6" s="46">
        <f t="shared" si="3"/>
        <v>1.8415745830000003</v>
      </c>
      <c r="K6" s="47">
        <f t="shared" ca="1" si="4"/>
        <v>70.86666666666666</v>
      </c>
      <c r="L6" s="46">
        <f t="shared" ca="1" si="5"/>
        <v>0.31183765281279407</v>
      </c>
      <c r="M6" s="57"/>
      <c r="N6" s="47">
        <f t="shared" si="6"/>
        <v>-10000</v>
      </c>
      <c r="O6" s="51" t="s">
        <v>64</v>
      </c>
    </row>
    <row r="7" spans="1:15" s="75" customFormat="1" x14ac:dyDescent="0.3">
      <c r="A7" s="51" t="s">
        <v>63</v>
      </c>
      <c r="B7" s="50">
        <v>44102</v>
      </c>
      <c r="C7" s="47">
        <v>10000</v>
      </c>
      <c r="D7" s="47">
        <f t="shared" si="0"/>
        <v>41.992105484168981</v>
      </c>
      <c r="E7" s="49">
        <f>238.14</f>
        <v>238.14</v>
      </c>
      <c r="F7" s="37">
        <f>VLOOKUP("INF846K01859", [1]NAVAll!B$1:E$501244,4,FALSE)</f>
        <v>120.29</v>
      </c>
      <c r="G7" s="47">
        <f t="shared" si="1"/>
        <v>28645.8606</v>
      </c>
      <c r="H7" s="49">
        <f>0</f>
        <v>0</v>
      </c>
      <c r="I7" s="48">
        <f t="shared" si="2"/>
        <v>18645.8606</v>
      </c>
      <c r="J7" s="46">
        <f t="shared" si="3"/>
        <v>1.8645860599999999</v>
      </c>
      <c r="K7" s="47">
        <f t="shared" ca="1" si="4"/>
        <v>69.833333333333329</v>
      </c>
      <c r="L7" s="46">
        <f t="shared" ca="1" si="5"/>
        <v>0.32040619646778046</v>
      </c>
      <c r="M7" s="57"/>
      <c r="N7" s="47">
        <f t="shared" si="6"/>
        <v>-10000</v>
      </c>
      <c r="O7" s="51" t="s">
        <v>64</v>
      </c>
    </row>
    <row r="8" spans="1:15" s="75" customFormat="1" x14ac:dyDescent="0.3">
      <c r="A8" s="51" t="s">
        <v>63</v>
      </c>
      <c r="B8" s="50">
        <v>44131</v>
      </c>
      <c r="C8" s="47">
        <v>10000</v>
      </c>
      <c r="D8" s="47">
        <f t="shared" si="0"/>
        <v>43.012232678973902</v>
      </c>
      <c r="E8" s="49">
        <f>232.492</f>
        <v>232.49199999999999</v>
      </c>
      <c r="F8" s="37">
        <f>VLOOKUP("INF846K01859", [1]NAVAll!B$1:E$501244,4,FALSE)</f>
        <v>120.29</v>
      </c>
      <c r="G8" s="47">
        <f t="shared" si="1"/>
        <v>27966.462680000001</v>
      </c>
      <c r="H8" s="49">
        <f>0</f>
        <v>0</v>
      </c>
      <c r="I8" s="48">
        <f t="shared" si="2"/>
        <v>17966.462680000001</v>
      </c>
      <c r="J8" s="46">
        <f t="shared" si="3"/>
        <v>1.7966462680000002</v>
      </c>
      <c r="K8" s="47">
        <f t="shared" ca="1" si="4"/>
        <v>68.86666666666666</v>
      </c>
      <c r="L8" s="46">
        <f t="shared" ca="1" si="5"/>
        <v>0.31306517738625372</v>
      </c>
      <c r="M8" s="57"/>
      <c r="N8" s="47">
        <f t="shared" si="6"/>
        <v>-10000</v>
      </c>
      <c r="O8" s="51" t="s">
        <v>64</v>
      </c>
    </row>
    <row r="9" spans="1:15" s="75" customFormat="1" x14ac:dyDescent="0.3">
      <c r="A9" s="51" t="s">
        <v>63</v>
      </c>
      <c r="B9" s="50">
        <v>44162</v>
      </c>
      <c r="C9" s="47">
        <v>10000</v>
      </c>
      <c r="D9" s="47">
        <f t="shared" si="0"/>
        <v>47.672395299501829</v>
      </c>
      <c r="E9" s="49">
        <f>209.765</f>
        <v>209.76499999999999</v>
      </c>
      <c r="F9" s="37">
        <f>VLOOKUP("INF846K01859", [1]NAVAll!B$1:E$501244,4,FALSE)</f>
        <v>120.29</v>
      </c>
      <c r="G9" s="47">
        <f t="shared" si="1"/>
        <v>25232.631849999998</v>
      </c>
      <c r="H9" s="49">
        <f>0</f>
        <v>0</v>
      </c>
      <c r="I9" s="48">
        <f t="shared" si="2"/>
        <v>15232.631849999998</v>
      </c>
      <c r="J9" s="46">
        <f t="shared" si="3"/>
        <v>1.5232631849999998</v>
      </c>
      <c r="K9" s="47">
        <f t="shared" ca="1" si="4"/>
        <v>67.86666666666666</v>
      </c>
      <c r="L9" s="46">
        <f t="shared" ca="1" si="5"/>
        <v>0.26933926650294698</v>
      </c>
      <c r="M9" s="57"/>
      <c r="N9" s="47">
        <f t="shared" si="6"/>
        <v>-10000</v>
      </c>
      <c r="O9" s="51" t="s">
        <v>64</v>
      </c>
    </row>
    <row r="10" spans="1:15" s="75" customFormat="1" x14ac:dyDescent="0.3">
      <c r="A10" s="51" t="s">
        <v>63</v>
      </c>
      <c r="B10" s="50">
        <v>44193</v>
      </c>
      <c r="C10" s="47">
        <v>10000</v>
      </c>
      <c r="D10" s="47">
        <f t="shared" si="0"/>
        <v>49.602436471679489</v>
      </c>
      <c r="E10" s="49">
        <f>201.603</f>
        <v>201.60300000000001</v>
      </c>
      <c r="F10" s="37">
        <f>VLOOKUP("INF846K01859", [1]NAVAll!B$1:E$501244,4,FALSE)</f>
        <v>120.29</v>
      </c>
      <c r="G10" s="47">
        <f t="shared" si="1"/>
        <v>24250.824870000004</v>
      </c>
      <c r="H10" s="49">
        <f>0</f>
        <v>0</v>
      </c>
      <c r="I10" s="48">
        <f t="shared" si="2"/>
        <v>14250.824870000004</v>
      </c>
      <c r="J10" s="46">
        <f t="shared" si="3"/>
        <v>1.4250824870000005</v>
      </c>
      <c r="K10" s="47">
        <f t="shared" ca="1" si="4"/>
        <v>66.833333333333329</v>
      </c>
      <c r="L10" s="46">
        <f t="shared" ca="1" si="5"/>
        <v>0.2558751597605986</v>
      </c>
      <c r="M10" s="57"/>
      <c r="N10" s="47">
        <f t="shared" si="6"/>
        <v>-10000</v>
      </c>
      <c r="O10" s="51" t="s">
        <v>64</v>
      </c>
    </row>
    <row r="11" spans="1:15" s="75" customFormat="1" x14ac:dyDescent="0.3">
      <c r="A11" s="51" t="s">
        <v>63</v>
      </c>
      <c r="B11" s="50">
        <v>44223</v>
      </c>
      <c r="C11" s="47">
        <v>10000</v>
      </c>
      <c r="D11" s="47">
        <f t="shared" si="0"/>
        <v>49.692404019121639</v>
      </c>
      <c r="E11" s="49">
        <f>201.238</f>
        <v>201.238</v>
      </c>
      <c r="F11" s="37">
        <f>VLOOKUP("INF846K01859", [1]NAVAll!B$1:E$501244,4,FALSE)</f>
        <v>120.29</v>
      </c>
      <c r="G11" s="47">
        <f t="shared" si="1"/>
        <v>24206.919020000001</v>
      </c>
      <c r="H11" s="49">
        <f>0</f>
        <v>0</v>
      </c>
      <c r="I11" s="48">
        <f t="shared" si="2"/>
        <v>14206.919020000001</v>
      </c>
      <c r="J11" s="46">
        <f t="shared" si="3"/>
        <v>1.4206919020000002</v>
      </c>
      <c r="K11" s="47">
        <f t="shared" ca="1" si="4"/>
        <v>65.86666666666666</v>
      </c>
      <c r="L11" s="46">
        <f t="shared" ca="1" si="5"/>
        <v>0.25883050846153854</v>
      </c>
      <c r="M11" s="57"/>
      <c r="N11" s="47">
        <f t="shared" si="6"/>
        <v>-10000</v>
      </c>
      <c r="O11" s="51" t="s">
        <v>64</v>
      </c>
    </row>
    <row r="12" spans="1:15" s="75" customFormat="1" x14ac:dyDescent="0.3">
      <c r="A12" s="51" t="s">
        <v>63</v>
      </c>
      <c r="B12" s="50">
        <v>44256</v>
      </c>
      <c r="C12" s="47">
        <v>10000</v>
      </c>
      <c r="D12" s="47">
        <f t="shared" si="0"/>
        <v>54.04266127681192</v>
      </c>
      <c r="E12" s="49">
        <f>185.039</f>
        <v>185.03899999999999</v>
      </c>
      <c r="F12" s="37">
        <f>VLOOKUP("INF846K01859", [1]NAVAll!B$1:E$501244,4,FALSE)</f>
        <v>120.29</v>
      </c>
      <c r="G12" s="47">
        <f t="shared" si="1"/>
        <v>22258.34131</v>
      </c>
      <c r="H12" s="49">
        <f>0</f>
        <v>0</v>
      </c>
      <c r="I12" s="48">
        <f t="shared" si="2"/>
        <v>12258.34131</v>
      </c>
      <c r="J12" s="46">
        <f t="shared" si="3"/>
        <v>1.225834131</v>
      </c>
      <c r="K12" s="47">
        <f t="shared" ca="1" si="4"/>
        <v>64.733333333333334</v>
      </c>
      <c r="L12" s="46">
        <f t="shared" ca="1" si="5"/>
        <v>0.22724010667353245</v>
      </c>
      <c r="M12" s="57"/>
      <c r="N12" s="47">
        <f t="shared" si="6"/>
        <v>-10000</v>
      </c>
      <c r="O12" s="51" t="s">
        <v>64</v>
      </c>
    </row>
    <row r="13" spans="1:15" s="75" customFormat="1" x14ac:dyDescent="0.3">
      <c r="A13" s="51" t="s">
        <v>63</v>
      </c>
      <c r="B13" s="50">
        <v>44285</v>
      </c>
      <c r="C13" s="47">
        <v>10000</v>
      </c>
      <c r="D13" s="47">
        <f t="shared" si="0"/>
        <v>54.432729311480408</v>
      </c>
      <c r="E13" s="49">
        <f>183.713</f>
        <v>183.71299999999999</v>
      </c>
      <c r="F13" s="37">
        <f>VLOOKUP("INF846K01859", [1]NAVAll!B$1:E$501244,4,FALSE)</f>
        <v>120.29</v>
      </c>
      <c r="G13" s="47">
        <f t="shared" si="1"/>
        <v>22098.836770000002</v>
      </c>
      <c r="H13" s="49">
        <f>0</f>
        <v>0</v>
      </c>
      <c r="I13" s="48">
        <f t="shared" si="2"/>
        <v>12098.836770000002</v>
      </c>
      <c r="J13" s="46">
        <f t="shared" si="3"/>
        <v>1.2098836770000001</v>
      </c>
      <c r="K13" s="47">
        <f t="shared" ca="1" si="4"/>
        <v>63.766666666666666</v>
      </c>
      <c r="L13" s="46">
        <f t="shared" ca="1" si="5"/>
        <v>0.22768328474647154</v>
      </c>
      <c r="M13" s="57"/>
      <c r="N13" s="47">
        <f t="shared" si="6"/>
        <v>-10000</v>
      </c>
      <c r="O13" s="51" t="s">
        <v>64</v>
      </c>
    </row>
    <row r="14" spans="1:15" s="75" customFormat="1" x14ac:dyDescent="0.3">
      <c r="A14" s="51" t="s">
        <v>63</v>
      </c>
      <c r="B14" s="50">
        <v>44313</v>
      </c>
      <c r="C14" s="47">
        <v>10000</v>
      </c>
      <c r="D14" s="47">
        <f t="shared" si="0"/>
        <v>54.932680000659197</v>
      </c>
      <c r="E14" s="49">
        <f>182.041</f>
        <v>182.041</v>
      </c>
      <c r="F14" s="37">
        <f>VLOOKUP("INF846K01859", [1]NAVAll!B$1:E$501244,4,FALSE)</f>
        <v>120.29</v>
      </c>
      <c r="G14" s="47">
        <f t="shared" si="1"/>
        <v>21897.711890000002</v>
      </c>
      <c r="H14" s="49">
        <f>0</f>
        <v>0</v>
      </c>
      <c r="I14" s="48">
        <f t="shared" si="2"/>
        <v>11897.711890000002</v>
      </c>
      <c r="J14" s="46">
        <f t="shared" si="3"/>
        <v>1.1897711890000002</v>
      </c>
      <c r="K14" s="47">
        <f t="shared" ca="1" si="4"/>
        <v>62.866666666666667</v>
      </c>
      <c r="L14" s="46">
        <f t="shared" ca="1" si="5"/>
        <v>0.22710372642629911</v>
      </c>
      <c r="M14" s="57"/>
      <c r="N14" s="47">
        <f t="shared" si="6"/>
        <v>-10000</v>
      </c>
      <c r="O14" s="51" t="s">
        <v>64</v>
      </c>
    </row>
    <row r="15" spans="1:15" s="75" customFormat="1" x14ac:dyDescent="0.3">
      <c r="A15" s="51" t="s">
        <v>63</v>
      </c>
      <c r="B15" s="50">
        <v>44343</v>
      </c>
      <c r="C15" s="47">
        <v>10000</v>
      </c>
      <c r="D15" s="47">
        <f t="shared" si="0"/>
        <v>57.782759935745567</v>
      </c>
      <c r="E15" s="49">
        <f>173.062</f>
        <v>173.06200000000001</v>
      </c>
      <c r="F15" s="37">
        <f>VLOOKUP("INF846K01859", [1]NAVAll!B$1:E$501244,4,FALSE)</f>
        <v>120.29</v>
      </c>
      <c r="G15" s="47">
        <f t="shared" si="1"/>
        <v>20817.627980000001</v>
      </c>
      <c r="H15" s="49">
        <f>0</f>
        <v>0</v>
      </c>
      <c r="I15" s="48">
        <f t="shared" si="2"/>
        <v>10817.627980000001</v>
      </c>
      <c r="J15" s="46">
        <f t="shared" si="3"/>
        <v>1.0817627980000002</v>
      </c>
      <c r="K15" s="47">
        <f t="shared" ca="1" si="4"/>
        <v>61.866666666666667</v>
      </c>
      <c r="L15" s="46">
        <f t="shared" ca="1" si="5"/>
        <v>0.20982468064655177</v>
      </c>
      <c r="M15" s="57"/>
      <c r="N15" s="47">
        <f t="shared" si="6"/>
        <v>-10000</v>
      </c>
      <c r="O15" s="51" t="s">
        <v>64</v>
      </c>
    </row>
    <row r="16" spans="1:15" s="75" customFormat="1" x14ac:dyDescent="0.3">
      <c r="A16" s="51" t="s">
        <v>63</v>
      </c>
      <c r="B16" s="50">
        <v>44375</v>
      </c>
      <c r="C16" s="47">
        <v>10000</v>
      </c>
      <c r="D16" s="47">
        <f t="shared" si="0"/>
        <v>60.803210409509617</v>
      </c>
      <c r="E16" s="49">
        <f>164.465</f>
        <v>164.465</v>
      </c>
      <c r="F16" s="37">
        <f>VLOOKUP("INF846K01859", [1]NAVAll!B$1:E$501244,4,FALSE)</f>
        <v>120.29</v>
      </c>
      <c r="G16" s="47">
        <f t="shared" si="1"/>
        <v>19783.494850000003</v>
      </c>
      <c r="H16" s="49">
        <f>0</f>
        <v>0</v>
      </c>
      <c r="I16" s="48">
        <f t="shared" si="2"/>
        <v>9783.4948500000028</v>
      </c>
      <c r="J16" s="46">
        <f t="shared" si="3"/>
        <v>0.9783494850000003</v>
      </c>
      <c r="K16" s="47">
        <f t="shared" ca="1" si="4"/>
        <v>60.833333333333336</v>
      </c>
      <c r="L16" s="46">
        <f t="shared" ca="1" si="5"/>
        <v>0.19298948745205485</v>
      </c>
      <c r="M16" s="57"/>
      <c r="N16" s="47">
        <f t="shared" si="6"/>
        <v>-10000</v>
      </c>
      <c r="O16" s="51" t="s">
        <v>64</v>
      </c>
    </row>
    <row r="17" spans="1:15" s="75" customFormat="1" x14ac:dyDescent="0.3">
      <c r="A17" s="51" t="s">
        <v>63</v>
      </c>
      <c r="B17" s="50">
        <v>44404</v>
      </c>
      <c r="C17" s="47">
        <v>10000</v>
      </c>
      <c r="D17" s="47">
        <f t="shared" si="0"/>
        <v>62.823146560118616</v>
      </c>
      <c r="E17" s="49">
        <f>159.177</f>
        <v>159.17699999999999</v>
      </c>
      <c r="F17" s="37">
        <f>VLOOKUP("INF846K01859", [1]NAVAll!B$1:E$501244,4,FALSE)</f>
        <v>120.29</v>
      </c>
      <c r="G17" s="47">
        <f t="shared" si="1"/>
        <v>19147.401330000001</v>
      </c>
      <c r="H17" s="49">
        <f>0</f>
        <v>0</v>
      </c>
      <c r="I17" s="48">
        <f t="shared" si="2"/>
        <v>9147.4013300000006</v>
      </c>
      <c r="J17" s="46">
        <f t="shared" si="3"/>
        <v>0.91474013300000001</v>
      </c>
      <c r="K17" s="47">
        <f t="shared" ca="1" si="4"/>
        <v>59.866666666666667</v>
      </c>
      <c r="L17" s="46">
        <f t="shared" ca="1" si="5"/>
        <v>0.18335548322939865</v>
      </c>
      <c r="M17" s="57"/>
      <c r="N17" s="47">
        <f t="shared" si="6"/>
        <v>-10000</v>
      </c>
      <c r="O17" s="51" t="s">
        <v>64</v>
      </c>
    </row>
    <row r="18" spans="1:15" s="75" customFormat="1" x14ac:dyDescent="0.3">
      <c r="A18" s="51" t="s">
        <v>63</v>
      </c>
      <c r="B18" s="50">
        <v>44435</v>
      </c>
      <c r="C18" s="47">
        <v>10000</v>
      </c>
      <c r="D18" s="47">
        <f t="shared" si="0"/>
        <v>65.663330969453412</v>
      </c>
      <c r="E18" s="49">
        <f>152.292</f>
        <v>152.292</v>
      </c>
      <c r="F18" s="37">
        <f>VLOOKUP("INF846K01859", [1]NAVAll!B$1:E$501244,4,FALSE)</f>
        <v>120.29</v>
      </c>
      <c r="G18" s="47">
        <f t="shared" si="1"/>
        <v>18319.204680000003</v>
      </c>
      <c r="H18" s="49">
        <f>0</f>
        <v>0</v>
      </c>
      <c r="I18" s="48">
        <f t="shared" si="2"/>
        <v>8319.2046800000026</v>
      </c>
      <c r="J18" s="46">
        <f t="shared" si="3"/>
        <v>0.8319204680000003</v>
      </c>
      <c r="K18" s="47">
        <f t="shared" ca="1" si="4"/>
        <v>58.866666666666667</v>
      </c>
      <c r="L18" s="46">
        <f t="shared" ca="1" si="5"/>
        <v>0.16958741137032848</v>
      </c>
      <c r="M18" s="57"/>
      <c r="N18" s="47">
        <f t="shared" si="6"/>
        <v>-10000</v>
      </c>
      <c r="O18" s="51" t="s">
        <v>64</v>
      </c>
    </row>
    <row r="19" spans="1:15" s="75" customFormat="1" x14ac:dyDescent="0.3">
      <c r="A19" s="51" t="s">
        <v>63</v>
      </c>
      <c r="B19" s="50">
        <v>44466</v>
      </c>
      <c r="C19" s="47">
        <v>10000</v>
      </c>
      <c r="D19" s="47">
        <f t="shared" si="0"/>
        <v>69.243446107825889</v>
      </c>
      <c r="E19" s="49">
        <f>144.418</f>
        <v>144.41800000000001</v>
      </c>
      <c r="F19" s="37">
        <f>VLOOKUP("INF846K01859", [1]NAVAll!B$1:E$501244,4,FALSE)</f>
        <v>120.29</v>
      </c>
      <c r="G19" s="47">
        <f t="shared" si="1"/>
        <v>17372.041220000003</v>
      </c>
      <c r="H19" s="49">
        <f>0</f>
        <v>0</v>
      </c>
      <c r="I19" s="48">
        <f t="shared" si="2"/>
        <v>7372.0412200000028</v>
      </c>
      <c r="J19" s="46">
        <f t="shared" si="3"/>
        <v>0.73720412200000029</v>
      </c>
      <c r="K19" s="47">
        <f t="shared" ca="1" si="4"/>
        <v>57.866666666666667</v>
      </c>
      <c r="L19" s="46">
        <f t="shared" ca="1" si="5"/>
        <v>0.15287643082949312</v>
      </c>
      <c r="M19" s="57"/>
      <c r="N19" s="47">
        <f t="shared" si="6"/>
        <v>-10000</v>
      </c>
      <c r="O19" s="51" t="s">
        <v>64</v>
      </c>
    </row>
    <row r="20" spans="1:15" s="75" customFormat="1" x14ac:dyDescent="0.3">
      <c r="A20" s="51" t="s">
        <v>63</v>
      </c>
      <c r="B20" s="50">
        <v>44496</v>
      </c>
      <c r="C20" s="47">
        <v>10000</v>
      </c>
      <c r="D20" s="47">
        <f t="shared" si="0"/>
        <v>70.293334083128897</v>
      </c>
      <c r="E20" s="49">
        <f>142.261</f>
        <v>142.261</v>
      </c>
      <c r="F20" s="37">
        <f>VLOOKUP("INF846K01859", [1]NAVAll!B$1:E$501244,4,FALSE)</f>
        <v>120.29</v>
      </c>
      <c r="G20" s="47">
        <f t="shared" si="1"/>
        <v>17112.575690000001</v>
      </c>
      <c r="H20" s="49">
        <f>0</f>
        <v>0</v>
      </c>
      <c r="I20" s="48">
        <f t="shared" si="2"/>
        <v>7112.5756900000015</v>
      </c>
      <c r="J20" s="46">
        <f t="shared" si="3"/>
        <v>0.71125756900000014</v>
      </c>
      <c r="K20" s="47">
        <f t="shared" ca="1" si="4"/>
        <v>56.866666666666667</v>
      </c>
      <c r="L20" s="46">
        <f t="shared" ca="1" si="5"/>
        <v>0.15008952218053928</v>
      </c>
      <c r="M20" s="57"/>
      <c r="N20" s="47">
        <f t="shared" si="6"/>
        <v>-10000</v>
      </c>
      <c r="O20" s="51" t="s">
        <v>64</v>
      </c>
    </row>
    <row r="21" spans="1:15" s="75" customFormat="1" x14ac:dyDescent="0.3">
      <c r="A21" s="51" t="s">
        <v>63</v>
      </c>
      <c r="B21" s="50">
        <v>44529</v>
      </c>
      <c r="C21" s="47">
        <v>10000</v>
      </c>
      <c r="D21" s="47">
        <f t="shared" si="0"/>
        <v>68.403195797307646</v>
      </c>
      <c r="E21" s="49">
        <f>146.192</f>
        <v>146.19200000000001</v>
      </c>
      <c r="F21" s="37">
        <f>VLOOKUP("INF846K01859", [1]NAVAll!B$1:E$501244,4,FALSE)</f>
        <v>120.29</v>
      </c>
      <c r="G21" s="47">
        <f t="shared" si="1"/>
        <v>17585.435680000002</v>
      </c>
      <c r="H21" s="49">
        <f>0</f>
        <v>0</v>
      </c>
      <c r="I21" s="48">
        <f t="shared" si="2"/>
        <v>7585.4356800000023</v>
      </c>
      <c r="J21" s="46">
        <f t="shared" si="3"/>
        <v>0.75854356800000022</v>
      </c>
      <c r="K21" s="47">
        <f t="shared" ca="1" si="4"/>
        <v>55.8</v>
      </c>
      <c r="L21" s="46">
        <f t="shared" ca="1" si="5"/>
        <v>0.16312764903225813</v>
      </c>
      <c r="M21" s="57"/>
      <c r="N21" s="47">
        <f t="shared" si="6"/>
        <v>-10000</v>
      </c>
      <c r="O21" s="51" t="s">
        <v>64</v>
      </c>
    </row>
    <row r="22" spans="1:15" s="75" customFormat="1" x14ac:dyDescent="0.3">
      <c r="A22" s="51" t="s">
        <v>63</v>
      </c>
      <c r="B22" s="50">
        <v>44557</v>
      </c>
      <c r="C22" s="47">
        <v>10000</v>
      </c>
      <c r="D22" s="47">
        <f t="shared" si="0"/>
        <v>68.22352756571631</v>
      </c>
      <c r="E22" s="49">
        <f>146.577</f>
        <v>146.577</v>
      </c>
      <c r="F22" s="37">
        <f>VLOOKUP("INF846K01859", [1]NAVAll!B$1:E$501244,4,FALSE)</f>
        <v>120.29</v>
      </c>
      <c r="G22" s="47">
        <f t="shared" si="1"/>
        <v>17631.747330000002</v>
      </c>
      <c r="H22" s="49">
        <f>0</f>
        <v>0</v>
      </c>
      <c r="I22" s="48">
        <f t="shared" si="2"/>
        <v>7631.747330000002</v>
      </c>
      <c r="J22" s="46">
        <f t="shared" si="3"/>
        <v>0.76317473300000016</v>
      </c>
      <c r="K22" s="47">
        <f t="shared" ca="1" si="4"/>
        <v>54.866666666666667</v>
      </c>
      <c r="L22" s="46">
        <f t="shared" ca="1" si="5"/>
        <v>0.16691549445929529</v>
      </c>
      <c r="M22" s="57"/>
      <c r="N22" s="47">
        <f t="shared" si="6"/>
        <v>-10000</v>
      </c>
      <c r="O22" s="51" t="s">
        <v>64</v>
      </c>
    </row>
    <row r="23" spans="1:15" s="75" customFormat="1" x14ac:dyDescent="0.3">
      <c r="A23" s="51" t="s">
        <v>63</v>
      </c>
      <c r="B23" s="50">
        <v>44588</v>
      </c>
      <c r="C23" s="47">
        <v>10000</v>
      </c>
      <c r="D23" s="47">
        <f t="shared" si="0"/>
        <v>65.933486299021538</v>
      </c>
      <c r="E23" s="49">
        <f>151.668</f>
        <v>151.66800000000001</v>
      </c>
      <c r="F23" s="37">
        <f>VLOOKUP("INF846K01859", [1]NAVAll!B$1:E$501244,4,FALSE)</f>
        <v>120.29</v>
      </c>
      <c r="G23" s="47">
        <f t="shared" si="1"/>
        <v>18244.14372</v>
      </c>
      <c r="H23" s="49">
        <f>0</f>
        <v>0</v>
      </c>
      <c r="I23" s="48">
        <f t="shared" si="2"/>
        <v>8244.14372</v>
      </c>
      <c r="J23" s="46">
        <f t="shared" si="3"/>
        <v>0.82441437200000001</v>
      </c>
      <c r="K23" s="47">
        <f t="shared" ca="1" si="4"/>
        <v>53.866666666666667</v>
      </c>
      <c r="L23" s="46">
        <f t="shared" ca="1" si="5"/>
        <v>0.18365666702970296</v>
      </c>
      <c r="M23" s="57"/>
      <c r="N23" s="47">
        <f t="shared" si="6"/>
        <v>-10000</v>
      </c>
      <c r="O23" s="51" t="s">
        <v>64</v>
      </c>
    </row>
    <row r="24" spans="1:15" s="75" customFormat="1" x14ac:dyDescent="0.3">
      <c r="A24" s="51" t="s">
        <v>63</v>
      </c>
      <c r="B24" s="50">
        <v>44620</v>
      </c>
      <c r="C24" s="47">
        <v>10000</v>
      </c>
      <c r="D24" s="47">
        <f t="shared" si="0"/>
        <v>65.113068844047689</v>
      </c>
      <c r="E24" s="49">
        <f>153.579</f>
        <v>153.57900000000001</v>
      </c>
      <c r="F24" s="37">
        <f>VLOOKUP("INF846K01859", [1]NAVAll!B$1:E$501244,4,FALSE)</f>
        <v>120.29</v>
      </c>
      <c r="G24" s="47">
        <f t="shared" si="1"/>
        <v>18474.017910000002</v>
      </c>
      <c r="H24" s="49">
        <f>0</f>
        <v>0</v>
      </c>
      <c r="I24" s="48">
        <f t="shared" si="2"/>
        <v>8474.0179100000023</v>
      </c>
      <c r="J24" s="46">
        <f t="shared" si="3"/>
        <v>0.84740179100000024</v>
      </c>
      <c r="K24" s="47">
        <f t="shared" ca="1" si="4"/>
        <v>52.833333333333336</v>
      </c>
      <c r="L24" s="46">
        <f t="shared" ca="1" si="5"/>
        <v>0.19246980741955841</v>
      </c>
      <c r="M24" s="57"/>
      <c r="N24" s="47">
        <f t="shared" si="6"/>
        <v>-10000</v>
      </c>
      <c r="O24" s="51" t="s">
        <v>64</v>
      </c>
    </row>
    <row r="25" spans="1:15" s="75" customFormat="1" x14ac:dyDescent="0.3">
      <c r="A25" s="51" t="s">
        <v>63</v>
      </c>
      <c r="B25" s="50">
        <v>44647</v>
      </c>
      <c r="C25" s="47">
        <v>10000</v>
      </c>
      <c r="D25" s="47">
        <f t="shared" si="0"/>
        <v>66.213326094009687</v>
      </c>
      <c r="E25" s="49">
        <f>151.027</f>
        <v>151.02699999999999</v>
      </c>
      <c r="F25" s="37">
        <f>VLOOKUP("INF846K01859", [1]NAVAll!B$1:E$501244,4,FALSE)</f>
        <v>120.29</v>
      </c>
      <c r="G25" s="47">
        <f t="shared" si="1"/>
        <v>18167.037830000001</v>
      </c>
      <c r="H25" s="49">
        <f>0</f>
        <v>0</v>
      </c>
      <c r="I25" s="48">
        <f t="shared" si="2"/>
        <v>8167.0378300000011</v>
      </c>
      <c r="J25" s="46">
        <f t="shared" si="3"/>
        <v>0.81670378300000013</v>
      </c>
      <c r="K25" s="47">
        <f t="shared" ca="1" si="4"/>
        <v>51.866666666666667</v>
      </c>
      <c r="L25" s="46">
        <f t="shared" ca="1" si="5"/>
        <v>0.18895460275064269</v>
      </c>
      <c r="M25" s="57"/>
      <c r="N25" s="47">
        <f t="shared" si="6"/>
        <v>-10000</v>
      </c>
      <c r="O25" s="51" t="s">
        <v>64</v>
      </c>
    </row>
    <row r="26" spans="1:15" s="75" customFormat="1" x14ac:dyDescent="0.3">
      <c r="A26" s="51" t="s">
        <v>63</v>
      </c>
      <c r="B26" s="50">
        <v>44678</v>
      </c>
      <c r="C26" s="47">
        <v>10000</v>
      </c>
      <c r="D26" s="47">
        <f t="shared" si="0"/>
        <v>65.753136424607447</v>
      </c>
      <c r="E26" s="49">
        <f>152.084</f>
        <v>152.084</v>
      </c>
      <c r="F26" s="37">
        <f>VLOOKUP("INF846K01859", [1]NAVAll!B$1:E$501244,4,FALSE)</f>
        <v>120.29</v>
      </c>
      <c r="G26" s="47">
        <f t="shared" si="1"/>
        <v>18294.184360000003</v>
      </c>
      <c r="H26" s="49">
        <f>0</f>
        <v>0</v>
      </c>
      <c r="I26" s="48">
        <f t="shared" si="2"/>
        <v>8294.1843600000029</v>
      </c>
      <c r="J26" s="46">
        <f t="shared" si="3"/>
        <v>0.82941843600000031</v>
      </c>
      <c r="K26" s="47">
        <f t="shared" ca="1" si="4"/>
        <v>50.866666666666667</v>
      </c>
      <c r="L26" s="46">
        <f t="shared" ca="1" si="5"/>
        <v>0.19566883155963311</v>
      </c>
      <c r="M26" s="57"/>
      <c r="N26" s="47">
        <f t="shared" si="6"/>
        <v>-10000</v>
      </c>
      <c r="O26" s="51" t="s">
        <v>64</v>
      </c>
    </row>
    <row r="27" spans="1:15" s="75" customFormat="1" x14ac:dyDescent="0.3">
      <c r="A27" s="51" t="s">
        <v>63</v>
      </c>
      <c r="B27" s="50">
        <v>44708</v>
      </c>
      <c r="C27" s="47">
        <v>10000</v>
      </c>
      <c r="D27" s="47">
        <f t="shared" si="0"/>
        <v>61.193143920155187</v>
      </c>
      <c r="E27" s="49">
        <f>163.417</f>
        <v>163.417</v>
      </c>
      <c r="F27" s="37">
        <f>VLOOKUP("INF846K01859", [1]NAVAll!B$1:E$501244,4,FALSE)</f>
        <v>120.29</v>
      </c>
      <c r="G27" s="47">
        <f t="shared" si="1"/>
        <v>19657.430930000002</v>
      </c>
      <c r="H27" s="49">
        <f>0</f>
        <v>0</v>
      </c>
      <c r="I27" s="48">
        <f t="shared" si="2"/>
        <v>9657.4309300000023</v>
      </c>
      <c r="J27" s="46">
        <f t="shared" si="3"/>
        <v>0.96574309300000027</v>
      </c>
      <c r="K27" s="47">
        <f t="shared" ca="1" si="4"/>
        <v>49.866666666666667</v>
      </c>
      <c r="L27" s="46">
        <f t="shared" ca="1" si="5"/>
        <v>0.23239807050802144</v>
      </c>
      <c r="M27" s="57"/>
      <c r="N27" s="47">
        <f t="shared" si="6"/>
        <v>-10000</v>
      </c>
      <c r="O27" s="51" t="s">
        <v>64</v>
      </c>
    </row>
    <row r="28" spans="1:15" s="75" customFormat="1" x14ac:dyDescent="0.3">
      <c r="A28" s="51" t="s">
        <v>63</v>
      </c>
      <c r="B28" s="50">
        <v>44739</v>
      </c>
      <c r="C28" s="47">
        <v>10000</v>
      </c>
      <c r="D28" s="47">
        <f t="shared" si="0"/>
        <v>60.092903629010451</v>
      </c>
      <c r="E28" s="49">
        <f>166.409</f>
        <v>166.40899999999999</v>
      </c>
      <c r="F28" s="37">
        <f>VLOOKUP("INF846K01859", [1]NAVAll!B$1:E$501244,4,FALSE)</f>
        <v>120.29</v>
      </c>
      <c r="G28" s="47">
        <f t="shared" si="1"/>
        <v>20017.338609999999</v>
      </c>
      <c r="H28" s="49">
        <f>0</f>
        <v>0</v>
      </c>
      <c r="I28" s="48">
        <f t="shared" si="2"/>
        <v>10017.338609999999</v>
      </c>
      <c r="J28" s="46">
        <f t="shared" si="3"/>
        <v>1.0017338609999999</v>
      </c>
      <c r="K28" s="47">
        <f t="shared" ca="1" si="4"/>
        <v>48.866666666666667</v>
      </c>
      <c r="L28" s="46">
        <f t="shared" ca="1" si="5"/>
        <v>0.24599194403819916</v>
      </c>
      <c r="M28" s="57"/>
      <c r="N28" s="47">
        <f t="shared" si="6"/>
        <v>-10000</v>
      </c>
      <c r="O28" s="51" t="s">
        <v>64</v>
      </c>
    </row>
    <row r="29" spans="1:15" s="75" customFormat="1" x14ac:dyDescent="0.3">
      <c r="A29" s="51" t="s">
        <v>63</v>
      </c>
      <c r="B29" s="50">
        <v>44769</v>
      </c>
      <c r="C29" s="47">
        <v>10000</v>
      </c>
      <c r="D29" s="47">
        <f t="shared" si="0"/>
        <v>64.653361004971842</v>
      </c>
      <c r="E29" s="49">
        <f>154.671</f>
        <v>154.67099999999999</v>
      </c>
      <c r="F29" s="37">
        <f>VLOOKUP("INF846K01859", [1]NAVAll!B$1:E$501244,4,FALSE)</f>
        <v>120.29</v>
      </c>
      <c r="G29" s="47">
        <f t="shared" si="1"/>
        <v>18605.374589999999</v>
      </c>
      <c r="H29" s="49">
        <f>0</f>
        <v>0</v>
      </c>
      <c r="I29" s="48">
        <f t="shared" si="2"/>
        <v>8605.3745899999994</v>
      </c>
      <c r="J29" s="46">
        <f t="shared" si="3"/>
        <v>0.86053745899999989</v>
      </c>
      <c r="K29" s="47">
        <f t="shared" ca="1" si="4"/>
        <v>47.866666666666667</v>
      </c>
      <c r="L29" s="46">
        <f t="shared" ca="1" si="5"/>
        <v>0.21573362481894148</v>
      </c>
      <c r="M29" s="57"/>
      <c r="N29" s="47">
        <f t="shared" si="6"/>
        <v>-10000</v>
      </c>
      <c r="O29" s="51" t="s">
        <v>64</v>
      </c>
    </row>
    <row r="30" spans="1:15" s="75" customFormat="1" x14ac:dyDescent="0.3">
      <c r="A30" s="51" t="s">
        <v>63</v>
      </c>
      <c r="B30" s="50">
        <v>44802</v>
      </c>
      <c r="C30" s="47">
        <v>10000</v>
      </c>
      <c r="D30" s="47">
        <f t="shared" si="0"/>
        <v>67.87345672727767</v>
      </c>
      <c r="E30" s="49">
        <f>147.333</f>
        <v>147.333</v>
      </c>
      <c r="F30" s="37">
        <f>VLOOKUP("INF846K01859", [1]NAVAll!B$1:E$501244,4,FALSE)</f>
        <v>120.29</v>
      </c>
      <c r="G30" s="47">
        <f t="shared" si="1"/>
        <v>17722.686570000002</v>
      </c>
      <c r="H30" s="49">
        <f>0</f>
        <v>0</v>
      </c>
      <c r="I30" s="48">
        <f t="shared" si="2"/>
        <v>7722.6865700000017</v>
      </c>
      <c r="J30" s="46">
        <f t="shared" si="3"/>
        <v>0.77226865700000014</v>
      </c>
      <c r="K30" s="47">
        <f t="shared" ca="1" si="4"/>
        <v>46.8</v>
      </c>
      <c r="L30" s="46">
        <f t="shared" ca="1" si="5"/>
        <v>0.19801760435897442</v>
      </c>
      <c r="M30" s="57"/>
      <c r="N30" s="47">
        <f t="shared" si="6"/>
        <v>-10000</v>
      </c>
      <c r="O30" s="51" t="s">
        <v>64</v>
      </c>
    </row>
    <row r="31" spans="1:15" s="75" customFormat="1" x14ac:dyDescent="0.3">
      <c r="A31" s="51" t="s">
        <v>63</v>
      </c>
      <c r="B31" s="50">
        <v>44831</v>
      </c>
      <c r="C31" s="47">
        <v>10000</v>
      </c>
      <c r="D31" s="47">
        <f t="shared" si="0"/>
        <v>67.413155003067303</v>
      </c>
      <c r="E31" s="49">
        <f>148.339</f>
        <v>148.339</v>
      </c>
      <c r="F31" s="37">
        <f>VLOOKUP("INF846K01859", [1]NAVAll!B$1:E$501244,4,FALSE)</f>
        <v>120.29</v>
      </c>
      <c r="G31" s="47">
        <f t="shared" si="1"/>
        <v>17843.69831</v>
      </c>
      <c r="H31" s="49">
        <f>0</f>
        <v>0</v>
      </c>
      <c r="I31" s="48">
        <f t="shared" si="2"/>
        <v>7843.6983099999998</v>
      </c>
      <c r="J31" s="46">
        <f t="shared" si="3"/>
        <v>0.78436983100000002</v>
      </c>
      <c r="K31" s="47">
        <f t="shared" ca="1" si="4"/>
        <v>45.866666666666667</v>
      </c>
      <c r="L31" s="46">
        <f t="shared" ca="1" si="5"/>
        <v>0.20521303718023254</v>
      </c>
      <c r="M31" s="57"/>
      <c r="N31" s="47">
        <f t="shared" si="6"/>
        <v>-10000</v>
      </c>
      <c r="O31" s="51" t="s">
        <v>64</v>
      </c>
    </row>
    <row r="32" spans="1:15" s="75" customFormat="1" x14ac:dyDescent="0.3">
      <c r="A32" s="51" t="s">
        <v>63</v>
      </c>
      <c r="B32" s="50">
        <v>44861</v>
      </c>
      <c r="C32" s="47">
        <v>10000</v>
      </c>
      <c r="D32" s="47">
        <f t="shared" si="0"/>
        <v>68.023508924684364</v>
      </c>
      <c r="E32" s="49">
        <f>147.008</f>
        <v>147.00800000000001</v>
      </c>
      <c r="F32" s="37">
        <f>VLOOKUP("INF846K01859", [1]NAVAll!B$1:E$501244,4,FALSE)</f>
        <v>120.29</v>
      </c>
      <c r="G32" s="47">
        <f t="shared" si="1"/>
        <v>17683.592320000003</v>
      </c>
      <c r="H32" s="49">
        <f>0</f>
        <v>0</v>
      </c>
      <c r="I32" s="48">
        <f t="shared" si="2"/>
        <v>7683.5923200000034</v>
      </c>
      <c r="J32" s="46">
        <f t="shared" si="3"/>
        <v>0.76835923200000034</v>
      </c>
      <c r="K32" s="47">
        <f t="shared" ca="1" si="4"/>
        <v>44.866666666666667</v>
      </c>
      <c r="L32" s="46">
        <f t="shared" ca="1" si="5"/>
        <v>0.20550469800891538</v>
      </c>
      <c r="M32" s="57"/>
      <c r="N32" s="47">
        <f t="shared" si="6"/>
        <v>-10000</v>
      </c>
      <c r="O32" s="51" t="s">
        <v>64</v>
      </c>
    </row>
    <row r="33" spans="1:15" s="75" customFormat="1" x14ac:dyDescent="0.3">
      <c r="A33" s="51" t="s">
        <v>63</v>
      </c>
      <c r="B33" s="50">
        <v>44893</v>
      </c>
      <c r="C33" s="47">
        <v>10000</v>
      </c>
      <c r="D33" s="47">
        <f t="shared" si="0"/>
        <v>68.363447431927099</v>
      </c>
      <c r="E33" s="49">
        <f>146.277</f>
        <v>146.27699999999999</v>
      </c>
      <c r="F33" s="37">
        <f>VLOOKUP("INF846K01859", [1]NAVAll!B$1:E$501244,4,FALSE)</f>
        <v>120.29</v>
      </c>
      <c r="G33" s="47">
        <f t="shared" si="1"/>
        <v>17595.660329999999</v>
      </c>
      <c r="H33" s="49">
        <f>0</f>
        <v>0</v>
      </c>
      <c r="I33" s="48">
        <f t="shared" si="2"/>
        <v>7595.6603299999988</v>
      </c>
      <c r="J33" s="46">
        <f t="shared" si="3"/>
        <v>0.75956603299999992</v>
      </c>
      <c r="K33" s="47">
        <f t="shared" ca="1" si="4"/>
        <v>43.833333333333336</v>
      </c>
      <c r="L33" s="46">
        <f t="shared" ca="1" si="5"/>
        <v>0.20794203184790871</v>
      </c>
      <c r="M33" s="57"/>
      <c r="N33" s="47">
        <f t="shared" si="6"/>
        <v>-10000</v>
      </c>
      <c r="O33" s="51" t="s">
        <v>64</v>
      </c>
    </row>
    <row r="34" spans="1:15" s="75" customFormat="1" x14ac:dyDescent="0.3">
      <c r="A34" s="51" t="s">
        <v>63</v>
      </c>
      <c r="B34" s="50">
        <v>44922</v>
      </c>
      <c r="C34" s="47">
        <v>10000</v>
      </c>
      <c r="D34" s="47">
        <f t="shared" si="0"/>
        <v>66.473450503868747</v>
      </c>
      <c r="E34" s="49">
        <f>150.436</f>
        <v>150.43600000000001</v>
      </c>
      <c r="F34" s="37">
        <f>VLOOKUP("INF846K01859", [1]NAVAll!B$1:E$501244,4,FALSE)</f>
        <v>120.29</v>
      </c>
      <c r="G34" s="47">
        <f t="shared" si="1"/>
        <v>18095.946440000003</v>
      </c>
      <c r="H34" s="49">
        <f>0</f>
        <v>0</v>
      </c>
      <c r="I34" s="48">
        <f t="shared" si="2"/>
        <v>8095.9464400000033</v>
      </c>
      <c r="J34" s="46">
        <f t="shared" si="3"/>
        <v>0.80959464400000036</v>
      </c>
      <c r="K34" s="47">
        <f t="shared" ca="1" si="4"/>
        <v>42.866666666666667</v>
      </c>
      <c r="L34" s="46">
        <f t="shared" ca="1" si="5"/>
        <v>0.22663613673405916</v>
      </c>
      <c r="M34" s="57"/>
      <c r="N34" s="47">
        <f t="shared" si="6"/>
        <v>-10000</v>
      </c>
      <c r="O34" s="51" t="s">
        <v>64</v>
      </c>
    </row>
    <row r="35" spans="1:15" s="75" customFormat="1" x14ac:dyDescent="0.3">
      <c r="A35" s="51" t="s">
        <v>63</v>
      </c>
      <c r="B35" s="50">
        <v>44953</v>
      </c>
      <c r="C35" s="47">
        <v>10000</v>
      </c>
      <c r="D35" s="47">
        <f t="shared" si="0"/>
        <v>63.92308774083024</v>
      </c>
      <c r="E35" s="49">
        <f>156.438</f>
        <v>156.43799999999999</v>
      </c>
      <c r="F35" s="37">
        <f>VLOOKUP("INF846K01859", [1]NAVAll!B$1:E$501244,4,FALSE)</f>
        <v>120.29</v>
      </c>
      <c r="G35" s="47">
        <f t="shared" si="1"/>
        <v>18817.927019999999</v>
      </c>
      <c r="H35" s="49">
        <f>0</f>
        <v>0</v>
      </c>
      <c r="I35" s="48">
        <f t="shared" si="2"/>
        <v>8817.9270199999992</v>
      </c>
      <c r="J35" s="46">
        <f t="shared" si="3"/>
        <v>0.88179270199999993</v>
      </c>
      <c r="K35" s="47">
        <f t="shared" ca="1" si="4"/>
        <v>41.866666666666667</v>
      </c>
      <c r="L35" s="46">
        <f t="shared" ca="1" si="5"/>
        <v>0.25274313114649682</v>
      </c>
      <c r="M35" s="57"/>
      <c r="N35" s="47">
        <f t="shared" si="6"/>
        <v>-10000</v>
      </c>
      <c r="O35" s="51" t="s">
        <v>64</v>
      </c>
    </row>
    <row r="36" spans="1:15" s="75" customFormat="1" x14ac:dyDescent="0.3">
      <c r="A36" s="51" t="s">
        <v>63</v>
      </c>
      <c r="B36" s="50">
        <v>44984</v>
      </c>
      <c r="C36" s="47">
        <v>10000</v>
      </c>
      <c r="D36" s="47">
        <f t="shared" si="0"/>
        <v>65.22306287503261</v>
      </c>
      <c r="E36" s="49">
        <f>153.32</f>
        <v>153.32</v>
      </c>
      <c r="F36" s="37">
        <f>VLOOKUP("INF846K01859", [1]NAVAll!B$1:E$501244,4,FALSE)</f>
        <v>120.29</v>
      </c>
      <c r="G36" s="47">
        <f t="shared" si="1"/>
        <v>18442.862799999999</v>
      </c>
      <c r="H36" s="49">
        <f>0</f>
        <v>0</v>
      </c>
      <c r="I36" s="48">
        <f t="shared" si="2"/>
        <v>8442.862799999999</v>
      </c>
      <c r="J36" s="46">
        <f t="shared" si="3"/>
        <v>0.84428627999999994</v>
      </c>
      <c r="K36" s="47">
        <f t="shared" ca="1" si="4"/>
        <v>40.866666666666667</v>
      </c>
      <c r="L36" s="46">
        <f t="shared" ca="1" si="5"/>
        <v>0.24791440522022837</v>
      </c>
      <c r="M36" s="57"/>
      <c r="N36" s="47">
        <f t="shared" si="6"/>
        <v>-10000</v>
      </c>
      <c r="O36" s="51" t="s">
        <v>64</v>
      </c>
    </row>
    <row r="37" spans="1:15" s="75" customFormat="1" x14ac:dyDescent="0.3">
      <c r="A37" s="51" t="s">
        <v>63</v>
      </c>
      <c r="B37" s="50">
        <v>45012</v>
      </c>
      <c r="C37" s="47">
        <v>10000</v>
      </c>
      <c r="D37" s="47">
        <f t="shared" si="0"/>
        <v>62.783309684953352</v>
      </c>
      <c r="E37" s="49">
        <f>159.278</f>
        <v>159.27799999999999</v>
      </c>
      <c r="F37" s="37">
        <f>VLOOKUP("INF846K01859", [1]NAVAll!B$1:E$501244,4,FALSE)</f>
        <v>120.29</v>
      </c>
      <c r="G37" s="47">
        <f t="shared" si="1"/>
        <v>19159.550620000002</v>
      </c>
      <c r="H37" s="49">
        <f>0</f>
        <v>0</v>
      </c>
      <c r="I37" s="48">
        <f t="shared" si="2"/>
        <v>9159.5506200000018</v>
      </c>
      <c r="J37" s="46">
        <f t="shared" si="3"/>
        <v>0.91595506200000021</v>
      </c>
      <c r="K37" s="47">
        <f t="shared" ca="1" si="4"/>
        <v>39.866666666666667</v>
      </c>
      <c r="L37" s="46">
        <f t="shared" ca="1" si="5"/>
        <v>0.27570553705685624</v>
      </c>
      <c r="M37" s="57"/>
      <c r="N37" s="47">
        <f t="shared" si="6"/>
        <v>-10000</v>
      </c>
      <c r="O37" s="51" t="s">
        <v>64</v>
      </c>
    </row>
    <row r="38" spans="1:15" s="75" customFormat="1" x14ac:dyDescent="0.3">
      <c r="A38" s="51" t="s">
        <v>63</v>
      </c>
      <c r="B38" s="50">
        <v>45043</v>
      </c>
      <c r="C38" s="47">
        <v>10000</v>
      </c>
      <c r="D38" s="47">
        <f t="shared" si="0"/>
        <v>66.213326094009687</v>
      </c>
      <c r="E38" s="49">
        <f>151.027</f>
        <v>151.02699999999999</v>
      </c>
      <c r="F38" s="37">
        <f>VLOOKUP("INF846K01859", [1]NAVAll!B$1:E$501244,4,FALSE)</f>
        <v>120.29</v>
      </c>
      <c r="G38" s="47">
        <f t="shared" si="1"/>
        <v>18167.037830000001</v>
      </c>
      <c r="H38" s="49">
        <f>0</f>
        <v>0</v>
      </c>
      <c r="I38" s="48">
        <f t="shared" si="2"/>
        <v>8167.0378300000011</v>
      </c>
      <c r="J38" s="46">
        <f t="shared" si="3"/>
        <v>0.81670378300000013</v>
      </c>
      <c r="K38" s="47">
        <f t="shared" ca="1" si="4"/>
        <v>38.866666666666667</v>
      </c>
      <c r="L38" s="46">
        <f t="shared" ca="1" si="5"/>
        <v>0.25215554192109779</v>
      </c>
      <c r="M38" s="57"/>
      <c r="N38" s="47">
        <f t="shared" si="6"/>
        <v>-10000</v>
      </c>
      <c r="O38" s="51" t="s">
        <v>64</v>
      </c>
    </row>
    <row r="39" spans="1:15" s="75" customFormat="1" x14ac:dyDescent="0.3">
      <c r="A39" s="51" t="s">
        <v>63</v>
      </c>
      <c r="B39" s="50">
        <v>45075</v>
      </c>
      <c r="C39" s="47">
        <v>10000</v>
      </c>
      <c r="D39" s="47">
        <f t="shared" si="0"/>
        <v>70.913435968712989</v>
      </c>
      <c r="E39" s="48">
        <f>141.017</f>
        <v>141.017</v>
      </c>
      <c r="F39" s="37">
        <f>VLOOKUP("INF846K01859", [1]NAVAll!B$1:E$501244,4,FALSE)</f>
        <v>120.29</v>
      </c>
      <c r="G39" s="47">
        <f t="shared" si="1"/>
        <v>16962.934929999999</v>
      </c>
      <c r="H39" s="49">
        <f>0</f>
        <v>0</v>
      </c>
      <c r="I39" s="48">
        <f t="shared" si="2"/>
        <v>6962.9349299999994</v>
      </c>
      <c r="J39" s="46">
        <f t="shared" si="3"/>
        <v>0.69629349299999999</v>
      </c>
      <c r="K39" s="47">
        <f t="shared" ca="1" si="4"/>
        <v>37.799999999999997</v>
      </c>
      <c r="L39" s="46">
        <f t="shared" ca="1" si="5"/>
        <v>0.22104555333333337</v>
      </c>
      <c r="M39" s="57"/>
      <c r="N39" s="47">
        <f t="shared" si="6"/>
        <v>-10000</v>
      </c>
      <c r="O39" s="51" t="s">
        <v>64</v>
      </c>
    </row>
    <row r="40" spans="1:15" s="75" customFormat="1" x14ac:dyDescent="0.3">
      <c r="A40" s="51" t="s">
        <v>63</v>
      </c>
      <c r="B40" s="50">
        <v>45104</v>
      </c>
      <c r="C40" s="47">
        <v>10000</v>
      </c>
      <c r="D40" s="47">
        <f t="shared" si="0"/>
        <v>73.673508479820825</v>
      </c>
      <c r="E40" s="48">
        <f>135.734</f>
        <v>135.73400000000001</v>
      </c>
      <c r="F40" s="37">
        <f>VLOOKUP("INF846K01859", [1]NAVAll!B$1:E$501244,4,FALSE)</f>
        <v>120.29</v>
      </c>
      <c r="G40" s="47">
        <f t="shared" si="1"/>
        <v>16327.442860000001</v>
      </c>
      <c r="H40" s="49">
        <f>0</f>
        <v>0</v>
      </c>
      <c r="I40" s="48">
        <f t="shared" si="2"/>
        <v>6327.442860000001</v>
      </c>
      <c r="J40" s="46">
        <f t="shared" si="3"/>
        <v>0.6327442860000001</v>
      </c>
      <c r="K40" s="47">
        <f t="shared" ca="1" si="4"/>
        <v>36.866666666666667</v>
      </c>
      <c r="L40" s="46">
        <f t="shared" ca="1" si="5"/>
        <v>0.20595654878842679</v>
      </c>
      <c r="M40" s="57"/>
      <c r="N40" s="47">
        <f t="shared" si="6"/>
        <v>-10000</v>
      </c>
      <c r="O40" s="51" t="s">
        <v>64</v>
      </c>
    </row>
    <row r="41" spans="1:15" s="75" customFormat="1" x14ac:dyDescent="0.3">
      <c r="A41" s="51" t="s">
        <v>63</v>
      </c>
      <c r="B41" s="50">
        <v>45134</v>
      </c>
      <c r="C41" s="47">
        <v>10000</v>
      </c>
      <c r="D41" s="47">
        <f t="shared" si="0"/>
        <v>75.47397657287766</v>
      </c>
      <c r="E41" s="48">
        <f>132.496</f>
        <v>132.49600000000001</v>
      </c>
      <c r="F41" s="37">
        <f>VLOOKUP("INF846K01859", [1]NAVAll!B$1:E$501244,4,FALSE)</f>
        <v>120.29</v>
      </c>
      <c r="G41" s="47">
        <f t="shared" si="1"/>
        <v>15937.943840000002</v>
      </c>
      <c r="H41" s="49">
        <f>0</f>
        <v>0</v>
      </c>
      <c r="I41" s="48">
        <f t="shared" si="2"/>
        <v>5937.9438400000017</v>
      </c>
      <c r="J41" s="46">
        <f t="shared" si="3"/>
        <v>0.59379438400000017</v>
      </c>
      <c r="K41" s="47">
        <f t="shared" ca="1" si="4"/>
        <v>35.866666666666667</v>
      </c>
      <c r="L41" s="46">
        <f t="shared" ca="1" si="5"/>
        <v>0.19866726602230489</v>
      </c>
      <c r="M41" s="57"/>
      <c r="N41" s="47">
        <f t="shared" si="6"/>
        <v>-10000</v>
      </c>
      <c r="O41" s="51" t="s">
        <v>64</v>
      </c>
    </row>
    <row r="42" spans="1:15" s="75" customFormat="1" x14ac:dyDescent="0.3">
      <c r="A42" s="76" t="s">
        <v>65</v>
      </c>
      <c r="B42" s="77">
        <f ca="1">TODAY()</f>
        <v>46226</v>
      </c>
      <c r="C42" s="78"/>
      <c r="D42" s="78"/>
      <c r="E42" s="79"/>
      <c r="F42" s="80"/>
      <c r="G42" s="78"/>
      <c r="H42" s="80"/>
      <c r="I42" s="79"/>
      <c r="J42" s="81"/>
      <c r="K42" s="78"/>
      <c r="L42" s="81"/>
      <c r="M42" s="82"/>
      <c r="N42" s="78">
        <f>SUM(G2:G41)</f>
        <v>849133.00421000004</v>
      </c>
      <c r="O42" s="51"/>
    </row>
    <row r="43" spans="1:15" s="75" customFormat="1" x14ac:dyDescent="0.3">
      <c r="A43" s="76" t="s">
        <v>66</v>
      </c>
      <c r="B43" s="77"/>
      <c r="C43" s="78"/>
      <c r="D43" s="78"/>
      <c r="E43" s="79"/>
      <c r="F43" s="80"/>
      <c r="G43" s="78"/>
      <c r="H43" s="80"/>
      <c r="I43" s="79"/>
      <c r="J43" s="81">
        <f>SUM(N2:N42)/-SUM(N2:N41)</f>
        <v>1.1228325105250001</v>
      </c>
      <c r="K43" s="78"/>
      <c r="L43" s="81"/>
      <c r="M43" s="82"/>
      <c r="N43" s="78"/>
      <c r="O43" s="51"/>
    </row>
    <row r="44" spans="1:15" s="75" customFormat="1" x14ac:dyDescent="0.3">
      <c r="A44" s="76" t="s">
        <v>67</v>
      </c>
      <c r="B44" s="77"/>
      <c r="C44" s="78"/>
      <c r="D44" s="78"/>
      <c r="E44" s="79"/>
      <c r="F44" s="80"/>
      <c r="G44" s="78"/>
      <c r="H44" s="80"/>
      <c r="I44" s="79"/>
      <c r="J44" s="81">
        <f ca="1">XIRR(N2:N42,B2:B42)</f>
        <v>0.17418585419654847</v>
      </c>
      <c r="K44" s="78"/>
      <c r="L44" s="81"/>
      <c r="M44" s="82"/>
      <c r="N44" s="78"/>
      <c r="O44" s="51"/>
    </row>
    <row r="45" spans="1:15" s="75" customFormat="1" x14ac:dyDescent="0.3">
      <c r="A45" s="51" t="e" vm="37">
        <v>#VALUE!</v>
      </c>
      <c r="B45" s="50">
        <v>45141</v>
      </c>
      <c r="C45" s="47">
        <v>187720.94</v>
      </c>
      <c r="D45" s="47">
        <f t="shared" ref="D45" si="7">C45/E45</f>
        <v>83.439984140615138</v>
      </c>
      <c r="E45" s="48">
        <f>2249.772</f>
        <v>2249.7719999999999</v>
      </c>
      <c r="F45" s="37">
        <f>VLOOKUP("INF846K01K35", [1]NAVAll!B$1:E$501244,4,FALSE)</f>
        <v>131.74</v>
      </c>
      <c r="G45" s="47">
        <f t="shared" ref="G45" si="8">PRODUCT(E45:F45)</f>
        <v>296384.96328000003</v>
      </c>
      <c r="H45" s="49">
        <f>0</f>
        <v>0</v>
      </c>
      <c r="I45" s="48">
        <f t="shared" ref="I45" si="9">SUM(-C45,G45)+H45</f>
        <v>108664.02328000002</v>
      </c>
      <c r="J45" s="46">
        <f t="shared" ref="J45" si="10">I45/C45</f>
        <v>0.57885936049542486</v>
      </c>
      <c r="K45" s="47">
        <f t="shared" ref="K45" ca="1" si="11">(DAYS360(B45,NOW(),TRUE))/30</f>
        <v>35.666666666666664</v>
      </c>
      <c r="L45" s="46">
        <f t="shared" ref="L45" ca="1" si="12">J45*12/K45</f>
        <v>0.19475642035360091</v>
      </c>
      <c r="M45" s="57" t="s">
        <v>68</v>
      </c>
      <c r="N45" s="47">
        <f t="shared" ref="N45" si="13">-C45</f>
        <v>-187720.94</v>
      </c>
      <c r="O45" s="51" t="s">
        <v>69</v>
      </c>
    </row>
    <row r="46" spans="1:15" s="75" customFormat="1" x14ac:dyDescent="0.3">
      <c r="A46" s="76" t="s">
        <v>70</v>
      </c>
      <c r="B46" s="77">
        <f ca="1">TODAY()</f>
        <v>46226</v>
      </c>
      <c r="C46" s="78"/>
      <c r="D46" s="78"/>
      <c r="E46" s="79"/>
      <c r="F46" s="80"/>
      <c r="G46" s="78"/>
      <c r="H46" s="80"/>
      <c r="I46" s="79"/>
      <c r="J46" s="81"/>
      <c r="K46" s="78"/>
      <c r="L46" s="81"/>
      <c r="M46" s="82"/>
      <c r="N46" s="78">
        <f>SUM(G45:G45)</f>
        <v>296384.96328000003</v>
      </c>
      <c r="O46" s="51"/>
    </row>
    <row r="47" spans="1:15" s="75" customFormat="1" x14ac:dyDescent="0.3">
      <c r="A47" s="76" t="s">
        <v>71</v>
      </c>
      <c r="B47" s="77"/>
      <c r="C47" s="78"/>
      <c r="D47" s="78"/>
      <c r="E47" s="79"/>
      <c r="F47" s="80"/>
      <c r="G47" s="78"/>
      <c r="H47" s="80"/>
      <c r="I47" s="79"/>
      <c r="J47" s="81">
        <f>SUM(N45:N46)/-SUM(N45:N45)</f>
        <v>0.57885936049542486</v>
      </c>
      <c r="K47" s="78"/>
      <c r="L47" s="81"/>
      <c r="M47" s="82"/>
      <c r="N47" s="78"/>
      <c r="O47" s="51"/>
    </row>
    <row r="48" spans="1:15" s="75" customFormat="1" x14ac:dyDescent="0.3">
      <c r="A48" s="76" t="s">
        <v>72</v>
      </c>
      <c r="B48" s="77"/>
      <c r="C48" s="78"/>
      <c r="D48" s="78"/>
      <c r="E48" s="79"/>
      <c r="F48" s="80"/>
      <c r="G48" s="78"/>
      <c r="H48" s="80"/>
      <c r="I48" s="79"/>
      <c r="J48" s="81">
        <f ca="1">XIRR(N45:N46,B45:B46)</f>
        <v>0.1660678803920746</v>
      </c>
      <c r="K48" s="78"/>
      <c r="L48" s="81"/>
      <c r="M48" s="82"/>
      <c r="N48" s="78"/>
      <c r="O48" s="51"/>
    </row>
    <row r="49" spans="1:15" s="75" customFormat="1" x14ac:dyDescent="0.3">
      <c r="A49" s="51" t="e" vm="38">
        <v>#VALUE!</v>
      </c>
      <c r="B49" s="50">
        <v>43454</v>
      </c>
      <c r="C49" s="47">
        <v>2500</v>
      </c>
      <c r="D49" s="47">
        <f t="shared" ref="D49:D104" si="14">C49/E49</f>
        <v>126.67207134171058</v>
      </c>
      <c r="E49" s="49">
        <v>19.736000000000001</v>
      </c>
      <c r="F49" s="37">
        <f>VLOOKUP("INF760K01019", [1]NAVAll!B$1:E$501244,4,FALSE)</f>
        <v>339.36</v>
      </c>
      <c r="G49" s="47">
        <f t="shared" ref="G49:G104" si="15">PRODUCT(E49:F49)</f>
        <v>6697.6089600000005</v>
      </c>
      <c r="H49" s="49">
        <f>0</f>
        <v>0</v>
      </c>
      <c r="I49" s="48">
        <f t="shared" ref="I49:I104" si="16">SUM(-C49,G49)+H49</f>
        <v>4197.6089600000005</v>
      </c>
      <c r="J49" s="46">
        <f t="shared" ref="J49:J104" si="17">I49/C49</f>
        <v>1.6790435840000002</v>
      </c>
      <c r="K49" s="47">
        <f t="shared" ref="K49:K104" ca="1" si="18">(DAYS360(B49,NOW(),TRUE))/30</f>
        <v>91.1</v>
      </c>
      <c r="L49" s="46">
        <f t="shared" ref="L49:L104" ca="1" si="19">J49*12/K49</f>
        <v>0.22116929756311748</v>
      </c>
      <c r="M49" s="57"/>
      <c r="N49" s="47">
        <f t="shared" ref="N49:N103" si="20">-C49</f>
        <v>-2500</v>
      </c>
      <c r="O49" s="51" t="s">
        <v>73</v>
      </c>
    </row>
    <row r="50" spans="1:15" s="75" customFormat="1" x14ac:dyDescent="0.3">
      <c r="A50" s="51" t="e" vm="38">
        <v>#VALUE!</v>
      </c>
      <c r="B50" s="50">
        <v>43485</v>
      </c>
      <c r="C50" s="47">
        <v>2500</v>
      </c>
      <c r="D50" s="47">
        <f t="shared" si="14"/>
        <v>127.01961182806626</v>
      </c>
      <c r="E50" s="49">
        <v>19.681999999999999</v>
      </c>
      <c r="F50" s="37">
        <f>VLOOKUP("INF760K01019", [1]NAVAll!B$1:E$501244,4,FALSE)</f>
        <v>339.36</v>
      </c>
      <c r="G50" s="47">
        <f t="shared" si="15"/>
        <v>6679.28352</v>
      </c>
      <c r="H50" s="49">
        <f>0</f>
        <v>0</v>
      </c>
      <c r="I50" s="48">
        <f t="shared" si="16"/>
        <v>4179.28352</v>
      </c>
      <c r="J50" s="46">
        <f t="shared" si="17"/>
        <v>1.671713408</v>
      </c>
      <c r="K50" s="47">
        <f t="shared" ca="1" si="18"/>
        <v>90.1</v>
      </c>
      <c r="L50" s="46">
        <f t="shared" ca="1" si="19"/>
        <v>0.22264773469478358</v>
      </c>
      <c r="M50" s="57"/>
      <c r="N50" s="47">
        <f t="shared" si="20"/>
        <v>-2500</v>
      </c>
      <c r="O50" s="51" t="s">
        <v>73</v>
      </c>
    </row>
    <row r="51" spans="1:15" s="75" customFormat="1" x14ac:dyDescent="0.3">
      <c r="A51" s="51" t="e" vm="38">
        <v>#VALUE!</v>
      </c>
      <c r="B51" s="50">
        <v>43516</v>
      </c>
      <c r="C51" s="47">
        <v>2500</v>
      </c>
      <c r="D51" s="47">
        <f t="shared" si="14"/>
        <v>124.52059570652985</v>
      </c>
      <c r="E51" s="49">
        <v>20.077000000000002</v>
      </c>
      <c r="F51" s="37">
        <f>VLOOKUP("INF760K01019", [1]NAVAll!B$1:E$501244,4,FALSE)</f>
        <v>339.36</v>
      </c>
      <c r="G51" s="47">
        <f t="shared" si="15"/>
        <v>6813.3307200000008</v>
      </c>
      <c r="H51" s="49">
        <f>0</f>
        <v>0</v>
      </c>
      <c r="I51" s="48">
        <f t="shared" si="16"/>
        <v>4313.3307200000008</v>
      </c>
      <c r="J51" s="46">
        <f t="shared" si="17"/>
        <v>1.7253322880000004</v>
      </c>
      <c r="K51" s="47">
        <f t="shared" ca="1" si="18"/>
        <v>89.1</v>
      </c>
      <c r="L51" s="46">
        <f t="shared" ca="1" si="19"/>
        <v>0.23236798491582497</v>
      </c>
      <c r="M51" s="57"/>
      <c r="N51" s="47">
        <f t="shared" si="20"/>
        <v>-2500</v>
      </c>
      <c r="O51" s="51" t="s">
        <v>73</v>
      </c>
    </row>
    <row r="52" spans="1:15" s="75" customFormat="1" x14ac:dyDescent="0.3">
      <c r="A52" s="51" t="e" vm="38">
        <v>#VALUE!</v>
      </c>
      <c r="B52" s="50">
        <v>43544</v>
      </c>
      <c r="C52" s="47">
        <v>2500</v>
      </c>
      <c r="D52" s="47">
        <f t="shared" si="14"/>
        <v>132.94336612603033</v>
      </c>
      <c r="E52" s="49">
        <v>18.805</v>
      </c>
      <c r="F52" s="37">
        <f>VLOOKUP("INF760K01019", [1]NAVAll!B$1:E$501244,4,FALSE)</f>
        <v>339.36</v>
      </c>
      <c r="G52" s="47">
        <f t="shared" si="15"/>
        <v>6381.6648000000005</v>
      </c>
      <c r="H52" s="49">
        <f>0</f>
        <v>0</v>
      </c>
      <c r="I52" s="48">
        <f t="shared" si="16"/>
        <v>3881.6648000000005</v>
      </c>
      <c r="J52" s="46">
        <f t="shared" si="17"/>
        <v>1.5526659200000001</v>
      </c>
      <c r="K52" s="47">
        <f t="shared" ca="1" si="18"/>
        <v>88.1</v>
      </c>
      <c r="L52" s="46">
        <f t="shared" ca="1" si="19"/>
        <v>0.21148684494892173</v>
      </c>
      <c r="M52" s="57"/>
      <c r="N52" s="47">
        <f t="shared" si="20"/>
        <v>-2500</v>
      </c>
      <c r="O52" s="51" t="s">
        <v>73</v>
      </c>
    </row>
    <row r="53" spans="1:15" s="75" customFormat="1" x14ac:dyDescent="0.3">
      <c r="A53" s="51" t="e" vm="38">
        <v>#VALUE!</v>
      </c>
      <c r="B53" s="50">
        <v>43575</v>
      </c>
      <c r="C53" s="47">
        <v>2500</v>
      </c>
      <c r="D53" s="47">
        <f t="shared" si="14"/>
        <v>133.5327422283944</v>
      </c>
      <c r="E53" s="49">
        <v>18.722000000000001</v>
      </c>
      <c r="F53" s="37">
        <f>VLOOKUP("INF760K01019", [1]NAVAll!B$1:E$501244,4,FALSE)</f>
        <v>339.36</v>
      </c>
      <c r="G53" s="47">
        <f t="shared" si="15"/>
        <v>6353.4979200000007</v>
      </c>
      <c r="H53" s="49">
        <f>0</f>
        <v>0</v>
      </c>
      <c r="I53" s="48">
        <f t="shared" si="16"/>
        <v>3853.4979200000007</v>
      </c>
      <c r="J53" s="46">
        <f t="shared" si="17"/>
        <v>1.5413991680000003</v>
      </c>
      <c r="K53" s="47">
        <f t="shared" ca="1" si="18"/>
        <v>87.1</v>
      </c>
      <c r="L53" s="46">
        <f t="shared" ca="1" si="19"/>
        <v>0.21236268675086115</v>
      </c>
      <c r="M53" s="57"/>
      <c r="N53" s="47">
        <f t="shared" si="20"/>
        <v>-2500</v>
      </c>
      <c r="O53" s="51" t="s">
        <v>73</v>
      </c>
    </row>
    <row r="54" spans="1:15" s="75" customFormat="1" x14ac:dyDescent="0.3">
      <c r="A54" s="51" t="e" vm="38">
        <v>#VALUE!</v>
      </c>
      <c r="B54" s="50">
        <v>43605</v>
      </c>
      <c r="C54" s="47">
        <v>2500</v>
      </c>
      <c r="D54" s="47">
        <f t="shared" si="14"/>
        <v>135.34730117481456</v>
      </c>
      <c r="E54" s="49">
        <v>18.471</v>
      </c>
      <c r="F54" s="37">
        <f>VLOOKUP("INF760K01019", [1]NAVAll!B$1:E$501244,4,FALSE)</f>
        <v>339.36</v>
      </c>
      <c r="G54" s="47">
        <f t="shared" si="15"/>
        <v>6268.3185600000006</v>
      </c>
      <c r="H54" s="49">
        <f>0</f>
        <v>0</v>
      </c>
      <c r="I54" s="48">
        <f t="shared" si="16"/>
        <v>3768.3185600000006</v>
      </c>
      <c r="J54" s="46">
        <f t="shared" si="17"/>
        <v>1.5073274240000003</v>
      </c>
      <c r="K54" s="47">
        <f t="shared" ca="1" si="18"/>
        <v>86.1</v>
      </c>
      <c r="L54" s="46">
        <f t="shared" ca="1" si="19"/>
        <v>0.21008047721254361</v>
      </c>
      <c r="M54" s="57"/>
      <c r="N54" s="47">
        <f t="shared" si="20"/>
        <v>-2500</v>
      </c>
      <c r="O54" s="51" t="s">
        <v>73</v>
      </c>
    </row>
    <row r="55" spans="1:15" s="75" customFormat="1" x14ac:dyDescent="0.3">
      <c r="A55" s="51" t="e" vm="38">
        <v>#VALUE!</v>
      </c>
      <c r="B55" s="50">
        <v>43636</v>
      </c>
      <c r="C55" s="47">
        <v>2500</v>
      </c>
      <c r="D55" s="47">
        <f t="shared" si="14"/>
        <v>136.53741125068271</v>
      </c>
      <c r="E55" s="49">
        <v>18.309999999999999</v>
      </c>
      <c r="F55" s="37">
        <f>VLOOKUP("INF760K01019", [1]NAVAll!B$1:E$501244,4,FALSE)</f>
        <v>339.36</v>
      </c>
      <c r="G55" s="47">
        <f t="shared" si="15"/>
        <v>6213.6815999999999</v>
      </c>
      <c r="H55" s="49">
        <f>0</f>
        <v>0</v>
      </c>
      <c r="I55" s="48">
        <f t="shared" si="16"/>
        <v>3713.6815999999999</v>
      </c>
      <c r="J55" s="46">
        <f t="shared" si="17"/>
        <v>1.48547264</v>
      </c>
      <c r="K55" s="47">
        <f t="shared" ca="1" si="18"/>
        <v>85.1</v>
      </c>
      <c r="L55" s="46">
        <f t="shared" ca="1" si="19"/>
        <v>0.20946735229142185</v>
      </c>
      <c r="M55" s="57"/>
      <c r="N55" s="47">
        <f t="shared" si="20"/>
        <v>-2500</v>
      </c>
      <c r="O55" s="51" t="s">
        <v>73</v>
      </c>
    </row>
    <row r="56" spans="1:15" s="75" customFormat="1" x14ac:dyDescent="0.3">
      <c r="A56" s="51" t="e" vm="38">
        <v>#VALUE!</v>
      </c>
      <c r="B56" s="50">
        <v>43668</v>
      </c>
      <c r="C56" s="47">
        <v>2500</v>
      </c>
      <c r="D56" s="47">
        <f t="shared" si="14"/>
        <v>130.6369859434603</v>
      </c>
      <c r="E56" s="49">
        <f>19.137</f>
        <v>19.137</v>
      </c>
      <c r="F56" s="37">
        <f>VLOOKUP("INF760K01019", [1]NAVAll!B$1:E$501244,4,FALSE)</f>
        <v>339.36</v>
      </c>
      <c r="G56" s="47">
        <f t="shared" si="15"/>
        <v>6494.3323200000004</v>
      </c>
      <c r="H56" s="49">
        <f>0</f>
        <v>0</v>
      </c>
      <c r="I56" s="48">
        <f t="shared" si="16"/>
        <v>3994.3323200000004</v>
      </c>
      <c r="J56" s="46">
        <f t="shared" si="17"/>
        <v>1.5977329280000001</v>
      </c>
      <c r="K56" s="47">
        <f t="shared" ca="1" si="18"/>
        <v>84.033333333333331</v>
      </c>
      <c r="L56" s="46">
        <f t="shared" ca="1" si="19"/>
        <v>0.22815702264180882</v>
      </c>
      <c r="M56" s="57"/>
      <c r="N56" s="47">
        <f t="shared" si="20"/>
        <v>-2500</v>
      </c>
      <c r="O56" s="51" t="s">
        <v>73</v>
      </c>
    </row>
    <row r="57" spans="1:15" s="75" customFormat="1" x14ac:dyDescent="0.3">
      <c r="A57" s="51" t="e" vm="38">
        <v>#VALUE!</v>
      </c>
      <c r="B57" s="50">
        <v>43697</v>
      </c>
      <c r="C57" s="47">
        <v>2500</v>
      </c>
      <c r="D57" s="47">
        <f t="shared" si="14"/>
        <v>126.78770666396186</v>
      </c>
      <c r="E57" s="49">
        <f>19.718</f>
        <v>19.718</v>
      </c>
      <c r="F57" s="37">
        <f>VLOOKUP("INF760K01019", [1]NAVAll!B$1:E$501244,4,FALSE)</f>
        <v>339.36</v>
      </c>
      <c r="G57" s="47">
        <f t="shared" si="15"/>
        <v>6691.5004800000006</v>
      </c>
      <c r="H57" s="49">
        <f>0</f>
        <v>0</v>
      </c>
      <c r="I57" s="48">
        <f t="shared" si="16"/>
        <v>4191.5004800000006</v>
      </c>
      <c r="J57" s="46">
        <f t="shared" si="17"/>
        <v>1.6766001920000002</v>
      </c>
      <c r="K57" s="47">
        <f t="shared" ca="1" si="18"/>
        <v>83.1</v>
      </c>
      <c r="L57" s="46">
        <f t="shared" ca="1" si="19"/>
        <v>0.24210833097472928</v>
      </c>
      <c r="M57" s="57"/>
      <c r="N57" s="47">
        <f t="shared" si="20"/>
        <v>-2500</v>
      </c>
      <c r="O57" s="51" t="s">
        <v>73</v>
      </c>
    </row>
    <row r="58" spans="1:15" s="75" customFormat="1" x14ac:dyDescent="0.3">
      <c r="A58" s="51" t="e" vm="38">
        <v>#VALUE!</v>
      </c>
      <c r="B58" s="50">
        <v>43728</v>
      </c>
      <c r="C58" s="47">
        <v>2500</v>
      </c>
      <c r="D58" s="47">
        <f t="shared" si="14"/>
        <v>131.46823727387465</v>
      </c>
      <c r="E58" s="49">
        <f>19.016</f>
        <v>19.015999999999998</v>
      </c>
      <c r="F58" s="37">
        <f>VLOOKUP("INF760K01019", [1]NAVAll!B$1:E$501244,4,FALSE)</f>
        <v>339.36</v>
      </c>
      <c r="G58" s="47">
        <f t="shared" si="15"/>
        <v>6453.2697599999992</v>
      </c>
      <c r="H58" s="49">
        <f>0</f>
        <v>0</v>
      </c>
      <c r="I58" s="48">
        <f t="shared" si="16"/>
        <v>3953.2697599999992</v>
      </c>
      <c r="J58" s="46">
        <f t="shared" si="17"/>
        <v>1.5813079039999998</v>
      </c>
      <c r="K58" s="47">
        <f t="shared" ca="1" si="18"/>
        <v>82.1</v>
      </c>
      <c r="L58" s="46">
        <f t="shared" ca="1" si="19"/>
        <v>0.23112904808769791</v>
      </c>
      <c r="M58" s="57"/>
      <c r="N58" s="47">
        <f t="shared" si="20"/>
        <v>-2500</v>
      </c>
      <c r="O58" s="51" t="s">
        <v>73</v>
      </c>
    </row>
    <row r="59" spans="1:15" s="75" customFormat="1" x14ac:dyDescent="0.3">
      <c r="A59" s="51" t="e" vm="38">
        <v>#VALUE!</v>
      </c>
      <c r="B59" s="50">
        <v>43760</v>
      </c>
      <c r="C59" s="47">
        <v>2500</v>
      </c>
      <c r="D59" s="47">
        <f t="shared" si="14"/>
        <v>136.53741125068271</v>
      </c>
      <c r="E59" s="49">
        <f>18.31</f>
        <v>18.309999999999999</v>
      </c>
      <c r="F59" s="37">
        <f>VLOOKUP("INF760K01019", [1]NAVAll!B$1:E$501244,4,FALSE)</f>
        <v>339.36</v>
      </c>
      <c r="G59" s="47">
        <f t="shared" si="15"/>
        <v>6213.6815999999999</v>
      </c>
      <c r="H59" s="49">
        <f>0</f>
        <v>0</v>
      </c>
      <c r="I59" s="48">
        <f t="shared" si="16"/>
        <v>3713.6815999999999</v>
      </c>
      <c r="J59" s="46">
        <f t="shared" si="17"/>
        <v>1.48547264</v>
      </c>
      <c r="K59" s="47">
        <f t="shared" ca="1" si="18"/>
        <v>81.033333333333331</v>
      </c>
      <c r="L59" s="46">
        <f t="shared" ca="1" si="19"/>
        <v>0.21997949419991772</v>
      </c>
      <c r="M59" s="57"/>
      <c r="N59" s="47">
        <f t="shared" si="20"/>
        <v>-2500</v>
      </c>
      <c r="O59" s="51" t="s">
        <v>73</v>
      </c>
    </row>
    <row r="60" spans="1:15" s="75" customFormat="1" x14ac:dyDescent="0.3">
      <c r="A60" s="51" t="e" vm="38">
        <v>#VALUE!</v>
      </c>
      <c r="B60" s="50">
        <v>43789</v>
      </c>
      <c r="C60" s="47">
        <v>2500</v>
      </c>
      <c r="D60" s="47">
        <f t="shared" si="14"/>
        <v>139.88361683079677</v>
      </c>
      <c r="E60" s="49">
        <f>17.872</f>
        <v>17.872</v>
      </c>
      <c r="F60" s="37">
        <f>VLOOKUP("INF760K01019", [1]NAVAll!B$1:E$501244,4,FALSE)</f>
        <v>339.36</v>
      </c>
      <c r="G60" s="47">
        <f t="shared" si="15"/>
        <v>6065.0419200000006</v>
      </c>
      <c r="H60" s="49">
        <f>0</f>
        <v>0</v>
      </c>
      <c r="I60" s="48">
        <f t="shared" si="16"/>
        <v>3565.0419200000006</v>
      </c>
      <c r="J60" s="46">
        <f t="shared" si="17"/>
        <v>1.4260167680000002</v>
      </c>
      <c r="K60" s="47">
        <f t="shared" ca="1" si="18"/>
        <v>80.099999999999994</v>
      </c>
      <c r="L60" s="46">
        <f t="shared" ca="1" si="19"/>
        <v>0.21363547086142326</v>
      </c>
      <c r="M60" s="57"/>
      <c r="N60" s="47">
        <f t="shared" si="20"/>
        <v>-2500</v>
      </c>
      <c r="O60" s="51" t="s">
        <v>73</v>
      </c>
    </row>
    <row r="61" spans="1:15" s="75" customFormat="1" x14ac:dyDescent="0.3">
      <c r="A61" s="51" t="e" vm="38">
        <v>#VALUE!</v>
      </c>
      <c r="B61" s="50">
        <v>43819</v>
      </c>
      <c r="C61" s="47">
        <v>2500</v>
      </c>
      <c r="D61" s="47">
        <f t="shared" si="14"/>
        <v>141.86006922771378</v>
      </c>
      <c r="E61" s="49">
        <f>17.623</f>
        <v>17.623000000000001</v>
      </c>
      <c r="F61" s="37">
        <f>VLOOKUP("INF760K01019", [1]NAVAll!B$1:E$501244,4,FALSE)</f>
        <v>339.36</v>
      </c>
      <c r="G61" s="47">
        <f t="shared" si="15"/>
        <v>5980.5412800000004</v>
      </c>
      <c r="H61" s="49">
        <f>0</f>
        <v>0</v>
      </c>
      <c r="I61" s="48">
        <f t="shared" si="16"/>
        <v>3480.5412800000004</v>
      </c>
      <c r="J61" s="46">
        <f t="shared" si="17"/>
        <v>1.3922165120000001</v>
      </c>
      <c r="K61" s="47">
        <f t="shared" ca="1" si="18"/>
        <v>79.099999999999994</v>
      </c>
      <c r="L61" s="46">
        <f t="shared" ca="1" si="19"/>
        <v>0.21120857324905187</v>
      </c>
      <c r="M61" s="57"/>
      <c r="N61" s="47">
        <f t="shared" si="20"/>
        <v>-2500</v>
      </c>
      <c r="O61" s="51" t="s">
        <v>73</v>
      </c>
    </row>
    <row r="62" spans="1:15" s="75" customFormat="1" x14ac:dyDescent="0.3">
      <c r="A62" s="51" t="e" vm="38">
        <v>#VALUE!</v>
      </c>
      <c r="B62" s="50">
        <v>43850</v>
      </c>
      <c r="C62" s="47">
        <v>2500</v>
      </c>
      <c r="D62" s="47">
        <f t="shared" si="14"/>
        <v>144.58388757156902</v>
      </c>
      <c r="E62" s="49">
        <f>17.291</f>
        <v>17.291</v>
      </c>
      <c r="F62" s="37">
        <f>VLOOKUP("INF760K01019", [1]NAVAll!B$1:E$501244,4,FALSE)</f>
        <v>339.36</v>
      </c>
      <c r="G62" s="47">
        <f t="shared" si="15"/>
        <v>5867.8737600000004</v>
      </c>
      <c r="H62" s="49">
        <f>0</f>
        <v>0</v>
      </c>
      <c r="I62" s="48">
        <f t="shared" si="16"/>
        <v>3367.8737600000004</v>
      </c>
      <c r="J62" s="46">
        <f t="shared" si="17"/>
        <v>1.3471495040000001</v>
      </c>
      <c r="K62" s="47">
        <f t="shared" ca="1" si="18"/>
        <v>78.099999999999994</v>
      </c>
      <c r="L62" s="46">
        <f t="shared" ca="1" si="19"/>
        <v>0.20698840010243283</v>
      </c>
      <c r="M62" s="57"/>
      <c r="N62" s="47">
        <f t="shared" si="20"/>
        <v>-2500</v>
      </c>
      <c r="O62" s="51" t="s">
        <v>73</v>
      </c>
    </row>
    <row r="63" spans="1:15" s="75" customFormat="1" x14ac:dyDescent="0.3">
      <c r="A63" s="51" t="e" vm="38">
        <v>#VALUE!</v>
      </c>
      <c r="B63" s="50">
        <v>43881</v>
      </c>
      <c r="C63" s="47">
        <v>2500</v>
      </c>
      <c r="D63" s="47">
        <f t="shared" si="14"/>
        <v>151.22187273167191</v>
      </c>
      <c r="E63" s="49">
        <f>16.532</f>
        <v>16.532</v>
      </c>
      <c r="F63" s="37">
        <f>VLOOKUP("INF760K01019", [1]NAVAll!B$1:E$501244,4,FALSE)</f>
        <v>339.36</v>
      </c>
      <c r="G63" s="47">
        <f t="shared" si="15"/>
        <v>5610.2995200000005</v>
      </c>
      <c r="H63" s="49">
        <f>0</f>
        <v>0</v>
      </c>
      <c r="I63" s="48">
        <f t="shared" si="16"/>
        <v>3110.2995200000005</v>
      </c>
      <c r="J63" s="46">
        <f t="shared" si="17"/>
        <v>1.2441198080000002</v>
      </c>
      <c r="K63" s="47">
        <f t="shared" ca="1" si="18"/>
        <v>77.099999999999994</v>
      </c>
      <c r="L63" s="46">
        <f t="shared" ca="1" si="19"/>
        <v>0.19363732420233468</v>
      </c>
      <c r="M63" s="57"/>
      <c r="N63" s="47">
        <f t="shared" si="20"/>
        <v>-2500</v>
      </c>
      <c r="O63" s="51" t="s">
        <v>73</v>
      </c>
    </row>
    <row r="64" spans="1:15" s="75" customFormat="1" x14ac:dyDescent="0.3">
      <c r="A64" s="51" t="e" vm="38">
        <v>#VALUE!</v>
      </c>
      <c r="B64" s="50">
        <v>43910</v>
      </c>
      <c r="C64" s="47">
        <v>2500</v>
      </c>
      <c r="D64" s="47">
        <f t="shared" si="14"/>
        <v>114.45838293196594</v>
      </c>
      <c r="E64" s="49">
        <f>21.842</f>
        <v>21.841999999999999</v>
      </c>
      <c r="F64" s="37">
        <f>VLOOKUP("INF760K01019", [1]NAVAll!B$1:E$501244,4,FALSE)</f>
        <v>339.36</v>
      </c>
      <c r="G64" s="47">
        <f t="shared" si="15"/>
        <v>7412.3011200000001</v>
      </c>
      <c r="H64" s="49">
        <f>0</f>
        <v>0</v>
      </c>
      <c r="I64" s="48">
        <f t="shared" si="16"/>
        <v>4912.3011200000001</v>
      </c>
      <c r="J64" s="46">
        <f t="shared" si="17"/>
        <v>1.964920448</v>
      </c>
      <c r="K64" s="47">
        <f t="shared" ca="1" si="18"/>
        <v>76.099999999999994</v>
      </c>
      <c r="L64" s="46">
        <f t="shared" ca="1" si="19"/>
        <v>0.30984290901445466</v>
      </c>
      <c r="M64" s="57"/>
      <c r="N64" s="47">
        <f t="shared" si="20"/>
        <v>-2500</v>
      </c>
      <c r="O64" s="51" t="s">
        <v>73</v>
      </c>
    </row>
    <row r="65" spans="1:15" s="75" customFormat="1" x14ac:dyDescent="0.3">
      <c r="A65" s="51" t="e" vm="38">
        <v>#VALUE!</v>
      </c>
      <c r="B65" s="50">
        <v>43941</v>
      </c>
      <c r="C65" s="47">
        <v>2500</v>
      </c>
      <c r="D65" s="47">
        <f t="shared" si="14"/>
        <v>120.98920776266756</v>
      </c>
      <c r="E65" s="49">
        <f>20.663</f>
        <v>20.663</v>
      </c>
      <c r="F65" s="37">
        <f>VLOOKUP("INF760K01019", [1]NAVAll!B$1:E$501244,4,FALSE)</f>
        <v>339.36</v>
      </c>
      <c r="G65" s="47">
        <f t="shared" si="15"/>
        <v>7012.1956800000007</v>
      </c>
      <c r="H65" s="49">
        <f>0</f>
        <v>0</v>
      </c>
      <c r="I65" s="48">
        <f t="shared" si="16"/>
        <v>4512.1956800000007</v>
      </c>
      <c r="J65" s="46">
        <f t="shared" si="17"/>
        <v>1.8048782720000003</v>
      </c>
      <c r="K65" s="47">
        <f t="shared" ca="1" si="18"/>
        <v>75.099999999999994</v>
      </c>
      <c r="L65" s="46">
        <f t="shared" ca="1" si="19"/>
        <v>0.28839599552596545</v>
      </c>
      <c r="M65" s="57"/>
      <c r="N65" s="47">
        <f t="shared" si="20"/>
        <v>-2500</v>
      </c>
      <c r="O65" s="51" t="s">
        <v>73</v>
      </c>
    </row>
    <row r="66" spans="1:15" s="75" customFormat="1" x14ac:dyDescent="0.3">
      <c r="A66" s="51" t="e" vm="38">
        <v>#VALUE!</v>
      </c>
      <c r="B66" s="50">
        <v>43971</v>
      </c>
      <c r="C66" s="47">
        <v>2500</v>
      </c>
      <c r="D66" s="47">
        <f t="shared" si="14"/>
        <v>118.69154441437593</v>
      </c>
      <c r="E66" s="49">
        <f>21.063</f>
        <v>21.062999999999999</v>
      </c>
      <c r="F66" s="37">
        <f>VLOOKUP("INF760K01019", [1]NAVAll!B$1:E$501244,4,FALSE)</f>
        <v>339.36</v>
      </c>
      <c r="G66" s="47">
        <f t="shared" si="15"/>
        <v>7147.9396799999995</v>
      </c>
      <c r="H66" s="49">
        <f>0</f>
        <v>0</v>
      </c>
      <c r="I66" s="48">
        <f t="shared" si="16"/>
        <v>4647.9396799999995</v>
      </c>
      <c r="J66" s="46">
        <f t="shared" si="17"/>
        <v>1.8591758719999998</v>
      </c>
      <c r="K66" s="47">
        <f t="shared" ca="1" si="18"/>
        <v>74.099999999999994</v>
      </c>
      <c r="L66" s="46">
        <f t="shared" ca="1" si="19"/>
        <v>0.30108111287449391</v>
      </c>
      <c r="M66" s="57"/>
      <c r="N66" s="47">
        <f t="shared" si="20"/>
        <v>-2500</v>
      </c>
      <c r="O66" s="51" t="s">
        <v>73</v>
      </c>
    </row>
    <row r="67" spans="1:15" s="75" customFormat="1" x14ac:dyDescent="0.3">
      <c r="A67" s="51" t="e" vm="38">
        <v>#VALUE!</v>
      </c>
      <c r="B67" s="50">
        <v>44004</v>
      </c>
      <c r="C67" s="47">
        <v>2500</v>
      </c>
      <c r="D67" s="47">
        <f t="shared" si="14"/>
        <v>129.72187629721878</v>
      </c>
      <c r="E67" s="49">
        <f>19.272</f>
        <v>19.271999999999998</v>
      </c>
      <c r="F67" s="37">
        <f>VLOOKUP("INF760K01019", [1]NAVAll!B$1:E$501244,4,FALSE)</f>
        <v>339.36</v>
      </c>
      <c r="G67" s="47">
        <f t="shared" si="15"/>
        <v>6540.1459199999999</v>
      </c>
      <c r="H67" s="49">
        <f>0</f>
        <v>0</v>
      </c>
      <c r="I67" s="48">
        <f t="shared" si="16"/>
        <v>4040.1459199999999</v>
      </c>
      <c r="J67" s="46">
        <f t="shared" si="17"/>
        <v>1.616058368</v>
      </c>
      <c r="K67" s="47">
        <f t="shared" ca="1" si="18"/>
        <v>73.033333333333331</v>
      </c>
      <c r="L67" s="46">
        <f t="shared" ca="1" si="19"/>
        <v>0.26553218278411683</v>
      </c>
      <c r="M67" s="57"/>
      <c r="N67" s="47">
        <f t="shared" si="20"/>
        <v>-2500</v>
      </c>
      <c r="O67" s="51" t="s">
        <v>73</v>
      </c>
    </row>
    <row r="68" spans="1:15" s="75" customFormat="1" x14ac:dyDescent="0.3">
      <c r="A68" s="51" t="e" vm="38">
        <v>#VALUE!</v>
      </c>
      <c r="B68" s="50">
        <v>44032</v>
      </c>
      <c r="C68" s="47">
        <v>2500</v>
      </c>
      <c r="D68" s="47">
        <f t="shared" si="14"/>
        <v>138.37383074113023</v>
      </c>
      <c r="E68" s="49">
        <f>18.067</f>
        <v>18.067</v>
      </c>
      <c r="F68" s="37">
        <f>VLOOKUP("INF760K01019", [1]NAVAll!B$1:E$501244,4,FALSE)</f>
        <v>339.36</v>
      </c>
      <c r="G68" s="47">
        <f t="shared" si="15"/>
        <v>6131.2171200000003</v>
      </c>
      <c r="H68" s="49">
        <f>0</f>
        <v>0</v>
      </c>
      <c r="I68" s="48">
        <f t="shared" si="16"/>
        <v>3631.2171200000003</v>
      </c>
      <c r="J68" s="46">
        <f t="shared" si="17"/>
        <v>1.4524868480000002</v>
      </c>
      <c r="K68" s="47">
        <f t="shared" ca="1" si="18"/>
        <v>72.099999999999994</v>
      </c>
      <c r="L68" s="46">
        <f t="shared" ca="1" si="19"/>
        <v>0.24174538385575592</v>
      </c>
      <c r="M68" s="57"/>
      <c r="N68" s="47">
        <f t="shared" si="20"/>
        <v>-2500</v>
      </c>
      <c r="O68" s="51" t="s">
        <v>73</v>
      </c>
    </row>
    <row r="69" spans="1:15" s="75" customFormat="1" x14ac:dyDescent="0.3">
      <c r="A69" s="51" t="e" vm="38">
        <v>#VALUE!</v>
      </c>
      <c r="B69" s="50">
        <v>44063</v>
      </c>
      <c r="C69" s="47">
        <v>2500</v>
      </c>
      <c r="D69" s="47">
        <f t="shared" si="14"/>
        <v>143.81040036815463</v>
      </c>
      <c r="E69" s="49">
        <f>17.384</f>
        <v>17.384</v>
      </c>
      <c r="F69" s="37">
        <f>VLOOKUP("INF760K01019", [1]NAVAll!B$1:E$501244,4,FALSE)</f>
        <v>339.36</v>
      </c>
      <c r="G69" s="47">
        <f t="shared" si="15"/>
        <v>5899.4342400000005</v>
      </c>
      <c r="H69" s="49">
        <f>0</f>
        <v>0</v>
      </c>
      <c r="I69" s="48">
        <f t="shared" si="16"/>
        <v>3399.4342400000005</v>
      </c>
      <c r="J69" s="46">
        <f t="shared" si="17"/>
        <v>1.3597736960000002</v>
      </c>
      <c r="K69" s="47">
        <f t="shared" ca="1" si="18"/>
        <v>71.099999999999994</v>
      </c>
      <c r="L69" s="46">
        <f t="shared" ca="1" si="19"/>
        <v>0.22949767021097051</v>
      </c>
      <c r="M69" s="57"/>
      <c r="N69" s="47">
        <f t="shared" si="20"/>
        <v>-2500</v>
      </c>
      <c r="O69" s="51" t="s">
        <v>73</v>
      </c>
    </row>
    <row r="70" spans="1:15" s="75" customFormat="1" x14ac:dyDescent="0.3">
      <c r="A70" s="51" t="e" vm="38">
        <v>#VALUE!</v>
      </c>
      <c r="B70" s="50">
        <v>44095</v>
      </c>
      <c r="C70" s="47">
        <v>2500</v>
      </c>
      <c r="D70" s="47">
        <f t="shared" si="14"/>
        <v>143.184421534937</v>
      </c>
      <c r="E70" s="49">
        <f>17.46</f>
        <v>17.46</v>
      </c>
      <c r="F70" s="37">
        <f>VLOOKUP("INF760K01019", [1]NAVAll!B$1:E$501244,4,FALSE)</f>
        <v>339.36</v>
      </c>
      <c r="G70" s="47">
        <f t="shared" si="15"/>
        <v>5925.2256000000007</v>
      </c>
      <c r="H70" s="49">
        <f>0</f>
        <v>0</v>
      </c>
      <c r="I70" s="48">
        <f t="shared" si="16"/>
        <v>3425.2256000000007</v>
      </c>
      <c r="J70" s="46">
        <f t="shared" si="17"/>
        <v>1.3700902400000003</v>
      </c>
      <c r="K70" s="47">
        <f t="shared" ca="1" si="18"/>
        <v>70.066666666666663</v>
      </c>
      <c r="L70" s="46">
        <f t="shared" ca="1" si="19"/>
        <v>0.2346491372026642</v>
      </c>
      <c r="M70" s="57"/>
      <c r="N70" s="47">
        <f t="shared" si="20"/>
        <v>-2500</v>
      </c>
      <c r="O70" s="51" t="s">
        <v>73</v>
      </c>
    </row>
    <row r="71" spans="1:15" s="75" customFormat="1" x14ac:dyDescent="0.3">
      <c r="A71" s="51" t="e" vm="38">
        <v>#VALUE!</v>
      </c>
      <c r="B71" s="50">
        <v>44124</v>
      </c>
      <c r="C71" s="47">
        <v>2500</v>
      </c>
      <c r="D71" s="47">
        <f t="shared" si="14"/>
        <v>150.0060002400096</v>
      </c>
      <c r="E71" s="49">
        <f>16.666</f>
        <v>16.666</v>
      </c>
      <c r="F71" s="37">
        <f>VLOOKUP("INF760K01019", [1]NAVAll!B$1:E$501244,4,FALSE)</f>
        <v>339.36</v>
      </c>
      <c r="G71" s="47">
        <f t="shared" si="15"/>
        <v>5655.77376</v>
      </c>
      <c r="H71" s="49">
        <f>0</f>
        <v>0</v>
      </c>
      <c r="I71" s="48">
        <f t="shared" si="16"/>
        <v>3155.77376</v>
      </c>
      <c r="J71" s="46">
        <f t="shared" si="17"/>
        <v>1.2623095040000001</v>
      </c>
      <c r="K71" s="47">
        <f t="shared" ca="1" si="18"/>
        <v>69.099999999999994</v>
      </c>
      <c r="L71" s="46">
        <f t="shared" ca="1" si="19"/>
        <v>0.21921438564399423</v>
      </c>
      <c r="M71" s="57"/>
      <c r="N71" s="47">
        <f t="shared" si="20"/>
        <v>-2500</v>
      </c>
      <c r="O71" s="51" t="s">
        <v>73</v>
      </c>
    </row>
    <row r="72" spans="1:15" s="75" customFormat="1" x14ac:dyDescent="0.3">
      <c r="A72" s="51" t="e" vm="38">
        <v>#VALUE!</v>
      </c>
      <c r="B72" s="50">
        <v>44155</v>
      </c>
      <c r="C72" s="47">
        <v>2500</v>
      </c>
      <c r="D72" s="47">
        <f t="shared" si="14"/>
        <v>161.02022414015201</v>
      </c>
      <c r="E72" s="49">
        <f>15.526</f>
        <v>15.526</v>
      </c>
      <c r="F72" s="37">
        <f>VLOOKUP("INF760K01019", [1]NAVAll!B$1:E$501244,4,FALSE)</f>
        <v>339.36</v>
      </c>
      <c r="G72" s="47">
        <f t="shared" si="15"/>
        <v>5268.9033600000002</v>
      </c>
      <c r="H72" s="49">
        <f>0</f>
        <v>0</v>
      </c>
      <c r="I72" s="48">
        <f t="shared" si="16"/>
        <v>2768.9033600000002</v>
      </c>
      <c r="J72" s="46">
        <f t="shared" si="17"/>
        <v>1.1075613440000001</v>
      </c>
      <c r="K72" s="47">
        <f t="shared" ca="1" si="18"/>
        <v>68.099999999999994</v>
      </c>
      <c r="L72" s="46">
        <f t="shared" ca="1" si="19"/>
        <v>0.19516499453744496</v>
      </c>
      <c r="M72" s="57"/>
      <c r="N72" s="47">
        <f t="shared" si="20"/>
        <v>-2500</v>
      </c>
      <c r="O72" s="51" t="s">
        <v>73</v>
      </c>
    </row>
    <row r="73" spans="1:15" s="75" customFormat="1" x14ac:dyDescent="0.3">
      <c r="A73" s="51" t="e" vm="38">
        <v>#VALUE!</v>
      </c>
      <c r="B73" s="50">
        <v>44186</v>
      </c>
      <c r="C73" s="47">
        <v>2500</v>
      </c>
      <c r="D73" s="47">
        <f t="shared" si="14"/>
        <v>165.21279407877347</v>
      </c>
      <c r="E73" s="49">
        <f>15.132</f>
        <v>15.132</v>
      </c>
      <c r="F73" s="37">
        <f>VLOOKUP("INF760K01019", [1]NAVAll!B$1:E$501244,4,FALSE)</f>
        <v>339.36</v>
      </c>
      <c r="G73" s="47">
        <f t="shared" si="15"/>
        <v>5135.1955200000002</v>
      </c>
      <c r="H73" s="49">
        <f>0</f>
        <v>0</v>
      </c>
      <c r="I73" s="48">
        <f t="shared" si="16"/>
        <v>2635.1955200000002</v>
      </c>
      <c r="J73" s="46">
        <f t="shared" si="17"/>
        <v>1.0540782080000002</v>
      </c>
      <c r="K73" s="47">
        <f t="shared" ca="1" si="18"/>
        <v>67.066666666666663</v>
      </c>
      <c r="L73" s="46">
        <f t="shared" ca="1" si="19"/>
        <v>0.18860246266401595</v>
      </c>
      <c r="M73" s="57"/>
      <c r="N73" s="47">
        <f t="shared" si="20"/>
        <v>-2500</v>
      </c>
      <c r="O73" s="51" t="s">
        <v>73</v>
      </c>
    </row>
    <row r="74" spans="1:15" s="75" customFormat="1" x14ac:dyDescent="0.3">
      <c r="A74" s="51" t="e" vm="38">
        <v>#VALUE!</v>
      </c>
      <c r="B74" s="50">
        <v>44216</v>
      </c>
      <c r="C74" s="47">
        <v>2500</v>
      </c>
      <c r="D74" s="47">
        <f t="shared" si="14"/>
        <v>179.75266033937302</v>
      </c>
      <c r="E74" s="49">
        <f>13.908</f>
        <v>13.907999999999999</v>
      </c>
      <c r="F74" s="37">
        <f>VLOOKUP("INF760K01019", [1]NAVAll!B$1:E$501244,4,FALSE)</f>
        <v>339.36</v>
      </c>
      <c r="G74" s="47">
        <f t="shared" si="15"/>
        <v>4719.8188799999998</v>
      </c>
      <c r="H74" s="49">
        <f>0</f>
        <v>0</v>
      </c>
      <c r="I74" s="48">
        <f t="shared" si="16"/>
        <v>2219.8188799999998</v>
      </c>
      <c r="J74" s="46">
        <f t="shared" si="17"/>
        <v>0.88792755199999995</v>
      </c>
      <c r="K74" s="47">
        <f t="shared" ca="1" si="18"/>
        <v>66.099999999999994</v>
      </c>
      <c r="L74" s="46">
        <f t="shared" ca="1" si="19"/>
        <v>0.1611971350075643</v>
      </c>
      <c r="M74" s="57"/>
      <c r="N74" s="47">
        <f t="shared" si="20"/>
        <v>-2500</v>
      </c>
      <c r="O74" s="51" t="s">
        <v>73</v>
      </c>
    </row>
    <row r="75" spans="1:15" s="75" customFormat="1" x14ac:dyDescent="0.3">
      <c r="A75" s="51" t="e" vm="38">
        <v>#VALUE!</v>
      </c>
      <c r="B75" s="50">
        <v>44249</v>
      </c>
      <c r="C75" s="47">
        <v>2500</v>
      </c>
      <c r="D75" s="47">
        <f t="shared" si="14"/>
        <v>182.26888305628464</v>
      </c>
      <c r="E75" s="49">
        <f>13.716</f>
        <v>13.715999999999999</v>
      </c>
      <c r="F75" s="37">
        <f>VLOOKUP("INF760K01019", [1]NAVAll!B$1:E$501244,4,FALSE)</f>
        <v>339.36</v>
      </c>
      <c r="G75" s="47">
        <f t="shared" si="15"/>
        <v>4654.66176</v>
      </c>
      <c r="H75" s="49">
        <f>0</f>
        <v>0</v>
      </c>
      <c r="I75" s="48">
        <f t="shared" si="16"/>
        <v>2154.66176</v>
      </c>
      <c r="J75" s="46">
        <f t="shared" si="17"/>
        <v>0.86186470400000004</v>
      </c>
      <c r="K75" s="47">
        <f t="shared" ca="1" si="18"/>
        <v>65.033333333333331</v>
      </c>
      <c r="L75" s="46">
        <f t="shared" ca="1" si="19"/>
        <v>0.15903192898001026</v>
      </c>
      <c r="M75" s="57"/>
      <c r="N75" s="47">
        <f t="shared" si="20"/>
        <v>-2500</v>
      </c>
      <c r="O75" s="51" t="s">
        <v>73</v>
      </c>
    </row>
    <row r="76" spans="1:15" s="75" customFormat="1" x14ac:dyDescent="0.3">
      <c r="A76" s="51" t="e" vm="38">
        <v>#VALUE!</v>
      </c>
      <c r="B76" s="50">
        <v>44277</v>
      </c>
      <c r="C76" s="47">
        <v>2500</v>
      </c>
      <c r="D76" s="47">
        <f t="shared" si="14"/>
        <v>182.60170915199765</v>
      </c>
      <c r="E76" s="49">
        <f>13.691</f>
        <v>13.691000000000001</v>
      </c>
      <c r="F76" s="37">
        <f>VLOOKUP("INF760K01019", [1]NAVAll!B$1:E$501244,4,FALSE)</f>
        <v>339.36</v>
      </c>
      <c r="G76" s="47">
        <f t="shared" si="15"/>
        <v>4646.1777600000005</v>
      </c>
      <c r="H76" s="49">
        <f>0</f>
        <v>0</v>
      </c>
      <c r="I76" s="48">
        <f t="shared" si="16"/>
        <v>2146.1777600000005</v>
      </c>
      <c r="J76" s="46">
        <f t="shared" si="17"/>
        <v>0.85847110400000015</v>
      </c>
      <c r="K76" s="47">
        <f t="shared" ca="1" si="18"/>
        <v>64.033333333333331</v>
      </c>
      <c r="L76" s="46">
        <f t="shared" ca="1" si="19"/>
        <v>0.16087954057261844</v>
      </c>
      <c r="M76" s="57"/>
      <c r="N76" s="47">
        <f t="shared" si="20"/>
        <v>-2500</v>
      </c>
      <c r="O76" s="51" t="s">
        <v>73</v>
      </c>
    </row>
    <row r="77" spans="1:15" s="75" customFormat="1" x14ac:dyDescent="0.3">
      <c r="A77" s="51" t="e" vm="38">
        <v>#VALUE!</v>
      </c>
      <c r="B77" s="50">
        <v>44306</v>
      </c>
      <c r="C77" s="47">
        <v>2500</v>
      </c>
      <c r="D77" s="47">
        <f t="shared" si="14"/>
        <v>179.37863241730645</v>
      </c>
      <c r="E77" s="49">
        <f>13.937</f>
        <v>13.936999999999999</v>
      </c>
      <c r="F77" s="37">
        <f>VLOOKUP("INF760K01019", [1]NAVAll!B$1:E$501244,4,FALSE)</f>
        <v>339.36</v>
      </c>
      <c r="G77" s="47">
        <f t="shared" si="15"/>
        <v>4729.66032</v>
      </c>
      <c r="H77" s="49">
        <f>0</f>
        <v>0</v>
      </c>
      <c r="I77" s="48">
        <f t="shared" si="16"/>
        <v>2229.66032</v>
      </c>
      <c r="J77" s="46">
        <f t="shared" si="17"/>
        <v>0.89186412800000003</v>
      </c>
      <c r="K77" s="47">
        <f t="shared" ca="1" si="18"/>
        <v>63.1</v>
      </c>
      <c r="L77" s="46">
        <f t="shared" ca="1" si="19"/>
        <v>0.1696096598415214</v>
      </c>
      <c r="M77" s="57"/>
      <c r="N77" s="47">
        <f t="shared" si="20"/>
        <v>-2500</v>
      </c>
      <c r="O77" s="51" t="s">
        <v>73</v>
      </c>
    </row>
    <row r="78" spans="1:15" s="75" customFormat="1" x14ac:dyDescent="0.3">
      <c r="A78" s="51" t="e" vm="38">
        <v>#VALUE!</v>
      </c>
      <c r="B78" s="50">
        <v>44336</v>
      </c>
      <c r="C78" s="47">
        <v>2500</v>
      </c>
      <c r="D78" s="47">
        <f t="shared" si="14"/>
        <v>189.30789035286992</v>
      </c>
      <c r="E78" s="49">
        <f>13.206</f>
        <v>13.206</v>
      </c>
      <c r="F78" s="37">
        <f>VLOOKUP("INF760K01019", [1]NAVAll!B$1:E$501244,4,FALSE)</f>
        <v>339.36</v>
      </c>
      <c r="G78" s="47">
        <f t="shared" si="15"/>
        <v>4481.5881600000002</v>
      </c>
      <c r="H78" s="49">
        <f>0</f>
        <v>0</v>
      </c>
      <c r="I78" s="48">
        <f t="shared" si="16"/>
        <v>1981.5881600000002</v>
      </c>
      <c r="J78" s="46">
        <f t="shared" si="17"/>
        <v>0.79263526400000006</v>
      </c>
      <c r="K78" s="47">
        <f t="shared" ca="1" si="18"/>
        <v>62.1</v>
      </c>
      <c r="L78" s="46">
        <f t="shared" ca="1" si="19"/>
        <v>0.15316623458937198</v>
      </c>
      <c r="M78" s="57"/>
      <c r="N78" s="47">
        <f t="shared" si="20"/>
        <v>-2500</v>
      </c>
      <c r="O78" s="51" t="s">
        <v>73</v>
      </c>
    </row>
    <row r="79" spans="1:15" s="75" customFormat="1" x14ac:dyDescent="0.3">
      <c r="A79" s="51" t="e" vm="38">
        <v>#VALUE!</v>
      </c>
      <c r="B79" s="50">
        <v>44368</v>
      </c>
      <c r="C79" s="47">
        <v>2500</v>
      </c>
      <c r="D79" s="47">
        <f t="shared" si="14"/>
        <v>200.40080160320642</v>
      </c>
      <c r="E79" s="49">
        <f>12.475</f>
        <v>12.475</v>
      </c>
      <c r="F79" s="37">
        <f>VLOOKUP("INF760K01019", [1]NAVAll!B$1:E$501244,4,FALSE)</f>
        <v>339.36</v>
      </c>
      <c r="G79" s="47">
        <f t="shared" si="15"/>
        <v>4233.5159999999996</v>
      </c>
      <c r="H79" s="49">
        <f>0</f>
        <v>0</v>
      </c>
      <c r="I79" s="48">
        <f t="shared" si="16"/>
        <v>1733.5159999999996</v>
      </c>
      <c r="J79" s="46">
        <f t="shared" si="17"/>
        <v>0.69340639999999987</v>
      </c>
      <c r="K79" s="47">
        <f t="shared" ca="1" si="18"/>
        <v>61.06666666666667</v>
      </c>
      <c r="L79" s="46">
        <f t="shared" ca="1" si="19"/>
        <v>0.13625889956331874</v>
      </c>
      <c r="M79" s="57"/>
      <c r="N79" s="47">
        <f t="shared" si="20"/>
        <v>-2500</v>
      </c>
      <c r="O79" s="51" t="s">
        <v>73</v>
      </c>
    </row>
    <row r="80" spans="1:15" s="75" customFormat="1" x14ac:dyDescent="0.3">
      <c r="A80" s="51" t="e" vm="38">
        <v>#VALUE!</v>
      </c>
      <c r="B80" s="50">
        <v>44397</v>
      </c>
      <c r="C80" s="47">
        <v>2500</v>
      </c>
      <c r="D80" s="47">
        <f t="shared" si="14"/>
        <v>204.398659144796</v>
      </c>
      <c r="E80" s="49">
        <f>12.231</f>
        <v>12.231</v>
      </c>
      <c r="F80" s="37">
        <f>VLOOKUP("INF760K01019", [1]NAVAll!B$1:E$501244,4,FALSE)</f>
        <v>339.36</v>
      </c>
      <c r="G80" s="47">
        <f t="shared" si="15"/>
        <v>4150.71216</v>
      </c>
      <c r="H80" s="49">
        <f>0</f>
        <v>0</v>
      </c>
      <c r="I80" s="48">
        <f t="shared" si="16"/>
        <v>1650.71216</v>
      </c>
      <c r="J80" s="46">
        <f t="shared" si="17"/>
        <v>0.66028486399999997</v>
      </c>
      <c r="K80" s="47">
        <f t="shared" ca="1" si="18"/>
        <v>60.1</v>
      </c>
      <c r="L80" s="46">
        <f t="shared" ca="1" si="19"/>
        <v>0.13183724405990016</v>
      </c>
      <c r="M80" s="57"/>
      <c r="N80" s="47">
        <f t="shared" si="20"/>
        <v>-2500</v>
      </c>
      <c r="O80" s="51" t="s">
        <v>73</v>
      </c>
    </row>
    <row r="81" spans="1:15" s="75" customFormat="1" x14ac:dyDescent="0.3">
      <c r="A81" s="51" t="e" vm="38">
        <v>#VALUE!</v>
      </c>
      <c r="B81" s="50">
        <v>44428</v>
      </c>
      <c r="C81" s="47">
        <v>2500</v>
      </c>
      <c r="D81" s="47">
        <f t="shared" si="14"/>
        <v>212.60311250956713</v>
      </c>
      <c r="E81" s="49">
        <f>11.759</f>
        <v>11.759</v>
      </c>
      <c r="F81" s="37">
        <f>VLOOKUP("INF760K01019", [1]NAVAll!B$1:E$501244,4,FALSE)</f>
        <v>339.36</v>
      </c>
      <c r="G81" s="47">
        <f t="shared" si="15"/>
        <v>3990.5342400000004</v>
      </c>
      <c r="H81" s="49">
        <f>0</f>
        <v>0</v>
      </c>
      <c r="I81" s="48">
        <f t="shared" si="16"/>
        <v>1490.5342400000004</v>
      </c>
      <c r="J81" s="46">
        <f t="shared" si="17"/>
        <v>0.59621369600000018</v>
      </c>
      <c r="K81" s="47">
        <f t="shared" ca="1" si="18"/>
        <v>59.1</v>
      </c>
      <c r="L81" s="46">
        <f t="shared" ca="1" si="19"/>
        <v>0.12105861847715739</v>
      </c>
      <c r="M81" s="57"/>
      <c r="N81" s="47">
        <f t="shared" si="20"/>
        <v>-2500</v>
      </c>
      <c r="O81" s="51" t="s">
        <v>73</v>
      </c>
    </row>
    <row r="82" spans="1:15" s="75" customFormat="1" x14ac:dyDescent="0.3">
      <c r="A82" s="51" t="e" vm="38">
        <v>#VALUE!</v>
      </c>
      <c r="B82" s="50">
        <v>44459</v>
      </c>
      <c r="C82" s="47">
        <v>2500</v>
      </c>
      <c r="D82" s="47">
        <f t="shared" si="14"/>
        <v>225.93764121102578</v>
      </c>
      <c r="E82" s="49">
        <f>11.065</f>
        <v>11.065</v>
      </c>
      <c r="F82" s="37">
        <f>VLOOKUP("INF760K01019", [1]NAVAll!B$1:E$501244,4,FALSE)</f>
        <v>339.36</v>
      </c>
      <c r="G82" s="47">
        <f t="shared" si="15"/>
        <v>3755.0183999999999</v>
      </c>
      <c r="H82" s="49">
        <f>0</f>
        <v>0</v>
      </c>
      <c r="I82" s="48">
        <f t="shared" si="16"/>
        <v>1255.0183999999999</v>
      </c>
      <c r="J82" s="46">
        <f t="shared" si="17"/>
        <v>0.50200736000000001</v>
      </c>
      <c r="K82" s="47">
        <f t="shared" ca="1" si="18"/>
        <v>58.1</v>
      </c>
      <c r="L82" s="46">
        <f t="shared" ca="1" si="19"/>
        <v>0.1036848247848537</v>
      </c>
      <c r="M82" s="57"/>
      <c r="N82" s="47">
        <f t="shared" si="20"/>
        <v>-2500</v>
      </c>
      <c r="O82" s="51" t="s">
        <v>73</v>
      </c>
    </row>
    <row r="83" spans="1:15" s="75" customFormat="1" x14ac:dyDescent="0.3">
      <c r="A83" s="51" t="e" vm="38">
        <v>#VALUE!</v>
      </c>
      <c r="B83" s="50">
        <v>44489</v>
      </c>
      <c r="C83" s="47">
        <v>2500</v>
      </c>
      <c r="D83" s="47">
        <f t="shared" si="14"/>
        <v>233.6011960381237</v>
      </c>
      <c r="E83" s="49">
        <f>10.702</f>
        <v>10.702</v>
      </c>
      <c r="F83" s="37">
        <f>VLOOKUP("INF760K01019", [1]NAVAll!B$1:E$501244,4,FALSE)</f>
        <v>339.36</v>
      </c>
      <c r="G83" s="47">
        <f t="shared" si="15"/>
        <v>3631.8307199999999</v>
      </c>
      <c r="H83" s="49">
        <f>0</f>
        <v>0</v>
      </c>
      <c r="I83" s="48">
        <f t="shared" si="16"/>
        <v>1131.8307199999999</v>
      </c>
      <c r="J83" s="46">
        <f t="shared" si="17"/>
        <v>0.45273228799999998</v>
      </c>
      <c r="K83" s="47">
        <f t="shared" ca="1" si="18"/>
        <v>57.1</v>
      </c>
      <c r="L83" s="46">
        <f t="shared" ca="1" si="19"/>
        <v>9.5145139334500875E-2</v>
      </c>
      <c r="M83" s="57"/>
      <c r="N83" s="47">
        <f t="shared" si="20"/>
        <v>-2500</v>
      </c>
      <c r="O83" s="51" t="s">
        <v>73</v>
      </c>
    </row>
    <row r="84" spans="1:15" s="75" customFormat="1" x14ac:dyDescent="0.3">
      <c r="A84" s="51" t="e" vm="38">
        <v>#VALUE!</v>
      </c>
      <c r="B84" s="50">
        <v>44522</v>
      </c>
      <c r="C84" s="47">
        <v>2500</v>
      </c>
      <c r="D84" s="47">
        <f t="shared" si="14"/>
        <v>226.53135193910839</v>
      </c>
      <c r="E84" s="49">
        <f>11.036</f>
        <v>11.036</v>
      </c>
      <c r="F84" s="37">
        <f>VLOOKUP("INF760K01019", [1]NAVAll!B$1:E$501244,4,FALSE)</f>
        <v>339.36</v>
      </c>
      <c r="G84" s="47">
        <f t="shared" si="15"/>
        <v>3745.1769600000002</v>
      </c>
      <c r="H84" s="49">
        <f>0</f>
        <v>0</v>
      </c>
      <c r="I84" s="48">
        <f t="shared" si="16"/>
        <v>1245.1769600000002</v>
      </c>
      <c r="J84" s="46">
        <f t="shared" si="17"/>
        <v>0.4980707840000001</v>
      </c>
      <c r="K84" s="47">
        <f t="shared" ca="1" si="18"/>
        <v>56.033333333333331</v>
      </c>
      <c r="L84" s="46">
        <f t="shared" ca="1" si="19"/>
        <v>0.10666596207019634</v>
      </c>
      <c r="M84" s="57"/>
      <c r="N84" s="47">
        <f t="shared" si="20"/>
        <v>-2500</v>
      </c>
      <c r="O84" s="51" t="s">
        <v>73</v>
      </c>
    </row>
    <row r="85" spans="1:15" s="75" customFormat="1" x14ac:dyDescent="0.3">
      <c r="A85" s="51" t="e" vm="38">
        <v>#VALUE!</v>
      </c>
      <c r="B85" s="50">
        <v>44550</v>
      </c>
      <c r="C85" s="47">
        <v>2500</v>
      </c>
      <c r="D85" s="47">
        <f t="shared" si="14"/>
        <v>218.22625698324023</v>
      </c>
      <c r="E85" s="49">
        <f>11.456</f>
        <v>11.456</v>
      </c>
      <c r="F85" s="37">
        <f>VLOOKUP("INF760K01019", [1]NAVAll!B$1:E$501244,4,FALSE)</f>
        <v>339.36</v>
      </c>
      <c r="G85" s="47">
        <f t="shared" si="15"/>
        <v>3887.7081600000001</v>
      </c>
      <c r="H85" s="49">
        <f>0</f>
        <v>0</v>
      </c>
      <c r="I85" s="48">
        <f t="shared" si="16"/>
        <v>1387.7081600000001</v>
      </c>
      <c r="J85" s="46">
        <f t="shared" si="17"/>
        <v>0.55508326400000008</v>
      </c>
      <c r="K85" s="47">
        <f t="shared" ca="1" si="18"/>
        <v>55.1</v>
      </c>
      <c r="L85" s="46">
        <f t="shared" ca="1" si="19"/>
        <v>0.12088927709618875</v>
      </c>
      <c r="M85" s="57"/>
      <c r="N85" s="47">
        <f t="shared" si="20"/>
        <v>-2500</v>
      </c>
      <c r="O85" s="51" t="s">
        <v>73</v>
      </c>
    </row>
    <row r="86" spans="1:15" s="75" customFormat="1" x14ac:dyDescent="0.3">
      <c r="A86" s="51" t="e" vm="38">
        <v>#VALUE!</v>
      </c>
      <c r="B86" s="50">
        <v>44581</v>
      </c>
      <c r="C86" s="47">
        <v>2500</v>
      </c>
      <c r="D86" s="47">
        <f t="shared" si="14"/>
        <v>233.7322363500374</v>
      </c>
      <c r="E86" s="49">
        <f>10.696</f>
        <v>10.696</v>
      </c>
      <c r="F86" s="37">
        <f>VLOOKUP("INF760K01019", [1]NAVAll!B$1:E$501244,4,FALSE)</f>
        <v>339.36</v>
      </c>
      <c r="G86" s="47">
        <f t="shared" si="15"/>
        <v>3629.7945600000003</v>
      </c>
      <c r="H86" s="49">
        <f>0</f>
        <v>0</v>
      </c>
      <c r="I86" s="48">
        <f t="shared" si="16"/>
        <v>1129.7945600000003</v>
      </c>
      <c r="J86" s="46">
        <f t="shared" si="17"/>
        <v>0.45191782400000013</v>
      </c>
      <c r="K86" s="47">
        <f t="shared" ca="1" si="18"/>
        <v>54.1</v>
      </c>
      <c r="L86" s="46">
        <f t="shared" ca="1" si="19"/>
        <v>0.10024055245841038</v>
      </c>
      <c r="M86" s="57"/>
      <c r="N86" s="47">
        <f t="shared" si="20"/>
        <v>-2500</v>
      </c>
      <c r="O86" s="51" t="s">
        <v>73</v>
      </c>
    </row>
    <row r="87" spans="1:15" s="75" customFormat="1" x14ac:dyDescent="0.3">
      <c r="A87" s="51" t="e" vm="38">
        <v>#VALUE!</v>
      </c>
      <c r="B87" s="50">
        <v>44613</v>
      </c>
      <c r="C87" s="47">
        <v>2500</v>
      </c>
      <c r="D87" s="47">
        <f t="shared" si="14"/>
        <v>222.30126267117197</v>
      </c>
      <c r="E87" s="49">
        <f>11.246</f>
        <v>11.246</v>
      </c>
      <c r="F87" s="37">
        <f>VLOOKUP("INF760K01019", [1]NAVAll!B$1:E$501244,4,FALSE)</f>
        <v>339.36</v>
      </c>
      <c r="G87" s="47">
        <f t="shared" si="15"/>
        <v>3816.4425600000004</v>
      </c>
      <c r="H87" s="49">
        <f>0</f>
        <v>0</v>
      </c>
      <c r="I87" s="48">
        <f t="shared" si="16"/>
        <v>1316.4425600000004</v>
      </c>
      <c r="J87" s="46">
        <f t="shared" si="17"/>
        <v>0.52657702400000017</v>
      </c>
      <c r="K87" s="47">
        <f t="shared" ca="1" si="18"/>
        <v>53.06666666666667</v>
      </c>
      <c r="L87" s="46">
        <f t="shared" ca="1" si="19"/>
        <v>0.11907520643216082</v>
      </c>
      <c r="M87" s="57"/>
      <c r="N87" s="47">
        <f t="shared" si="20"/>
        <v>-2500</v>
      </c>
      <c r="O87" s="51" t="s">
        <v>73</v>
      </c>
    </row>
    <row r="88" spans="1:15" s="75" customFormat="1" x14ac:dyDescent="0.3">
      <c r="A88" s="51" t="e" vm="38">
        <v>#VALUE!</v>
      </c>
      <c r="B88" s="50">
        <v>44641</v>
      </c>
      <c r="C88" s="47">
        <v>2500</v>
      </c>
      <c r="D88" s="47">
        <f t="shared" si="14"/>
        <v>218.49327040727144</v>
      </c>
      <c r="E88" s="49">
        <f>11.442</f>
        <v>11.442</v>
      </c>
      <c r="F88" s="37">
        <f>VLOOKUP("INF760K01019", [1]NAVAll!B$1:E$501244,4,FALSE)</f>
        <v>339.36</v>
      </c>
      <c r="G88" s="47">
        <f t="shared" si="15"/>
        <v>3882.95712</v>
      </c>
      <c r="H88" s="49">
        <f>0</f>
        <v>0</v>
      </c>
      <c r="I88" s="48">
        <f t="shared" si="16"/>
        <v>1382.95712</v>
      </c>
      <c r="J88" s="46">
        <f t="shared" si="17"/>
        <v>0.55318284800000006</v>
      </c>
      <c r="K88" s="47">
        <f t="shared" ca="1" si="18"/>
        <v>52.06666666666667</v>
      </c>
      <c r="L88" s="46">
        <f t="shared" ca="1" si="19"/>
        <v>0.12749412629961587</v>
      </c>
      <c r="M88" s="57"/>
      <c r="N88" s="47">
        <f t="shared" si="20"/>
        <v>-2500</v>
      </c>
      <c r="O88" s="51" t="s">
        <v>73</v>
      </c>
    </row>
    <row r="89" spans="1:15" s="75" customFormat="1" x14ac:dyDescent="0.3">
      <c r="A89" s="51" t="e" vm="38">
        <v>#VALUE!</v>
      </c>
      <c r="B89" s="50">
        <v>44671</v>
      </c>
      <c r="C89" s="47">
        <v>2500</v>
      </c>
      <c r="D89" s="47">
        <f t="shared" si="14"/>
        <v>218.47417635235516</v>
      </c>
      <c r="E89" s="49">
        <f>11.443</f>
        <v>11.443</v>
      </c>
      <c r="F89" s="37">
        <f>VLOOKUP("INF760K01019", [1]NAVAll!B$1:E$501244,4,FALSE)</f>
        <v>339.36</v>
      </c>
      <c r="G89" s="47">
        <f t="shared" si="15"/>
        <v>3883.29648</v>
      </c>
      <c r="H89" s="49">
        <f>0</f>
        <v>0</v>
      </c>
      <c r="I89" s="48">
        <f t="shared" si="16"/>
        <v>1383.29648</v>
      </c>
      <c r="J89" s="46">
        <f t="shared" si="17"/>
        <v>0.553318592</v>
      </c>
      <c r="K89" s="47">
        <f t="shared" ca="1" si="18"/>
        <v>51.1</v>
      </c>
      <c r="L89" s="46">
        <f t="shared" ca="1" si="19"/>
        <v>0.12993782982387475</v>
      </c>
      <c r="M89" s="57"/>
      <c r="N89" s="47">
        <f t="shared" si="20"/>
        <v>-2500</v>
      </c>
      <c r="O89" s="51" t="s">
        <v>73</v>
      </c>
    </row>
    <row r="90" spans="1:15" s="75" customFormat="1" x14ac:dyDescent="0.3">
      <c r="A90" s="51" t="e" vm="38">
        <v>#VALUE!</v>
      </c>
      <c r="B90" s="50">
        <v>44701</v>
      </c>
      <c r="C90" s="47">
        <v>2500</v>
      </c>
      <c r="D90" s="47">
        <f t="shared" si="14"/>
        <v>204.03166571451888</v>
      </c>
      <c r="E90" s="49">
        <f>12.253</f>
        <v>12.253</v>
      </c>
      <c r="F90" s="37">
        <f>VLOOKUP("INF760K01019", [1]NAVAll!B$1:E$501244,4,FALSE)</f>
        <v>339.36</v>
      </c>
      <c r="G90" s="47">
        <f t="shared" si="15"/>
        <v>4158.1780800000006</v>
      </c>
      <c r="H90" s="49">
        <f>0</f>
        <v>0</v>
      </c>
      <c r="I90" s="48">
        <f t="shared" si="16"/>
        <v>1658.1780800000006</v>
      </c>
      <c r="J90" s="46">
        <f t="shared" si="17"/>
        <v>0.66327123200000027</v>
      </c>
      <c r="K90" s="47">
        <f t="shared" ca="1" si="18"/>
        <v>50.1</v>
      </c>
      <c r="L90" s="46">
        <f t="shared" ca="1" si="19"/>
        <v>0.1588673609580839</v>
      </c>
      <c r="M90" s="57"/>
      <c r="N90" s="47">
        <f t="shared" si="20"/>
        <v>-2500</v>
      </c>
      <c r="O90" s="51" t="s">
        <v>73</v>
      </c>
    </row>
    <row r="91" spans="1:15" s="75" customFormat="1" x14ac:dyDescent="0.3">
      <c r="A91" s="51" t="e" vm="38">
        <v>#VALUE!</v>
      </c>
      <c r="B91" s="50">
        <v>44732</v>
      </c>
      <c r="C91" s="47">
        <v>2500</v>
      </c>
      <c r="D91" s="47">
        <f t="shared" si="14"/>
        <v>193.27406262079629</v>
      </c>
      <c r="E91" s="49">
        <f>12.935</f>
        <v>12.935</v>
      </c>
      <c r="F91" s="37">
        <f>VLOOKUP("INF760K01019", [1]NAVAll!B$1:E$501244,4,FALSE)</f>
        <v>339.36</v>
      </c>
      <c r="G91" s="47">
        <f t="shared" si="15"/>
        <v>4389.6216000000004</v>
      </c>
      <c r="H91" s="49">
        <f>0</f>
        <v>0</v>
      </c>
      <c r="I91" s="48">
        <f t="shared" si="16"/>
        <v>1889.6216000000004</v>
      </c>
      <c r="J91" s="46">
        <f t="shared" si="17"/>
        <v>0.75584864000000018</v>
      </c>
      <c r="K91" s="47">
        <f t="shared" ca="1" si="18"/>
        <v>49.1</v>
      </c>
      <c r="L91" s="46">
        <f t="shared" ca="1" si="19"/>
        <v>0.18472879185336055</v>
      </c>
      <c r="M91" s="57"/>
      <c r="N91" s="47">
        <f t="shared" si="20"/>
        <v>-2500</v>
      </c>
      <c r="O91" s="51" t="s">
        <v>73</v>
      </c>
    </row>
    <row r="92" spans="1:15" s="75" customFormat="1" x14ac:dyDescent="0.3">
      <c r="A92" s="51" t="e" vm="38">
        <v>#VALUE!</v>
      </c>
      <c r="B92" s="50">
        <v>44762</v>
      </c>
      <c r="C92" s="47">
        <v>2500</v>
      </c>
      <c r="D92" s="47">
        <f t="shared" si="14"/>
        <v>209.59087860496311</v>
      </c>
      <c r="E92" s="49">
        <f>11.928</f>
        <v>11.928000000000001</v>
      </c>
      <c r="F92" s="37">
        <f>VLOOKUP("INF760K01019", [1]NAVAll!B$1:E$501244,4,FALSE)</f>
        <v>339.36</v>
      </c>
      <c r="G92" s="47">
        <f t="shared" si="15"/>
        <v>4047.8860800000002</v>
      </c>
      <c r="H92" s="49">
        <f>0</f>
        <v>0</v>
      </c>
      <c r="I92" s="48">
        <f t="shared" si="16"/>
        <v>1547.8860800000002</v>
      </c>
      <c r="J92" s="46">
        <f t="shared" si="17"/>
        <v>0.61915443200000009</v>
      </c>
      <c r="K92" s="47">
        <f t="shared" ca="1" si="18"/>
        <v>48.1</v>
      </c>
      <c r="L92" s="46">
        <f t="shared" ca="1" si="19"/>
        <v>0.15446680216216216</v>
      </c>
      <c r="M92" s="57"/>
      <c r="N92" s="47">
        <f t="shared" si="20"/>
        <v>-2500</v>
      </c>
      <c r="O92" s="51" t="s">
        <v>73</v>
      </c>
    </row>
    <row r="93" spans="1:15" s="75" customFormat="1" x14ac:dyDescent="0.3">
      <c r="A93" s="51" t="e" vm="38">
        <v>#VALUE!</v>
      </c>
      <c r="B93" s="50">
        <v>44795</v>
      </c>
      <c r="C93" s="47">
        <v>2500</v>
      </c>
      <c r="D93" s="47">
        <f t="shared" si="14"/>
        <v>220.63365987114994</v>
      </c>
      <c r="E93" s="49">
        <f>11.331</f>
        <v>11.331</v>
      </c>
      <c r="F93" s="37">
        <f>VLOOKUP("INF760K01019", [1]NAVAll!B$1:E$501244,4,FALSE)</f>
        <v>339.36</v>
      </c>
      <c r="G93" s="47">
        <f t="shared" si="15"/>
        <v>3845.2881600000001</v>
      </c>
      <c r="H93" s="49">
        <f>0</f>
        <v>0</v>
      </c>
      <c r="I93" s="48">
        <f t="shared" si="16"/>
        <v>1345.2881600000001</v>
      </c>
      <c r="J93" s="46">
        <f t="shared" si="17"/>
        <v>0.53811526399999998</v>
      </c>
      <c r="K93" s="47">
        <f t="shared" ca="1" si="18"/>
        <v>47.033333333333331</v>
      </c>
      <c r="L93" s="46">
        <f t="shared" ca="1" si="19"/>
        <v>0.13729375977321048</v>
      </c>
      <c r="M93" s="57"/>
      <c r="N93" s="47">
        <f t="shared" si="20"/>
        <v>-2500</v>
      </c>
      <c r="O93" s="51" t="s">
        <v>73</v>
      </c>
    </row>
    <row r="94" spans="1:15" s="75" customFormat="1" x14ac:dyDescent="0.3">
      <c r="A94" s="51" t="e" vm="38">
        <v>#VALUE!</v>
      </c>
      <c r="B94" s="50">
        <v>44824</v>
      </c>
      <c r="C94" s="47">
        <v>2500</v>
      </c>
      <c r="D94" s="47">
        <f t="shared" si="14"/>
        <v>227.21076070162684</v>
      </c>
      <c r="E94" s="49">
        <f>11.003</f>
        <v>11.003</v>
      </c>
      <c r="F94" s="37">
        <f>VLOOKUP("INF760K01019", [1]NAVAll!B$1:E$501244,4,FALSE)</f>
        <v>339.36</v>
      </c>
      <c r="G94" s="47">
        <f t="shared" si="15"/>
        <v>3733.9780800000003</v>
      </c>
      <c r="H94" s="49">
        <f>0</f>
        <v>0</v>
      </c>
      <c r="I94" s="48">
        <f t="shared" si="16"/>
        <v>1233.9780800000003</v>
      </c>
      <c r="J94" s="46">
        <f t="shared" si="17"/>
        <v>0.4935912320000001</v>
      </c>
      <c r="K94" s="47">
        <f t="shared" ca="1" si="18"/>
        <v>46.1</v>
      </c>
      <c r="L94" s="46">
        <f t="shared" ca="1" si="19"/>
        <v>0.12848361787418658</v>
      </c>
      <c r="M94" s="57"/>
      <c r="N94" s="47">
        <f t="shared" si="20"/>
        <v>-2500</v>
      </c>
      <c r="O94" s="51" t="s">
        <v>73</v>
      </c>
    </row>
    <row r="95" spans="1:15" s="75" customFormat="1" x14ac:dyDescent="0.3">
      <c r="A95" s="51" t="e" vm="38">
        <v>#VALUE!</v>
      </c>
      <c r="B95" s="50">
        <v>44854</v>
      </c>
      <c r="C95" s="47">
        <v>2500</v>
      </c>
      <c r="D95" s="47">
        <f t="shared" si="14"/>
        <v>221.98543775528324</v>
      </c>
      <c r="E95" s="49">
        <f>11.262</f>
        <v>11.262</v>
      </c>
      <c r="F95" s="37">
        <f>VLOOKUP("INF760K01019", [1]NAVAll!B$1:E$501244,4,FALSE)</f>
        <v>339.36</v>
      </c>
      <c r="G95" s="47">
        <f t="shared" si="15"/>
        <v>3821.8723200000004</v>
      </c>
      <c r="H95" s="49">
        <f>0</f>
        <v>0</v>
      </c>
      <c r="I95" s="48">
        <f t="shared" si="16"/>
        <v>1321.8723200000004</v>
      </c>
      <c r="J95" s="46">
        <f t="shared" si="17"/>
        <v>0.52874892800000017</v>
      </c>
      <c r="K95" s="47">
        <f t="shared" ca="1" si="18"/>
        <v>45.1</v>
      </c>
      <c r="L95" s="46">
        <f t="shared" ca="1" si="19"/>
        <v>0.14068707618625281</v>
      </c>
      <c r="M95" s="57"/>
      <c r="N95" s="47">
        <f t="shared" si="20"/>
        <v>-2500</v>
      </c>
      <c r="O95" s="51" t="s">
        <v>73</v>
      </c>
    </row>
    <row r="96" spans="1:15" s="75" customFormat="1" x14ac:dyDescent="0.3">
      <c r="A96" s="51" t="e" vm="38">
        <v>#VALUE!</v>
      </c>
      <c r="B96" s="50">
        <v>44886</v>
      </c>
      <c r="C96" s="47">
        <v>2500</v>
      </c>
      <c r="D96" s="47">
        <f t="shared" si="14"/>
        <v>226.69568371418208</v>
      </c>
      <c r="E96" s="49">
        <f>11.028</f>
        <v>11.028</v>
      </c>
      <c r="F96" s="37">
        <f>VLOOKUP("INF760K01019", [1]NAVAll!B$1:E$501244,4,FALSE)</f>
        <v>339.36</v>
      </c>
      <c r="G96" s="47">
        <f t="shared" si="15"/>
        <v>3742.4620800000002</v>
      </c>
      <c r="H96" s="49">
        <f>0</f>
        <v>0</v>
      </c>
      <c r="I96" s="48">
        <f t="shared" si="16"/>
        <v>1242.4620800000002</v>
      </c>
      <c r="J96" s="46">
        <f t="shared" si="17"/>
        <v>0.4969848320000001</v>
      </c>
      <c r="K96" s="47">
        <f t="shared" ca="1" si="18"/>
        <v>44.06666666666667</v>
      </c>
      <c r="L96" s="46">
        <f t="shared" ca="1" si="19"/>
        <v>0.13533626287443271</v>
      </c>
      <c r="M96" s="57"/>
      <c r="N96" s="47">
        <f t="shared" si="20"/>
        <v>-2500</v>
      </c>
      <c r="O96" s="51" t="s">
        <v>73</v>
      </c>
    </row>
    <row r="97" spans="1:15" s="75" customFormat="1" x14ac:dyDescent="0.3">
      <c r="A97" s="51" t="e" vm="38">
        <v>#VALUE!</v>
      </c>
      <c r="B97" s="50">
        <v>44915</v>
      </c>
      <c r="C97" s="47">
        <v>2500</v>
      </c>
      <c r="D97" s="47">
        <f t="shared" si="14"/>
        <v>228.8748512313467</v>
      </c>
      <c r="E97" s="49">
        <f>10.923</f>
        <v>10.923</v>
      </c>
      <c r="F97" s="37">
        <f>VLOOKUP("INF760K01019", [1]NAVAll!B$1:E$501244,4,FALSE)</f>
        <v>339.36</v>
      </c>
      <c r="G97" s="47">
        <f t="shared" si="15"/>
        <v>3706.8292800000004</v>
      </c>
      <c r="H97" s="49">
        <f>0</f>
        <v>0</v>
      </c>
      <c r="I97" s="48">
        <f t="shared" si="16"/>
        <v>1206.8292800000004</v>
      </c>
      <c r="J97" s="46">
        <f t="shared" si="17"/>
        <v>0.48273171200000015</v>
      </c>
      <c r="K97" s="47">
        <f t="shared" ca="1" si="18"/>
        <v>43.1</v>
      </c>
      <c r="L97" s="46">
        <f t="shared" ca="1" si="19"/>
        <v>0.13440326088167057</v>
      </c>
      <c r="M97" s="57"/>
      <c r="N97" s="47">
        <f t="shared" si="20"/>
        <v>-2500</v>
      </c>
      <c r="O97" s="51" t="s">
        <v>73</v>
      </c>
    </row>
    <row r="98" spans="1:15" s="75" customFormat="1" x14ac:dyDescent="0.3">
      <c r="A98" s="51" t="e" vm="38">
        <v>#VALUE!</v>
      </c>
      <c r="B98" s="50">
        <v>44946</v>
      </c>
      <c r="C98" s="47">
        <v>2500</v>
      </c>
      <c r="D98" s="47">
        <f t="shared" si="14"/>
        <v>223.85386819484242</v>
      </c>
      <c r="E98" s="49">
        <f>11.168</f>
        <v>11.167999999999999</v>
      </c>
      <c r="F98" s="37">
        <f>VLOOKUP("INF760K01019", [1]NAVAll!B$1:E$501244,4,FALSE)</f>
        <v>339.36</v>
      </c>
      <c r="G98" s="47">
        <f t="shared" si="15"/>
        <v>3789.9724799999999</v>
      </c>
      <c r="H98" s="49">
        <f>0</f>
        <v>0</v>
      </c>
      <c r="I98" s="48">
        <f t="shared" si="16"/>
        <v>1289.9724799999999</v>
      </c>
      <c r="J98" s="46">
        <f t="shared" si="17"/>
        <v>0.51598899199999992</v>
      </c>
      <c r="K98" s="47">
        <f t="shared" ca="1" si="18"/>
        <v>42.1</v>
      </c>
      <c r="L98" s="46">
        <f t="shared" ca="1" si="19"/>
        <v>0.14707524712589071</v>
      </c>
      <c r="M98" s="57"/>
      <c r="N98" s="47">
        <f t="shared" si="20"/>
        <v>-2500</v>
      </c>
      <c r="O98" s="51" t="s">
        <v>73</v>
      </c>
    </row>
    <row r="99" spans="1:15" s="75" customFormat="1" x14ac:dyDescent="0.3">
      <c r="A99" s="51" t="e" vm="38">
        <v>#VALUE!</v>
      </c>
      <c r="B99" s="50">
        <v>44977</v>
      </c>
      <c r="C99" s="47">
        <v>2500</v>
      </c>
      <c r="D99" s="47">
        <f t="shared" si="14"/>
        <v>222.97538351765965</v>
      </c>
      <c r="E99" s="49">
        <f>11.212</f>
        <v>11.212</v>
      </c>
      <c r="F99" s="37">
        <f>VLOOKUP("INF760K01019", [1]NAVAll!B$1:E$501244,4,FALSE)</f>
        <v>339.36</v>
      </c>
      <c r="G99" s="47">
        <f t="shared" si="15"/>
        <v>3804.9043200000001</v>
      </c>
      <c r="H99" s="49">
        <f>0</f>
        <v>0</v>
      </c>
      <c r="I99" s="48">
        <f t="shared" si="16"/>
        <v>1304.9043200000001</v>
      </c>
      <c r="J99" s="46">
        <f t="shared" si="17"/>
        <v>0.52196172800000007</v>
      </c>
      <c r="K99" s="47">
        <f t="shared" ca="1" si="18"/>
        <v>41.1</v>
      </c>
      <c r="L99" s="46">
        <f t="shared" ca="1" si="19"/>
        <v>0.15239758481751828</v>
      </c>
      <c r="M99" s="57"/>
      <c r="N99" s="47">
        <f t="shared" si="20"/>
        <v>-2500</v>
      </c>
      <c r="O99" s="51" t="s">
        <v>73</v>
      </c>
    </row>
    <row r="100" spans="1:15" s="75" customFormat="1" x14ac:dyDescent="0.3">
      <c r="A100" s="51" t="e" vm="38">
        <v>#VALUE!</v>
      </c>
      <c r="B100" s="50">
        <v>45005</v>
      </c>
      <c r="C100" s="47">
        <v>2500</v>
      </c>
      <c r="D100" s="47">
        <f t="shared" si="14"/>
        <v>212.31422505307856</v>
      </c>
      <c r="E100" s="48">
        <f>11.775</f>
        <v>11.775</v>
      </c>
      <c r="F100" s="37">
        <f>VLOOKUP("INF760K01019", [1]NAVAll!B$1:E$501244,4,FALSE)</f>
        <v>339.36</v>
      </c>
      <c r="G100" s="47">
        <f t="shared" si="15"/>
        <v>3995.9640000000004</v>
      </c>
      <c r="H100" s="49">
        <f>0</f>
        <v>0</v>
      </c>
      <c r="I100" s="48">
        <f t="shared" si="16"/>
        <v>1495.9640000000004</v>
      </c>
      <c r="J100" s="46">
        <f t="shared" si="17"/>
        <v>0.59838560000000018</v>
      </c>
      <c r="K100" s="47">
        <f t="shared" ca="1" si="18"/>
        <v>40.1</v>
      </c>
      <c r="L100" s="46">
        <f t="shared" ca="1" si="19"/>
        <v>0.17906800997506239</v>
      </c>
      <c r="M100" s="57"/>
      <c r="N100" s="47">
        <f t="shared" si="20"/>
        <v>-2500</v>
      </c>
      <c r="O100" s="51" t="s">
        <v>73</v>
      </c>
    </row>
    <row r="101" spans="1:15" s="75" customFormat="1" x14ac:dyDescent="0.3">
      <c r="A101" s="51" t="e" vm="38">
        <v>#VALUE!</v>
      </c>
      <c r="B101" s="50">
        <v>45036</v>
      </c>
      <c r="C101" s="47">
        <v>2500</v>
      </c>
      <c r="D101" s="47">
        <f t="shared" si="14"/>
        <v>220.36139268400174</v>
      </c>
      <c r="E101" s="48">
        <f>11.345</f>
        <v>11.345000000000001</v>
      </c>
      <c r="F101" s="37">
        <f>VLOOKUP("INF760K01019", [1]NAVAll!B$1:E$501244,4,FALSE)</f>
        <v>339.36</v>
      </c>
      <c r="G101" s="47">
        <f t="shared" si="15"/>
        <v>3850.0392000000002</v>
      </c>
      <c r="H101" s="49">
        <f>0</f>
        <v>0</v>
      </c>
      <c r="I101" s="48">
        <f t="shared" si="16"/>
        <v>1350.0392000000002</v>
      </c>
      <c r="J101" s="46">
        <f t="shared" si="17"/>
        <v>0.54001568000000011</v>
      </c>
      <c r="K101" s="47">
        <f t="shared" ca="1" si="18"/>
        <v>39.1</v>
      </c>
      <c r="L101" s="46">
        <f t="shared" ca="1" si="19"/>
        <v>0.16573371253196933</v>
      </c>
      <c r="M101" s="57"/>
      <c r="N101" s="47">
        <f t="shared" si="20"/>
        <v>-2500</v>
      </c>
      <c r="O101" s="51" t="s">
        <v>73</v>
      </c>
    </row>
    <row r="102" spans="1:15" s="75" customFormat="1" x14ac:dyDescent="0.3">
      <c r="A102" s="51" t="e" vm="38">
        <v>#VALUE!</v>
      </c>
      <c r="B102" s="50">
        <v>45068</v>
      </c>
      <c r="C102" s="47">
        <v>2500</v>
      </c>
      <c r="D102" s="47">
        <f t="shared" si="14"/>
        <v>230.30861354214647</v>
      </c>
      <c r="E102" s="48">
        <f>10.855</f>
        <v>10.855</v>
      </c>
      <c r="F102" s="37">
        <f>VLOOKUP("INF760K01019", [1]NAVAll!B$1:E$501244,4,FALSE)</f>
        <v>339.36</v>
      </c>
      <c r="G102" s="47">
        <f t="shared" si="15"/>
        <v>3683.7528000000002</v>
      </c>
      <c r="H102" s="49">
        <f>0</f>
        <v>0</v>
      </c>
      <c r="I102" s="48">
        <f t="shared" si="16"/>
        <v>1183.7528000000002</v>
      </c>
      <c r="J102" s="46">
        <f t="shared" si="17"/>
        <v>0.47350112000000011</v>
      </c>
      <c r="K102" s="47">
        <f t="shared" ca="1" si="18"/>
        <v>38.033333333333331</v>
      </c>
      <c r="L102" s="46">
        <f t="shared" ca="1" si="19"/>
        <v>0.1493956206836109</v>
      </c>
      <c r="M102" s="57"/>
      <c r="N102" s="47">
        <f t="shared" si="20"/>
        <v>-2500</v>
      </c>
      <c r="O102" s="51" t="s">
        <v>73</v>
      </c>
    </row>
    <row r="103" spans="1:15" s="75" customFormat="1" x14ac:dyDescent="0.3">
      <c r="A103" s="51" t="e" vm="38">
        <v>#VALUE!</v>
      </c>
      <c r="B103" s="50">
        <v>45097</v>
      </c>
      <c r="C103" s="47">
        <v>2500</v>
      </c>
      <c r="D103" s="47">
        <f t="shared" si="14"/>
        <v>239.46360153256705</v>
      </c>
      <c r="E103" s="48">
        <f>10.44</f>
        <v>10.44</v>
      </c>
      <c r="F103" s="37">
        <f>VLOOKUP("INF760K01019", [1]NAVAll!B$1:E$501244,4,FALSE)</f>
        <v>339.36</v>
      </c>
      <c r="G103" s="47">
        <f t="shared" si="15"/>
        <v>3542.9184</v>
      </c>
      <c r="H103" s="49">
        <f>0</f>
        <v>0</v>
      </c>
      <c r="I103" s="48">
        <f t="shared" si="16"/>
        <v>1042.9184</v>
      </c>
      <c r="J103" s="46">
        <f t="shared" si="17"/>
        <v>0.41716735999999999</v>
      </c>
      <c r="K103" s="47">
        <f t="shared" ca="1" si="18"/>
        <v>37.1</v>
      </c>
      <c r="L103" s="46">
        <f t="shared" ca="1" si="19"/>
        <v>0.13493283881401616</v>
      </c>
      <c r="M103" s="57"/>
      <c r="N103" s="47">
        <f t="shared" si="20"/>
        <v>-2500</v>
      </c>
      <c r="O103" s="51" t="s">
        <v>73</v>
      </c>
    </row>
    <row r="104" spans="1:15" s="75" customFormat="1" x14ac:dyDescent="0.3">
      <c r="A104" s="51" t="e" vm="38">
        <v>#VALUE!</v>
      </c>
      <c r="B104" s="50">
        <v>45127</v>
      </c>
      <c r="C104" s="47">
        <v>2500</v>
      </c>
      <c r="D104" s="47">
        <f t="shared" si="14"/>
        <v>250.52610482012227</v>
      </c>
      <c r="E104" s="48">
        <f>9.979</f>
        <v>9.9789999999999992</v>
      </c>
      <c r="F104" s="37">
        <f>VLOOKUP("INF760K01019", [1]NAVAll!B$1:E$501244,4,FALSE)</f>
        <v>339.36</v>
      </c>
      <c r="G104" s="47">
        <f t="shared" si="15"/>
        <v>3386.4734399999998</v>
      </c>
      <c r="H104" s="49">
        <f>0</f>
        <v>0</v>
      </c>
      <c r="I104" s="48">
        <f t="shared" si="16"/>
        <v>886.47343999999975</v>
      </c>
      <c r="J104" s="46">
        <f t="shared" si="17"/>
        <v>0.3545893759999999</v>
      </c>
      <c r="K104" s="47">
        <f t="shared" ca="1" si="18"/>
        <v>36.1</v>
      </c>
      <c r="L104" s="46">
        <f t="shared" ca="1" si="19"/>
        <v>0.11786904465373958</v>
      </c>
      <c r="M104" s="57"/>
      <c r="N104" s="47">
        <f>-C104</f>
        <v>-2500</v>
      </c>
      <c r="O104" s="51" t="s">
        <v>73</v>
      </c>
    </row>
    <row r="105" spans="1:15" s="75" customFormat="1" x14ac:dyDescent="0.3">
      <c r="A105" s="76" t="s">
        <v>74</v>
      </c>
      <c r="B105" s="77">
        <f ca="1">TODAY()</f>
        <v>46226</v>
      </c>
      <c r="C105" s="78"/>
      <c r="D105" s="78"/>
      <c r="E105" s="79"/>
      <c r="F105" s="80"/>
      <c r="G105" s="78"/>
      <c r="H105" s="80"/>
      <c r="I105" s="79"/>
      <c r="J105" s="81"/>
      <c r="K105" s="78"/>
      <c r="L105" s="81"/>
      <c r="M105" s="82"/>
      <c r="N105" s="78">
        <f>SUM(G49:G104)</f>
        <v>280251.29328000004</v>
      </c>
      <c r="O105" s="51"/>
    </row>
    <row r="106" spans="1:15" s="75" customFormat="1" x14ac:dyDescent="0.3">
      <c r="A106" s="76" t="s">
        <v>75</v>
      </c>
      <c r="B106" s="77"/>
      <c r="C106" s="78"/>
      <c r="D106" s="78"/>
      <c r="E106" s="79"/>
      <c r="F106" s="80"/>
      <c r="G106" s="78"/>
      <c r="H106" s="80"/>
      <c r="I106" s="79"/>
      <c r="J106" s="81">
        <f>SUM(N49:N105)/-SUM(N49:N104)</f>
        <v>1.0017949520000002</v>
      </c>
      <c r="K106" s="78"/>
      <c r="L106" s="81"/>
      <c r="M106" s="82"/>
      <c r="N106" s="78"/>
      <c r="O106" s="51"/>
    </row>
    <row r="107" spans="1:15" s="75" customFormat="1" x14ac:dyDescent="0.3">
      <c r="A107" s="76" t="s">
        <v>76</v>
      </c>
      <c r="B107" s="77"/>
      <c r="C107" s="78"/>
      <c r="D107" s="78"/>
      <c r="E107" s="79"/>
      <c r="F107" s="80"/>
      <c r="G107" s="78"/>
      <c r="H107" s="80"/>
      <c r="I107" s="79"/>
      <c r="J107" s="81">
        <f ca="1">XIRR(N49:N105,B49:B105)</f>
        <v>0.13670799136161804</v>
      </c>
      <c r="K107" s="78"/>
      <c r="L107" s="81"/>
      <c r="M107" s="82"/>
      <c r="N107" s="78"/>
      <c r="O107" s="51"/>
    </row>
    <row r="108" spans="1:15" s="75" customFormat="1" x14ac:dyDescent="0.3">
      <c r="A108" s="83" t="e" vm="39">
        <v>#VALUE!</v>
      </c>
      <c r="B108" s="50">
        <v>44671</v>
      </c>
      <c r="C108" s="47">
        <v>25000</v>
      </c>
      <c r="D108" s="47">
        <f t="shared" ref="D108:D119" si="21">C108/E108</f>
        <v>24.321219096242952</v>
      </c>
      <c r="E108" s="49">
        <f>1027.909</f>
        <v>1027.9090000000001</v>
      </c>
      <c r="F108" s="37">
        <f>VLOOKUP("INF760K01JF9", [1]NAVAll!B$1:E$501244,4,FALSE)</f>
        <v>40.270000000000003</v>
      </c>
      <c r="G108" s="47">
        <f t="shared" ref="G108:G119" si="22">PRODUCT(E108:F108)</f>
        <v>41393.895430000004</v>
      </c>
      <c r="H108" s="49">
        <f>0</f>
        <v>0</v>
      </c>
      <c r="I108" s="48">
        <f t="shared" ref="I108:I119" si="23">SUM(-C108,G108)+H108</f>
        <v>16393.895430000004</v>
      </c>
      <c r="J108" s="46">
        <f t="shared" ref="J108:J119" si="24">I108/C108</f>
        <v>0.6557558172000002</v>
      </c>
      <c r="K108" s="47">
        <f t="shared" ref="K108:K119" ca="1" si="25">(DAYS360(B108,NOW(),TRUE))/30</f>
        <v>51.1</v>
      </c>
      <c r="L108" s="46">
        <f t="shared" ref="L108:L119" ca="1" si="26">J108*12/K108</f>
        <v>0.15399353828571433</v>
      </c>
      <c r="M108" s="57" t="s">
        <v>77</v>
      </c>
      <c r="N108" s="47">
        <f t="shared" ref="N108:N215" si="27">-C108</f>
        <v>-25000</v>
      </c>
      <c r="O108" s="51" t="s">
        <v>69</v>
      </c>
    </row>
    <row r="109" spans="1:15" s="75" customFormat="1" x14ac:dyDescent="0.3">
      <c r="A109" s="83" t="e" vm="39">
        <v>#VALUE!</v>
      </c>
      <c r="B109" s="50">
        <v>44701</v>
      </c>
      <c r="C109" s="47">
        <v>25000</v>
      </c>
      <c r="D109" s="47">
        <f t="shared" si="21"/>
        <v>22.371124426404371</v>
      </c>
      <c r="E109" s="49">
        <f>1117.512</f>
        <v>1117.5119999999999</v>
      </c>
      <c r="F109" s="37">
        <f>VLOOKUP("INF760K01JF9", [1]NAVAll!B$1:E$501244,4,FALSE)</f>
        <v>40.270000000000003</v>
      </c>
      <c r="G109" s="47">
        <f t="shared" si="22"/>
        <v>45002.20824</v>
      </c>
      <c r="H109" s="49">
        <f>0</f>
        <v>0</v>
      </c>
      <c r="I109" s="48">
        <f t="shared" si="23"/>
        <v>20002.20824</v>
      </c>
      <c r="J109" s="46">
        <f t="shared" si="24"/>
        <v>0.80008832959999998</v>
      </c>
      <c r="K109" s="47">
        <f t="shared" ca="1" si="25"/>
        <v>50.1</v>
      </c>
      <c r="L109" s="46">
        <f t="shared" ca="1" si="26"/>
        <v>0.19163792325748502</v>
      </c>
      <c r="M109" s="57" t="s">
        <v>77</v>
      </c>
      <c r="N109" s="47">
        <f t="shared" si="27"/>
        <v>-25000</v>
      </c>
      <c r="O109" s="51" t="s">
        <v>69</v>
      </c>
    </row>
    <row r="110" spans="1:15" s="75" customFormat="1" x14ac:dyDescent="0.3">
      <c r="A110" s="83" t="e" vm="39">
        <v>#VALUE!</v>
      </c>
      <c r="B110" s="50">
        <v>44732</v>
      </c>
      <c r="C110" s="47">
        <v>25000</v>
      </c>
      <c r="D110" s="47">
        <f t="shared" si="21"/>
        <v>20.771037529941452</v>
      </c>
      <c r="E110" s="49">
        <f>1203.599</f>
        <v>1203.5989999999999</v>
      </c>
      <c r="F110" s="37">
        <f>VLOOKUP("INF760K01JF9", [1]NAVAll!B$1:E$501244,4,FALSE)</f>
        <v>40.270000000000003</v>
      </c>
      <c r="G110" s="47">
        <f t="shared" si="22"/>
        <v>48468.931730000004</v>
      </c>
      <c r="H110" s="49">
        <f>0</f>
        <v>0</v>
      </c>
      <c r="I110" s="48">
        <f t="shared" si="23"/>
        <v>23468.931730000004</v>
      </c>
      <c r="J110" s="46">
        <f t="shared" si="24"/>
        <v>0.93875726920000013</v>
      </c>
      <c r="K110" s="47">
        <f t="shared" ca="1" si="25"/>
        <v>49.1</v>
      </c>
      <c r="L110" s="46">
        <f t="shared" ca="1" si="26"/>
        <v>0.22943151182077398</v>
      </c>
      <c r="M110" s="57" t="s">
        <v>77</v>
      </c>
      <c r="N110" s="47">
        <f t="shared" si="27"/>
        <v>-25000</v>
      </c>
      <c r="O110" s="51" t="s">
        <v>69</v>
      </c>
    </row>
    <row r="111" spans="1:15" s="75" customFormat="1" x14ac:dyDescent="0.3">
      <c r="A111" s="83" t="e" vm="39">
        <v>#VALUE!</v>
      </c>
      <c r="B111" s="50">
        <v>44762</v>
      </c>
      <c r="C111" s="47">
        <v>25000</v>
      </c>
      <c r="D111" s="47">
        <f t="shared" si="21"/>
        <v>23.191159159070015</v>
      </c>
      <c r="E111" s="49">
        <f>1077.997</f>
        <v>1077.9970000000001</v>
      </c>
      <c r="F111" s="37">
        <f>VLOOKUP("INF760K01JF9", [1]NAVAll!B$1:E$501244,4,FALSE)</f>
        <v>40.270000000000003</v>
      </c>
      <c r="G111" s="47">
        <f t="shared" si="22"/>
        <v>43410.939190000005</v>
      </c>
      <c r="H111" s="49">
        <f>0</f>
        <v>0</v>
      </c>
      <c r="I111" s="48">
        <f t="shared" si="23"/>
        <v>18410.939190000005</v>
      </c>
      <c r="J111" s="46">
        <f t="shared" si="24"/>
        <v>0.73643756760000023</v>
      </c>
      <c r="K111" s="47">
        <f t="shared" ca="1" si="25"/>
        <v>48.1</v>
      </c>
      <c r="L111" s="46">
        <f t="shared" ca="1" si="26"/>
        <v>0.18372662809147614</v>
      </c>
      <c r="M111" s="57" t="s">
        <v>77</v>
      </c>
      <c r="N111" s="47">
        <f t="shared" si="27"/>
        <v>-25000</v>
      </c>
      <c r="O111" s="51" t="s">
        <v>69</v>
      </c>
    </row>
    <row r="112" spans="1:15" s="75" customFormat="1" x14ac:dyDescent="0.3">
      <c r="A112" s="83" t="e" vm="39">
        <v>#VALUE!</v>
      </c>
      <c r="B112" s="50">
        <v>44795</v>
      </c>
      <c r="C112" s="47">
        <v>25000</v>
      </c>
      <c r="D112" s="47">
        <f t="shared" si="21"/>
        <v>23.961186711317538</v>
      </c>
      <c r="E112" s="49">
        <f>1043.354</f>
        <v>1043.354</v>
      </c>
      <c r="F112" s="37">
        <f>VLOOKUP("INF760K01JF9", [1]NAVAll!B$1:E$501244,4,FALSE)</f>
        <v>40.270000000000003</v>
      </c>
      <c r="G112" s="47">
        <f t="shared" si="22"/>
        <v>42015.865580000005</v>
      </c>
      <c r="H112" s="49">
        <f>0</f>
        <v>0</v>
      </c>
      <c r="I112" s="48">
        <f t="shared" si="23"/>
        <v>17015.865580000005</v>
      </c>
      <c r="J112" s="46">
        <f t="shared" si="24"/>
        <v>0.68063462320000023</v>
      </c>
      <c r="K112" s="47">
        <f t="shared" ca="1" si="25"/>
        <v>47.033333333333331</v>
      </c>
      <c r="L112" s="46">
        <f t="shared" ca="1" si="26"/>
        <v>0.17365589252445079</v>
      </c>
      <c r="M112" s="57" t="s">
        <v>78</v>
      </c>
      <c r="N112" s="47">
        <f t="shared" si="27"/>
        <v>-25000</v>
      </c>
      <c r="O112" s="51" t="s">
        <v>69</v>
      </c>
    </row>
    <row r="113" spans="1:15" s="75" customFormat="1" x14ac:dyDescent="0.3">
      <c r="A113" s="83" t="e" vm="39">
        <v>#VALUE!</v>
      </c>
      <c r="B113" s="50">
        <v>44824</v>
      </c>
      <c r="C113" s="47">
        <v>25000</v>
      </c>
      <c r="D113" s="47">
        <f t="shared" si="21"/>
        <v>25.351267157737613</v>
      </c>
      <c r="E113" s="49">
        <f>986.144</f>
        <v>986.14400000000001</v>
      </c>
      <c r="F113" s="37">
        <f>VLOOKUP("INF760K01JF9", [1]NAVAll!B$1:E$501244,4,FALSE)</f>
        <v>40.270000000000003</v>
      </c>
      <c r="G113" s="47">
        <f t="shared" si="22"/>
        <v>39712.018880000003</v>
      </c>
      <c r="H113" s="49">
        <f>0</f>
        <v>0</v>
      </c>
      <c r="I113" s="48">
        <f t="shared" si="23"/>
        <v>14712.018880000003</v>
      </c>
      <c r="J113" s="46">
        <f t="shared" si="24"/>
        <v>0.58848075520000009</v>
      </c>
      <c r="K113" s="47">
        <f t="shared" ca="1" si="25"/>
        <v>46.1</v>
      </c>
      <c r="L113" s="46">
        <f t="shared" ca="1" si="26"/>
        <v>0.15318371068112802</v>
      </c>
      <c r="M113" s="57" t="s">
        <v>78</v>
      </c>
      <c r="N113" s="47">
        <f t="shared" si="27"/>
        <v>-25000</v>
      </c>
      <c r="O113" s="51" t="s">
        <v>69</v>
      </c>
    </row>
    <row r="114" spans="1:15" s="75" customFormat="1" x14ac:dyDescent="0.3">
      <c r="A114" s="83" t="e" vm="39">
        <v>#VALUE!</v>
      </c>
      <c r="B114" s="50">
        <v>44854</v>
      </c>
      <c r="C114" s="47">
        <v>25000</v>
      </c>
      <c r="D114" s="47">
        <f t="shared" si="21"/>
        <v>24.571232001572557</v>
      </c>
      <c r="E114" s="49">
        <f>1017.45</f>
        <v>1017.45</v>
      </c>
      <c r="F114" s="37">
        <f>VLOOKUP("INF760K01JF9", [1]NAVAll!B$1:E$501244,4,FALSE)</f>
        <v>40.270000000000003</v>
      </c>
      <c r="G114" s="47">
        <f t="shared" si="22"/>
        <v>40972.711500000005</v>
      </c>
      <c r="H114" s="49">
        <f>0</f>
        <v>0</v>
      </c>
      <c r="I114" s="48">
        <f t="shared" si="23"/>
        <v>15972.711500000005</v>
      </c>
      <c r="J114" s="46">
        <f t="shared" si="24"/>
        <v>0.63890846000000023</v>
      </c>
      <c r="K114" s="47">
        <f t="shared" ca="1" si="25"/>
        <v>45.1</v>
      </c>
      <c r="L114" s="46">
        <f t="shared" ca="1" si="26"/>
        <v>0.16999781640798234</v>
      </c>
      <c r="M114" s="57" t="s">
        <v>78</v>
      </c>
      <c r="N114" s="47">
        <f t="shared" si="27"/>
        <v>-25000</v>
      </c>
      <c r="O114" s="51" t="s">
        <v>69</v>
      </c>
    </row>
    <row r="115" spans="1:15" s="75" customFormat="1" x14ac:dyDescent="0.3">
      <c r="A115" s="83" t="e" vm="39">
        <v>#VALUE!</v>
      </c>
      <c r="B115" s="50">
        <v>44886</v>
      </c>
      <c r="C115" s="47">
        <v>25000</v>
      </c>
      <c r="D115" s="47">
        <f t="shared" si="21"/>
        <v>24.511221727531296</v>
      </c>
      <c r="E115" s="49">
        <f>1019.941</f>
        <v>1019.941</v>
      </c>
      <c r="F115" s="37">
        <f>VLOOKUP("INF760K01JF9", [1]NAVAll!B$1:E$501244,4,FALSE)</f>
        <v>40.270000000000003</v>
      </c>
      <c r="G115" s="47">
        <f t="shared" si="22"/>
        <v>41073.024070000007</v>
      </c>
      <c r="H115" s="49">
        <f>0</f>
        <v>0</v>
      </c>
      <c r="I115" s="48">
        <f t="shared" si="23"/>
        <v>16073.024070000007</v>
      </c>
      <c r="J115" s="46">
        <f t="shared" si="24"/>
        <v>0.64292096280000022</v>
      </c>
      <c r="K115" s="47">
        <f t="shared" ca="1" si="25"/>
        <v>44.06666666666667</v>
      </c>
      <c r="L115" s="46">
        <f t="shared" ca="1" si="26"/>
        <v>0.17507681286535556</v>
      </c>
      <c r="M115" s="57" t="s">
        <v>78</v>
      </c>
      <c r="N115" s="47">
        <f t="shared" si="27"/>
        <v>-25000</v>
      </c>
      <c r="O115" s="51" t="s">
        <v>69</v>
      </c>
    </row>
    <row r="116" spans="1:15" s="75" customFormat="1" x14ac:dyDescent="0.3">
      <c r="A116" s="83" t="e" vm="39">
        <v>#VALUE!</v>
      </c>
      <c r="B116" s="50">
        <v>44915</v>
      </c>
      <c r="C116" s="47">
        <v>25000</v>
      </c>
      <c r="D116" s="47">
        <f t="shared" si="21"/>
        <v>25.171265289026536</v>
      </c>
      <c r="E116" s="49">
        <f>993.196</f>
        <v>993.19600000000003</v>
      </c>
      <c r="F116" s="37">
        <f>VLOOKUP("INF760K01JF9", [1]NAVAll!B$1:E$501244,4,FALSE)</f>
        <v>40.270000000000003</v>
      </c>
      <c r="G116" s="47">
        <f t="shared" si="22"/>
        <v>39996.002920000006</v>
      </c>
      <c r="H116" s="49">
        <f>0</f>
        <v>0</v>
      </c>
      <c r="I116" s="48">
        <f t="shared" si="23"/>
        <v>14996.002920000006</v>
      </c>
      <c r="J116" s="46">
        <f t="shared" si="24"/>
        <v>0.59984011680000027</v>
      </c>
      <c r="K116" s="47">
        <f t="shared" ca="1" si="25"/>
        <v>43.1</v>
      </c>
      <c r="L116" s="46">
        <f t="shared" ca="1" si="26"/>
        <v>0.16700884922505807</v>
      </c>
      <c r="M116" s="57" t="s">
        <v>79</v>
      </c>
      <c r="N116" s="47">
        <f t="shared" si="27"/>
        <v>-25000</v>
      </c>
      <c r="O116" s="51" t="s">
        <v>69</v>
      </c>
    </row>
    <row r="117" spans="1:15" s="75" customFormat="1" x14ac:dyDescent="0.3">
      <c r="A117" s="83" t="e" vm="39">
        <v>#VALUE!</v>
      </c>
      <c r="B117" s="50">
        <v>44946</v>
      </c>
      <c r="C117" s="47">
        <v>25000</v>
      </c>
      <c r="D117" s="47">
        <f t="shared" si="21"/>
        <v>24.341205279120601</v>
      </c>
      <c r="E117" s="49">
        <f>1027.065</f>
        <v>1027.0650000000001</v>
      </c>
      <c r="F117" s="37">
        <f>VLOOKUP("INF760K01JF9", [1]NAVAll!B$1:E$501244,4,FALSE)</f>
        <v>40.270000000000003</v>
      </c>
      <c r="G117" s="47">
        <f t="shared" si="22"/>
        <v>41359.907550000004</v>
      </c>
      <c r="H117" s="49">
        <f>0</f>
        <v>0</v>
      </c>
      <c r="I117" s="48">
        <f t="shared" si="23"/>
        <v>16359.907550000004</v>
      </c>
      <c r="J117" s="46">
        <f t="shared" si="24"/>
        <v>0.6543963020000001</v>
      </c>
      <c r="K117" s="47">
        <f t="shared" ca="1" si="25"/>
        <v>42.1</v>
      </c>
      <c r="L117" s="46">
        <f t="shared" ca="1" si="26"/>
        <v>0.18652626185273161</v>
      </c>
      <c r="M117" s="57" t="s">
        <v>79</v>
      </c>
      <c r="N117" s="47">
        <f t="shared" si="27"/>
        <v>-25000</v>
      </c>
      <c r="O117" s="51" t="s">
        <v>69</v>
      </c>
    </row>
    <row r="118" spans="1:15" s="75" customFormat="1" x14ac:dyDescent="0.3">
      <c r="A118" s="83" t="e" vm="39">
        <v>#VALUE!</v>
      </c>
      <c r="B118" s="50">
        <v>44977</v>
      </c>
      <c r="C118" s="47">
        <v>25000</v>
      </c>
      <c r="D118" s="47">
        <f t="shared" si="21"/>
        <v>24.121215863655308</v>
      </c>
      <c r="E118" s="49">
        <f>1036.432</f>
        <v>1036.432</v>
      </c>
      <c r="F118" s="37">
        <f>VLOOKUP("INF760K01JF9", [1]NAVAll!B$1:E$501244,4,FALSE)</f>
        <v>40.270000000000003</v>
      </c>
      <c r="G118" s="47">
        <f t="shared" si="22"/>
        <v>41737.116640000007</v>
      </c>
      <c r="H118" s="49">
        <f>0</f>
        <v>0</v>
      </c>
      <c r="I118" s="48">
        <f t="shared" si="23"/>
        <v>16737.116640000007</v>
      </c>
      <c r="J118" s="46">
        <f t="shared" si="24"/>
        <v>0.66948466560000031</v>
      </c>
      <c r="K118" s="47">
        <f t="shared" ca="1" si="25"/>
        <v>41.1</v>
      </c>
      <c r="L118" s="46">
        <f t="shared" ca="1" si="26"/>
        <v>0.19546997535766433</v>
      </c>
      <c r="M118" s="57" t="s">
        <v>79</v>
      </c>
      <c r="N118" s="47">
        <f t="shared" si="27"/>
        <v>-25000</v>
      </c>
      <c r="O118" s="51" t="s">
        <v>69</v>
      </c>
    </row>
    <row r="119" spans="1:15" s="75" customFormat="1" x14ac:dyDescent="0.3">
      <c r="A119" s="83" t="e" vm="39">
        <v>#VALUE!</v>
      </c>
      <c r="B119" s="50">
        <v>45005</v>
      </c>
      <c r="C119" s="47">
        <v>25000</v>
      </c>
      <c r="D119" s="47">
        <f t="shared" si="21"/>
        <v>23.241155810567843</v>
      </c>
      <c r="E119" s="48">
        <f>1075.678</f>
        <v>1075.6780000000001</v>
      </c>
      <c r="F119" s="37">
        <f>VLOOKUP("INF760K01JF9", [1]NAVAll!B$1:E$501244,4,FALSE)</f>
        <v>40.270000000000003</v>
      </c>
      <c r="G119" s="47">
        <f t="shared" si="22"/>
        <v>43317.553060000006</v>
      </c>
      <c r="H119" s="49">
        <f>0</f>
        <v>0</v>
      </c>
      <c r="I119" s="48">
        <f t="shared" si="23"/>
        <v>18317.553060000006</v>
      </c>
      <c r="J119" s="46">
        <f t="shared" si="24"/>
        <v>0.73270212240000021</v>
      </c>
      <c r="K119" s="47">
        <f t="shared" ca="1" si="25"/>
        <v>40.1</v>
      </c>
      <c r="L119" s="46">
        <f t="shared" ca="1" si="26"/>
        <v>0.21926248051870331</v>
      </c>
      <c r="M119" s="57" t="s">
        <v>79</v>
      </c>
      <c r="N119" s="47">
        <f t="shared" si="27"/>
        <v>-25000</v>
      </c>
      <c r="O119" s="51" t="s">
        <v>69</v>
      </c>
    </row>
    <row r="120" spans="1:15" s="75" customFormat="1" x14ac:dyDescent="0.3">
      <c r="A120" s="76" t="s">
        <v>80</v>
      </c>
      <c r="B120" s="77">
        <f ca="1">TODAY()</f>
        <v>46226</v>
      </c>
      <c r="C120" s="78"/>
      <c r="D120" s="78"/>
      <c r="E120" s="79"/>
      <c r="F120" s="80"/>
      <c r="G120" s="78"/>
      <c r="H120" s="80"/>
      <c r="I120" s="79"/>
      <c r="J120" s="81"/>
      <c r="K120" s="78"/>
      <c r="L120" s="81"/>
      <c r="M120" s="82"/>
      <c r="N120" s="78">
        <f>SUM(G108:G119)</f>
        <v>508460.17479000008</v>
      </c>
      <c r="O120" s="51"/>
    </row>
    <row r="121" spans="1:15" s="75" customFormat="1" x14ac:dyDescent="0.3">
      <c r="A121" s="76" t="s">
        <v>81</v>
      </c>
      <c r="B121" s="77"/>
      <c r="C121" s="78"/>
      <c r="D121" s="78"/>
      <c r="E121" s="79"/>
      <c r="F121" s="80"/>
      <c r="G121" s="78"/>
      <c r="H121" s="80"/>
      <c r="I121" s="79"/>
      <c r="J121" s="81">
        <f>SUM(N108:N120)/-SUM(N108:N119)</f>
        <v>0.69486724930000021</v>
      </c>
      <c r="K121" s="78"/>
      <c r="L121" s="81"/>
      <c r="M121" s="82"/>
      <c r="N121" s="78"/>
      <c r="O121" s="51"/>
    </row>
    <row r="122" spans="1:15" s="75" customFormat="1" x14ac:dyDescent="0.3">
      <c r="A122" s="76" t="s">
        <v>82</v>
      </c>
      <c r="B122" s="77"/>
      <c r="C122" s="78"/>
      <c r="D122" s="78"/>
      <c r="E122" s="79"/>
      <c r="F122" s="80"/>
      <c r="G122" s="78"/>
      <c r="H122" s="80"/>
      <c r="I122" s="79"/>
      <c r="J122" s="81">
        <f ca="1">XIRR(N108:N120,B108:B120)</f>
        <v>0.14870219826698308</v>
      </c>
      <c r="K122" s="78"/>
      <c r="L122" s="81"/>
      <c r="M122" s="82"/>
      <c r="N122" s="78"/>
      <c r="O122" s="51"/>
    </row>
    <row r="123" spans="1:15" s="75" customFormat="1" x14ac:dyDescent="0.3">
      <c r="A123" s="84" t="e" vm="40">
        <v>#VALUE!</v>
      </c>
      <c r="B123" s="50">
        <v>45314</v>
      </c>
      <c r="C123" s="47">
        <v>10000</v>
      </c>
      <c r="D123" s="47">
        <f t="shared" ref="D123:D153" si="28">C123/E123</f>
        <v>15.395771397427982</v>
      </c>
      <c r="E123" s="48">
        <f>649.529</f>
        <v>649.529</v>
      </c>
      <c r="F123" s="37">
        <f>VLOOKUP("INF179KC1GI5", [1]NAVAll!B$1:E$501244,4,FALSE)</f>
        <v>30.425999999999998</v>
      </c>
      <c r="G123" s="47">
        <f t="shared" ref="G123:G153" si="29">PRODUCT(E123:F123)</f>
        <v>19762.569353999999</v>
      </c>
      <c r="H123" s="49">
        <f>0</f>
        <v>0</v>
      </c>
      <c r="I123" s="48">
        <f t="shared" ref="I123:I153" si="30">SUM(-C123,G123)+H123</f>
        <v>9762.5693539999993</v>
      </c>
      <c r="J123" s="46">
        <f t="shared" ref="J123:J153" si="31">I123/C123</f>
        <v>0.97625693539999991</v>
      </c>
      <c r="K123" s="47">
        <f t="shared" ref="K123:K153" ca="1" si="32">(DAYS360(B123,NOW(),TRUE))/30</f>
        <v>30</v>
      </c>
      <c r="L123" s="46">
        <f t="shared" ref="L123:L153" ca="1" si="33">J123*12/K123</f>
        <v>0.39050277415999995</v>
      </c>
      <c r="M123" s="57" t="s">
        <v>68</v>
      </c>
      <c r="N123" s="47">
        <f t="shared" ref="N123:N153" si="34">-C123</f>
        <v>-10000</v>
      </c>
      <c r="O123" s="51" t="s">
        <v>83</v>
      </c>
    </row>
    <row r="124" spans="1:15" s="75" customFormat="1" x14ac:dyDescent="0.3">
      <c r="A124" s="84" t="e" vm="40">
        <v>#VALUE!</v>
      </c>
      <c r="B124" s="50">
        <v>45344</v>
      </c>
      <c r="C124" s="47">
        <v>10000</v>
      </c>
      <c r="D124" s="47">
        <f t="shared" si="28"/>
        <v>16.02579511982487</v>
      </c>
      <c r="E124" s="48">
        <f>623.994</f>
        <v>623.99400000000003</v>
      </c>
      <c r="F124" s="37">
        <f>VLOOKUP("INF179KC1GI5", [1]NAVAll!B$1:E$501244,4,FALSE)</f>
        <v>30.425999999999998</v>
      </c>
      <c r="G124" s="47">
        <f t="shared" si="29"/>
        <v>18985.641444000001</v>
      </c>
      <c r="H124" s="49">
        <f>0</f>
        <v>0</v>
      </c>
      <c r="I124" s="48">
        <f t="shared" si="30"/>
        <v>8985.6414440000008</v>
      </c>
      <c r="J124" s="46">
        <f t="shared" si="31"/>
        <v>0.8985641444000001</v>
      </c>
      <c r="K124" s="47">
        <f t="shared" ca="1" si="32"/>
        <v>29.033333333333335</v>
      </c>
      <c r="L124" s="46">
        <f t="shared" ca="1" si="33"/>
        <v>0.37139275773134334</v>
      </c>
      <c r="M124" s="57" t="s">
        <v>68</v>
      </c>
      <c r="N124" s="47">
        <f t="shared" si="34"/>
        <v>-10000</v>
      </c>
      <c r="O124" s="51" t="s">
        <v>83</v>
      </c>
    </row>
    <row r="125" spans="1:15" s="75" customFormat="1" x14ac:dyDescent="0.3">
      <c r="A125" s="84" t="e" vm="40">
        <v>#VALUE!</v>
      </c>
      <c r="B125" s="50">
        <v>45373</v>
      </c>
      <c r="C125" s="47">
        <v>10000</v>
      </c>
      <c r="D125" s="47">
        <f t="shared" si="28"/>
        <v>16.191814713825867</v>
      </c>
      <c r="E125" s="48">
        <f>617.596</f>
        <v>617.596</v>
      </c>
      <c r="F125" s="37">
        <f>VLOOKUP("INF179KC1GI5", [1]NAVAll!B$1:E$501244,4,FALSE)</f>
        <v>30.425999999999998</v>
      </c>
      <c r="G125" s="47">
        <f t="shared" si="29"/>
        <v>18790.975896</v>
      </c>
      <c r="H125" s="49">
        <f>0</f>
        <v>0</v>
      </c>
      <c r="I125" s="48">
        <f t="shared" si="30"/>
        <v>8790.9758959999999</v>
      </c>
      <c r="J125" s="46">
        <f t="shared" si="31"/>
        <v>0.87909758959999995</v>
      </c>
      <c r="K125" s="47">
        <f t="shared" ca="1" si="32"/>
        <v>28.033333333333335</v>
      </c>
      <c r="L125" s="46">
        <f t="shared" ca="1" si="33"/>
        <v>0.37630812396670626</v>
      </c>
      <c r="M125" s="57" t="s">
        <v>68</v>
      </c>
      <c r="N125" s="47">
        <f t="shared" si="34"/>
        <v>-10000</v>
      </c>
      <c r="O125" s="51" t="s">
        <v>83</v>
      </c>
    </row>
    <row r="126" spans="1:15" s="75" customFormat="1" x14ac:dyDescent="0.3">
      <c r="A126" s="84" t="e" vm="40">
        <v>#VALUE!</v>
      </c>
      <c r="B126" s="50">
        <v>45404</v>
      </c>
      <c r="C126" s="47">
        <v>10000</v>
      </c>
      <c r="D126" s="47">
        <f t="shared" si="28"/>
        <v>18.522909134016952</v>
      </c>
      <c r="E126" s="48">
        <f>539.872</f>
        <v>539.87199999999996</v>
      </c>
      <c r="F126" s="37">
        <f>VLOOKUP("INF179KC1GI5", [1]NAVAll!B$1:E$501244,4,FALSE)</f>
        <v>30.425999999999998</v>
      </c>
      <c r="G126" s="47">
        <f t="shared" si="29"/>
        <v>16426.145471999997</v>
      </c>
      <c r="H126" s="49">
        <f>0</f>
        <v>0</v>
      </c>
      <c r="I126" s="48">
        <f t="shared" si="30"/>
        <v>6426.1454719999965</v>
      </c>
      <c r="J126" s="46">
        <f t="shared" si="31"/>
        <v>0.64261454719999966</v>
      </c>
      <c r="K126" s="47">
        <f t="shared" ca="1" si="32"/>
        <v>27.033333333333335</v>
      </c>
      <c r="L126" s="46">
        <f t="shared" ca="1" si="33"/>
        <v>0.28525429962022181</v>
      </c>
      <c r="M126" s="57" t="s">
        <v>68</v>
      </c>
      <c r="N126" s="47">
        <f t="shared" si="34"/>
        <v>-10000</v>
      </c>
      <c r="O126" s="51" t="s">
        <v>83</v>
      </c>
    </row>
    <row r="127" spans="1:15" s="75" customFormat="1" x14ac:dyDescent="0.3">
      <c r="A127" s="84" t="e" vm="40">
        <v>#VALUE!</v>
      </c>
      <c r="B127" s="50">
        <v>45434</v>
      </c>
      <c r="C127" s="47">
        <v>10000</v>
      </c>
      <c r="D127" s="47">
        <f t="shared" si="28"/>
        <v>21.702095337304815</v>
      </c>
      <c r="E127" s="48">
        <f>460.785</f>
        <v>460.78500000000003</v>
      </c>
      <c r="F127" s="37">
        <f>VLOOKUP("INF179KC1GI5", [1]NAVAll!B$1:E$501244,4,FALSE)</f>
        <v>30.425999999999998</v>
      </c>
      <c r="G127" s="47">
        <f t="shared" si="29"/>
        <v>14019.84441</v>
      </c>
      <c r="H127" s="49">
        <f>0</f>
        <v>0</v>
      </c>
      <c r="I127" s="48">
        <f t="shared" si="30"/>
        <v>4019.8444099999997</v>
      </c>
      <c r="J127" s="46">
        <f t="shared" si="31"/>
        <v>0.40198444099999997</v>
      </c>
      <c r="K127" s="47">
        <f t="shared" ca="1" si="32"/>
        <v>26.033333333333335</v>
      </c>
      <c r="L127" s="46">
        <f t="shared" ca="1" si="33"/>
        <v>0.18529372440460945</v>
      </c>
      <c r="M127" s="57" t="s">
        <v>68</v>
      </c>
      <c r="N127" s="47">
        <f t="shared" si="34"/>
        <v>-10000</v>
      </c>
      <c r="O127" s="51" t="s">
        <v>83</v>
      </c>
    </row>
    <row r="128" spans="1:15" s="75" customFormat="1" x14ac:dyDescent="0.3">
      <c r="A128" s="84" t="e" vm="40">
        <v>#VALUE!</v>
      </c>
      <c r="B128" s="50">
        <v>45467</v>
      </c>
      <c r="C128" s="47">
        <v>10000</v>
      </c>
      <c r="D128" s="47">
        <f t="shared" si="28"/>
        <v>24.122193382799914</v>
      </c>
      <c r="E128" s="48">
        <f>414.556</f>
        <v>414.55599999999998</v>
      </c>
      <c r="F128" s="37">
        <f>VLOOKUP("INF179KC1GI5", [1]NAVAll!B$1:E$501244,4,FALSE)</f>
        <v>30.425999999999998</v>
      </c>
      <c r="G128" s="47">
        <f t="shared" si="29"/>
        <v>12613.280855999999</v>
      </c>
      <c r="H128" s="49">
        <f>0</f>
        <v>0</v>
      </c>
      <c r="I128" s="48">
        <f t="shared" si="30"/>
        <v>2613.2808559999994</v>
      </c>
      <c r="J128" s="46">
        <f t="shared" si="31"/>
        <v>0.26132808559999993</v>
      </c>
      <c r="K128" s="47">
        <f t="shared" ca="1" si="32"/>
        <v>24.966666666666665</v>
      </c>
      <c r="L128" s="46">
        <f t="shared" ca="1" si="33"/>
        <v>0.12560495436048061</v>
      </c>
      <c r="M128" s="57" t="s">
        <v>68</v>
      </c>
      <c r="N128" s="47">
        <f t="shared" si="34"/>
        <v>-10000</v>
      </c>
      <c r="O128" s="51" t="s">
        <v>83</v>
      </c>
    </row>
    <row r="129" spans="1:15" s="75" customFormat="1" x14ac:dyDescent="0.3">
      <c r="A129" s="84" t="e" vm="40">
        <v>#VALUE!</v>
      </c>
      <c r="B129" s="50">
        <v>45495</v>
      </c>
      <c r="C129" s="47">
        <v>10000</v>
      </c>
      <c r="D129" s="47">
        <f t="shared" si="28"/>
        <v>23.574174962811739</v>
      </c>
      <c r="E129" s="48">
        <f>424.193</f>
        <v>424.19299999999998</v>
      </c>
      <c r="F129" s="37">
        <f>VLOOKUP("INF179KC1GI5", [1]NAVAll!B$1:E$501244,4,FALSE)</f>
        <v>30.425999999999998</v>
      </c>
      <c r="G129" s="47">
        <f t="shared" si="29"/>
        <v>12906.496217999998</v>
      </c>
      <c r="H129" s="49">
        <f>0</f>
        <v>0</v>
      </c>
      <c r="I129" s="48">
        <f t="shared" si="30"/>
        <v>2906.4962179999984</v>
      </c>
      <c r="J129" s="46">
        <f t="shared" si="31"/>
        <v>0.29064962179999981</v>
      </c>
      <c r="K129" s="47">
        <f t="shared" ca="1" si="32"/>
        <v>24.033333333333335</v>
      </c>
      <c r="L129" s="46">
        <f t="shared" ca="1" si="33"/>
        <v>0.1451232508294035</v>
      </c>
      <c r="M129" s="57" t="s">
        <v>68</v>
      </c>
      <c r="N129" s="47">
        <f t="shared" si="34"/>
        <v>-10000</v>
      </c>
      <c r="O129" s="51" t="s">
        <v>83</v>
      </c>
    </row>
    <row r="130" spans="1:15" s="75" customFormat="1" x14ac:dyDescent="0.3">
      <c r="A130" s="84" t="e" vm="40">
        <v>#VALUE!</v>
      </c>
      <c r="B130" s="50">
        <v>45526</v>
      </c>
      <c r="C130" s="47">
        <v>10000</v>
      </c>
      <c r="D130" s="47">
        <f t="shared" si="28"/>
        <v>22.825161545080835</v>
      </c>
      <c r="E130" s="48">
        <f>438.113</f>
        <v>438.113</v>
      </c>
      <c r="F130" s="37">
        <f>VLOOKUP("INF179KC1GI5", [1]NAVAll!B$1:E$501244,4,FALSE)</f>
        <v>30.425999999999998</v>
      </c>
      <c r="G130" s="47">
        <f t="shared" si="29"/>
        <v>13330.026137999999</v>
      </c>
      <c r="H130" s="49">
        <f>0</f>
        <v>0</v>
      </c>
      <c r="I130" s="48">
        <f t="shared" si="30"/>
        <v>3330.0261379999993</v>
      </c>
      <c r="J130" s="46">
        <f t="shared" si="31"/>
        <v>0.3330026137999999</v>
      </c>
      <c r="K130" s="47">
        <f t="shared" ca="1" si="32"/>
        <v>23.033333333333335</v>
      </c>
      <c r="L130" s="46">
        <f t="shared" ca="1" si="33"/>
        <v>0.17348906073516634</v>
      </c>
      <c r="M130" s="57" t="s">
        <v>68</v>
      </c>
      <c r="N130" s="47">
        <f t="shared" si="34"/>
        <v>-10000</v>
      </c>
      <c r="O130" s="51" t="s">
        <v>83</v>
      </c>
    </row>
    <row r="131" spans="1:15" s="75" customFormat="1" x14ac:dyDescent="0.3">
      <c r="A131" s="84" t="e" vm="40">
        <v>#VALUE!</v>
      </c>
      <c r="B131" s="50">
        <v>45558</v>
      </c>
      <c r="C131" s="47">
        <v>10000</v>
      </c>
      <c r="D131" s="47">
        <f t="shared" si="28"/>
        <v>22.17009785881195</v>
      </c>
      <c r="E131" s="48">
        <f>451.058</f>
        <v>451.05799999999999</v>
      </c>
      <c r="F131" s="37">
        <f>VLOOKUP("INF179KC1GI5", [1]NAVAll!B$1:E$501244,4,FALSE)</f>
        <v>30.425999999999998</v>
      </c>
      <c r="G131" s="47">
        <f t="shared" si="29"/>
        <v>13723.890707999999</v>
      </c>
      <c r="H131" s="49">
        <f>0</f>
        <v>0</v>
      </c>
      <c r="I131" s="48">
        <f t="shared" si="30"/>
        <v>3723.890707999999</v>
      </c>
      <c r="J131" s="46">
        <f t="shared" si="31"/>
        <v>0.37238907079999989</v>
      </c>
      <c r="K131" s="47">
        <f t="shared" ca="1" si="32"/>
        <v>22</v>
      </c>
      <c r="L131" s="46">
        <f t="shared" ca="1" si="33"/>
        <v>0.20312131134545447</v>
      </c>
      <c r="M131" s="57" t="s">
        <v>68</v>
      </c>
      <c r="N131" s="47">
        <f t="shared" si="34"/>
        <v>-10000</v>
      </c>
      <c r="O131" s="51" t="s">
        <v>83</v>
      </c>
    </row>
    <row r="132" spans="1:15" s="75" customFormat="1" x14ac:dyDescent="0.3">
      <c r="A132" s="84" t="e" vm="40">
        <v>#VALUE!</v>
      </c>
      <c r="B132" s="50">
        <v>45587</v>
      </c>
      <c r="C132" s="47">
        <v>10000</v>
      </c>
      <c r="D132" s="47">
        <f t="shared" si="28"/>
        <v>21.109070567622908</v>
      </c>
      <c r="E132" s="48">
        <f>473.73</f>
        <v>473.73</v>
      </c>
      <c r="F132" s="37">
        <f>VLOOKUP("INF179KC1GI5", [1]NAVAll!B$1:E$501244,4,FALSE)</f>
        <v>30.425999999999998</v>
      </c>
      <c r="G132" s="47">
        <f t="shared" si="29"/>
        <v>14413.708979999999</v>
      </c>
      <c r="H132" s="49">
        <f>0</f>
        <v>0</v>
      </c>
      <c r="I132" s="48">
        <f t="shared" si="30"/>
        <v>4413.7089799999994</v>
      </c>
      <c r="J132" s="46">
        <f t="shared" si="31"/>
        <v>0.44137089799999996</v>
      </c>
      <c r="K132" s="47">
        <f t="shared" ca="1" si="32"/>
        <v>21.033333333333335</v>
      </c>
      <c r="L132" s="46">
        <f t="shared" ca="1" si="33"/>
        <v>0.25181223974643419</v>
      </c>
      <c r="M132" s="57" t="s">
        <v>68</v>
      </c>
      <c r="N132" s="47">
        <f t="shared" si="34"/>
        <v>-10000</v>
      </c>
      <c r="O132" s="51" t="s">
        <v>83</v>
      </c>
    </row>
    <row r="133" spans="1:15" s="75" customFormat="1" x14ac:dyDescent="0.3">
      <c r="A133" s="84" t="e" vm="40">
        <v>#VALUE!</v>
      </c>
      <c r="B133" s="50">
        <v>45618</v>
      </c>
      <c r="C133" s="47">
        <v>10000</v>
      </c>
      <c r="D133" s="47">
        <f t="shared" si="28"/>
        <v>20.820060544736066</v>
      </c>
      <c r="E133" s="48">
        <f>480.306</f>
        <v>480.30599999999998</v>
      </c>
      <c r="F133" s="37">
        <f>VLOOKUP("INF179KC1GI5", [1]NAVAll!B$1:E$501244,4,FALSE)</f>
        <v>30.425999999999998</v>
      </c>
      <c r="G133" s="47">
        <f t="shared" si="29"/>
        <v>14613.790356</v>
      </c>
      <c r="H133" s="49">
        <f>0</f>
        <v>0</v>
      </c>
      <c r="I133" s="48">
        <f t="shared" si="30"/>
        <v>4613.7903559999995</v>
      </c>
      <c r="J133" s="46">
        <f t="shared" si="31"/>
        <v>0.46137903559999993</v>
      </c>
      <c r="K133" s="47">
        <f t="shared" ca="1" si="32"/>
        <v>20.033333333333335</v>
      </c>
      <c r="L133" s="46">
        <f t="shared" ca="1" si="33"/>
        <v>0.27636681000998331</v>
      </c>
      <c r="M133" s="57" t="s">
        <v>68</v>
      </c>
      <c r="N133" s="47">
        <f t="shared" si="34"/>
        <v>-10000</v>
      </c>
      <c r="O133" s="51" t="s">
        <v>83</v>
      </c>
    </row>
    <row r="134" spans="1:15" s="75" customFormat="1" x14ac:dyDescent="0.3">
      <c r="A134" s="84" t="e" vm="40">
        <v>#VALUE!</v>
      </c>
      <c r="B134" s="50">
        <v>45649</v>
      </c>
      <c r="C134" s="47">
        <v>10000</v>
      </c>
      <c r="D134" s="47">
        <f t="shared" si="28"/>
        <v>21.760086344022611</v>
      </c>
      <c r="E134" s="48">
        <f>459.557</f>
        <v>459.55700000000002</v>
      </c>
      <c r="F134" s="37">
        <f>VLOOKUP("INF179KC1GI5", [1]NAVAll!B$1:E$501244,4,FALSE)</f>
        <v>30.425999999999998</v>
      </c>
      <c r="G134" s="47">
        <f t="shared" si="29"/>
        <v>13982.481282000001</v>
      </c>
      <c r="H134" s="49">
        <f>0</f>
        <v>0</v>
      </c>
      <c r="I134" s="48">
        <f t="shared" si="30"/>
        <v>3982.4812820000006</v>
      </c>
      <c r="J134" s="46">
        <f t="shared" si="31"/>
        <v>0.39824812820000005</v>
      </c>
      <c r="K134" s="47">
        <f t="shared" ca="1" si="32"/>
        <v>19</v>
      </c>
      <c r="L134" s="46">
        <f t="shared" ca="1" si="33"/>
        <v>0.25152513360000001</v>
      </c>
      <c r="M134" s="57" t="s">
        <v>68</v>
      </c>
      <c r="N134" s="47">
        <f t="shared" si="34"/>
        <v>-10000</v>
      </c>
      <c r="O134" s="51" t="s">
        <v>83</v>
      </c>
    </row>
    <row r="135" spans="1:15" s="75" customFormat="1" x14ac:dyDescent="0.3">
      <c r="A135" s="84" t="e" vm="40">
        <v>#VALUE!</v>
      </c>
      <c r="B135" s="50">
        <v>45679</v>
      </c>
      <c r="C135" s="47">
        <v>10000</v>
      </c>
      <c r="D135" s="47">
        <f t="shared" si="28"/>
        <v>19.726978615955179</v>
      </c>
      <c r="E135" s="48">
        <f>506.92</f>
        <v>506.92</v>
      </c>
      <c r="F135" s="37">
        <f>VLOOKUP("INF179KC1GI5", [1]NAVAll!B$1:E$501244,4,FALSE)</f>
        <v>30.425999999999998</v>
      </c>
      <c r="G135" s="47">
        <f t="shared" si="29"/>
        <v>15423.547919999999</v>
      </c>
      <c r="H135" s="49">
        <f>0</f>
        <v>0</v>
      </c>
      <c r="I135" s="48">
        <f t="shared" si="30"/>
        <v>5423.5479199999991</v>
      </c>
      <c r="J135" s="46">
        <f t="shared" si="31"/>
        <v>0.54235479199999992</v>
      </c>
      <c r="K135" s="47">
        <f t="shared" ca="1" si="32"/>
        <v>18.033333333333335</v>
      </c>
      <c r="L135" s="46">
        <f t="shared" ca="1" si="33"/>
        <v>0.3609015251756007</v>
      </c>
      <c r="M135" s="57" t="s">
        <v>68</v>
      </c>
      <c r="N135" s="47">
        <f t="shared" si="34"/>
        <v>-10000</v>
      </c>
      <c r="O135" s="51" t="s">
        <v>83</v>
      </c>
    </row>
    <row r="136" spans="1:15" s="75" customFormat="1" x14ac:dyDescent="0.3">
      <c r="A136" s="84" t="e" vm="40">
        <v>#VALUE!</v>
      </c>
      <c r="B136" s="50">
        <v>45712</v>
      </c>
      <c r="C136" s="47">
        <v>10000</v>
      </c>
      <c r="D136" s="47">
        <f t="shared" si="28"/>
        <v>17.331863591300792</v>
      </c>
      <c r="E136" s="48">
        <f>576.972</f>
        <v>576.97199999999998</v>
      </c>
      <c r="F136" s="37">
        <f>VLOOKUP("INF179KC1GI5", [1]NAVAll!B$1:E$501244,4,FALSE)</f>
        <v>30.425999999999998</v>
      </c>
      <c r="G136" s="47">
        <f t="shared" si="29"/>
        <v>17554.950072</v>
      </c>
      <c r="H136" s="49">
        <f>0</f>
        <v>0</v>
      </c>
      <c r="I136" s="48">
        <f t="shared" si="30"/>
        <v>7554.9500719999996</v>
      </c>
      <c r="J136" s="46">
        <f t="shared" si="31"/>
        <v>0.75549500719999996</v>
      </c>
      <c r="K136" s="47">
        <f t="shared" ca="1" si="32"/>
        <v>16.966666666666665</v>
      </c>
      <c r="L136" s="46">
        <f t="shared" ca="1" si="33"/>
        <v>0.53433831550491162</v>
      </c>
      <c r="M136" s="57" t="s">
        <v>68</v>
      </c>
      <c r="N136" s="47">
        <f t="shared" si="34"/>
        <v>-10000</v>
      </c>
      <c r="O136" s="51" t="s">
        <v>83</v>
      </c>
    </row>
    <row r="137" spans="1:15" s="75" customFormat="1" x14ac:dyDescent="0.3">
      <c r="A137" s="84" t="e" vm="40">
        <v>#VALUE!</v>
      </c>
      <c r="B137" s="50">
        <v>45740</v>
      </c>
      <c r="C137" s="47">
        <v>10000</v>
      </c>
      <c r="D137" s="47">
        <f t="shared" si="28"/>
        <v>19.988007195682592</v>
      </c>
      <c r="E137" s="48">
        <f>500.3</f>
        <v>500.3</v>
      </c>
      <c r="F137" s="37">
        <f>VLOOKUP("INF179KC1GI5", [1]NAVAll!B$1:E$501244,4,FALSE)</f>
        <v>30.425999999999998</v>
      </c>
      <c r="G137" s="47">
        <f t="shared" si="29"/>
        <v>15222.1278</v>
      </c>
      <c r="H137" s="49">
        <f>0</f>
        <v>0</v>
      </c>
      <c r="I137" s="48">
        <f t="shared" si="30"/>
        <v>5222.1278000000002</v>
      </c>
      <c r="J137" s="46">
        <f t="shared" si="31"/>
        <v>0.52221278000000004</v>
      </c>
      <c r="K137" s="47">
        <f t="shared" ca="1" si="32"/>
        <v>15.966666666666667</v>
      </c>
      <c r="L137" s="46">
        <f t="shared" ca="1" si="33"/>
        <v>0.39247724592901884</v>
      </c>
      <c r="M137" s="57" t="s">
        <v>68</v>
      </c>
      <c r="N137" s="47">
        <f t="shared" si="34"/>
        <v>-10000</v>
      </c>
      <c r="O137" s="51" t="s">
        <v>83</v>
      </c>
    </row>
    <row r="138" spans="1:15" s="75" customFormat="1" x14ac:dyDescent="0.3">
      <c r="A138" s="84" t="e" vm="40">
        <v>#VALUE!</v>
      </c>
      <c r="B138" s="50">
        <v>45769</v>
      </c>
      <c r="C138" s="47">
        <v>10000</v>
      </c>
      <c r="D138" s="47">
        <f t="shared" si="28"/>
        <v>21.235074397083149</v>
      </c>
      <c r="E138" s="48">
        <f>470.919</f>
        <v>470.91899999999998</v>
      </c>
      <c r="F138" s="37">
        <f>VLOOKUP("INF179KC1GI5", [1]NAVAll!B$1:E$501244,4,FALSE)</f>
        <v>30.425999999999998</v>
      </c>
      <c r="G138" s="47">
        <f t="shared" si="29"/>
        <v>14328.181493999999</v>
      </c>
      <c r="H138" s="49">
        <f>0</f>
        <v>0</v>
      </c>
      <c r="I138" s="48">
        <f t="shared" si="30"/>
        <v>4328.1814939999986</v>
      </c>
      <c r="J138" s="46">
        <f t="shared" si="31"/>
        <v>0.43281814939999985</v>
      </c>
      <c r="K138" s="47">
        <f t="shared" ca="1" si="32"/>
        <v>15.033333333333333</v>
      </c>
      <c r="L138" s="46">
        <f t="shared" ca="1" si="33"/>
        <v>0.34548677113968945</v>
      </c>
      <c r="M138" s="57" t="s">
        <v>68</v>
      </c>
      <c r="N138" s="47">
        <f t="shared" si="34"/>
        <v>-10000</v>
      </c>
      <c r="O138" s="51" t="s">
        <v>83</v>
      </c>
    </row>
    <row r="139" spans="1:15" s="75" customFormat="1" x14ac:dyDescent="0.3">
      <c r="A139" s="84" t="e" vm="40">
        <v>#VALUE!</v>
      </c>
      <c r="B139" s="50">
        <v>45799</v>
      </c>
      <c r="C139" s="47">
        <v>10000</v>
      </c>
      <c r="D139" s="47">
        <f t="shared" si="28"/>
        <v>24.730254746354142</v>
      </c>
      <c r="E139" s="48">
        <f>404.363</f>
        <v>404.363</v>
      </c>
      <c r="F139" s="37">
        <f>VLOOKUP("INF179KC1GI5", [1]NAVAll!B$1:E$501244,4,FALSE)</f>
        <v>30.425999999999998</v>
      </c>
      <c r="G139" s="47">
        <f t="shared" si="29"/>
        <v>12303.148637999999</v>
      </c>
      <c r="H139" s="49">
        <f>0</f>
        <v>0</v>
      </c>
      <c r="I139" s="48">
        <f t="shared" si="30"/>
        <v>2303.1486379999988</v>
      </c>
      <c r="J139" s="46">
        <f t="shared" si="31"/>
        <v>0.23031486379999988</v>
      </c>
      <c r="K139" s="47">
        <f t="shared" ca="1" si="32"/>
        <v>14.033333333333333</v>
      </c>
      <c r="L139" s="46">
        <f t="shared" ca="1" si="33"/>
        <v>0.19694382652731582</v>
      </c>
      <c r="M139" s="57" t="s">
        <v>68</v>
      </c>
      <c r="N139" s="47">
        <f t="shared" si="34"/>
        <v>-10000</v>
      </c>
      <c r="O139" s="51" t="s">
        <v>83</v>
      </c>
    </row>
    <row r="140" spans="1:15" s="75" customFormat="1" x14ac:dyDescent="0.3">
      <c r="A140" s="84" t="e" vm="40">
        <v>#VALUE!</v>
      </c>
      <c r="B140" s="50">
        <v>45831</v>
      </c>
      <c r="C140" s="47">
        <v>10000</v>
      </c>
      <c r="D140" s="47">
        <f t="shared" si="28"/>
        <v>26.557321322342144</v>
      </c>
      <c r="E140" s="48">
        <f>376.544</f>
        <v>376.54399999999998</v>
      </c>
      <c r="F140" s="37">
        <f>VLOOKUP("INF179KC1GI5", [1]NAVAll!B$1:E$501244,4,FALSE)</f>
        <v>30.425999999999998</v>
      </c>
      <c r="G140" s="47">
        <f t="shared" si="29"/>
        <v>11456.727743999998</v>
      </c>
      <c r="H140" s="49">
        <f>0</f>
        <v>0</v>
      </c>
      <c r="I140" s="48">
        <f t="shared" si="30"/>
        <v>1456.727743999998</v>
      </c>
      <c r="J140" s="46">
        <f t="shared" si="31"/>
        <v>0.14567277439999979</v>
      </c>
      <c r="K140" s="47">
        <f t="shared" ca="1" si="32"/>
        <v>13</v>
      </c>
      <c r="L140" s="46">
        <f t="shared" ca="1" si="33"/>
        <v>0.13446717636923056</v>
      </c>
      <c r="M140" s="57" t="s">
        <v>68</v>
      </c>
      <c r="N140" s="47">
        <f t="shared" si="34"/>
        <v>-10000</v>
      </c>
      <c r="O140" s="51" t="s">
        <v>83</v>
      </c>
    </row>
    <row r="141" spans="1:15" s="75" customFormat="1" x14ac:dyDescent="0.3">
      <c r="A141" s="84" t="e" vm="40">
        <v>#VALUE!</v>
      </c>
      <c r="B141" s="50">
        <v>45860</v>
      </c>
      <c r="C141" s="47">
        <v>10000</v>
      </c>
      <c r="D141" s="47">
        <f t="shared" si="28"/>
        <v>24.859234584167154</v>
      </c>
      <c r="E141" s="48">
        <f>402.265</f>
        <v>402.26499999999999</v>
      </c>
      <c r="F141" s="37">
        <f>VLOOKUP("INF179KC1GI5", [1]NAVAll!B$1:E$501244,4,FALSE)</f>
        <v>30.425999999999998</v>
      </c>
      <c r="G141" s="47">
        <f t="shared" si="29"/>
        <v>12239.31489</v>
      </c>
      <c r="H141" s="49">
        <f>0</f>
        <v>0</v>
      </c>
      <c r="I141" s="48">
        <f t="shared" si="30"/>
        <v>2239.3148899999997</v>
      </c>
      <c r="J141" s="46">
        <f t="shared" si="31"/>
        <v>0.22393148899999996</v>
      </c>
      <c r="K141" s="47">
        <f t="shared" ca="1" si="32"/>
        <v>12.033333333333333</v>
      </c>
      <c r="L141" s="46">
        <f t="shared" ca="1" si="33"/>
        <v>0.22331118016620496</v>
      </c>
      <c r="M141" s="57" t="s">
        <v>68</v>
      </c>
      <c r="N141" s="47">
        <f t="shared" si="34"/>
        <v>-10000</v>
      </c>
      <c r="O141" s="51" t="s">
        <v>83</v>
      </c>
    </row>
    <row r="142" spans="1:15" s="75" customFormat="1" x14ac:dyDescent="0.3">
      <c r="A142" s="84" t="e" vm="40">
        <v>#VALUE!</v>
      </c>
      <c r="B142" s="50">
        <v>45891</v>
      </c>
      <c r="C142" s="47">
        <v>10000</v>
      </c>
      <c r="D142" s="47">
        <f t="shared" si="28"/>
        <v>23.959211837767388</v>
      </c>
      <c r="E142" s="48">
        <f>417.376</f>
        <v>417.37599999999998</v>
      </c>
      <c r="F142" s="37">
        <f>VLOOKUP("INF179KC1GI5", [1]NAVAll!B$1:E$501244,4,FALSE)</f>
        <v>30.425999999999998</v>
      </c>
      <c r="G142" s="47">
        <f t="shared" si="29"/>
        <v>12699.082175999998</v>
      </c>
      <c r="H142" s="49">
        <f>0</f>
        <v>0</v>
      </c>
      <c r="I142" s="48">
        <f t="shared" si="30"/>
        <v>2699.0821759999981</v>
      </c>
      <c r="J142" s="46">
        <f t="shared" si="31"/>
        <v>0.26990821759999983</v>
      </c>
      <c r="K142" s="47">
        <f t="shared" ca="1" si="32"/>
        <v>11.033333333333333</v>
      </c>
      <c r="L142" s="46">
        <f t="shared" ca="1" si="33"/>
        <v>0.29355576536555872</v>
      </c>
      <c r="M142" s="57" t="s">
        <v>68</v>
      </c>
      <c r="N142" s="47">
        <f t="shared" si="34"/>
        <v>-10000</v>
      </c>
      <c r="O142" s="51" t="s">
        <v>83</v>
      </c>
    </row>
    <row r="143" spans="1:15" s="75" customFormat="1" x14ac:dyDescent="0.3">
      <c r="A143" s="84" t="e" vm="40">
        <v>#VALUE!</v>
      </c>
      <c r="B143" s="50">
        <v>45922</v>
      </c>
      <c r="C143" s="47">
        <v>10000</v>
      </c>
      <c r="D143" s="47">
        <f t="shared" si="28"/>
        <v>25.259286576709925</v>
      </c>
      <c r="E143" s="48">
        <f>395.894</f>
        <v>395.89400000000001</v>
      </c>
      <c r="F143" s="37">
        <f>VLOOKUP("INF179KC1GI5", [1]NAVAll!B$1:E$501244,4,FALSE)</f>
        <v>30.425999999999998</v>
      </c>
      <c r="G143" s="47">
        <f t="shared" si="29"/>
        <v>12045.470843999999</v>
      </c>
      <c r="H143" s="49">
        <f>0</f>
        <v>0</v>
      </c>
      <c r="I143" s="48">
        <f t="shared" si="30"/>
        <v>2045.4708439999995</v>
      </c>
      <c r="J143" s="46">
        <f t="shared" si="31"/>
        <v>0.20454708439999994</v>
      </c>
      <c r="K143" s="47">
        <f t="shared" ca="1" si="32"/>
        <v>10.033333333333333</v>
      </c>
      <c r="L143" s="46">
        <f t="shared" ca="1" si="33"/>
        <v>0.24464103117607969</v>
      </c>
      <c r="M143" s="57" t="s">
        <v>68</v>
      </c>
      <c r="N143" s="47">
        <f t="shared" si="34"/>
        <v>-10000</v>
      </c>
      <c r="O143" s="51" t="s">
        <v>83</v>
      </c>
    </row>
    <row r="144" spans="1:15" s="75" customFormat="1" x14ac:dyDescent="0.3">
      <c r="A144" s="84" t="e" vm="40">
        <v>#VALUE!</v>
      </c>
      <c r="B144" s="50">
        <v>45953</v>
      </c>
      <c r="C144" s="47">
        <v>10000</v>
      </c>
      <c r="D144" s="47">
        <f t="shared" si="28"/>
        <v>25.485303899506352</v>
      </c>
      <c r="E144" s="48">
        <f>392.383</f>
        <v>392.38299999999998</v>
      </c>
      <c r="F144" s="37">
        <f>VLOOKUP("INF179KC1GI5", [1]NAVAll!B$1:E$501244,4,FALSE)</f>
        <v>30.425999999999998</v>
      </c>
      <c r="G144" s="47">
        <f t="shared" si="29"/>
        <v>11938.645157999999</v>
      </c>
      <c r="H144" s="49">
        <f>0</f>
        <v>0</v>
      </c>
      <c r="I144" s="48">
        <f t="shared" si="30"/>
        <v>1938.6451579999994</v>
      </c>
      <c r="J144" s="46">
        <f t="shared" si="31"/>
        <v>0.19386451579999994</v>
      </c>
      <c r="K144" s="47">
        <f t="shared" ca="1" si="32"/>
        <v>9</v>
      </c>
      <c r="L144" s="46">
        <f t="shared" ca="1" si="33"/>
        <v>0.25848602106666657</v>
      </c>
      <c r="M144" s="57" t="s">
        <v>68</v>
      </c>
      <c r="N144" s="47">
        <f t="shared" si="34"/>
        <v>-10000</v>
      </c>
      <c r="O144" s="51" t="s">
        <v>83</v>
      </c>
    </row>
    <row r="145" spans="1:15" s="75" customFormat="1" x14ac:dyDescent="0.3">
      <c r="A145" s="84" t="e" vm="40">
        <v>#VALUE!</v>
      </c>
      <c r="B145" s="50">
        <v>45985</v>
      </c>
      <c r="C145" s="47">
        <v>10000</v>
      </c>
      <c r="D145" s="47">
        <f t="shared" si="28"/>
        <v>24.367243601771012</v>
      </c>
      <c r="E145" s="48">
        <f>410.387</f>
        <v>410.387</v>
      </c>
      <c r="F145" s="37">
        <f>VLOOKUP("INF179KC1GI5", [1]NAVAll!B$1:E$501244,4,FALSE)</f>
        <v>30.425999999999998</v>
      </c>
      <c r="G145" s="47">
        <f t="shared" si="29"/>
        <v>12486.434862</v>
      </c>
      <c r="H145" s="49">
        <f>0</f>
        <v>0</v>
      </c>
      <c r="I145" s="48">
        <f t="shared" si="30"/>
        <v>2486.4348620000001</v>
      </c>
      <c r="J145" s="46">
        <f t="shared" si="31"/>
        <v>0.24864348620000001</v>
      </c>
      <c r="K145" s="47">
        <f t="shared" ca="1" si="32"/>
        <v>7.9666666666666668</v>
      </c>
      <c r="L145" s="46">
        <f t="shared" ca="1" si="33"/>
        <v>0.37452575327196658</v>
      </c>
      <c r="M145" s="57" t="s">
        <v>68</v>
      </c>
      <c r="N145" s="47">
        <f t="shared" si="34"/>
        <v>-10000</v>
      </c>
      <c r="O145" s="51" t="s">
        <v>83</v>
      </c>
    </row>
    <row r="146" spans="1:15" s="75" customFormat="1" x14ac:dyDescent="0.3">
      <c r="A146" s="84" t="e" vm="40">
        <v>#VALUE!</v>
      </c>
      <c r="B146" s="50">
        <v>46013</v>
      </c>
      <c r="C146" s="47">
        <v>10000</v>
      </c>
      <c r="D146" s="47">
        <f t="shared" si="28"/>
        <v>23.980182776953125</v>
      </c>
      <c r="E146" s="48">
        <f>417.011</f>
        <v>417.01100000000002</v>
      </c>
      <c r="F146" s="37">
        <f>VLOOKUP("INF179KC1GI5", [1]NAVAll!B$1:E$501244,4,FALSE)</f>
        <v>30.425999999999998</v>
      </c>
      <c r="G146" s="47">
        <f t="shared" si="29"/>
        <v>12687.976686</v>
      </c>
      <c r="H146" s="49">
        <f>0</f>
        <v>0</v>
      </c>
      <c r="I146" s="48">
        <f t="shared" si="30"/>
        <v>2687.976686</v>
      </c>
      <c r="J146" s="46">
        <f t="shared" si="31"/>
        <v>0.26879766859999998</v>
      </c>
      <c r="K146" s="47">
        <f t="shared" ca="1" si="32"/>
        <v>7.0333333333333332</v>
      </c>
      <c r="L146" s="46">
        <f t="shared" ca="1" si="33"/>
        <v>0.458612136</v>
      </c>
      <c r="M146" s="57" t="s">
        <v>68</v>
      </c>
      <c r="N146" s="47">
        <f t="shared" si="34"/>
        <v>-10000</v>
      </c>
      <c r="O146" s="51" t="s">
        <v>83</v>
      </c>
    </row>
    <row r="147" spans="1:15" s="75" customFormat="1" x14ac:dyDescent="0.3">
      <c r="A147" s="84" t="e" vm="40">
        <v>#VALUE!</v>
      </c>
      <c r="B147" s="50">
        <v>46044</v>
      </c>
      <c r="C147" s="47">
        <v>10000</v>
      </c>
      <c r="D147" s="47">
        <f t="shared" si="28"/>
        <v>23.633175306167786</v>
      </c>
      <c r="E147" s="48">
        <f>423.134</f>
        <v>423.13400000000001</v>
      </c>
      <c r="F147" s="37">
        <f>VLOOKUP("INF179KC1GI5", [1]NAVAll!B$1:E$501244,4,FALSE)</f>
        <v>30.425999999999998</v>
      </c>
      <c r="G147" s="47">
        <f t="shared" si="29"/>
        <v>12874.275083999999</v>
      </c>
      <c r="H147" s="49">
        <f>0</f>
        <v>0</v>
      </c>
      <c r="I147" s="48">
        <f t="shared" si="30"/>
        <v>2874.275083999999</v>
      </c>
      <c r="J147" s="46">
        <f t="shared" si="31"/>
        <v>0.28742750839999992</v>
      </c>
      <c r="K147" s="47">
        <f t="shared" ca="1" si="32"/>
        <v>6.0333333333333332</v>
      </c>
      <c r="L147" s="46">
        <f t="shared" ca="1" si="33"/>
        <v>0.57167902223204403</v>
      </c>
      <c r="M147" s="57" t="s">
        <v>68</v>
      </c>
      <c r="N147" s="47">
        <f t="shared" si="34"/>
        <v>-10000</v>
      </c>
      <c r="O147" s="51" t="s">
        <v>83</v>
      </c>
    </row>
    <row r="148" spans="1:15" s="75" customFormat="1" x14ac:dyDescent="0.3">
      <c r="A148" s="84" t="e" vm="40">
        <v>#VALUE!</v>
      </c>
      <c r="B148" s="50">
        <v>46076</v>
      </c>
      <c r="C148" s="47">
        <v>10000</v>
      </c>
      <c r="D148" s="47">
        <f t="shared" si="28"/>
        <v>25.116225332727193</v>
      </c>
      <c r="E148" s="48">
        <f>398.149</f>
        <v>398.149</v>
      </c>
      <c r="F148" s="37">
        <f>VLOOKUP("INF179KC1GI5", [1]NAVAll!B$1:E$501244,4,FALSE)</f>
        <v>30.425999999999998</v>
      </c>
      <c r="G148" s="47">
        <f t="shared" si="29"/>
        <v>12114.081473999999</v>
      </c>
      <c r="H148" s="49">
        <f>0</f>
        <v>0</v>
      </c>
      <c r="I148" s="48">
        <f t="shared" si="30"/>
        <v>2114.0814739999987</v>
      </c>
      <c r="J148" s="46">
        <f t="shared" si="31"/>
        <v>0.21140814739999986</v>
      </c>
      <c r="K148" s="47">
        <f t="shared" ca="1" si="32"/>
        <v>5</v>
      </c>
      <c r="L148" s="46">
        <f t="shared" ca="1" si="33"/>
        <v>0.50737955375999966</v>
      </c>
      <c r="M148" s="57" t="s">
        <v>68</v>
      </c>
      <c r="N148" s="47">
        <f t="shared" si="34"/>
        <v>-10000</v>
      </c>
      <c r="O148" s="51" t="s">
        <v>83</v>
      </c>
    </row>
    <row r="149" spans="1:15" s="75" customFormat="1" x14ac:dyDescent="0.3">
      <c r="A149" s="84" t="e" vm="40">
        <v>#VALUE!</v>
      </c>
      <c r="B149" s="50">
        <v>46104</v>
      </c>
      <c r="C149" s="47">
        <v>10000</v>
      </c>
      <c r="D149" s="47">
        <f t="shared" si="28"/>
        <v>22.878164622121353</v>
      </c>
      <c r="E149" s="48">
        <f>437.098</f>
        <v>437.09800000000001</v>
      </c>
      <c r="F149" s="37">
        <f>VLOOKUP("INF179KC1GI5", [1]NAVAll!B$1:E$501244,4,FALSE)</f>
        <v>30.425999999999998</v>
      </c>
      <c r="G149" s="47">
        <f t="shared" si="29"/>
        <v>13299.143748</v>
      </c>
      <c r="H149" s="49">
        <f>0</f>
        <v>0</v>
      </c>
      <c r="I149" s="48">
        <f t="shared" si="30"/>
        <v>3299.1437480000004</v>
      </c>
      <c r="J149" s="46">
        <f t="shared" si="31"/>
        <v>0.32991437480000002</v>
      </c>
      <c r="K149" s="47">
        <f t="shared" ca="1" si="32"/>
        <v>4</v>
      </c>
      <c r="L149" s="46">
        <f t="shared" ca="1" si="33"/>
        <v>0.98974312440000012</v>
      </c>
      <c r="M149" s="57" t="s">
        <v>68</v>
      </c>
      <c r="N149" s="47">
        <f t="shared" si="34"/>
        <v>-10000</v>
      </c>
      <c r="O149" s="51" t="s">
        <v>83</v>
      </c>
    </row>
    <row r="150" spans="1:15" s="75" customFormat="1" x14ac:dyDescent="0.3">
      <c r="A150" s="84" t="e" vm="40">
        <v>#VALUE!</v>
      </c>
      <c r="B150" s="50">
        <v>46134</v>
      </c>
      <c r="C150" s="47">
        <v>10000</v>
      </c>
      <c r="D150" s="47">
        <f t="shared" si="28"/>
        <v>27.45337045029018</v>
      </c>
      <c r="E150" s="48">
        <f>364.254</f>
        <v>364.25400000000002</v>
      </c>
      <c r="F150" s="37">
        <f>VLOOKUP("INF179KC1GI5", [1]NAVAll!B$1:E$501244,4,FALSE)</f>
        <v>30.425999999999998</v>
      </c>
      <c r="G150" s="47">
        <f t="shared" si="29"/>
        <v>11082.792203999999</v>
      </c>
      <c r="H150" s="49">
        <f>0</f>
        <v>0</v>
      </c>
      <c r="I150" s="48">
        <f t="shared" si="30"/>
        <v>1082.7922039999994</v>
      </c>
      <c r="J150" s="46">
        <f t="shared" si="31"/>
        <v>0.10827922039999995</v>
      </c>
      <c r="K150" s="47">
        <f t="shared" ca="1" si="32"/>
        <v>3.0333333333333332</v>
      </c>
      <c r="L150" s="46">
        <f t="shared" ca="1" si="33"/>
        <v>0.42835735542857123</v>
      </c>
      <c r="M150" s="57" t="s">
        <v>68</v>
      </c>
      <c r="N150" s="47">
        <f t="shared" si="34"/>
        <v>-10000</v>
      </c>
      <c r="O150" s="51" t="s">
        <v>83</v>
      </c>
    </row>
    <row r="151" spans="1:15" s="75" customFormat="1" x14ac:dyDescent="0.3">
      <c r="A151" s="84" t="e" vm="40">
        <v>#VALUE!</v>
      </c>
      <c r="B151" s="50">
        <v>46164</v>
      </c>
      <c r="C151" s="47">
        <v>10000</v>
      </c>
      <c r="D151" s="47">
        <f t="shared" si="28"/>
        <v>28.4744527210187</v>
      </c>
      <c r="E151" s="48">
        <f>351.192</f>
        <v>351.19200000000001</v>
      </c>
      <c r="F151" s="37">
        <f>VLOOKUP("INF179KC1GI5", [1]NAVAll!B$1:E$501244,4,FALSE)</f>
        <v>30.425999999999998</v>
      </c>
      <c r="G151" s="47">
        <f t="shared" si="29"/>
        <v>10685.367791999999</v>
      </c>
      <c r="H151" s="49">
        <f>0</f>
        <v>0</v>
      </c>
      <c r="I151" s="48">
        <f t="shared" si="30"/>
        <v>685.3677919999991</v>
      </c>
      <c r="J151" s="46">
        <f t="shared" si="31"/>
        <v>6.8536779199999912E-2</v>
      </c>
      <c r="K151" s="47">
        <f t="shared" ca="1" si="32"/>
        <v>2.0333333333333332</v>
      </c>
      <c r="L151" s="46">
        <f t="shared" ca="1" si="33"/>
        <v>0.40447935265573726</v>
      </c>
      <c r="M151" s="57" t="s">
        <v>68</v>
      </c>
      <c r="N151" s="47">
        <f t="shared" si="34"/>
        <v>-10000</v>
      </c>
      <c r="O151" s="51" t="s">
        <v>83</v>
      </c>
    </row>
    <row r="152" spans="1:15" s="75" customFormat="1" x14ac:dyDescent="0.3">
      <c r="A152" s="84" t="e" vm="40">
        <v>#VALUE!</v>
      </c>
      <c r="B152" s="50">
        <v>46195</v>
      </c>
      <c r="C152" s="47">
        <v>10000</v>
      </c>
      <c r="D152" s="47">
        <f t="shared" si="28"/>
        <v>30.911518868391116</v>
      </c>
      <c r="E152" s="48">
        <f>323.504</f>
        <v>323.50400000000002</v>
      </c>
      <c r="F152" s="37">
        <f>VLOOKUP("INF179KC1GI5", [1]NAVAll!B$1:E$501244,4,FALSE)</f>
        <v>30.425999999999998</v>
      </c>
      <c r="G152" s="47">
        <f t="shared" si="29"/>
        <v>9842.9327040000007</v>
      </c>
      <c r="H152" s="49">
        <f>0</f>
        <v>0</v>
      </c>
      <c r="I152" s="48">
        <f t="shared" si="30"/>
        <v>-157.06729599999926</v>
      </c>
      <c r="J152" s="46">
        <f t="shared" si="31"/>
        <v>-1.5706729599999927E-2</v>
      </c>
      <c r="K152" s="47">
        <f t="shared" ca="1" si="32"/>
        <v>1.0333333333333334</v>
      </c>
      <c r="L152" s="46">
        <f t="shared" ca="1" si="33"/>
        <v>-0.18240073083870881</v>
      </c>
      <c r="M152" s="57" t="s">
        <v>68</v>
      </c>
      <c r="N152" s="47">
        <f t="shared" si="34"/>
        <v>-10000</v>
      </c>
      <c r="O152" s="51" t="s">
        <v>83</v>
      </c>
    </row>
    <row r="153" spans="1:15" s="75" customFormat="1" x14ac:dyDescent="0.3">
      <c r="A153" s="84" t="e" vm="40">
        <v>#VALUE!</v>
      </c>
      <c r="B153" s="50">
        <v>46225</v>
      </c>
      <c r="C153" s="47">
        <v>10000</v>
      </c>
      <c r="D153" s="47">
        <f t="shared" si="28"/>
        <v>30.427506465845127</v>
      </c>
      <c r="E153" s="48">
        <f>328.65</f>
        <v>328.65</v>
      </c>
      <c r="F153" s="37">
        <f>VLOOKUP("INF179KC1GI5", [1]NAVAll!B$1:E$501244,4,FALSE)</f>
        <v>30.425999999999998</v>
      </c>
      <c r="G153" s="47">
        <f t="shared" si="29"/>
        <v>9999.5048999999981</v>
      </c>
      <c r="H153" s="49">
        <f>0</f>
        <v>0</v>
      </c>
      <c r="I153" s="48">
        <f t="shared" si="30"/>
        <v>-0.49510000000191212</v>
      </c>
      <c r="J153" s="46">
        <f t="shared" si="31"/>
        <v>-4.9510000000191211E-5</v>
      </c>
      <c r="K153" s="47">
        <f t="shared" ca="1" si="32"/>
        <v>3.3333333333333333E-2</v>
      </c>
      <c r="L153" s="46">
        <f t="shared" ca="1" si="33"/>
        <v>-1.7823600000068836E-2</v>
      </c>
      <c r="M153" s="57" t="s">
        <v>68</v>
      </c>
      <c r="N153" s="47">
        <f t="shared" si="34"/>
        <v>-10000</v>
      </c>
      <c r="O153" s="51" t="s">
        <v>83</v>
      </c>
    </row>
    <row r="154" spans="1:15" s="75" customFormat="1" x14ac:dyDescent="0.3">
      <c r="A154" s="76" t="s">
        <v>84</v>
      </c>
      <c r="B154" s="77">
        <f ca="1">TODAY()</f>
        <v>46226</v>
      </c>
      <c r="C154" s="78"/>
      <c r="D154" s="78"/>
      <c r="E154" s="79"/>
      <c r="F154" s="80"/>
      <c r="G154" s="78"/>
      <c r="H154" s="80"/>
      <c r="I154" s="79"/>
      <c r="J154" s="81"/>
      <c r="K154" s="78"/>
      <c r="L154" s="81"/>
      <c r="M154" s="82"/>
      <c r="N154" s="78">
        <f>SUM(G123:G153)</f>
        <v>423852.55730399996</v>
      </c>
      <c r="O154" s="51"/>
    </row>
    <row r="155" spans="1:15" s="75" customFormat="1" x14ac:dyDescent="0.3">
      <c r="A155" s="76" t="s">
        <v>85</v>
      </c>
      <c r="B155" s="77"/>
      <c r="C155" s="78"/>
      <c r="D155" s="78"/>
      <c r="E155" s="79"/>
      <c r="F155" s="80"/>
      <c r="G155" s="78"/>
      <c r="H155" s="80"/>
      <c r="I155" s="79"/>
      <c r="J155" s="81">
        <f>SUM(N123:N154)/-SUM(N123:N153)</f>
        <v>0.36726631388387082</v>
      </c>
      <c r="K155" s="78"/>
      <c r="L155" s="81"/>
      <c r="M155" s="82"/>
      <c r="N155" s="78"/>
      <c r="O155" s="51"/>
    </row>
    <row r="156" spans="1:15" s="75" customFormat="1" x14ac:dyDescent="0.3">
      <c r="A156" s="76" t="s">
        <v>86</v>
      </c>
      <c r="B156" s="77"/>
      <c r="C156" s="78"/>
      <c r="D156" s="78"/>
      <c r="E156" s="79"/>
      <c r="F156" s="80"/>
      <c r="G156" s="78"/>
      <c r="H156" s="80"/>
      <c r="I156" s="79"/>
      <c r="J156" s="81">
        <f ca="1">XIRR(N123:N154,B123:B154)</f>
        <v>0.26841836571693423</v>
      </c>
      <c r="K156" s="78"/>
      <c r="L156" s="81"/>
      <c r="M156" s="82"/>
      <c r="N156" s="78"/>
      <c r="O156" s="51"/>
    </row>
    <row r="157" spans="1:15" s="75" customFormat="1" x14ac:dyDescent="0.3">
      <c r="A157" s="84" t="e" vm="41">
        <v>#VALUE!</v>
      </c>
      <c r="B157" s="50">
        <v>45160</v>
      </c>
      <c r="C157" s="47">
        <v>10000</v>
      </c>
      <c r="D157" s="47">
        <f t="shared" ref="D157:D193" si="35">C157/E157</f>
        <v>583.39653462458443</v>
      </c>
      <c r="E157" s="49">
        <f>17.141</f>
        <v>17.140999999999998</v>
      </c>
      <c r="F157" s="37">
        <f>VLOOKUP("INF109K015K4", [1]NAVAll!B$1:E$501244,4,FALSE)</f>
        <v>893.74130000000002</v>
      </c>
      <c r="G157" s="47">
        <f t="shared" ref="G157:G193" si="36">PRODUCT(E157:F157)</f>
        <v>15319.619623299999</v>
      </c>
      <c r="H157" s="49">
        <f>0</f>
        <v>0</v>
      </c>
      <c r="I157" s="48">
        <f t="shared" ref="I157:I193" si="37">SUM(-C157,G157)+H157</f>
        <v>5319.6196232999991</v>
      </c>
      <c r="J157" s="46">
        <f t="shared" ref="J157:J193" si="38">I157/C157</f>
        <v>0.53196196232999993</v>
      </c>
      <c r="K157" s="47">
        <f t="shared" ref="K157:K193" ca="1" si="39">(DAYS360(B157,NOW(),TRUE))/30</f>
        <v>35.033333333333331</v>
      </c>
      <c r="L157" s="46">
        <f t="shared" ref="L157:L193" ca="1" si="40">J157*12/K157</f>
        <v>0.18221342192083728</v>
      </c>
      <c r="M157" s="57" t="s">
        <v>68</v>
      </c>
      <c r="N157" s="47">
        <f t="shared" ref="N157:N193" si="41">-C157</f>
        <v>-10000</v>
      </c>
      <c r="O157" s="51" t="s">
        <v>87</v>
      </c>
    </row>
    <row r="158" spans="1:15" s="75" customFormat="1" x14ac:dyDescent="0.3">
      <c r="A158" s="84" t="e" vm="41">
        <v>#VALUE!</v>
      </c>
      <c r="B158" s="50">
        <v>45191</v>
      </c>
      <c r="C158" s="47">
        <v>10000</v>
      </c>
      <c r="D158" s="47">
        <f t="shared" si="35"/>
        <v>594.10646387832696</v>
      </c>
      <c r="E158" s="48">
        <f>16.832</f>
        <v>16.832000000000001</v>
      </c>
      <c r="F158" s="37">
        <f>VLOOKUP("INF109K015K4", [1]NAVAll!B$1:E$501244,4,FALSE)</f>
        <v>893.74130000000002</v>
      </c>
      <c r="G158" s="47">
        <f t="shared" si="36"/>
        <v>15043.453561600001</v>
      </c>
      <c r="H158" s="49">
        <f>0</f>
        <v>0</v>
      </c>
      <c r="I158" s="48">
        <f t="shared" si="37"/>
        <v>5043.4535616000012</v>
      </c>
      <c r="J158" s="46">
        <f t="shared" si="38"/>
        <v>0.50434535616000009</v>
      </c>
      <c r="K158" s="47">
        <f t="shared" ca="1" si="39"/>
        <v>34.033333333333331</v>
      </c>
      <c r="L158" s="46">
        <f t="shared" ca="1" si="40"/>
        <v>0.17782990031106763</v>
      </c>
      <c r="M158" s="57" t="s">
        <v>68</v>
      </c>
      <c r="N158" s="47">
        <f t="shared" si="41"/>
        <v>-10000</v>
      </c>
      <c r="O158" s="51" t="s">
        <v>87</v>
      </c>
    </row>
    <row r="159" spans="1:15" s="75" customFormat="1" x14ac:dyDescent="0.3">
      <c r="A159" s="84" t="e" vm="41">
        <v>#VALUE!</v>
      </c>
      <c r="B159" s="50">
        <v>45222</v>
      </c>
      <c r="C159" s="47">
        <v>10000</v>
      </c>
      <c r="D159" s="47">
        <f t="shared" si="35"/>
        <v>592.06631142687979</v>
      </c>
      <c r="E159" s="48">
        <f>16.89</f>
        <v>16.89</v>
      </c>
      <c r="F159" s="37">
        <f>VLOOKUP("INF109K015K4", [1]NAVAll!B$1:E$501244,4,FALSE)</f>
        <v>893.74130000000002</v>
      </c>
      <c r="G159" s="47">
        <f t="shared" si="36"/>
        <v>15095.290557</v>
      </c>
      <c r="H159" s="49">
        <f>0</f>
        <v>0</v>
      </c>
      <c r="I159" s="48">
        <f t="shared" si="37"/>
        <v>5095.2905570000003</v>
      </c>
      <c r="J159" s="46">
        <f t="shared" si="38"/>
        <v>0.50952905570000007</v>
      </c>
      <c r="K159" s="47">
        <f t="shared" ca="1" si="39"/>
        <v>33</v>
      </c>
      <c r="L159" s="46">
        <f t="shared" ca="1" si="40"/>
        <v>0.1852832929818182</v>
      </c>
      <c r="M159" s="57" t="s">
        <v>68</v>
      </c>
      <c r="N159" s="47">
        <f t="shared" si="41"/>
        <v>-10000</v>
      </c>
      <c r="O159" s="51" t="s">
        <v>87</v>
      </c>
    </row>
    <row r="160" spans="1:15" s="75" customFormat="1" x14ac:dyDescent="0.3">
      <c r="A160" s="84" t="e" vm="41">
        <v>#VALUE!</v>
      </c>
      <c r="B160" s="50">
        <v>45252</v>
      </c>
      <c r="C160" s="47">
        <v>10000</v>
      </c>
      <c r="D160" s="47">
        <f t="shared" si="35"/>
        <v>612.25739300802059</v>
      </c>
      <c r="E160" s="48">
        <f>16.333</f>
        <v>16.332999999999998</v>
      </c>
      <c r="F160" s="37">
        <f>VLOOKUP("INF109K015K4", [1]NAVAll!B$1:E$501244,4,FALSE)</f>
        <v>893.74130000000002</v>
      </c>
      <c r="G160" s="47">
        <f t="shared" si="36"/>
        <v>14597.476652899999</v>
      </c>
      <c r="H160" s="49">
        <f>0</f>
        <v>0</v>
      </c>
      <c r="I160" s="48">
        <f t="shared" si="37"/>
        <v>4597.476652899999</v>
      </c>
      <c r="J160" s="46">
        <f t="shared" si="38"/>
        <v>0.45974766528999989</v>
      </c>
      <c r="K160" s="47">
        <f t="shared" ca="1" si="39"/>
        <v>32.033333333333331</v>
      </c>
      <c r="L160" s="46">
        <f t="shared" ca="1" si="40"/>
        <v>0.17222597242913629</v>
      </c>
      <c r="M160" s="57" t="s">
        <v>68</v>
      </c>
      <c r="N160" s="47">
        <f t="shared" si="41"/>
        <v>-10000</v>
      </c>
      <c r="O160" s="51" t="s">
        <v>87</v>
      </c>
    </row>
    <row r="161" spans="1:15" s="75" customFormat="1" x14ac:dyDescent="0.3">
      <c r="A161" s="84" t="e" vm="41">
        <v>#VALUE!</v>
      </c>
      <c r="B161" s="50">
        <v>45282</v>
      </c>
      <c r="C161" s="47">
        <v>10000</v>
      </c>
      <c r="D161" s="47">
        <f t="shared" si="35"/>
        <v>643.21090885701415</v>
      </c>
      <c r="E161" s="48">
        <f>15.547</f>
        <v>15.547000000000001</v>
      </c>
      <c r="F161" s="37">
        <f>VLOOKUP("INF109K015K4", [1]NAVAll!B$1:E$501244,4,FALSE)</f>
        <v>893.74130000000002</v>
      </c>
      <c r="G161" s="47">
        <f t="shared" si="36"/>
        <v>13894.995991100001</v>
      </c>
      <c r="H161" s="49">
        <f>0</f>
        <v>0</v>
      </c>
      <c r="I161" s="48">
        <f t="shared" si="37"/>
        <v>3894.9959911000005</v>
      </c>
      <c r="J161" s="46">
        <f t="shared" si="38"/>
        <v>0.38949959911000004</v>
      </c>
      <c r="K161" s="47">
        <f t="shared" ca="1" si="39"/>
        <v>31.033333333333335</v>
      </c>
      <c r="L161" s="46">
        <f t="shared" ca="1" si="40"/>
        <v>0.15061208988141783</v>
      </c>
      <c r="M161" s="57" t="s">
        <v>68</v>
      </c>
      <c r="N161" s="47">
        <f t="shared" si="41"/>
        <v>-10000</v>
      </c>
      <c r="O161" s="51" t="s">
        <v>87</v>
      </c>
    </row>
    <row r="162" spans="1:15" s="75" customFormat="1" x14ac:dyDescent="0.3">
      <c r="A162" s="84" t="e" vm="41">
        <v>#VALUE!</v>
      </c>
      <c r="B162" s="50">
        <v>45314</v>
      </c>
      <c r="C162" s="47">
        <v>10000</v>
      </c>
      <c r="D162" s="47">
        <f t="shared" si="35"/>
        <v>648.59255415747828</v>
      </c>
      <c r="E162" s="48">
        <f>15.418</f>
        <v>15.417999999999999</v>
      </c>
      <c r="F162" s="37">
        <f>VLOOKUP("INF109K015K4", [1]NAVAll!B$1:E$501244,4,FALSE)</f>
        <v>893.74130000000002</v>
      </c>
      <c r="G162" s="47">
        <f t="shared" si="36"/>
        <v>13779.7033634</v>
      </c>
      <c r="H162" s="49">
        <f>0</f>
        <v>0</v>
      </c>
      <c r="I162" s="48">
        <f t="shared" si="37"/>
        <v>3779.7033633999999</v>
      </c>
      <c r="J162" s="46">
        <f t="shared" si="38"/>
        <v>0.37797033633999999</v>
      </c>
      <c r="K162" s="47">
        <f t="shared" ca="1" si="39"/>
        <v>30</v>
      </c>
      <c r="L162" s="46">
        <f t="shared" ca="1" si="40"/>
        <v>0.151188134536</v>
      </c>
      <c r="M162" s="57" t="s">
        <v>68</v>
      </c>
      <c r="N162" s="47">
        <f t="shared" si="41"/>
        <v>-10000</v>
      </c>
      <c r="O162" s="51" t="s">
        <v>87</v>
      </c>
    </row>
    <row r="163" spans="1:15" s="75" customFormat="1" x14ac:dyDescent="0.3">
      <c r="A163" s="84" t="e" vm="41">
        <v>#VALUE!</v>
      </c>
      <c r="B163" s="50">
        <v>45344</v>
      </c>
      <c r="C163" s="47">
        <v>10000</v>
      </c>
      <c r="D163" s="47">
        <f t="shared" si="35"/>
        <v>677.27734507280729</v>
      </c>
      <c r="E163" s="48">
        <f>14.765</f>
        <v>14.765000000000001</v>
      </c>
      <c r="F163" s="37">
        <f>VLOOKUP("INF109K015K4", [1]NAVAll!B$1:E$501244,4,FALSE)</f>
        <v>893.74130000000002</v>
      </c>
      <c r="G163" s="47">
        <f t="shared" si="36"/>
        <v>13196.090294500002</v>
      </c>
      <c r="H163" s="49">
        <f>0</f>
        <v>0</v>
      </c>
      <c r="I163" s="48">
        <f t="shared" si="37"/>
        <v>3196.0902945000016</v>
      </c>
      <c r="J163" s="46">
        <f t="shared" si="38"/>
        <v>0.31960902945000014</v>
      </c>
      <c r="K163" s="47">
        <f t="shared" ca="1" si="39"/>
        <v>29.033333333333335</v>
      </c>
      <c r="L163" s="46">
        <f t="shared" ca="1" si="40"/>
        <v>0.13210017290700349</v>
      </c>
      <c r="M163" s="57" t="s">
        <v>68</v>
      </c>
      <c r="N163" s="47">
        <f t="shared" si="41"/>
        <v>-10000</v>
      </c>
      <c r="O163" s="51" t="s">
        <v>87</v>
      </c>
    </row>
    <row r="164" spans="1:15" s="75" customFormat="1" x14ac:dyDescent="0.3">
      <c r="A164" s="84" t="e" vm="41">
        <v>#VALUE!</v>
      </c>
      <c r="B164" s="50">
        <v>45373</v>
      </c>
      <c r="C164" s="47">
        <v>10000</v>
      </c>
      <c r="D164" s="47">
        <f t="shared" si="35"/>
        <v>685.11921074266922</v>
      </c>
      <c r="E164" s="48">
        <f>14.596</f>
        <v>14.596</v>
      </c>
      <c r="F164" s="37">
        <f>VLOOKUP("INF109K015K4", [1]NAVAll!B$1:E$501244,4,FALSE)</f>
        <v>893.74130000000002</v>
      </c>
      <c r="G164" s="47">
        <f t="shared" si="36"/>
        <v>13045.048014800001</v>
      </c>
      <c r="H164" s="49">
        <f>0</f>
        <v>0</v>
      </c>
      <c r="I164" s="48">
        <f t="shared" si="37"/>
        <v>3045.0480148000006</v>
      </c>
      <c r="J164" s="46">
        <f t="shared" si="38"/>
        <v>0.30450480148000009</v>
      </c>
      <c r="K164" s="47">
        <f t="shared" ca="1" si="39"/>
        <v>28.033333333333335</v>
      </c>
      <c r="L164" s="46">
        <f t="shared" ca="1" si="40"/>
        <v>0.13034688291652799</v>
      </c>
      <c r="M164" s="57" t="s">
        <v>68</v>
      </c>
      <c r="N164" s="47">
        <f t="shared" si="41"/>
        <v>-10000</v>
      </c>
      <c r="O164" s="51" t="s">
        <v>87</v>
      </c>
    </row>
    <row r="165" spans="1:15" s="75" customFormat="1" x14ac:dyDescent="0.3">
      <c r="A165" s="84" t="e" vm="41">
        <v>#VALUE!</v>
      </c>
      <c r="B165" s="50">
        <v>45404</v>
      </c>
      <c r="C165" s="47">
        <v>10000</v>
      </c>
      <c r="D165" s="47">
        <f t="shared" si="35"/>
        <v>707.41369552914546</v>
      </c>
      <c r="E165" s="48">
        <f>14.136</f>
        <v>14.135999999999999</v>
      </c>
      <c r="F165" s="37">
        <f>VLOOKUP("INF109K015K4", [1]NAVAll!B$1:E$501244,4,FALSE)</f>
        <v>893.74130000000002</v>
      </c>
      <c r="G165" s="47">
        <f t="shared" si="36"/>
        <v>12633.9270168</v>
      </c>
      <c r="H165" s="49">
        <f>0</f>
        <v>0</v>
      </c>
      <c r="I165" s="48">
        <f t="shared" si="37"/>
        <v>2633.9270168000003</v>
      </c>
      <c r="J165" s="46">
        <f t="shared" si="38"/>
        <v>0.26339270168000001</v>
      </c>
      <c r="K165" s="47">
        <f t="shared" ca="1" si="39"/>
        <v>27.033333333333335</v>
      </c>
      <c r="L165" s="46">
        <f t="shared" ca="1" si="40"/>
        <v>0.11691907842762023</v>
      </c>
      <c r="M165" s="57" t="s">
        <v>68</v>
      </c>
      <c r="N165" s="47">
        <f t="shared" si="41"/>
        <v>-10000</v>
      </c>
      <c r="O165" s="51" t="s">
        <v>87</v>
      </c>
    </row>
    <row r="166" spans="1:15" s="75" customFormat="1" x14ac:dyDescent="0.3">
      <c r="A166" s="84" t="e" vm="41">
        <v>#VALUE!</v>
      </c>
      <c r="B166" s="50">
        <v>45434</v>
      </c>
      <c r="C166" s="47">
        <v>10000</v>
      </c>
      <c r="D166" s="47">
        <f t="shared" si="35"/>
        <v>724.74271633570083</v>
      </c>
      <c r="E166" s="48">
        <f>13.798</f>
        <v>13.798</v>
      </c>
      <c r="F166" s="37">
        <f>VLOOKUP("INF109K015K4", [1]NAVAll!B$1:E$501244,4,FALSE)</f>
        <v>893.74130000000002</v>
      </c>
      <c r="G166" s="47">
        <f t="shared" si="36"/>
        <v>12331.8424574</v>
      </c>
      <c r="H166" s="49">
        <f>0</f>
        <v>0</v>
      </c>
      <c r="I166" s="48">
        <f t="shared" si="37"/>
        <v>2331.8424574000001</v>
      </c>
      <c r="J166" s="46">
        <f t="shared" si="38"/>
        <v>0.23318424574000002</v>
      </c>
      <c r="K166" s="47">
        <f t="shared" ca="1" si="39"/>
        <v>26.033333333333335</v>
      </c>
      <c r="L166" s="46">
        <f t="shared" ca="1" si="40"/>
        <v>0.10748569585966711</v>
      </c>
      <c r="M166" s="57" t="s">
        <v>68</v>
      </c>
      <c r="N166" s="47">
        <f t="shared" si="41"/>
        <v>-10000</v>
      </c>
      <c r="O166" s="51" t="s">
        <v>87</v>
      </c>
    </row>
    <row r="167" spans="1:15" s="75" customFormat="1" x14ac:dyDescent="0.3">
      <c r="A167" s="84" t="e" vm="41">
        <v>#VALUE!</v>
      </c>
      <c r="B167" s="50">
        <v>45467</v>
      </c>
      <c r="C167" s="47">
        <v>10000</v>
      </c>
      <c r="D167" s="47">
        <f t="shared" si="35"/>
        <v>738.38883556080634</v>
      </c>
      <c r="E167" s="48">
        <f>13.543</f>
        <v>13.542999999999999</v>
      </c>
      <c r="F167" s="37">
        <f>VLOOKUP("INF109K015K4", [1]NAVAll!B$1:E$501244,4,FALSE)</f>
        <v>893.74130000000002</v>
      </c>
      <c r="G167" s="47">
        <f t="shared" si="36"/>
        <v>12103.9384259</v>
      </c>
      <c r="H167" s="49">
        <f>0</f>
        <v>0</v>
      </c>
      <c r="I167" s="48">
        <f t="shared" si="37"/>
        <v>2103.9384258999999</v>
      </c>
      <c r="J167" s="46">
        <f t="shared" si="38"/>
        <v>0.21039384258999999</v>
      </c>
      <c r="K167" s="47">
        <f t="shared" ca="1" si="39"/>
        <v>24.966666666666665</v>
      </c>
      <c r="L167" s="46">
        <f t="shared" ca="1" si="40"/>
        <v>0.10112387627823764</v>
      </c>
      <c r="M167" s="57" t="s">
        <v>68</v>
      </c>
      <c r="N167" s="47">
        <f t="shared" si="41"/>
        <v>-10000</v>
      </c>
      <c r="O167" s="51" t="s">
        <v>87</v>
      </c>
    </row>
    <row r="168" spans="1:15" s="75" customFormat="1" x14ac:dyDescent="0.3">
      <c r="A168" s="84" t="e" vm="41">
        <v>#VALUE!</v>
      </c>
      <c r="B168" s="50">
        <v>45495</v>
      </c>
      <c r="C168" s="47">
        <v>10000</v>
      </c>
      <c r="D168" s="47">
        <f t="shared" si="35"/>
        <v>757.28890571753118</v>
      </c>
      <c r="E168" s="48">
        <f>13.205</f>
        <v>13.205</v>
      </c>
      <c r="F168" s="37">
        <f>VLOOKUP("INF109K015K4", [1]NAVAll!B$1:E$501244,4,FALSE)</f>
        <v>893.74130000000002</v>
      </c>
      <c r="G168" s="47">
        <f t="shared" si="36"/>
        <v>11801.8538665</v>
      </c>
      <c r="H168" s="49">
        <f>0</f>
        <v>0</v>
      </c>
      <c r="I168" s="48">
        <f t="shared" si="37"/>
        <v>1801.8538664999996</v>
      </c>
      <c r="J168" s="46">
        <f t="shared" si="38"/>
        <v>0.18018538664999997</v>
      </c>
      <c r="K168" s="47">
        <f t="shared" ca="1" si="39"/>
        <v>24.033333333333335</v>
      </c>
      <c r="L168" s="46">
        <f t="shared" ca="1" si="40"/>
        <v>8.9967738133148387E-2</v>
      </c>
      <c r="M168" s="57" t="s">
        <v>68</v>
      </c>
      <c r="N168" s="47">
        <f t="shared" si="41"/>
        <v>-10000</v>
      </c>
      <c r="O168" s="51" t="s">
        <v>87</v>
      </c>
    </row>
    <row r="169" spans="1:15" s="75" customFormat="1" x14ac:dyDescent="0.3">
      <c r="A169" s="84" t="e" vm="41">
        <v>#VALUE!</v>
      </c>
      <c r="B169" s="50">
        <v>45526</v>
      </c>
      <c r="C169" s="47">
        <v>10000</v>
      </c>
      <c r="D169" s="47">
        <f t="shared" si="35"/>
        <v>765.5209369976269</v>
      </c>
      <c r="E169" s="48">
        <f>13.063</f>
        <v>13.063000000000001</v>
      </c>
      <c r="F169" s="37">
        <f>VLOOKUP("INF109K015K4", [1]NAVAll!B$1:E$501244,4,FALSE)</f>
        <v>893.74130000000002</v>
      </c>
      <c r="G169" s="47">
        <f t="shared" si="36"/>
        <v>11674.9426019</v>
      </c>
      <c r="H169" s="49">
        <f>0</f>
        <v>0</v>
      </c>
      <c r="I169" s="48">
        <f t="shared" si="37"/>
        <v>1674.9426019000002</v>
      </c>
      <c r="J169" s="46">
        <f t="shared" si="38"/>
        <v>0.16749426019000002</v>
      </c>
      <c r="K169" s="47">
        <f t="shared" ca="1" si="39"/>
        <v>23.033333333333335</v>
      </c>
      <c r="L169" s="46">
        <f t="shared" ca="1" si="40"/>
        <v>8.7261843224891472E-2</v>
      </c>
      <c r="M169" s="57" t="s">
        <v>68</v>
      </c>
      <c r="N169" s="47">
        <f t="shared" si="41"/>
        <v>-10000</v>
      </c>
      <c r="O169" s="51" t="s">
        <v>87</v>
      </c>
    </row>
    <row r="170" spans="1:15" s="75" customFormat="1" x14ac:dyDescent="0.3">
      <c r="A170" s="84" t="e" vm="41">
        <v>#VALUE!</v>
      </c>
      <c r="B170" s="50">
        <v>45558</v>
      </c>
      <c r="C170" s="47">
        <v>10000</v>
      </c>
      <c r="D170" s="47">
        <f t="shared" si="35"/>
        <v>791.20183558825863</v>
      </c>
      <c r="E170" s="48">
        <f>12.639</f>
        <v>12.638999999999999</v>
      </c>
      <c r="F170" s="37">
        <f>VLOOKUP("INF109K015K4", [1]NAVAll!B$1:E$501244,4,FALSE)</f>
        <v>893.74130000000002</v>
      </c>
      <c r="G170" s="47">
        <f t="shared" si="36"/>
        <v>11295.996290699999</v>
      </c>
      <c r="H170" s="49">
        <f>0</f>
        <v>0</v>
      </c>
      <c r="I170" s="48">
        <f t="shared" si="37"/>
        <v>1295.996290699999</v>
      </c>
      <c r="J170" s="46">
        <f t="shared" si="38"/>
        <v>0.12959962906999989</v>
      </c>
      <c r="K170" s="47">
        <f t="shared" ca="1" si="39"/>
        <v>22</v>
      </c>
      <c r="L170" s="46">
        <f t="shared" ca="1" si="40"/>
        <v>7.0690706765454484E-2</v>
      </c>
      <c r="M170" s="57" t="s">
        <v>68</v>
      </c>
      <c r="N170" s="47">
        <f t="shared" si="41"/>
        <v>-10000</v>
      </c>
      <c r="O170" s="51" t="s">
        <v>87</v>
      </c>
    </row>
    <row r="171" spans="1:15" s="75" customFormat="1" x14ac:dyDescent="0.3">
      <c r="A171" s="84" t="e" vm="41">
        <v>#VALUE!</v>
      </c>
      <c r="B171" s="50">
        <v>45587</v>
      </c>
      <c r="C171" s="47">
        <v>10000</v>
      </c>
      <c r="D171" s="47">
        <f t="shared" si="35"/>
        <v>778.2706825433886</v>
      </c>
      <c r="E171" s="48">
        <f>12.849</f>
        <v>12.849</v>
      </c>
      <c r="F171" s="37">
        <f>VLOOKUP("INF109K015K4", [1]NAVAll!B$1:E$501244,4,FALSE)</f>
        <v>893.74130000000002</v>
      </c>
      <c r="G171" s="47">
        <f t="shared" si="36"/>
        <v>11483.681963700001</v>
      </c>
      <c r="H171" s="49">
        <f>0</f>
        <v>0</v>
      </c>
      <c r="I171" s="48">
        <f t="shared" si="37"/>
        <v>1483.6819637000008</v>
      </c>
      <c r="J171" s="46">
        <f t="shared" si="38"/>
        <v>0.14836819637000007</v>
      </c>
      <c r="K171" s="47">
        <f t="shared" ca="1" si="39"/>
        <v>21.033333333333335</v>
      </c>
      <c r="L171" s="46">
        <f t="shared" ca="1" si="40"/>
        <v>8.4647465440887512E-2</v>
      </c>
      <c r="M171" s="57" t="s">
        <v>68</v>
      </c>
      <c r="N171" s="47">
        <f t="shared" si="41"/>
        <v>-10000</v>
      </c>
      <c r="O171" s="51" t="s">
        <v>87</v>
      </c>
    </row>
    <row r="172" spans="1:15" s="75" customFormat="1" x14ac:dyDescent="0.3">
      <c r="A172" s="84" t="e" vm="41">
        <v>#VALUE!</v>
      </c>
      <c r="B172" s="50">
        <v>45618</v>
      </c>
      <c r="C172" s="47">
        <v>10000</v>
      </c>
      <c r="D172" s="47">
        <f t="shared" si="35"/>
        <v>762.66015863331302</v>
      </c>
      <c r="E172" s="48">
        <f>13.112</f>
        <v>13.112</v>
      </c>
      <c r="F172" s="37">
        <f>VLOOKUP("INF109K015K4", [1]NAVAll!B$1:E$501244,4,FALSE)</f>
        <v>893.74130000000002</v>
      </c>
      <c r="G172" s="47">
        <f t="shared" si="36"/>
        <v>11718.7359256</v>
      </c>
      <c r="H172" s="49">
        <f>0</f>
        <v>0</v>
      </c>
      <c r="I172" s="48">
        <f t="shared" si="37"/>
        <v>1718.7359256</v>
      </c>
      <c r="J172" s="46">
        <f t="shared" si="38"/>
        <v>0.17187359256000001</v>
      </c>
      <c r="K172" s="47">
        <f t="shared" ca="1" si="39"/>
        <v>20.033333333333335</v>
      </c>
      <c r="L172" s="46">
        <f t="shared" ca="1" si="40"/>
        <v>0.10295256792279533</v>
      </c>
      <c r="M172" s="57" t="s">
        <v>68</v>
      </c>
      <c r="N172" s="47">
        <f t="shared" si="41"/>
        <v>-10000</v>
      </c>
      <c r="O172" s="51" t="s">
        <v>87</v>
      </c>
    </row>
    <row r="173" spans="1:15" s="75" customFormat="1" x14ac:dyDescent="0.3">
      <c r="A173" s="84" t="e" vm="41">
        <v>#VALUE!</v>
      </c>
      <c r="B173" s="50">
        <v>45649</v>
      </c>
      <c r="C173" s="47">
        <v>10000</v>
      </c>
      <c r="D173" s="47">
        <f t="shared" si="35"/>
        <v>760.16723679209429</v>
      </c>
      <c r="E173" s="48">
        <f>13.155</f>
        <v>13.154999999999999</v>
      </c>
      <c r="F173" s="37">
        <f>VLOOKUP("INF109K015K4", [1]NAVAll!B$1:E$501244,4,FALSE)</f>
        <v>893.74130000000002</v>
      </c>
      <c r="G173" s="47">
        <f t="shared" si="36"/>
        <v>11757.1668015</v>
      </c>
      <c r="H173" s="49">
        <f>0</f>
        <v>0</v>
      </c>
      <c r="I173" s="48">
        <f t="shared" si="37"/>
        <v>1757.1668014999996</v>
      </c>
      <c r="J173" s="46">
        <f t="shared" si="38"/>
        <v>0.17571668014999994</v>
      </c>
      <c r="K173" s="47">
        <f t="shared" ca="1" si="39"/>
        <v>19</v>
      </c>
      <c r="L173" s="46">
        <f t="shared" ca="1" si="40"/>
        <v>0.11097895588421049</v>
      </c>
      <c r="M173" s="57" t="s">
        <v>68</v>
      </c>
      <c r="N173" s="47">
        <f t="shared" si="41"/>
        <v>-10000</v>
      </c>
      <c r="O173" s="51" t="s">
        <v>87</v>
      </c>
    </row>
    <row r="174" spans="1:15" s="75" customFormat="1" x14ac:dyDescent="0.3">
      <c r="A174" s="84" t="e" vm="41">
        <v>#VALUE!</v>
      </c>
      <c r="B174" s="50">
        <v>45679</v>
      </c>
      <c r="C174" s="47">
        <v>10000</v>
      </c>
      <c r="D174" s="47">
        <f t="shared" si="35"/>
        <v>765.2280379553107</v>
      </c>
      <c r="E174" s="48">
        <f>13.068</f>
        <v>13.068</v>
      </c>
      <c r="F174" s="37">
        <f>VLOOKUP("INF109K015K4", [1]NAVAll!B$1:E$501244,4,FALSE)</f>
        <v>893.74130000000002</v>
      </c>
      <c r="G174" s="47">
        <f t="shared" si="36"/>
        <v>11679.4113084</v>
      </c>
      <c r="H174" s="49">
        <f>0</f>
        <v>0</v>
      </c>
      <c r="I174" s="48">
        <f t="shared" si="37"/>
        <v>1679.4113084000001</v>
      </c>
      <c r="J174" s="46">
        <f t="shared" si="38"/>
        <v>0.16794113084000001</v>
      </c>
      <c r="K174" s="47">
        <f t="shared" ca="1" si="39"/>
        <v>18.033333333333335</v>
      </c>
      <c r="L174" s="46">
        <f t="shared" ca="1" si="40"/>
        <v>0.1117538024073937</v>
      </c>
      <c r="M174" s="57" t="s">
        <v>68</v>
      </c>
      <c r="N174" s="47">
        <f t="shared" si="41"/>
        <v>-10000</v>
      </c>
      <c r="O174" s="51" t="s">
        <v>87</v>
      </c>
    </row>
    <row r="175" spans="1:15" s="75" customFormat="1" x14ac:dyDescent="0.3">
      <c r="A175" s="84" t="e" vm="41">
        <v>#VALUE!</v>
      </c>
      <c r="B175" s="50">
        <v>45712</v>
      </c>
      <c r="C175" s="47">
        <v>10000</v>
      </c>
      <c r="D175" s="47">
        <f t="shared" si="35"/>
        <v>766.98880196349137</v>
      </c>
      <c r="E175" s="48">
        <f>13.038</f>
        <v>13.038</v>
      </c>
      <c r="F175" s="37">
        <f>VLOOKUP("INF109K015K4", [1]NAVAll!B$1:E$501244,4,FALSE)</f>
        <v>893.74130000000002</v>
      </c>
      <c r="G175" s="47">
        <f t="shared" si="36"/>
        <v>11652.599069400001</v>
      </c>
      <c r="H175" s="49">
        <f>0</f>
        <v>0</v>
      </c>
      <c r="I175" s="48">
        <f t="shared" si="37"/>
        <v>1652.5990694000011</v>
      </c>
      <c r="J175" s="46">
        <f t="shared" si="38"/>
        <v>0.16525990694000012</v>
      </c>
      <c r="K175" s="47">
        <f t="shared" ca="1" si="39"/>
        <v>16.966666666666665</v>
      </c>
      <c r="L175" s="46">
        <f t="shared" ca="1" si="40"/>
        <v>0.11688323477092347</v>
      </c>
      <c r="M175" s="57" t="s">
        <v>68</v>
      </c>
      <c r="N175" s="47">
        <f t="shared" si="41"/>
        <v>-10000</v>
      </c>
      <c r="O175" s="51" t="s">
        <v>87</v>
      </c>
    </row>
    <row r="176" spans="1:15" s="75" customFormat="1" x14ac:dyDescent="0.3">
      <c r="A176" s="84" t="e" vm="41">
        <v>#VALUE!</v>
      </c>
      <c r="B176" s="50">
        <v>45740</v>
      </c>
      <c r="C176" s="47">
        <v>10000</v>
      </c>
      <c r="D176" s="47">
        <f t="shared" si="35"/>
        <v>789.39059046416173</v>
      </c>
      <c r="E176" s="48">
        <f>12.668</f>
        <v>12.667999999999999</v>
      </c>
      <c r="F176" s="37">
        <f>VLOOKUP("INF109K015K4", [1]NAVAll!B$1:E$501244,4,FALSE)</f>
        <v>893.74130000000002</v>
      </c>
      <c r="G176" s="47">
        <f t="shared" si="36"/>
        <v>11321.914788399999</v>
      </c>
      <c r="H176" s="49">
        <f>0</f>
        <v>0</v>
      </c>
      <c r="I176" s="48">
        <f t="shared" si="37"/>
        <v>1321.9147883999995</v>
      </c>
      <c r="J176" s="46">
        <f t="shared" si="38"/>
        <v>0.13219147883999993</v>
      </c>
      <c r="K176" s="47">
        <f t="shared" ca="1" si="39"/>
        <v>15.966666666666667</v>
      </c>
      <c r="L176" s="46">
        <f t="shared" ca="1" si="40"/>
        <v>9.9350589524843366E-2</v>
      </c>
      <c r="M176" s="57" t="s">
        <v>68</v>
      </c>
      <c r="N176" s="47">
        <f t="shared" si="41"/>
        <v>-10000</v>
      </c>
      <c r="O176" s="51" t="s">
        <v>87</v>
      </c>
    </row>
    <row r="177" spans="1:15" s="75" customFormat="1" x14ac:dyDescent="0.3">
      <c r="A177" s="84" t="e" vm="41">
        <v>#VALUE!</v>
      </c>
      <c r="B177" s="50">
        <v>45769</v>
      </c>
      <c r="C177" s="47">
        <v>10000</v>
      </c>
      <c r="D177" s="47">
        <f t="shared" si="35"/>
        <v>806.90712498991365</v>
      </c>
      <c r="E177" s="48">
        <f>12.393</f>
        <v>12.393000000000001</v>
      </c>
      <c r="F177" s="37">
        <f>VLOOKUP("INF109K015K4", [1]NAVAll!B$1:E$501244,4,FALSE)</f>
        <v>893.74130000000002</v>
      </c>
      <c r="G177" s="47">
        <f t="shared" si="36"/>
        <v>11076.135930900002</v>
      </c>
      <c r="H177" s="49">
        <f>0</f>
        <v>0</v>
      </c>
      <c r="I177" s="48">
        <f t="shared" si="37"/>
        <v>1076.1359309000018</v>
      </c>
      <c r="J177" s="46">
        <f t="shared" si="38"/>
        <v>0.10761359309000018</v>
      </c>
      <c r="K177" s="47">
        <f t="shared" ca="1" si="39"/>
        <v>15.033333333333333</v>
      </c>
      <c r="L177" s="46">
        <f t="shared" ca="1" si="40"/>
        <v>8.5899985615077751E-2</v>
      </c>
      <c r="M177" s="57" t="s">
        <v>68</v>
      </c>
      <c r="N177" s="47">
        <f t="shared" si="41"/>
        <v>-10000</v>
      </c>
      <c r="O177" s="51" t="s">
        <v>87</v>
      </c>
    </row>
    <row r="178" spans="1:15" s="75" customFormat="1" x14ac:dyDescent="0.3">
      <c r="A178" s="84" t="e" vm="41">
        <v>#VALUE!</v>
      </c>
      <c r="B178" s="50">
        <v>45799</v>
      </c>
      <c r="C178" s="47">
        <v>10000</v>
      </c>
      <c r="D178" s="47">
        <f t="shared" si="35"/>
        <v>816.72655994772947</v>
      </c>
      <c r="E178" s="48">
        <f>12.244</f>
        <v>12.244</v>
      </c>
      <c r="F178" s="37">
        <f>VLOOKUP("INF109K015K4", [1]NAVAll!B$1:E$501244,4,FALSE)</f>
        <v>893.74130000000002</v>
      </c>
      <c r="G178" s="47">
        <f t="shared" si="36"/>
        <v>10942.9684772</v>
      </c>
      <c r="H178" s="49">
        <f>0</f>
        <v>0</v>
      </c>
      <c r="I178" s="48">
        <f t="shared" si="37"/>
        <v>942.96847720000005</v>
      </c>
      <c r="J178" s="46">
        <f t="shared" si="38"/>
        <v>9.4296847720000007E-2</v>
      </c>
      <c r="K178" s="47">
        <f t="shared" ca="1" si="39"/>
        <v>14.033333333333333</v>
      </c>
      <c r="L178" s="46">
        <f t="shared" ca="1" si="40"/>
        <v>8.0633884036104511E-2</v>
      </c>
      <c r="M178" s="57" t="s">
        <v>68</v>
      </c>
      <c r="N178" s="47">
        <f t="shared" si="41"/>
        <v>-10000</v>
      </c>
      <c r="O178" s="51" t="s">
        <v>87</v>
      </c>
    </row>
    <row r="179" spans="1:15" s="75" customFormat="1" x14ac:dyDescent="0.3">
      <c r="A179" s="84" t="e" vm="41">
        <v>#VALUE!</v>
      </c>
      <c r="B179" s="50">
        <v>45831</v>
      </c>
      <c r="C179" s="47">
        <v>10000</v>
      </c>
      <c r="D179" s="47">
        <f t="shared" si="35"/>
        <v>830.35788424811096</v>
      </c>
      <c r="E179" s="48">
        <f>12.043</f>
        <v>12.042999999999999</v>
      </c>
      <c r="F179" s="37">
        <f>VLOOKUP("INF109K015K4", [1]NAVAll!B$1:E$501244,4,FALSE)</f>
        <v>893.74130000000002</v>
      </c>
      <c r="G179" s="47">
        <f t="shared" si="36"/>
        <v>10763.326475899999</v>
      </c>
      <c r="H179" s="49">
        <f>0</f>
        <v>0</v>
      </c>
      <c r="I179" s="48">
        <f t="shared" si="37"/>
        <v>763.32647589999942</v>
      </c>
      <c r="J179" s="46">
        <f t="shared" si="38"/>
        <v>7.6332647589999941E-2</v>
      </c>
      <c r="K179" s="47">
        <f t="shared" ca="1" si="39"/>
        <v>13</v>
      </c>
      <c r="L179" s="46">
        <f t="shared" ca="1" si="40"/>
        <v>7.046090546769225E-2</v>
      </c>
      <c r="M179" s="57" t="s">
        <v>68</v>
      </c>
      <c r="N179" s="47">
        <f t="shared" si="41"/>
        <v>-10000</v>
      </c>
      <c r="O179" s="51" t="s">
        <v>87</v>
      </c>
    </row>
    <row r="180" spans="1:15" s="75" customFormat="1" x14ac:dyDescent="0.3">
      <c r="A180" s="84" t="e" vm="41">
        <v>#VALUE!</v>
      </c>
      <c r="B180" s="50">
        <v>45860</v>
      </c>
      <c r="C180" s="47">
        <v>10000</v>
      </c>
      <c r="D180" s="47">
        <f t="shared" si="35"/>
        <v>837.45079976551369</v>
      </c>
      <c r="E180" s="48">
        <f>11.941</f>
        <v>11.941000000000001</v>
      </c>
      <c r="F180" s="37">
        <f>VLOOKUP("INF109K015K4", [1]NAVAll!B$1:E$501244,4,FALSE)</f>
        <v>893.74130000000002</v>
      </c>
      <c r="G180" s="47">
        <f t="shared" si="36"/>
        <v>10672.1648633</v>
      </c>
      <c r="H180" s="49">
        <f>0</f>
        <v>0</v>
      </c>
      <c r="I180" s="48">
        <f t="shared" si="37"/>
        <v>672.16486330000043</v>
      </c>
      <c r="J180" s="46">
        <f t="shared" si="38"/>
        <v>6.7216486330000047E-2</v>
      </c>
      <c r="K180" s="47">
        <f t="shared" ca="1" si="39"/>
        <v>12.033333333333333</v>
      </c>
      <c r="L180" s="46">
        <f t="shared" ca="1" si="40"/>
        <v>6.7030291077008364E-2</v>
      </c>
      <c r="M180" s="57" t="s">
        <v>68</v>
      </c>
      <c r="N180" s="47">
        <f t="shared" si="41"/>
        <v>-10000</v>
      </c>
      <c r="O180" s="51" t="s">
        <v>87</v>
      </c>
    </row>
    <row r="181" spans="1:15" s="75" customFormat="1" x14ac:dyDescent="0.3">
      <c r="A181" s="84" t="e" vm="41">
        <v>#VALUE!</v>
      </c>
      <c r="B181" s="50">
        <v>45891</v>
      </c>
      <c r="C181" s="47">
        <v>10000</v>
      </c>
      <c r="D181" s="47">
        <f t="shared" si="35"/>
        <v>837.87180561374112</v>
      </c>
      <c r="E181" s="48">
        <f>11.935</f>
        <v>11.935</v>
      </c>
      <c r="F181" s="37">
        <f>VLOOKUP("INF109K015K4", [1]NAVAll!B$1:E$501244,4,FALSE)</f>
        <v>893.74130000000002</v>
      </c>
      <c r="G181" s="47">
        <f t="shared" si="36"/>
        <v>10666.8024155</v>
      </c>
      <c r="H181" s="49">
        <f>0</f>
        <v>0</v>
      </c>
      <c r="I181" s="48">
        <f t="shared" si="37"/>
        <v>666.80241550000028</v>
      </c>
      <c r="J181" s="46">
        <f t="shared" si="38"/>
        <v>6.6680241550000033E-2</v>
      </c>
      <c r="K181" s="47">
        <f t="shared" ca="1" si="39"/>
        <v>11.033333333333333</v>
      </c>
      <c r="L181" s="46">
        <f t="shared" ca="1" si="40"/>
        <v>7.2522317093655628E-2</v>
      </c>
      <c r="M181" s="57" t="s">
        <v>68</v>
      </c>
      <c r="N181" s="47">
        <f t="shared" si="41"/>
        <v>-10000</v>
      </c>
      <c r="O181" s="51" t="s">
        <v>87</v>
      </c>
    </row>
    <row r="182" spans="1:15" s="75" customFormat="1" x14ac:dyDescent="0.3">
      <c r="A182" s="84" t="e" vm="41">
        <v>#VALUE!</v>
      </c>
      <c r="B182" s="50">
        <v>45895</v>
      </c>
      <c r="C182" s="47">
        <v>75000</v>
      </c>
      <c r="D182" s="47">
        <f t="shared" si="35"/>
        <v>836.84809533373505</v>
      </c>
      <c r="E182" s="48">
        <f>89.622</f>
        <v>89.622</v>
      </c>
      <c r="F182" s="37">
        <f>VLOOKUP("INF109K015K4", [1]NAVAll!B$1:E$501244,4,FALSE)</f>
        <v>893.74130000000002</v>
      </c>
      <c r="G182" s="47">
        <f t="shared" si="36"/>
        <v>80098.882788600007</v>
      </c>
      <c r="H182" s="49">
        <f>0</f>
        <v>0</v>
      </c>
      <c r="I182" s="48">
        <f t="shared" si="37"/>
        <v>5098.8827886000072</v>
      </c>
      <c r="J182" s="46">
        <f t="shared" si="38"/>
        <v>6.7985103848000092E-2</v>
      </c>
      <c r="K182" s="47">
        <f t="shared" ca="1" si="39"/>
        <v>10.9</v>
      </c>
      <c r="L182" s="46">
        <f t="shared" ca="1" si="40"/>
        <v>7.4845985887706509E-2</v>
      </c>
      <c r="M182" s="57" t="s">
        <v>68</v>
      </c>
      <c r="N182" s="47">
        <f t="shared" si="41"/>
        <v>-75000</v>
      </c>
      <c r="O182" s="51" t="s">
        <v>87</v>
      </c>
    </row>
    <row r="183" spans="1:15" s="75" customFormat="1" x14ac:dyDescent="0.3">
      <c r="A183" s="84" t="e" vm="41">
        <v>#VALUE!</v>
      </c>
      <c r="B183" s="50">
        <v>45922</v>
      </c>
      <c r="C183" s="47">
        <v>10000</v>
      </c>
      <c r="D183" s="47">
        <f t="shared" si="35"/>
        <v>860.88154269972449</v>
      </c>
      <c r="E183" s="48">
        <f>11.616</f>
        <v>11.616</v>
      </c>
      <c r="F183" s="37">
        <f>VLOOKUP("INF109K015K4", [1]NAVAll!B$1:E$501244,4,FALSE)</f>
        <v>893.74130000000002</v>
      </c>
      <c r="G183" s="47">
        <f t="shared" si="36"/>
        <v>10381.698940800001</v>
      </c>
      <c r="H183" s="49">
        <f>0</f>
        <v>0</v>
      </c>
      <c r="I183" s="48">
        <f t="shared" si="37"/>
        <v>381.69894080000086</v>
      </c>
      <c r="J183" s="46">
        <f t="shared" si="38"/>
        <v>3.8169894080000086E-2</v>
      </c>
      <c r="K183" s="47">
        <f t="shared" ca="1" si="39"/>
        <v>10.033333333333333</v>
      </c>
      <c r="L183" s="46">
        <f t="shared" ca="1" si="40"/>
        <v>4.5651700560797447E-2</v>
      </c>
      <c r="M183" s="57" t="s">
        <v>68</v>
      </c>
      <c r="N183" s="47">
        <f t="shared" si="41"/>
        <v>-10000</v>
      </c>
      <c r="O183" s="51" t="s">
        <v>87</v>
      </c>
    </row>
    <row r="184" spans="1:15" s="75" customFormat="1" x14ac:dyDescent="0.3">
      <c r="A184" s="84" t="e" vm="41">
        <v>#VALUE!</v>
      </c>
      <c r="B184" s="50">
        <v>45953</v>
      </c>
      <c r="C184" s="47">
        <v>10000</v>
      </c>
      <c r="D184" s="47">
        <f t="shared" si="35"/>
        <v>883.00220750551887</v>
      </c>
      <c r="E184" s="48">
        <f>11.325</f>
        <v>11.324999999999999</v>
      </c>
      <c r="F184" s="37">
        <f>VLOOKUP("INF109K015K4", [1]NAVAll!B$1:E$501244,4,FALSE)</f>
        <v>893.74130000000002</v>
      </c>
      <c r="G184" s="47">
        <f t="shared" si="36"/>
        <v>10121.6202225</v>
      </c>
      <c r="H184" s="49">
        <f>0</f>
        <v>0</v>
      </c>
      <c r="I184" s="48">
        <f t="shared" si="37"/>
        <v>121.62022249999973</v>
      </c>
      <c r="J184" s="46">
        <f t="shared" si="38"/>
        <v>1.2162022249999972E-2</v>
      </c>
      <c r="K184" s="47">
        <f t="shared" ca="1" si="39"/>
        <v>9</v>
      </c>
      <c r="L184" s="46">
        <f t="shared" ca="1" si="40"/>
        <v>1.6216029666666628E-2</v>
      </c>
      <c r="M184" s="57" t="s">
        <v>68</v>
      </c>
      <c r="N184" s="47">
        <f t="shared" si="41"/>
        <v>-10000</v>
      </c>
      <c r="O184" s="51" t="s">
        <v>87</v>
      </c>
    </row>
    <row r="185" spans="1:15" s="75" customFormat="1" x14ac:dyDescent="0.3">
      <c r="A185" s="84" t="e" vm="41">
        <v>#VALUE!</v>
      </c>
      <c r="B185" s="50">
        <v>45985</v>
      </c>
      <c r="C185" s="47">
        <v>10000</v>
      </c>
      <c r="D185" s="47">
        <f t="shared" si="35"/>
        <v>886.4462370357237</v>
      </c>
      <c r="E185" s="48">
        <f>11.281</f>
        <v>11.281000000000001</v>
      </c>
      <c r="F185" s="37">
        <f>VLOOKUP("INF109K015K4", [1]NAVAll!B$1:E$501244,4,FALSE)</f>
        <v>893.74130000000002</v>
      </c>
      <c r="G185" s="47">
        <f t="shared" si="36"/>
        <v>10082.295605300002</v>
      </c>
      <c r="H185" s="49">
        <f>0</f>
        <v>0</v>
      </c>
      <c r="I185" s="48">
        <f t="shared" si="37"/>
        <v>82.295605300001625</v>
      </c>
      <c r="J185" s="46">
        <f t="shared" si="38"/>
        <v>8.2295605300001622E-3</v>
      </c>
      <c r="K185" s="47">
        <f t="shared" ca="1" si="39"/>
        <v>7.9666666666666668</v>
      </c>
      <c r="L185" s="46">
        <f t="shared" ca="1" si="40"/>
        <v>1.2395990756485599E-2</v>
      </c>
      <c r="M185" s="57" t="s">
        <v>68</v>
      </c>
      <c r="N185" s="47">
        <f t="shared" si="41"/>
        <v>-10000</v>
      </c>
      <c r="O185" s="51" t="s">
        <v>87</v>
      </c>
    </row>
    <row r="186" spans="1:15" s="75" customFormat="1" x14ac:dyDescent="0.3">
      <c r="A186" s="84" t="e" vm="41">
        <v>#VALUE!</v>
      </c>
      <c r="B186" s="50">
        <v>46013</v>
      </c>
      <c r="C186" s="47">
        <v>10000</v>
      </c>
      <c r="D186" s="47">
        <f t="shared" si="35"/>
        <v>904.15913200723321</v>
      </c>
      <c r="E186" s="48">
        <f>11.06</f>
        <v>11.06</v>
      </c>
      <c r="F186" s="37">
        <f>VLOOKUP("INF109K015K4", [1]NAVAll!B$1:E$501244,4,FALSE)</f>
        <v>893.74130000000002</v>
      </c>
      <c r="G186" s="47">
        <f t="shared" si="36"/>
        <v>9884.7787779999999</v>
      </c>
      <c r="H186" s="49">
        <f>0</f>
        <v>0</v>
      </c>
      <c r="I186" s="48">
        <f t="shared" si="37"/>
        <v>-115.22122200000013</v>
      </c>
      <c r="J186" s="46">
        <f t="shared" si="38"/>
        <v>-1.1522122200000012E-2</v>
      </c>
      <c r="K186" s="47">
        <f t="shared" ca="1" si="39"/>
        <v>7.0333333333333332</v>
      </c>
      <c r="L186" s="46">
        <f t="shared" ca="1" si="40"/>
        <v>-1.9658597118483435E-2</v>
      </c>
      <c r="M186" s="57" t="s">
        <v>68</v>
      </c>
      <c r="N186" s="47">
        <f t="shared" si="41"/>
        <v>-10000</v>
      </c>
      <c r="O186" s="51" t="s">
        <v>87</v>
      </c>
    </row>
    <row r="187" spans="1:15" s="75" customFormat="1" x14ac:dyDescent="0.3">
      <c r="A187" s="84" t="e" vm="41">
        <v>#VALUE!</v>
      </c>
      <c r="B187" s="50">
        <v>46044</v>
      </c>
      <c r="C187" s="47">
        <v>10000</v>
      </c>
      <c r="D187" s="47">
        <f t="shared" si="35"/>
        <v>896.37863033345275</v>
      </c>
      <c r="E187" s="48">
        <f>11.156</f>
        <v>11.156000000000001</v>
      </c>
      <c r="F187" s="37">
        <f>VLOOKUP("INF109K015K4", [1]NAVAll!B$1:E$501244,4,FALSE)</f>
        <v>893.74130000000002</v>
      </c>
      <c r="G187" s="47">
        <f t="shared" si="36"/>
        <v>9970.5779428000005</v>
      </c>
      <c r="H187" s="49">
        <f>0</f>
        <v>0</v>
      </c>
      <c r="I187" s="48">
        <f t="shared" si="37"/>
        <v>-29.422057199999472</v>
      </c>
      <c r="J187" s="46">
        <f t="shared" si="38"/>
        <v>-2.9422057199999471E-3</v>
      </c>
      <c r="K187" s="47">
        <f t="shared" ca="1" si="39"/>
        <v>6.0333333333333332</v>
      </c>
      <c r="L187" s="46">
        <f t="shared" ca="1" si="40"/>
        <v>-5.8519008795579058E-3</v>
      </c>
      <c r="M187" s="57" t="s">
        <v>68</v>
      </c>
      <c r="N187" s="47">
        <f t="shared" si="41"/>
        <v>-10000</v>
      </c>
      <c r="O187" s="51" t="s">
        <v>87</v>
      </c>
    </row>
    <row r="188" spans="1:15" s="75" customFormat="1" x14ac:dyDescent="0.3">
      <c r="A188" s="84" t="e" vm="41">
        <v>#VALUE!</v>
      </c>
      <c r="B188" s="50">
        <v>46076</v>
      </c>
      <c r="C188" s="47">
        <v>10000</v>
      </c>
      <c r="D188" s="47">
        <f t="shared" si="35"/>
        <v>913.15861565153864</v>
      </c>
      <c r="E188" s="48">
        <f>10.951</f>
        <v>10.951000000000001</v>
      </c>
      <c r="F188" s="37">
        <f>VLOOKUP("INF109K015K4", [1]NAVAll!B$1:E$501244,4,FALSE)</f>
        <v>893.74130000000002</v>
      </c>
      <c r="G188" s="47">
        <f t="shared" si="36"/>
        <v>9787.3609763000004</v>
      </c>
      <c r="H188" s="49">
        <f>0</f>
        <v>0</v>
      </c>
      <c r="I188" s="48">
        <f t="shared" si="37"/>
        <v>-212.6390236999996</v>
      </c>
      <c r="J188" s="46">
        <f t="shared" si="38"/>
        <v>-2.1263902369999959E-2</v>
      </c>
      <c r="K188" s="47">
        <f t="shared" ca="1" si="39"/>
        <v>5</v>
      </c>
      <c r="L188" s="46">
        <f t="shared" ca="1" si="40"/>
        <v>-5.1033365687999897E-2</v>
      </c>
      <c r="M188" s="57" t="s">
        <v>68</v>
      </c>
      <c r="N188" s="47">
        <f t="shared" si="41"/>
        <v>-10000</v>
      </c>
      <c r="O188" s="51" t="s">
        <v>87</v>
      </c>
    </row>
    <row r="189" spans="1:15" s="75" customFormat="1" x14ac:dyDescent="0.3">
      <c r="A189" s="84" t="e" vm="41">
        <v>#VALUE!</v>
      </c>
      <c r="B189" s="50">
        <v>46104</v>
      </c>
      <c r="C189" s="47">
        <v>10000</v>
      </c>
      <c r="D189" s="47">
        <f t="shared" si="35"/>
        <v>831.87754762498957</v>
      </c>
      <c r="E189" s="48">
        <f>12.021</f>
        <v>12.021000000000001</v>
      </c>
      <c r="F189" s="37">
        <f>VLOOKUP("INF109K015K4", [1]NAVAll!B$1:E$501244,4,FALSE)</f>
        <v>893.74130000000002</v>
      </c>
      <c r="G189" s="47">
        <f t="shared" si="36"/>
        <v>10743.664167300001</v>
      </c>
      <c r="H189" s="49">
        <f>0</f>
        <v>0</v>
      </c>
      <c r="I189" s="48">
        <f t="shared" si="37"/>
        <v>743.66416730000128</v>
      </c>
      <c r="J189" s="46">
        <f t="shared" si="38"/>
        <v>7.4366416730000134E-2</v>
      </c>
      <c r="K189" s="47">
        <f t="shared" ca="1" si="39"/>
        <v>4</v>
      </c>
      <c r="L189" s="46">
        <f t="shared" ca="1" si="40"/>
        <v>0.2230992501900004</v>
      </c>
      <c r="M189" s="57" t="s">
        <v>68</v>
      </c>
      <c r="N189" s="47">
        <f t="shared" si="41"/>
        <v>-10000</v>
      </c>
      <c r="O189" s="51" t="s">
        <v>87</v>
      </c>
    </row>
    <row r="190" spans="1:15" s="75" customFormat="1" x14ac:dyDescent="0.3">
      <c r="A190" s="84" t="e" vm="41">
        <v>#VALUE!</v>
      </c>
      <c r="B190" s="50">
        <v>46134</v>
      </c>
      <c r="C190" s="47">
        <v>10000</v>
      </c>
      <c r="D190" s="47">
        <f t="shared" si="35"/>
        <v>900.81974596883151</v>
      </c>
      <c r="E190" s="48">
        <f>11.101</f>
        <v>11.101000000000001</v>
      </c>
      <c r="F190" s="37">
        <f>VLOOKUP("INF109K015K4", [1]NAVAll!B$1:E$501244,4,FALSE)</f>
        <v>893.74130000000002</v>
      </c>
      <c r="G190" s="47">
        <f t="shared" si="36"/>
        <v>9921.4221713000006</v>
      </c>
      <c r="H190" s="49">
        <f>0</f>
        <v>0</v>
      </c>
      <c r="I190" s="48">
        <f t="shared" si="37"/>
        <v>-78.577828699999372</v>
      </c>
      <c r="J190" s="46">
        <f t="shared" si="38"/>
        <v>-7.8577828699999373E-3</v>
      </c>
      <c r="K190" s="47">
        <f t="shared" ca="1" si="39"/>
        <v>3.0333333333333332</v>
      </c>
      <c r="L190" s="46">
        <f t="shared" ca="1" si="40"/>
        <v>-3.1085734430768983E-2</v>
      </c>
      <c r="M190" s="57" t="s">
        <v>68</v>
      </c>
      <c r="N190" s="47">
        <f t="shared" si="41"/>
        <v>-10000</v>
      </c>
      <c r="O190" s="51" t="s">
        <v>87</v>
      </c>
    </row>
    <row r="191" spans="1:15" s="75" customFormat="1" x14ac:dyDescent="0.3">
      <c r="A191" s="84" t="e" vm="41">
        <v>#VALUE!</v>
      </c>
      <c r="B191" s="50">
        <v>46164</v>
      </c>
      <c r="C191" s="47">
        <v>10000</v>
      </c>
      <c r="D191" s="47">
        <f t="shared" si="35"/>
        <v>885.73959255978752</v>
      </c>
      <c r="E191" s="48">
        <f>11.29</f>
        <v>11.29</v>
      </c>
      <c r="F191" s="37">
        <f>VLOOKUP("INF109K015K4", [1]NAVAll!B$1:E$501244,4,FALSE)</f>
        <v>893.74130000000002</v>
      </c>
      <c r="G191" s="47">
        <f t="shared" si="36"/>
        <v>10090.339276999999</v>
      </c>
      <c r="H191" s="49">
        <f>0</f>
        <v>0</v>
      </c>
      <c r="I191" s="48">
        <f t="shared" si="37"/>
        <v>90.339276999999129</v>
      </c>
      <c r="J191" s="46">
        <f t="shared" si="38"/>
        <v>9.0339276999999128E-3</v>
      </c>
      <c r="K191" s="47">
        <f t="shared" ca="1" si="39"/>
        <v>2.0333333333333332</v>
      </c>
      <c r="L191" s="46">
        <f t="shared" ca="1" si="40"/>
        <v>5.3314983147540469E-2</v>
      </c>
      <c r="M191" s="57" t="s">
        <v>68</v>
      </c>
      <c r="N191" s="47">
        <f t="shared" si="41"/>
        <v>-10000</v>
      </c>
      <c r="O191" s="51" t="s">
        <v>87</v>
      </c>
    </row>
    <row r="192" spans="1:15" s="75" customFormat="1" x14ac:dyDescent="0.3">
      <c r="A192" s="84" t="e" vm="41">
        <v>#VALUE!</v>
      </c>
      <c r="B192" s="50">
        <v>46195</v>
      </c>
      <c r="C192" s="47">
        <v>10000</v>
      </c>
      <c r="D192" s="47">
        <f t="shared" si="35"/>
        <v>893.97461112104418</v>
      </c>
      <c r="E192" s="48">
        <f>11.186</f>
        <v>11.186</v>
      </c>
      <c r="F192" s="37">
        <f>VLOOKUP("INF109K015K4", [1]NAVAll!B$1:E$501244,4,FALSE)</f>
        <v>893.74130000000002</v>
      </c>
      <c r="G192" s="47">
        <f t="shared" si="36"/>
        <v>9997.3901817999995</v>
      </c>
      <c r="H192" s="49">
        <f>0</f>
        <v>0</v>
      </c>
      <c r="I192" s="48">
        <f t="shared" si="37"/>
        <v>-2.6098182000005181</v>
      </c>
      <c r="J192" s="46">
        <f t="shared" si="38"/>
        <v>-2.6098182000005183E-4</v>
      </c>
      <c r="K192" s="47">
        <f t="shared" ca="1" si="39"/>
        <v>1.0333333333333334</v>
      </c>
      <c r="L192" s="46">
        <f t="shared" ca="1" si="40"/>
        <v>-3.0307566193554405E-3</v>
      </c>
      <c r="M192" s="57" t="s">
        <v>68</v>
      </c>
      <c r="N192" s="47">
        <f t="shared" si="41"/>
        <v>-10000</v>
      </c>
      <c r="O192" s="51" t="s">
        <v>87</v>
      </c>
    </row>
    <row r="193" spans="1:15" s="75" customFormat="1" x14ac:dyDescent="0.3">
      <c r="A193" s="84" t="e" vm="41">
        <v>#VALUE!</v>
      </c>
      <c r="B193" s="50">
        <v>46225</v>
      </c>
      <c r="C193" s="47">
        <v>10000</v>
      </c>
      <c r="D193" s="47">
        <f t="shared" si="35"/>
        <v>893.81480157311398</v>
      </c>
      <c r="E193" s="48">
        <f>11.188</f>
        <v>11.188000000000001</v>
      </c>
      <c r="F193" s="37">
        <f>VLOOKUP("INF109K015K4", [1]NAVAll!B$1:E$501244,4,FALSE)</f>
        <v>893.74130000000002</v>
      </c>
      <c r="G193" s="47">
        <f t="shared" si="36"/>
        <v>9999.1776644000001</v>
      </c>
      <c r="H193" s="49">
        <f>0</f>
        <v>0</v>
      </c>
      <c r="I193" s="48">
        <f t="shared" si="37"/>
        <v>-0.82233559999986028</v>
      </c>
      <c r="J193" s="46">
        <f t="shared" si="38"/>
        <v>-8.2233559999986023E-5</v>
      </c>
      <c r="K193" s="47">
        <f t="shared" ca="1" si="39"/>
        <v>3.3333333333333333E-2</v>
      </c>
      <c r="L193" s="46">
        <f t="shared" ca="1" si="40"/>
        <v>-2.9604081599994968E-2</v>
      </c>
      <c r="M193" s="57" t="s">
        <v>68</v>
      </c>
      <c r="N193" s="47">
        <f t="shared" si="41"/>
        <v>-10000</v>
      </c>
      <c r="O193" s="51" t="s">
        <v>87</v>
      </c>
    </row>
    <row r="194" spans="1:15" s="75" customFormat="1" x14ac:dyDescent="0.3">
      <c r="A194" s="76" t="s">
        <v>88</v>
      </c>
      <c r="B194" s="77">
        <f ca="1">TODAY()</f>
        <v>46226</v>
      </c>
      <c r="C194" s="78"/>
      <c r="D194" s="78"/>
      <c r="E194" s="79"/>
      <c r="F194" s="80"/>
      <c r="G194" s="78"/>
      <c r="H194" s="80"/>
      <c r="I194" s="79"/>
      <c r="J194" s="81"/>
      <c r="K194" s="78"/>
      <c r="L194" s="81"/>
      <c r="M194" s="82"/>
      <c r="N194" s="78">
        <f>SUM(G157:G193)</f>
        <v>500628.29545369995</v>
      </c>
      <c r="O194" s="51"/>
    </row>
    <row r="195" spans="1:15" s="75" customFormat="1" x14ac:dyDescent="0.3">
      <c r="A195" s="76" t="s">
        <v>89</v>
      </c>
      <c r="B195" s="77"/>
      <c r="C195" s="78"/>
      <c r="D195" s="78"/>
      <c r="E195" s="79"/>
      <c r="F195" s="80"/>
      <c r="G195" s="78"/>
      <c r="H195" s="80"/>
      <c r="I195" s="79"/>
      <c r="J195" s="81">
        <f>SUM(N157:N194)/-SUM(N157:N193)</f>
        <v>0.1508696447211493</v>
      </c>
      <c r="K195" s="78"/>
      <c r="L195" s="81"/>
      <c r="M195" s="82"/>
      <c r="N195" s="78"/>
      <c r="O195" s="51"/>
    </row>
    <row r="196" spans="1:15" s="75" customFormat="1" x14ac:dyDescent="0.3">
      <c r="A196" s="76" t="s">
        <v>90</v>
      </c>
      <c r="B196" s="77"/>
      <c r="C196" s="78"/>
      <c r="D196" s="78"/>
      <c r="E196" s="79"/>
      <c r="F196" s="80"/>
      <c r="G196" s="78"/>
      <c r="H196" s="80"/>
      <c r="I196" s="79"/>
      <c r="J196" s="81">
        <f ca="1">XIRR(N157:N194,B157:B194)</f>
        <v>0.10581701397895815</v>
      </c>
      <c r="K196" s="78"/>
      <c r="L196" s="81"/>
      <c r="M196" s="82"/>
      <c r="N196" s="78"/>
      <c r="O196" s="51"/>
    </row>
    <row r="197" spans="1:15" s="75" customFormat="1" x14ac:dyDescent="0.3">
      <c r="A197" s="51" t="e" vm="42">
        <v>#VALUE!</v>
      </c>
      <c r="B197" s="50">
        <v>43948</v>
      </c>
      <c r="C197" s="47">
        <v>10000</v>
      </c>
      <c r="D197" s="47">
        <f t="shared" ref="D197:D236" si="42">C197/E197</f>
        <v>229.27891780350797</v>
      </c>
      <c r="E197" s="49">
        <f>43.615</f>
        <v>43.615000000000002</v>
      </c>
      <c r="F197" s="37">
        <f>VLOOKUP("INF109K01761", [1]NAVAll!B$1:E$501244,4,FALSE)</f>
        <v>806.77009999999996</v>
      </c>
      <c r="G197" s="47">
        <f t="shared" ref="G197:G236" si="43">PRODUCT(E197:F197)</f>
        <v>35187.277911500001</v>
      </c>
      <c r="H197" s="49">
        <f>0</f>
        <v>0</v>
      </c>
      <c r="I197" s="48">
        <f t="shared" ref="I197:I236" si="44">SUM(-C197,G197)+H197</f>
        <v>25187.277911500001</v>
      </c>
      <c r="J197" s="46">
        <f t="shared" ref="J197:J236" si="45">I197/C197</f>
        <v>2.5187277911500003</v>
      </c>
      <c r="K197" s="47">
        <f t="shared" ref="K197:K236" ca="1" si="46">(DAYS360(B197,NOW(),TRUE))/30</f>
        <v>74.86666666666666</v>
      </c>
      <c r="L197" s="46">
        <f t="shared" ref="L197:L236" ca="1" si="47">J197*12/K197</f>
        <v>0.4037141606473732</v>
      </c>
      <c r="M197" s="57"/>
      <c r="N197" s="47">
        <f t="shared" ref="N197:N291" si="48">-C197</f>
        <v>-10000</v>
      </c>
      <c r="O197" s="51" t="s">
        <v>87</v>
      </c>
    </row>
    <row r="198" spans="1:15" s="75" customFormat="1" x14ac:dyDescent="0.3">
      <c r="A198" s="51" t="e" vm="42">
        <v>#VALUE!</v>
      </c>
      <c r="B198" s="50">
        <v>43978</v>
      </c>
      <c r="C198" s="47">
        <v>10000</v>
      </c>
      <c r="D198" s="47">
        <f t="shared" si="42"/>
        <v>236.06062036731032</v>
      </c>
      <c r="E198" s="49">
        <f>42.362</f>
        <v>42.362000000000002</v>
      </c>
      <c r="F198" s="37">
        <f>VLOOKUP("INF109K01761", [1]NAVAll!B$1:E$501244,4,FALSE)</f>
        <v>806.77009999999996</v>
      </c>
      <c r="G198" s="47">
        <f t="shared" si="43"/>
        <v>34176.394976199997</v>
      </c>
      <c r="H198" s="49">
        <f>0</f>
        <v>0</v>
      </c>
      <c r="I198" s="48">
        <f t="shared" si="44"/>
        <v>24176.394976199997</v>
      </c>
      <c r="J198" s="46">
        <f t="shared" si="45"/>
        <v>2.4176394976199997</v>
      </c>
      <c r="K198" s="47">
        <f t="shared" ca="1" si="46"/>
        <v>73.86666666666666</v>
      </c>
      <c r="L198" s="46">
        <f t="shared" ca="1" si="47"/>
        <v>0.3927573191079422</v>
      </c>
      <c r="M198" s="57"/>
      <c r="N198" s="47">
        <f t="shared" si="48"/>
        <v>-10000</v>
      </c>
      <c r="O198" s="51" t="s">
        <v>87</v>
      </c>
    </row>
    <row r="199" spans="1:15" s="75" customFormat="1" x14ac:dyDescent="0.3">
      <c r="A199" s="51" t="e" vm="42">
        <v>#VALUE!</v>
      </c>
      <c r="B199" s="50">
        <v>44009</v>
      </c>
      <c r="C199" s="47">
        <v>10000</v>
      </c>
      <c r="D199" s="47">
        <f t="shared" si="42"/>
        <v>251.28153583274701</v>
      </c>
      <c r="E199" s="49">
        <f>39.796</f>
        <v>39.795999999999999</v>
      </c>
      <c r="F199" s="37">
        <f>VLOOKUP("INF109K01761", [1]NAVAll!B$1:E$501244,4,FALSE)</f>
        <v>806.77009999999996</v>
      </c>
      <c r="G199" s="47">
        <f t="shared" si="43"/>
        <v>32106.222899599998</v>
      </c>
      <c r="H199" s="49">
        <f>0</f>
        <v>0</v>
      </c>
      <c r="I199" s="48">
        <f t="shared" si="44"/>
        <v>22106.222899599998</v>
      </c>
      <c r="J199" s="46">
        <f t="shared" si="45"/>
        <v>2.2106222899599999</v>
      </c>
      <c r="K199" s="47">
        <f t="shared" ca="1" si="46"/>
        <v>72.86666666666666</v>
      </c>
      <c r="L199" s="46">
        <f t="shared" ca="1" si="47"/>
        <v>0.36405490594034767</v>
      </c>
      <c r="M199" s="57"/>
      <c r="N199" s="47">
        <f t="shared" si="48"/>
        <v>-10000</v>
      </c>
      <c r="O199" s="51" t="s">
        <v>87</v>
      </c>
    </row>
    <row r="200" spans="1:15" s="75" customFormat="1" x14ac:dyDescent="0.3">
      <c r="A200" s="51" t="e" vm="42">
        <v>#VALUE!</v>
      </c>
      <c r="B200" s="50">
        <v>44039</v>
      </c>
      <c r="C200" s="47">
        <v>10000</v>
      </c>
      <c r="D200" s="47">
        <f t="shared" si="42"/>
        <v>259.80099243979112</v>
      </c>
      <c r="E200" s="49">
        <f>38.491</f>
        <v>38.491</v>
      </c>
      <c r="F200" s="37">
        <f>VLOOKUP("INF109K01761", [1]NAVAll!B$1:E$501244,4,FALSE)</f>
        <v>806.77009999999996</v>
      </c>
      <c r="G200" s="47">
        <f t="shared" si="43"/>
        <v>31053.387919099998</v>
      </c>
      <c r="H200" s="49">
        <f>0</f>
        <v>0</v>
      </c>
      <c r="I200" s="48">
        <f t="shared" si="44"/>
        <v>21053.387919099998</v>
      </c>
      <c r="J200" s="46">
        <f t="shared" si="45"/>
        <v>2.10533879191</v>
      </c>
      <c r="K200" s="47">
        <f t="shared" ca="1" si="46"/>
        <v>71.86666666666666</v>
      </c>
      <c r="L200" s="46">
        <f t="shared" ca="1" si="47"/>
        <v>0.35154080013339517</v>
      </c>
      <c r="M200" s="57"/>
      <c r="N200" s="47">
        <f t="shared" si="48"/>
        <v>-10000</v>
      </c>
      <c r="O200" s="51" t="s">
        <v>87</v>
      </c>
    </row>
    <row r="201" spans="1:15" s="75" customFormat="1" x14ac:dyDescent="0.3">
      <c r="A201" s="51" t="e" vm="42">
        <v>#VALUE!</v>
      </c>
      <c r="B201" s="50">
        <v>44070</v>
      </c>
      <c r="C201" s="47">
        <v>10000</v>
      </c>
      <c r="D201" s="47">
        <f t="shared" si="42"/>
        <v>274.72527472527474</v>
      </c>
      <c r="E201" s="49">
        <f>36.4</f>
        <v>36.4</v>
      </c>
      <c r="F201" s="37">
        <f>VLOOKUP("INF109K01761", [1]NAVAll!B$1:E$501244,4,FALSE)</f>
        <v>806.77009999999996</v>
      </c>
      <c r="G201" s="47">
        <f t="shared" si="43"/>
        <v>29366.431639999999</v>
      </c>
      <c r="H201" s="49">
        <f>0</f>
        <v>0</v>
      </c>
      <c r="I201" s="48">
        <f t="shared" si="44"/>
        <v>19366.431639999999</v>
      </c>
      <c r="J201" s="46">
        <f t="shared" si="45"/>
        <v>1.9366431639999999</v>
      </c>
      <c r="K201" s="47">
        <f t="shared" ca="1" si="46"/>
        <v>70.86666666666666</v>
      </c>
      <c r="L201" s="46">
        <f t="shared" ca="1" si="47"/>
        <v>0.3279358132831609</v>
      </c>
      <c r="M201" s="57"/>
      <c r="N201" s="47">
        <f t="shared" si="48"/>
        <v>-10000</v>
      </c>
      <c r="O201" s="51" t="s">
        <v>87</v>
      </c>
    </row>
    <row r="202" spans="1:15" s="75" customFormat="1" x14ac:dyDescent="0.3">
      <c r="A202" s="51" t="e" vm="42">
        <v>#VALUE!</v>
      </c>
      <c r="B202" s="50">
        <v>44102</v>
      </c>
      <c r="C202" s="47">
        <v>10000</v>
      </c>
      <c r="D202" s="47">
        <f t="shared" si="42"/>
        <v>257.53283543651816</v>
      </c>
      <c r="E202" s="49">
        <f>38.83</f>
        <v>38.83</v>
      </c>
      <c r="F202" s="37">
        <f>VLOOKUP("INF109K01761", [1]NAVAll!B$1:E$501244,4,FALSE)</f>
        <v>806.77009999999996</v>
      </c>
      <c r="G202" s="47">
        <f t="shared" si="43"/>
        <v>31326.882982999996</v>
      </c>
      <c r="H202" s="49">
        <f>0</f>
        <v>0</v>
      </c>
      <c r="I202" s="48">
        <f t="shared" si="44"/>
        <v>21326.882982999996</v>
      </c>
      <c r="J202" s="46">
        <f t="shared" si="45"/>
        <v>2.1326882982999997</v>
      </c>
      <c r="K202" s="47">
        <f t="shared" ca="1" si="46"/>
        <v>69.833333333333329</v>
      </c>
      <c r="L202" s="46">
        <f t="shared" ca="1" si="47"/>
        <v>0.36647627082959428</v>
      </c>
      <c r="M202" s="57"/>
      <c r="N202" s="47">
        <f t="shared" si="48"/>
        <v>-10000</v>
      </c>
      <c r="O202" s="51" t="s">
        <v>87</v>
      </c>
    </row>
    <row r="203" spans="1:15" s="75" customFormat="1" x14ac:dyDescent="0.3">
      <c r="A203" s="51" t="e" vm="42">
        <v>#VALUE!</v>
      </c>
      <c r="B203" s="50">
        <v>44131</v>
      </c>
      <c r="C203" s="47">
        <v>10000</v>
      </c>
      <c r="D203" s="47">
        <f t="shared" si="42"/>
        <v>258.93990004919857</v>
      </c>
      <c r="E203" s="49">
        <f>38.619</f>
        <v>38.619</v>
      </c>
      <c r="F203" s="37">
        <f>VLOOKUP("INF109K01761", [1]NAVAll!B$1:E$501244,4,FALSE)</f>
        <v>806.77009999999996</v>
      </c>
      <c r="G203" s="47">
        <f t="shared" si="43"/>
        <v>31156.654491899997</v>
      </c>
      <c r="H203" s="49">
        <f>0</f>
        <v>0</v>
      </c>
      <c r="I203" s="48">
        <f t="shared" si="44"/>
        <v>21156.654491899997</v>
      </c>
      <c r="J203" s="46">
        <f t="shared" si="45"/>
        <v>2.1156654491899998</v>
      </c>
      <c r="K203" s="47">
        <f t="shared" ca="1" si="46"/>
        <v>68.86666666666666</v>
      </c>
      <c r="L203" s="46">
        <f t="shared" ca="1" si="47"/>
        <v>0.36865419250164566</v>
      </c>
      <c r="M203" s="57"/>
      <c r="N203" s="47">
        <f t="shared" si="48"/>
        <v>-10000</v>
      </c>
      <c r="O203" s="51" t="s">
        <v>87</v>
      </c>
    </row>
    <row r="204" spans="1:15" s="75" customFormat="1" x14ac:dyDescent="0.3">
      <c r="A204" s="51" t="e" vm="42">
        <v>#VALUE!</v>
      </c>
      <c r="B204" s="50">
        <v>44162</v>
      </c>
      <c r="C204" s="47">
        <v>10000</v>
      </c>
      <c r="D204" s="47">
        <f t="shared" si="42"/>
        <v>280.71751396569636</v>
      </c>
      <c r="E204" s="49">
        <f>35.623</f>
        <v>35.622999999999998</v>
      </c>
      <c r="F204" s="37">
        <f>VLOOKUP("INF109K01761", [1]NAVAll!B$1:E$501244,4,FALSE)</f>
        <v>806.77009999999996</v>
      </c>
      <c r="G204" s="47">
        <f t="shared" si="43"/>
        <v>28739.571272299996</v>
      </c>
      <c r="H204" s="49">
        <f>0</f>
        <v>0</v>
      </c>
      <c r="I204" s="48">
        <f t="shared" si="44"/>
        <v>18739.571272299996</v>
      </c>
      <c r="J204" s="46">
        <f t="shared" si="45"/>
        <v>1.8739571272299995</v>
      </c>
      <c r="K204" s="47">
        <f t="shared" ca="1" si="46"/>
        <v>67.86666666666666</v>
      </c>
      <c r="L204" s="46">
        <f t="shared" ca="1" si="47"/>
        <v>0.33134801856719048</v>
      </c>
      <c r="M204" s="57"/>
      <c r="N204" s="47">
        <f t="shared" si="48"/>
        <v>-10000</v>
      </c>
      <c r="O204" s="51" t="s">
        <v>87</v>
      </c>
    </row>
    <row r="205" spans="1:15" s="75" customFormat="1" x14ac:dyDescent="0.3">
      <c r="A205" s="51" t="e" vm="42">
        <v>#VALUE!</v>
      </c>
      <c r="B205" s="50">
        <v>44193</v>
      </c>
      <c r="C205" s="47">
        <v>10000</v>
      </c>
      <c r="D205" s="47">
        <f t="shared" si="42"/>
        <v>305.12922222561252</v>
      </c>
      <c r="E205" s="49">
        <f>32.773</f>
        <v>32.773000000000003</v>
      </c>
      <c r="F205" s="37">
        <f>VLOOKUP("INF109K01761", [1]NAVAll!B$1:E$501244,4,FALSE)</f>
        <v>806.77009999999996</v>
      </c>
      <c r="G205" s="47">
        <f t="shared" si="43"/>
        <v>26440.276487300001</v>
      </c>
      <c r="H205" s="49">
        <f>0</f>
        <v>0</v>
      </c>
      <c r="I205" s="48">
        <f t="shared" si="44"/>
        <v>16440.276487300001</v>
      </c>
      <c r="J205" s="46">
        <f t="shared" si="45"/>
        <v>1.6440276487300001</v>
      </c>
      <c r="K205" s="47">
        <f t="shared" ca="1" si="46"/>
        <v>66.833333333333329</v>
      </c>
      <c r="L205" s="46">
        <f t="shared" ca="1" si="47"/>
        <v>0.29518700924827934</v>
      </c>
      <c r="M205" s="57"/>
      <c r="N205" s="47">
        <f t="shared" si="48"/>
        <v>-10000</v>
      </c>
      <c r="O205" s="51" t="s">
        <v>87</v>
      </c>
    </row>
    <row r="206" spans="1:15" s="75" customFormat="1" x14ac:dyDescent="0.3">
      <c r="A206" s="51" t="e" vm="42">
        <v>#VALUE!</v>
      </c>
      <c r="B206" s="50">
        <v>44223</v>
      </c>
      <c r="C206" s="47">
        <v>10000</v>
      </c>
      <c r="D206" s="47">
        <f t="shared" si="42"/>
        <v>304.72940029254022</v>
      </c>
      <c r="E206" s="49">
        <f>32.816</f>
        <v>32.816000000000003</v>
      </c>
      <c r="F206" s="37">
        <f>VLOOKUP("INF109K01761", [1]NAVAll!B$1:E$501244,4,FALSE)</f>
        <v>806.77009999999996</v>
      </c>
      <c r="G206" s="47">
        <f t="shared" si="43"/>
        <v>26474.967601600001</v>
      </c>
      <c r="H206" s="49">
        <f>0</f>
        <v>0</v>
      </c>
      <c r="I206" s="48">
        <f t="shared" si="44"/>
        <v>16474.967601600001</v>
      </c>
      <c r="J206" s="46">
        <f t="shared" si="45"/>
        <v>1.6474967601600001</v>
      </c>
      <c r="K206" s="47">
        <f t="shared" ca="1" si="46"/>
        <v>65.86666666666666</v>
      </c>
      <c r="L206" s="46">
        <f t="shared" ca="1" si="47"/>
        <v>0.3001512316080972</v>
      </c>
      <c r="M206" s="57"/>
      <c r="N206" s="47">
        <f t="shared" si="48"/>
        <v>-10000</v>
      </c>
      <c r="O206" s="51" t="s">
        <v>87</v>
      </c>
    </row>
    <row r="207" spans="1:15" s="75" customFormat="1" x14ac:dyDescent="0.3">
      <c r="A207" s="51" t="e" vm="42">
        <v>#VALUE!</v>
      </c>
      <c r="B207" s="50">
        <v>44256</v>
      </c>
      <c r="C207" s="47">
        <v>10000</v>
      </c>
      <c r="D207" s="47">
        <f t="shared" si="42"/>
        <v>337.40468317700248</v>
      </c>
      <c r="E207" s="49">
        <f>29.638</f>
        <v>29.638000000000002</v>
      </c>
      <c r="F207" s="37">
        <f>VLOOKUP("INF109K01761", [1]NAVAll!B$1:E$501244,4,FALSE)</f>
        <v>806.77009999999996</v>
      </c>
      <c r="G207" s="47">
        <f t="shared" si="43"/>
        <v>23911.052223800001</v>
      </c>
      <c r="H207" s="49">
        <f>0</f>
        <v>0</v>
      </c>
      <c r="I207" s="48">
        <f t="shared" si="44"/>
        <v>13911.052223800001</v>
      </c>
      <c r="J207" s="46">
        <f t="shared" si="45"/>
        <v>1.3911052223800002</v>
      </c>
      <c r="K207" s="47">
        <f t="shared" ca="1" si="46"/>
        <v>64.733333333333334</v>
      </c>
      <c r="L207" s="46">
        <f t="shared" ca="1" si="47"/>
        <v>0.25787738416931005</v>
      </c>
      <c r="M207" s="57"/>
      <c r="N207" s="47">
        <f t="shared" si="48"/>
        <v>-10000</v>
      </c>
      <c r="O207" s="51" t="s">
        <v>87</v>
      </c>
    </row>
    <row r="208" spans="1:15" s="75" customFormat="1" x14ac:dyDescent="0.3">
      <c r="A208" s="51" t="e" vm="42">
        <v>#VALUE!</v>
      </c>
      <c r="B208" s="50">
        <v>44285</v>
      </c>
      <c r="C208" s="47">
        <v>10000</v>
      </c>
      <c r="D208" s="47">
        <f t="shared" si="42"/>
        <v>332.08248929033971</v>
      </c>
      <c r="E208" s="49">
        <f>30.113</f>
        <v>30.113</v>
      </c>
      <c r="F208" s="37">
        <f>VLOOKUP("INF109K01761", [1]NAVAll!B$1:E$501244,4,FALSE)</f>
        <v>806.77009999999996</v>
      </c>
      <c r="G208" s="47">
        <f t="shared" si="43"/>
        <v>24294.268021299999</v>
      </c>
      <c r="H208" s="49">
        <f>0</f>
        <v>0</v>
      </c>
      <c r="I208" s="48">
        <f t="shared" si="44"/>
        <v>14294.268021299999</v>
      </c>
      <c r="J208" s="46">
        <f t="shared" si="45"/>
        <v>1.4294268021299998</v>
      </c>
      <c r="K208" s="47">
        <f t="shared" ca="1" si="46"/>
        <v>63.766666666666666</v>
      </c>
      <c r="L208" s="46">
        <f t="shared" ca="1" si="47"/>
        <v>0.26899824817919493</v>
      </c>
      <c r="M208" s="57"/>
      <c r="N208" s="47">
        <f t="shared" si="48"/>
        <v>-10000</v>
      </c>
      <c r="O208" s="51" t="s">
        <v>87</v>
      </c>
    </row>
    <row r="209" spans="1:15" s="75" customFormat="1" x14ac:dyDescent="0.3">
      <c r="A209" s="51" t="e" vm="42">
        <v>#VALUE!</v>
      </c>
      <c r="B209" s="50">
        <v>44313</v>
      </c>
      <c r="C209" s="47">
        <v>10000</v>
      </c>
      <c r="D209" s="47">
        <f t="shared" si="42"/>
        <v>334.70562640157982</v>
      </c>
      <c r="E209" s="49">
        <f>29.877</f>
        <v>29.876999999999999</v>
      </c>
      <c r="F209" s="37">
        <f>VLOOKUP("INF109K01761", [1]NAVAll!B$1:E$501244,4,FALSE)</f>
        <v>806.77009999999996</v>
      </c>
      <c r="G209" s="47">
        <f t="shared" si="43"/>
        <v>24103.870277699996</v>
      </c>
      <c r="H209" s="49">
        <f>0</f>
        <v>0</v>
      </c>
      <c r="I209" s="48">
        <f t="shared" si="44"/>
        <v>14103.870277699996</v>
      </c>
      <c r="J209" s="46">
        <f t="shared" si="45"/>
        <v>1.4103870277699997</v>
      </c>
      <c r="K209" s="47">
        <f t="shared" ca="1" si="46"/>
        <v>62.866666666666667</v>
      </c>
      <c r="L209" s="46">
        <f t="shared" ca="1" si="47"/>
        <v>0.26921491516288437</v>
      </c>
      <c r="M209" s="57"/>
      <c r="N209" s="47">
        <f t="shared" si="48"/>
        <v>-10000</v>
      </c>
      <c r="O209" s="51" t="s">
        <v>87</v>
      </c>
    </row>
    <row r="210" spans="1:15" s="75" customFormat="1" x14ac:dyDescent="0.3">
      <c r="A210" s="51" t="e" vm="42">
        <v>#VALUE!</v>
      </c>
      <c r="B210" s="50">
        <v>44343</v>
      </c>
      <c r="C210" s="47">
        <v>10000</v>
      </c>
      <c r="D210" s="47">
        <f t="shared" si="42"/>
        <v>357.89699724419313</v>
      </c>
      <c r="E210" s="49">
        <f>27.941</f>
        <v>27.940999999999999</v>
      </c>
      <c r="F210" s="37">
        <f>VLOOKUP("INF109K01761", [1]NAVAll!B$1:E$501244,4,FALSE)</f>
        <v>806.77009999999996</v>
      </c>
      <c r="G210" s="47">
        <f t="shared" si="43"/>
        <v>22541.963364099996</v>
      </c>
      <c r="H210" s="49">
        <f>0</f>
        <v>0</v>
      </c>
      <c r="I210" s="48">
        <f t="shared" si="44"/>
        <v>12541.963364099996</v>
      </c>
      <c r="J210" s="46">
        <f t="shared" si="45"/>
        <v>1.2541963364099997</v>
      </c>
      <c r="K210" s="47">
        <f t="shared" ca="1" si="46"/>
        <v>61.866666666666667</v>
      </c>
      <c r="L210" s="46">
        <f t="shared" ca="1" si="47"/>
        <v>0.24327084111400857</v>
      </c>
      <c r="M210" s="57"/>
      <c r="N210" s="47">
        <f t="shared" si="48"/>
        <v>-10000</v>
      </c>
      <c r="O210" s="51" t="s">
        <v>87</v>
      </c>
    </row>
    <row r="211" spans="1:15" s="75" customFormat="1" x14ac:dyDescent="0.3">
      <c r="A211" s="51" t="e" vm="42">
        <v>#VALUE!</v>
      </c>
      <c r="B211" s="50">
        <v>44375</v>
      </c>
      <c r="C211" s="47">
        <v>10000</v>
      </c>
      <c r="D211" s="47">
        <f t="shared" si="42"/>
        <v>364.2854540818185</v>
      </c>
      <c r="E211" s="49">
        <f>27.451</f>
        <v>27.451000000000001</v>
      </c>
      <c r="F211" s="37">
        <f>VLOOKUP("INF109K01761", [1]NAVAll!B$1:E$501244,4,FALSE)</f>
        <v>806.77009999999996</v>
      </c>
      <c r="G211" s="47">
        <f t="shared" si="43"/>
        <v>22146.646015099999</v>
      </c>
      <c r="H211" s="49">
        <f>0</f>
        <v>0</v>
      </c>
      <c r="I211" s="48">
        <f t="shared" si="44"/>
        <v>12146.646015099999</v>
      </c>
      <c r="J211" s="46">
        <f t="shared" si="45"/>
        <v>1.21466460151</v>
      </c>
      <c r="K211" s="47">
        <f t="shared" ca="1" si="46"/>
        <v>60.833333333333336</v>
      </c>
      <c r="L211" s="46">
        <f t="shared" ca="1" si="47"/>
        <v>0.23960507207868492</v>
      </c>
      <c r="M211" s="57"/>
      <c r="N211" s="47">
        <f t="shared" si="48"/>
        <v>-10000</v>
      </c>
      <c r="O211" s="51" t="s">
        <v>87</v>
      </c>
    </row>
    <row r="212" spans="1:15" s="75" customFormat="1" x14ac:dyDescent="0.3">
      <c r="A212" s="51" t="e" vm="42">
        <v>#VALUE!</v>
      </c>
      <c r="B212" s="50">
        <v>44404</v>
      </c>
      <c r="C212" s="47">
        <v>10000</v>
      </c>
      <c r="D212" s="47">
        <f t="shared" si="42"/>
        <v>367.12067256507214</v>
      </c>
      <c r="E212" s="49">
        <f>27.239</f>
        <v>27.239000000000001</v>
      </c>
      <c r="F212" s="37">
        <f>VLOOKUP("INF109K01761", [1]NAVAll!B$1:E$501244,4,FALSE)</f>
        <v>806.77009999999996</v>
      </c>
      <c r="G212" s="47">
        <f t="shared" si="43"/>
        <v>21975.6107539</v>
      </c>
      <c r="H212" s="49">
        <f>0</f>
        <v>0</v>
      </c>
      <c r="I212" s="48">
        <f t="shared" si="44"/>
        <v>11975.6107539</v>
      </c>
      <c r="J212" s="46">
        <f t="shared" si="45"/>
        <v>1.1975610753900001</v>
      </c>
      <c r="K212" s="47">
        <f t="shared" ca="1" si="46"/>
        <v>59.866666666666667</v>
      </c>
      <c r="L212" s="46">
        <f t="shared" ca="1" si="47"/>
        <v>0.24004564985545657</v>
      </c>
      <c r="M212" s="57"/>
      <c r="N212" s="47">
        <f t="shared" si="48"/>
        <v>-10000</v>
      </c>
      <c r="O212" s="51" t="s">
        <v>87</v>
      </c>
    </row>
    <row r="213" spans="1:15" s="75" customFormat="1" x14ac:dyDescent="0.3">
      <c r="A213" s="51" t="e" vm="42">
        <v>#VALUE!</v>
      </c>
      <c r="B213" s="50">
        <v>44435</v>
      </c>
      <c r="C213" s="47">
        <v>10000</v>
      </c>
      <c r="D213" s="47">
        <f t="shared" si="42"/>
        <v>376.60528000602568</v>
      </c>
      <c r="E213" s="49">
        <f>26.553</f>
        <v>26.553000000000001</v>
      </c>
      <c r="F213" s="37">
        <f>VLOOKUP("INF109K01761", [1]NAVAll!B$1:E$501244,4,FALSE)</f>
        <v>806.77009999999996</v>
      </c>
      <c r="G213" s="47">
        <f t="shared" si="43"/>
        <v>21422.166465300001</v>
      </c>
      <c r="H213" s="49">
        <f>0</f>
        <v>0</v>
      </c>
      <c r="I213" s="48">
        <f t="shared" si="44"/>
        <v>11422.166465300001</v>
      </c>
      <c r="J213" s="46">
        <f t="shared" si="45"/>
        <v>1.1422166465300001</v>
      </c>
      <c r="K213" s="47">
        <f t="shared" ca="1" si="46"/>
        <v>58.866666666666667</v>
      </c>
      <c r="L213" s="46">
        <f t="shared" ca="1" si="47"/>
        <v>0.23284144549875427</v>
      </c>
      <c r="M213" s="57"/>
      <c r="N213" s="47">
        <f t="shared" si="48"/>
        <v>-10000</v>
      </c>
      <c r="O213" s="51" t="s">
        <v>87</v>
      </c>
    </row>
    <row r="214" spans="1:15" s="75" customFormat="1" x14ac:dyDescent="0.3">
      <c r="A214" s="51" t="e" vm="42">
        <v>#VALUE!</v>
      </c>
      <c r="B214" s="50">
        <v>44466</v>
      </c>
      <c r="C214" s="47">
        <v>10000</v>
      </c>
      <c r="D214" s="47">
        <f t="shared" si="42"/>
        <v>403.19329086364002</v>
      </c>
      <c r="E214" s="49">
        <f>24.802</f>
        <v>24.802</v>
      </c>
      <c r="F214" s="37">
        <f>VLOOKUP("INF109K01761", [1]NAVAll!B$1:E$501244,4,FALSE)</f>
        <v>806.77009999999996</v>
      </c>
      <c r="G214" s="47">
        <f t="shared" si="43"/>
        <v>20009.5120202</v>
      </c>
      <c r="H214" s="49">
        <f>0</f>
        <v>0</v>
      </c>
      <c r="I214" s="48">
        <f t="shared" si="44"/>
        <v>10009.5120202</v>
      </c>
      <c r="J214" s="46">
        <f t="shared" si="45"/>
        <v>1.00095120202</v>
      </c>
      <c r="K214" s="47">
        <f t="shared" ca="1" si="46"/>
        <v>57.866666666666667</v>
      </c>
      <c r="L214" s="46">
        <f t="shared" ca="1" si="47"/>
        <v>0.20757052576451612</v>
      </c>
      <c r="M214" s="57"/>
      <c r="N214" s="47">
        <f t="shared" si="48"/>
        <v>-10000</v>
      </c>
      <c r="O214" s="51" t="s">
        <v>87</v>
      </c>
    </row>
    <row r="215" spans="1:15" s="75" customFormat="1" x14ac:dyDescent="0.3">
      <c r="A215" s="51" t="e" vm="42">
        <v>#VALUE!</v>
      </c>
      <c r="B215" s="50">
        <v>44496</v>
      </c>
      <c r="C215" s="47">
        <v>10000</v>
      </c>
      <c r="D215" s="47">
        <f t="shared" si="42"/>
        <v>424.26813746287655</v>
      </c>
      <c r="E215" s="49">
        <f>23.57</f>
        <v>23.57</v>
      </c>
      <c r="F215" s="37">
        <f>VLOOKUP("INF109K01761", [1]NAVAll!B$1:E$501244,4,FALSE)</f>
        <v>806.77009999999996</v>
      </c>
      <c r="G215" s="47">
        <f t="shared" si="43"/>
        <v>19015.571257</v>
      </c>
      <c r="H215" s="49">
        <f>0</f>
        <v>0</v>
      </c>
      <c r="I215" s="48">
        <f t="shared" si="44"/>
        <v>9015.5712569999996</v>
      </c>
      <c r="J215" s="46">
        <f t="shared" si="45"/>
        <v>0.90155712569999991</v>
      </c>
      <c r="K215" s="47">
        <f t="shared" ca="1" si="46"/>
        <v>56.866666666666667</v>
      </c>
      <c r="L215" s="46">
        <f t="shared" ca="1" si="47"/>
        <v>0.19024652124970687</v>
      </c>
      <c r="M215" s="57"/>
      <c r="N215" s="47">
        <f t="shared" si="48"/>
        <v>-10000</v>
      </c>
      <c r="O215" s="51" t="s">
        <v>87</v>
      </c>
    </row>
    <row r="216" spans="1:15" s="75" customFormat="1" x14ac:dyDescent="0.3">
      <c r="A216" s="51" t="e" vm="42">
        <v>#VALUE!</v>
      </c>
      <c r="B216" s="50">
        <v>44529</v>
      </c>
      <c r="C216" s="47">
        <v>10000</v>
      </c>
      <c r="D216" s="47">
        <f t="shared" si="42"/>
        <v>407.93016235620462</v>
      </c>
      <c r="E216" s="49">
        <f>24.514</f>
        <v>24.513999999999999</v>
      </c>
      <c r="F216" s="37">
        <f>VLOOKUP("INF109K01761", [1]NAVAll!B$1:E$501244,4,FALSE)</f>
        <v>806.77009999999996</v>
      </c>
      <c r="G216" s="47">
        <f t="shared" si="43"/>
        <v>19777.162231399998</v>
      </c>
      <c r="H216" s="49">
        <f>0</f>
        <v>0</v>
      </c>
      <c r="I216" s="48">
        <f t="shared" si="44"/>
        <v>9777.1622313999978</v>
      </c>
      <c r="J216" s="46">
        <f t="shared" si="45"/>
        <v>0.97771622313999973</v>
      </c>
      <c r="K216" s="47">
        <f t="shared" ca="1" si="46"/>
        <v>55.8</v>
      </c>
      <c r="L216" s="46">
        <f t="shared" ca="1" si="47"/>
        <v>0.2102615533634408</v>
      </c>
      <c r="M216" s="57"/>
      <c r="N216" s="47">
        <f t="shared" si="48"/>
        <v>-10000</v>
      </c>
      <c r="O216" s="51" t="s">
        <v>87</v>
      </c>
    </row>
    <row r="217" spans="1:15" s="75" customFormat="1" x14ac:dyDescent="0.3">
      <c r="A217" s="51" t="e" vm="42">
        <v>#VALUE!</v>
      </c>
      <c r="B217" s="50">
        <v>44557</v>
      </c>
      <c r="C217" s="47">
        <v>10000</v>
      </c>
      <c r="D217" s="47">
        <f t="shared" si="42"/>
        <v>404.12204485754694</v>
      </c>
      <c r="E217" s="49">
        <f>24.745</f>
        <v>24.745000000000001</v>
      </c>
      <c r="F217" s="37">
        <f>VLOOKUP("INF109K01761", [1]NAVAll!B$1:E$501244,4,FALSE)</f>
        <v>806.77009999999996</v>
      </c>
      <c r="G217" s="47">
        <f t="shared" si="43"/>
        <v>19963.5261245</v>
      </c>
      <c r="H217" s="49">
        <f>0</f>
        <v>0</v>
      </c>
      <c r="I217" s="48">
        <f t="shared" si="44"/>
        <v>9963.5261245000002</v>
      </c>
      <c r="J217" s="46">
        <f t="shared" si="45"/>
        <v>0.99635261245000006</v>
      </c>
      <c r="K217" s="47">
        <f t="shared" ca="1" si="46"/>
        <v>54.866666666666667</v>
      </c>
      <c r="L217" s="46">
        <f t="shared" ca="1" si="47"/>
        <v>0.21791430162940464</v>
      </c>
      <c r="M217" s="57"/>
      <c r="N217" s="47">
        <f t="shared" si="48"/>
        <v>-10000</v>
      </c>
      <c r="O217" s="51" t="s">
        <v>87</v>
      </c>
    </row>
    <row r="218" spans="1:15" s="75" customFormat="1" x14ac:dyDescent="0.3">
      <c r="A218" s="51" t="e" vm="42">
        <v>#VALUE!</v>
      </c>
      <c r="B218" s="50">
        <v>44588</v>
      </c>
      <c r="C218" s="47">
        <v>10000</v>
      </c>
      <c r="D218" s="47">
        <f t="shared" si="42"/>
        <v>423.20876888569131</v>
      </c>
      <c r="E218" s="48">
        <f>23.629</f>
        <v>23.629000000000001</v>
      </c>
      <c r="F218" s="37">
        <f>VLOOKUP("INF109K01761", [1]NAVAll!B$1:E$501244,4,FALSE)</f>
        <v>806.77009999999996</v>
      </c>
      <c r="G218" s="47">
        <f t="shared" si="43"/>
        <v>19063.170692899999</v>
      </c>
      <c r="H218" s="49">
        <f>0</f>
        <v>0</v>
      </c>
      <c r="I218" s="48">
        <f t="shared" si="44"/>
        <v>9063.1706928999993</v>
      </c>
      <c r="J218" s="46">
        <f t="shared" si="45"/>
        <v>0.90631706928999989</v>
      </c>
      <c r="K218" s="47">
        <f t="shared" ca="1" si="46"/>
        <v>53.866666666666667</v>
      </c>
      <c r="L218" s="46">
        <f t="shared" ca="1" si="47"/>
        <v>0.20190231741608908</v>
      </c>
      <c r="M218" s="57"/>
      <c r="N218" s="47">
        <f t="shared" si="48"/>
        <v>-10000</v>
      </c>
      <c r="O218" s="51" t="s">
        <v>87</v>
      </c>
    </row>
    <row r="219" spans="1:15" s="75" customFormat="1" x14ac:dyDescent="0.3">
      <c r="A219" s="51" t="e" vm="42">
        <v>#VALUE!</v>
      </c>
      <c r="B219" s="50">
        <v>44620</v>
      </c>
      <c r="C219" s="47">
        <v>10000</v>
      </c>
      <c r="D219" s="47">
        <f t="shared" si="42"/>
        <v>422.92239374074859</v>
      </c>
      <c r="E219" s="48">
        <f>23.645</f>
        <v>23.645</v>
      </c>
      <c r="F219" s="37">
        <f>VLOOKUP("INF109K01761", [1]NAVAll!B$1:E$501244,4,FALSE)</f>
        <v>806.77009999999996</v>
      </c>
      <c r="G219" s="47">
        <f t="shared" si="43"/>
        <v>19076.079014499999</v>
      </c>
      <c r="H219" s="49">
        <f>0</f>
        <v>0</v>
      </c>
      <c r="I219" s="48">
        <f t="shared" si="44"/>
        <v>9076.0790144999992</v>
      </c>
      <c r="J219" s="46">
        <f t="shared" si="45"/>
        <v>0.90760790144999992</v>
      </c>
      <c r="K219" s="47">
        <f t="shared" ca="1" si="46"/>
        <v>52.833333333333336</v>
      </c>
      <c r="L219" s="46">
        <f t="shared" ca="1" si="47"/>
        <v>0.2061443814018927</v>
      </c>
      <c r="M219" s="57"/>
      <c r="N219" s="47">
        <f t="shared" si="48"/>
        <v>-10000</v>
      </c>
      <c r="O219" s="51" t="s">
        <v>87</v>
      </c>
    </row>
    <row r="220" spans="1:15" s="75" customFormat="1" x14ac:dyDescent="0.3">
      <c r="A220" s="51" t="e" vm="42">
        <v>#VALUE!</v>
      </c>
      <c r="B220" s="50">
        <v>44648</v>
      </c>
      <c r="C220" s="47">
        <v>10000</v>
      </c>
      <c r="D220" s="47">
        <f t="shared" si="42"/>
        <v>432.75056257573135</v>
      </c>
      <c r="E220" s="48">
        <f>23.108</f>
        <v>23.108000000000001</v>
      </c>
      <c r="F220" s="37">
        <f>VLOOKUP("INF109K01761", [1]NAVAll!B$1:E$501244,4,FALSE)</f>
        <v>806.77009999999996</v>
      </c>
      <c r="G220" s="47">
        <f t="shared" si="43"/>
        <v>18642.843470799999</v>
      </c>
      <c r="H220" s="49">
        <f>0</f>
        <v>0</v>
      </c>
      <c r="I220" s="48">
        <f t="shared" si="44"/>
        <v>8642.8434707999986</v>
      </c>
      <c r="J220" s="46">
        <f t="shared" si="45"/>
        <v>0.8642843470799999</v>
      </c>
      <c r="K220" s="47">
        <f t="shared" ca="1" si="46"/>
        <v>51.833333333333336</v>
      </c>
      <c r="L220" s="46">
        <f t="shared" ca="1" si="47"/>
        <v>0.20009155302173631</v>
      </c>
      <c r="M220" s="57"/>
      <c r="N220" s="47">
        <f t="shared" si="48"/>
        <v>-10000</v>
      </c>
      <c r="O220" s="51" t="s">
        <v>87</v>
      </c>
    </row>
    <row r="221" spans="1:15" s="75" customFormat="1" x14ac:dyDescent="0.3">
      <c r="A221" s="51" t="e" vm="42">
        <v>#VALUE!</v>
      </c>
      <c r="B221" s="50">
        <v>44678</v>
      </c>
      <c r="C221" s="47">
        <v>10000</v>
      </c>
      <c r="D221" s="47">
        <f t="shared" si="42"/>
        <v>439.71506463811448</v>
      </c>
      <c r="E221" s="48">
        <f>22.742</f>
        <v>22.742000000000001</v>
      </c>
      <c r="F221" s="37">
        <f>VLOOKUP("INF109K01761", [1]NAVAll!B$1:E$501244,4,FALSE)</f>
        <v>806.77009999999996</v>
      </c>
      <c r="G221" s="47">
        <f t="shared" si="43"/>
        <v>18347.565614200001</v>
      </c>
      <c r="H221" s="49">
        <f>0</f>
        <v>0</v>
      </c>
      <c r="I221" s="48">
        <f t="shared" si="44"/>
        <v>8347.5656142000007</v>
      </c>
      <c r="J221" s="46">
        <f t="shared" si="45"/>
        <v>0.8347565614200001</v>
      </c>
      <c r="K221" s="47">
        <f t="shared" ca="1" si="46"/>
        <v>50.866666666666667</v>
      </c>
      <c r="L221" s="46">
        <f t="shared" ca="1" si="47"/>
        <v>0.19692815341494105</v>
      </c>
      <c r="M221" s="57"/>
      <c r="N221" s="47">
        <f t="shared" si="48"/>
        <v>-10000</v>
      </c>
      <c r="O221" s="51" t="s">
        <v>87</v>
      </c>
    </row>
    <row r="222" spans="1:15" s="75" customFormat="1" x14ac:dyDescent="0.3">
      <c r="A222" s="51" t="e" vm="42">
        <v>#VALUE!</v>
      </c>
      <c r="B222" s="50">
        <v>44708</v>
      </c>
      <c r="C222" s="47">
        <v>10000</v>
      </c>
      <c r="D222" s="47">
        <f t="shared" si="42"/>
        <v>427.84409361228768</v>
      </c>
      <c r="E222" s="48">
        <f>23.373</f>
        <v>23.373000000000001</v>
      </c>
      <c r="F222" s="37">
        <f>VLOOKUP("INF109K01761", [1]NAVAll!B$1:E$501244,4,FALSE)</f>
        <v>806.77009999999996</v>
      </c>
      <c r="G222" s="47">
        <f t="shared" si="43"/>
        <v>18856.637547300001</v>
      </c>
      <c r="H222" s="49">
        <f>0</f>
        <v>0</v>
      </c>
      <c r="I222" s="48">
        <f t="shared" si="44"/>
        <v>8856.6375473000007</v>
      </c>
      <c r="J222" s="46">
        <f t="shared" si="45"/>
        <v>0.88566375473000003</v>
      </c>
      <c r="K222" s="47">
        <f t="shared" ca="1" si="46"/>
        <v>49.866666666666667</v>
      </c>
      <c r="L222" s="46">
        <f t="shared" ca="1" si="47"/>
        <v>0.21312764151256686</v>
      </c>
      <c r="M222" s="57"/>
      <c r="N222" s="47">
        <f t="shared" si="48"/>
        <v>-10000</v>
      </c>
      <c r="O222" s="51" t="s">
        <v>87</v>
      </c>
    </row>
    <row r="223" spans="1:15" s="75" customFormat="1" x14ac:dyDescent="0.3">
      <c r="A223" s="51" t="e" vm="42">
        <v>#VALUE!</v>
      </c>
      <c r="B223" s="50">
        <v>44739</v>
      </c>
      <c r="C223" s="47">
        <v>10000</v>
      </c>
      <c r="D223" s="47">
        <f t="shared" si="42"/>
        <v>418.46256852324564</v>
      </c>
      <c r="E223" s="48">
        <f>23.897</f>
        <v>23.896999999999998</v>
      </c>
      <c r="F223" s="37">
        <f>VLOOKUP("INF109K01761", [1]NAVAll!B$1:E$501244,4,FALSE)</f>
        <v>806.77009999999996</v>
      </c>
      <c r="G223" s="47">
        <f t="shared" si="43"/>
        <v>19279.385079699998</v>
      </c>
      <c r="H223" s="49">
        <f>0</f>
        <v>0</v>
      </c>
      <c r="I223" s="48">
        <f t="shared" si="44"/>
        <v>9279.3850796999977</v>
      </c>
      <c r="J223" s="46">
        <f t="shared" si="45"/>
        <v>0.92793850796999977</v>
      </c>
      <c r="K223" s="47">
        <f t="shared" ca="1" si="46"/>
        <v>48.866666666666667</v>
      </c>
      <c r="L223" s="46">
        <f t="shared" ca="1" si="47"/>
        <v>0.22787030209358797</v>
      </c>
      <c r="M223" s="57"/>
      <c r="N223" s="47">
        <f t="shared" si="48"/>
        <v>-10000</v>
      </c>
      <c r="O223" s="51" t="s">
        <v>87</v>
      </c>
    </row>
    <row r="224" spans="1:15" s="75" customFormat="1" x14ac:dyDescent="0.3">
      <c r="A224" s="51" t="e" vm="42">
        <v>#VALUE!</v>
      </c>
      <c r="B224" s="50">
        <v>44769</v>
      </c>
      <c r="C224" s="47">
        <v>10000</v>
      </c>
      <c r="D224" s="47">
        <f t="shared" si="42"/>
        <v>431.72300651901742</v>
      </c>
      <c r="E224" s="48">
        <f>23.163</f>
        <v>23.163</v>
      </c>
      <c r="F224" s="37">
        <f>VLOOKUP("INF109K01761", [1]NAVAll!B$1:E$501244,4,FALSE)</f>
        <v>806.77009999999996</v>
      </c>
      <c r="G224" s="47">
        <f t="shared" si="43"/>
        <v>18687.215826299998</v>
      </c>
      <c r="H224" s="49">
        <f>0</f>
        <v>0</v>
      </c>
      <c r="I224" s="48">
        <f t="shared" si="44"/>
        <v>8687.2158262999983</v>
      </c>
      <c r="J224" s="46">
        <f t="shared" si="45"/>
        <v>0.86872158262999988</v>
      </c>
      <c r="K224" s="47">
        <f t="shared" ca="1" si="46"/>
        <v>47.866666666666667</v>
      </c>
      <c r="L224" s="46">
        <f t="shared" ca="1" si="47"/>
        <v>0.21778535497688017</v>
      </c>
      <c r="M224" s="57"/>
      <c r="N224" s="47">
        <f t="shared" si="48"/>
        <v>-10000</v>
      </c>
      <c r="O224" s="51" t="s">
        <v>87</v>
      </c>
    </row>
    <row r="225" spans="1:15" s="75" customFormat="1" x14ac:dyDescent="0.3">
      <c r="A225" s="51" t="e" vm="42">
        <v>#VALUE!</v>
      </c>
      <c r="B225" s="50">
        <v>44802</v>
      </c>
      <c r="C225" s="47">
        <v>10000</v>
      </c>
      <c r="D225" s="47">
        <f t="shared" si="42"/>
        <v>447.72778150884261</v>
      </c>
      <c r="E225" s="48">
        <f>22.335</f>
        <v>22.335000000000001</v>
      </c>
      <c r="F225" s="37">
        <f>VLOOKUP("INF109K01761", [1]NAVAll!B$1:E$501244,4,FALSE)</f>
        <v>806.77009999999996</v>
      </c>
      <c r="G225" s="47">
        <f t="shared" si="43"/>
        <v>18019.210183499999</v>
      </c>
      <c r="H225" s="49">
        <f>0</f>
        <v>0</v>
      </c>
      <c r="I225" s="48">
        <f t="shared" si="44"/>
        <v>8019.2101834999994</v>
      </c>
      <c r="J225" s="46">
        <f t="shared" si="45"/>
        <v>0.80192101834999996</v>
      </c>
      <c r="K225" s="47">
        <f t="shared" ca="1" si="46"/>
        <v>46.8</v>
      </c>
      <c r="L225" s="46">
        <f t="shared" ca="1" si="47"/>
        <v>0.20562077393589745</v>
      </c>
      <c r="M225" s="57"/>
      <c r="N225" s="47">
        <f t="shared" si="48"/>
        <v>-10000</v>
      </c>
      <c r="O225" s="51" t="s">
        <v>87</v>
      </c>
    </row>
    <row r="226" spans="1:15" s="75" customFormat="1" x14ac:dyDescent="0.3">
      <c r="A226" s="51" t="e" vm="42">
        <v>#VALUE!</v>
      </c>
      <c r="B226" s="50">
        <v>44831</v>
      </c>
      <c r="C226" s="47">
        <v>10000</v>
      </c>
      <c r="D226" s="47">
        <f t="shared" si="42"/>
        <v>442.90902648595977</v>
      </c>
      <c r="E226" s="48">
        <f>22.578</f>
        <v>22.577999999999999</v>
      </c>
      <c r="F226" s="37">
        <f>VLOOKUP("INF109K01761", [1]NAVAll!B$1:E$501244,4,FALSE)</f>
        <v>806.77009999999996</v>
      </c>
      <c r="G226" s="47">
        <f t="shared" si="43"/>
        <v>18215.255317799998</v>
      </c>
      <c r="H226" s="49">
        <f>0</f>
        <v>0</v>
      </c>
      <c r="I226" s="48">
        <f t="shared" si="44"/>
        <v>8215.255317799998</v>
      </c>
      <c r="J226" s="46">
        <f t="shared" si="45"/>
        <v>0.82152553177999976</v>
      </c>
      <c r="K226" s="47">
        <f t="shared" ca="1" si="46"/>
        <v>45.866666666666667</v>
      </c>
      <c r="L226" s="46">
        <f t="shared" ca="1" si="47"/>
        <v>0.21493400540755805</v>
      </c>
      <c r="M226" s="57"/>
      <c r="N226" s="47">
        <f t="shared" si="48"/>
        <v>-10000</v>
      </c>
      <c r="O226" s="51" t="s">
        <v>87</v>
      </c>
    </row>
    <row r="227" spans="1:15" s="75" customFormat="1" x14ac:dyDescent="0.3">
      <c r="A227" s="51" t="e" vm="42">
        <v>#VALUE!</v>
      </c>
      <c r="B227" s="50">
        <v>44861</v>
      </c>
      <c r="C227" s="47">
        <v>10000</v>
      </c>
      <c r="D227" s="47">
        <f t="shared" si="42"/>
        <v>464.4897580008361</v>
      </c>
      <c r="E227" s="48">
        <f>21.529</f>
        <v>21.529</v>
      </c>
      <c r="F227" s="37">
        <f>VLOOKUP("INF109K01761", [1]NAVAll!B$1:E$501244,4,FALSE)</f>
        <v>806.77009999999996</v>
      </c>
      <c r="G227" s="47">
        <f t="shared" si="43"/>
        <v>17368.9534829</v>
      </c>
      <c r="H227" s="49">
        <f>0</f>
        <v>0</v>
      </c>
      <c r="I227" s="48">
        <f t="shared" si="44"/>
        <v>7368.9534829000004</v>
      </c>
      <c r="J227" s="46">
        <f t="shared" si="45"/>
        <v>0.73689534829000003</v>
      </c>
      <c r="K227" s="47">
        <f t="shared" ca="1" si="46"/>
        <v>44.866666666666667</v>
      </c>
      <c r="L227" s="46">
        <f t="shared" ca="1" si="47"/>
        <v>0.19708939478781576</v>
      </c>
      <c r="M227" s="57"/>
      <c r="N227" s="47">
        <f t="shared" si="48"/>
        <v>-10000</v>
      </c>
      <c r="O227" s="51" t="s">
        <v>87</v>
      </c>
    </row>
    <row r="228" spans="1:15" s="75" customFormat="1" x14ac:dyDescent="0.3">
      <c r="A228" s="51" t="e" vm="42">
        <v>#VALUE!</v>
      </c>
      <c r="B228" s="50">
        <v>44893</v>
      </c>
      <c r="C228" s="47">
        <v>10000</v>
      </c>
      <c r="D228" s="47">
        <f t="shared" si="42"/>
        <v>477.55491881566377</v>
      </c>
      <c r="E228" s="48">
        <f>20.94</f>
        <v>20.94</v>
      </c>
      <c r="F228" s="37">
        <f>VLOOKUP("INF109K01761", [1]NAVAll!B$1:E$501244,4,FALSE)</f>
        <v>806.77009999999996</v>
      </c>
      <c r="G228" s="47">
        <f t="shared" si="43"/>
        <v>16893.765894</v>
      </c>
      <c r="H228" s="49">
        <f>0</f>
        <v>0</v>
      </c>
      <c r="I228" s="48">
        <f t="shared" si="44"/>
        <v>6893.7658940000001</v>
      </c>
      <c r="J228" s="46">
        <f t="shared" si="45"/>
        <v>0.68937658940000002</v>
      </c>
      <c r="K228" s="47">
        <f t="shared" ca="1" si="46"/>
        <v>43.833333333333336</v>
      </c>
      <c r="L228" s="46">
        <f t="shared" ca="1" si="47"/>
        <v>0.18872667086235739</v>
      </c>
      <c r="M228" s="57"/>
      <c r="N228" s="47">
        <f t="shared" si="48"/>
        <v>-10000</v>
      </c>
      <c r="O228" s="51" t="s">
        <v>87</v>
      </c>
    </row>
    <row r="229" spans="1:15" s="75" customFormat="1" x14ac:dyDescent="0.3">
      <c r="A229" s="51" t="e" vm="42">
        <v>#VALUE!</v>
      </c>
      <c r="B229" s="50">
        <v>44922</v>
      </c>
      <c r="C229" s="47">
        <v>10000</v>
      </c>
      <c r="D229" s="47">
        <f t="shared" si="42"/>
        <v>479.29447852760734</v>
      </c>
      <c r="E229" s="48">
        <f>20.864</f>
        <v>20.864000000000001</v>
      </c>
      <c r="F229" s="37">
        <f>VLOOKUP("INF109K01761", [1]NAVAll!B$1:E$501244,4,FALSE)</f>
        <v>806.77009999999996</v>
      </c>
      <c r="G229" s="47">
        <f t="shared" si="43"/>
        <v>16832.451366400001</v>
      </c>
      <c r="H229" s="49">
        <f>0</f>
        <v>0</v>
      </c>
      <c r="I229" s="48">
        <f t="shared" si="44"/>
        <v>6832.4513664000006</v>
      </c>
      <c r="J229" s="46">
        <f t="shared" si="45"/>
        <v>0.68324513664000008</v>
      </c>
      <c r="K229" s="47">
        <f t="shared" ca="1" si="46"/>
        <v>42.866666666666667</v>
      </c>
      <c r="L229" s="46">
        <f t="shared" ca="1" si="47"/>
        <v>0.19126613467371698</v>
      </c>
      <c r="M229" s="57"/>
      <c r="N229" s="47">
        <f t="shared" si="48"/>
        <v>-10000</v>
      </c>
      <c r="O229" s="51" t="s">
        <v>87</v>
      </c>
    </row>
    <row r="230" spans="1:15" s="75" customFormat="1" x14ac:dyDescent="0.3">
      <c r="A230" s="51" t="e" vm="42">
        <v>#VALUE!</v>
      </c>
      <c r="B230" s="50">
        <v>44953</v>
      </c>
      <c r="C230" s="47">
        <v>10000</v>
      </c>
      <c r="D230" s="47">
        <f t="shared" si="42"/>
        <v>476.48544336970508</v>
      </c>
      <c r="E230" s="48">
        <f>20.987</f>
        <v>20.986999999999998</v>
      </c>
      <c r="F230" s="37">
        <f>VLOOKUP("INF109K01761", [1]NAVAll!B$1:E$501244,4,FALSE)</f>
        <v>806.77009999999996</v>
      </c>
      <c r="G230" s="47">
        <f t="shared" si="43"/>
        <v>16931.684088699996</v>
      </c>
      <c r="H230" s="49">
        <f>0</f>
        <v>0</v>
      </c>
      <c r="I230" s="48">
        <f t="shared" si="44"/>
        <v>6931.6840886999962</v>
      </c>
      <c r="J230" s="46">
        <f t="shared" si="45"/>
        <v>0.69316840886999964</v>
      </c>
      <c r="K230" s="47">
        <f t="shared" ca="1" si="46"/>
        <v>41.866666666666667</v>
      </c>
      <c r="L230" s="46">
        <f t="shared" ca="1" si="47"/>
        <v>0.19867884330668778</v>
      </c>
      <c r="M230" s="57"/>
      <c r="N230" s="47">
        <f t="shared" si="48"/>
        <v>-10000</v>
      </c>
      <c r="O230" s="51" t="s">
        <v>87</v>
      </c>
    </row>
    <row r="231" spans="1:15" s="75" customFormat="1" x14ac:dyDescent="0.3">
      <c r="A231" s="51" t="e" vm="42">
        <v>#VALUE!</v>
      </c>
      <c r="B231" s="50">
        <v>44984</v>
      </c>
      <c r="C231" s="47">
        <v>10000</v>
      </c>
      <c r="D231" s="47">
        <f t="shared" si="42"/>
        <v>474.60844803037492</v>
      </c>
      <c r="E231" s="48">
        <f>21.07</f>
        <v>21.07</v>
      </c>
      <c r="F231" s="37">
        <f>VLOOKUP("INF109K01761", [1]NAVAll!B$1:E$501244,4,FALSE)</f>
        <v>806.77009999999996</v>
      </c>
      <c r="G231" s="47">
        <f t="shared" si="43"/>
        <v>16998.646006999999</v>
      </c>
      <c r="H231" s="49">
        <f>0</f>
        <v>0</v>
      </c>
      <c r="I231" s="48">
        <f t="shared" si="44"/>
        <v>6998.6460069999994</v>
      </c>
      <c r="J231" s="46">
        <f t="shared" si="45"/>
        <v>0.69986460069999989</v>
      </c>
      <c r="K231" s="47">
        <f t="shared" ca="1" si="46"/>
        <v>40.866666666666667</v>
      </c>
      <c r="L231" s="46">
        <f t="shared" ca="1" si="47"/>
        <v>0.20550673430016311</v>
      </c>
      <c r="M231" s="57"/>
      <c r="N231" s="47">
        <f t="shared" si="48"/>
        <v>-10000</v>
      </c>
      <c r="O231" s="51" t="s">
        <v>87</v>
      </c>
    </row>
    <row r="232" spans="1:15" s="75" customFormat="1" x14ac:dyDescent="0.3">
      <c r="A232" s="51" t="e" vm="42">
        <v>#VALUE!</v>
      </c>
      <c r="B232" s="50">
        <v>45012</v>
      </c>
      <c r="C232" s="47">
        <v>10000</v>
      </c>
      <c r="D232" s="47">
        <f t="shared" si="42"/>
        <v>472.36655644780348</v>
      </c>
      <c r="E232" s="48">
        <f>21.17</f>
        <v>21.17</v>
      </c>
      <c r="F232" s="37">
        <f>VLOOKUP("INF109K01761", [1]NAVAll!B$1:E$501244,4,FALSE)</f>
        <v>806.77009999999996</v>
      </c>
      <c r="G232" s="47">
        <f t="shared" si="43"/>
        <v>17079.323016999999</v>
      </c>
      <c r="H232" s="49">
        <f>0</f>
        <v>0</v>
      </c>
      <c r="I232" s="48">
        <f t="shared" si="44"/>
        <v>7079.3230169999988</v>
      </c>
      <c r="J232" s="46">
        <f t="shared" si="45"/>
        <v>0.70793230169999988</v>
      </c>
      <c r="K232" s="47">
        <f t="shared" ca="1" si="46"/>
        <v>39.866666666666667</v>
      </c>
      <c r="L232" s="46">
        <f t="shared" ca="1" si="47"/>
        <v>0.21308999047826085</v>
      </c>
      <c r="M232" s="57"/>
      <c r="N232" s="47">
        <f t="shared" si="48"/>
        <v>-10000</v>
      </c>
      <c r="O232" s="51" t="s">
        <v>87</v>
      </c>
    </row>
    <row r="233" spans="1:15" s="75" customFormat="1" x14ac:dyDescent="0.3">
      <c r="A233" s="51" t="e" vm="42">
        <v>#VALUE!</v>
      </c>
      <c r="B233" s="50">
        <v>45043</v>
      </c>
      <c r="C233" s="47">
        <v>10000</v>
      </c>
      <c r="D233" s="47">
        <f t="shared" si="42"/>
        <v>487.80487804878049</v>
      </c>
      <c r="E233" s="48">
        <f>20.5</f>
        <v>20.5</v>
      </c>
      <c r="F233" s="37">
        <f>VLOOKUP("INF109K01761", [1]NAVAll!B$1:E$501244,4,FALSE)</f>
        <v>806.77009999999996</v>
      </c>
      <c r="G233" s="47">
        <f t="shared" si="43"/>
        <v>16538.787049999999</v>
      </c>
      <c r="H233" s="49">
        <f>0</f>
        <v>0</v>
      </c>
      <c r="I233" s="48">
        <f t="shared" si="44"/>
        <v>6538.787049999999</v>
      </c>
      <c r="J233" s="46">
        <f t="shared" si="45"/>
        <v>0.65387870499999989</v>
      </c>
      <c r="K233" s="47">
        <f t="shared" ca="1" si="46"/>
        <v>38.866666666666667</v>
      </c>
      <c r="L233" s="46">
        <f t="shared" ca="1" si="47"/>
        <v>0.20188364819897081</v>
      </c>
      <c r="M233" s="57"/>
      <c r="N233" s="47">
        <f t="shared" si="48"/>
        <v>-10000</v>
      </c>
      <c r="O233" s="51" t="s">
        <v>87</v>
      </c>
    </row>
    <row r="234" spans="1:15" s="75" customFormat="1" x14ac:dyDescent="0.3">
      <c r="A234" s="51" t="e" vm="42">
        <v>#VALUE!</v>
      </c>
      <c r="B234" s="50">
        <v>45075</v>
      </c>
      <c r="C234" s="47">
        <v>10000</v>
      </c>
      <c r="D234" s="47">
        <f t="shared" si="42"/>
        <v>500.40032025620491</v>
      </c>
      <c r="E234" s="48">
        <f>19.984</f>
        <v>19.984000000000002</v>
      </c>
      <c r="F234" s="37">
        <f>VLOOKUP("INF109K01761", [1]NAVAll!B$1:E$501244,4,FALSE)</f>
        <v>806.77009999999996</v>
      </c>
      <c r="G234" s="47">
        <f t="shared" si="43"/>
        <v>16122.4936784</v>
      </c>
      <c r="H234" s="49">
        <f>0</f>
        <v>0</v>
      </c>
      <c r="I234" s="48">
        <f t="shared" si="44"/>
        <v>6122.4936784000001</v>
      </c>
      <c r="J234" s="46">
        <f t="shared" si="45"/>
        <v>0.61224936784000006</v>
      </c>
      <c r="K234" s="47">
        <f t="shared" ca="1" si="46"/>
        <v>37.799999999999997</v>
      </c>
      <c r="L234" s="46">
        <f t="shared" ca="1" si="47"/>
        <v>0.19436487867936511</v>
      </c>
      <c r="M234" s="57"/>
      <c r="N234" s="47">
        <f t="shared" si="48"/>
        <v>-10000</v>
      </c>
      <c r="O234" s="51" t="s">
        <v>87</v>
      </c>
    </row>
    <row r="235" spans="1:15" s="75" customFormat="1" x14ac:dyDescent="0.3">
      <c r="A235" s="51" t="e" vm="42">
        <v>#VALUE!</v>
      </c>
      <c r="B235" s="50">
        <v>45104</v>
      </c>
      <c r="C235" s="47">
        <v>10000</v>
      </c>
      <c r="D235" s="47">
        <f t="shared" si="42"/>
        <v>508.54353132628148</v>
      </c>
      <c r="E235" s="48">
        <f>19.664</f>
        <v>19.664000000000001</v>
      </c>
      <c r="F235" s="37">
        <f>VLOOKUP("INF109K01761", [1]NAVAll!B$1:E$501244,4,FALSE)</f>
        <v>806.77009999999996</v>
      </c>
      <c r="G235" s="47">
        <f t="shared" si="43"/>
        <v>15864.3272464</v>
      </c>
      <c r="H235" s="49">
        <f>0</f>
        <v>0</v>
      </c>
      <c r="I235" s="48">
        <f t="shared" si="44"/>
        <v>5864.3272464000001</v>
      </c>
      <c r="J235" s="46">
        <f t="shared" si="45"/>
        <v>0.58643272464000007</v>
      </c>
      <c r="K235" s="47">
        <f t="shared" ca="1" si="46"/>
        <v>36.866666666666667</v>
      </c>
      <c r="L235" s="46">
        <f t="shared" ca="1" si="47"/>
        <v>0.19088226118481014</v>
      </c>
      <c r="M235" s="57"/>
      <c r="N235" s="47">
        <f t="shared" si="48"/>
        <v>-10000</v>
      </c>
      <c r="O235" s="51" t="s">
        <v>87</v>
      </c>
    </row>
    <row r="236" spans="1:15" s="75" customFormat="1" x14ac:dyDescent="0.3">
      <c r="A236" s="51" t="e" vm="42">
        <v>#VALUE!</v>
      </c>
      <c r="B236" s="50">
        <v>45134</v>
      </c>
      <c r="C236" s="47">
        <v>10000</v>
      </c>
      <c r="D236" s="47">
        <f t="shared" si="42"/>
        <v>532.7366682648767</v>
      </c>
      <c r="E236" s="48">
        <f>18.771</f>
        <v>18.771000000000001</v>
      </c>
      <c r="F236" s="37">
        <f>VLOOKUP("INF109K01761", [1]NAVAll!B$1:E$501244,4,FALSE)</f>
        <v>806.77009999999996</v>
      </c>
      <c r="G236" s="47">
        <f t="shared" si="43"/>
        <v>15143.8815471</v>
      </c>
      <c r="H236" s="49">
        <f>0</f>
        <v>0</v>
      </c>
      <c r="I236" s="48">
        <f t="shared" si="44"/>
        <v>5143.8815470999998</v>
      </c>
      <c r="J236" s="46">
        <f t="shared" si="45"/>
        <v>0.51438815470999999</v>
      </c>
      <c r="K236" s="47">
        <f t="shared" ca="1" si="46"/>
        <v>35.866666666666667</v>
      </c>
      <c r="L236" s="46">
        <f t="shared" ca="1" si="47"/>
        <v>0.17210012611115241</v>
      </c>
      <c r="M236" s="57"/>
      <c r="N236" s="47">
        <f t="shared" si="48"/>
        <v>-10000</v>
      </c>
      <c r="O236" s="51" t="s">
        <v>87</v>
      </c>
    </row>
    <row r="237" spans="1:15" s="75" customFormat="1" x14ac:dyDescent="0.3">
      <c r="A237" s="76" t="s">
        <v>91</v>
      </c>
      <c r="B237" s="77">
        <f ca="1">TODAY()</f>
        <v>46226</v>
      </c>
      <c r="C237" s="78"/>
      <c r="D237" s="78"/>
      <c r="E237" s="79"/>
      <c r="F237" s="80"/>
      <c r="G237" s="78"/>
      <c r="H237" s="80"/>
      <c r="I237" s="79"/>
      <c r="J237" s="81"/>
      <c r="K237" s="78"/>
      <c r="L237" s="81"/>
      <c r="M237" s="82"/>
      <c r="N237" s="78">
        <f>SUM(G197:G236)</f>
        <v>879151.09306169965</v>
      </c>
      <c r="O237" s="51"/>
    </row>
    <row r="238" spans="1:15" s="75" customFormat="1" x14ac:dyDescent="0.3">
      <c r="A238" s="76" t="s">
        <v>92</v>
      </c>
      <c r="B238" s="77"/>
      <c r="C238" s="78"/>
      <c r="D238" s="78"/>
      <c r="E238" s="79"/>
      <c r="F238" s="80"/>
      <c r="G238" s="78"/>
      <c r="H238" s="80"/>
      <c r="I238" s="79"/>
      <c r="J238" s="81">
        <f>SUM(N197:N237)/-SUM(N197:N236)</f>
        <v>1.1978777326542491</v>
      </c>
      <c r="K238" s="78"/>
      <c r="L238" s="81"/>
      <c r="M238" s="82"/>
      <c r="N238" s="78"/>
      <c r="O238" s="51"/>
    </row>
    <row r="239" spans="1:15" s="75" customFormat="1" x14ac:dyDescent="0.3">
      <c r="A239" s="76" t="s">
        <v>93</v>
      </c>
      <c r="B239" s="77"/>
      <c r="C239" s="78"/>
      <c r="D239" s="78"/>
      <c r="E239" s="79"/>
      <c r="F239" s="80"/>
      <c r="G239" s="78"/>
      <c r="H239" s="80"/>
      <c r="I239" s="79"/>
      <c r="J239" s="81">
        <f ca="1">XIRR(N197:N237,B197:B237)</f>
        <v>0.18277363181114195</v>
      </c>
      <c r="K239" s="78"/>
      <c r="L239" s="81"/>
      <c r="M239" s="82"/>
      <c r="N239" s="78"/>
      <c r="O239" s="51"/>
    </row>
    <row r="240" spans="1:15" s="75" customFormat="1" x14ac:dyDescent="0.3">
      <c r="A240" s="84" t="s">
        <v>94</v>
      </c>
      <c r="B240" s="50">
        <v>45160</v>
      </c>
      <c r="C240" s="47">
        <v>10000</v>
      </c>
      <c r="D240" s="47">
        <f t="shared" ref="D240:D275" si="49">C240/E240</f>
        <v>101.26684827188124</v>
      </c>
      <c r="E240" s="49">
        <f>98.749</f>
        <v>98.748999999999995</v>
      </c>
      <c r="F240" s="37">
        <f>VLOOKUP("INF174K01LT0", [1]NAVAll!B$1:E$501244,4,FALSE)</f>
        <v>170.18299999999999</v>
      </c>
      <c r="G240" s="47">
        <f t="shared" ref="G240:G275" si="50">PRODUCT(E240:F240)</f>
        <v>16805.401066999999</v>
      </c>
      <c r="H240" s="49">
        <f>0</f>
        <v>0</v>
      </c>
      <c r="I240" s="48">
        <f t="shared" ref="I240:I275" si="51">SUM(-C240,G240)+H240</f>
        <v>6805.4010669999989</v>
      </c>
      <c r="J240" s="46">
        <f t="shared" ref="J240:J275" si="52">I240/C240</f>
        <v>0.68054010669999987</v>
      </c>
      <c r="K240" s="47">
        <f t="shared" ref="K240:K275" ca="1" si="53">(DAYS360(B240,NOW(),TRUE))/30</f>
        <v>35.033333333333331</v>
      </c>
      <c r="L240" s="46">
        <f t="shared" ref="L240:L275" ca="1" si="54">J240*12/K240</f>
        <v>0.23310603083920076</v>
      </c>
      <c r="M240" s="57" t="s">
        <v>68</v>
      </c>
      <c r="N240" s="47">
        <f t="shared" ref="N240:N275" si="55">-C240</f>
        <v>-10000</v>
      </c>
      <c r="O240" s="51" t="s">
        <v>64</v>
      </c>
    </row>
    <row r="241" spans="1:15" s="75" customFormat="1" x14ac:dyDescent="0.3">
      <c r="A241" s="84" t="s">
        <v>94</v>
      </c>
      <c r="B241" s="50">
        <v>45191</v>
      </c>
      <c r="C241" s="47">
        <v>10000</v>
      </c>
      <c r="D241" s="47">
        <f t="shared" si="49"/>
        <v>103.31645831180906</v>
      </c>
      <c r="E241" s="48">
        <f>96.79</f>
        <v>96.79</v>
      </c>
      <c r="F241" s="37">
        <f>VLOOKUP("INF174K01LT0", [1]NAVAll!B$1:E$501244,4,FALSE)</f>
        <v>170.18299999999999</v>
      </c>
      <c r="G241" s="47">
        <f t="shared" si="50"/>
        <v>16472.012569999999</v>
      </c>
      <c r="H241" s="49">
        <f>0</f>
        <v>0</v>
      </c>
      <c r="I241" s="48">
        <f t="shared" si="51"/>
        <v>6472.012569999999</v>
      </c>
      <c r="J241" s="46">
        <f t="shared" si="52"/>
        <v>0.64720125699999986</v>
      </c>
      <c r="K241" s="47">
        <f t="shared" ca="1" si="53"/>
        <v>34.033333333333331</v>
      </c>
      <c r="L241" s="46">
        <f t="shared" ca="1" si="54"/>
        <v>0.2282002473261508</v>
      </c>
      <c r="M241" s="57" t="s">
        <v>68</v>
      </c>
      <c r="N241" s="47">
        <f t="shared" si="55"/>
        <v>-10000</v>
      </c>
      <c r="O241" s="51" t="s">
        <v>64</v>
      </c>
    </row>
    <row r="242" spans="1:15" s="75" customFormat="1" x14ac:dyDescent="0.3">
      <c r="A242" s="84" t="s">
        <v>94</v>
      </c>
      <c r="B242" s="50">
        <v>45222</v>
      </c>
      <c r="C242" s="47">
        <v>10000</v>
      </c>
      <c r="D242" s="47">
        <f t="shared" si="49"/>
        <v>102.01583285725944</v>
      </c>
      <c r="E242" s="48">
        <f>98.024</f>
        <v>98.024000000000001</v>
      </c>
      <c r="F242" s="37">
        <f>VLOOKUP("INF174K01LT0", [1]NAVAll!B$1:E$501244,4,FALSE)</f>
        <v>170.18299999999999</v>
      </c>
      <c r="G242" s="47">
        <f t="shared" si="50"/>
        <v>16682.018391999998</v>
      </c>
      <c r="H242" s="49">
        <f>0</f>
        <v>0</v>
      </c>
      <c r="I242" s="48">
        <f t="shared" si="51"/>
        <v>6682.0183919999981</v>
      </c>
      <c r="J242" s="46">
        <f t="shared" si="52"/>
        <v>0.66820183919999976</v>
      </c>
      <c r="K242" s="47">
        <f t="shared" ca="1" si="53"/>
        <v>33</v>
      </c>
      <c r="L242" s="46">
        <f t="shared" ca="1" si="54"/>
        <v>0.24298248698181807</v>
      </c>
      <c r="M242" s="57" t="s">
        <v>68</v>
      </c>
      <c r="N242" s="47">
        <f t="shared" si="55"/>
        <v>-10000</v>
      </c>
      <c r="O242" s="51" t="s">
        <v>64</v>
      </c>
    </row>
    <row r="243" spans="1:15" s="75" customFormat="1" x14ac:dyDescent="0.3">
      <c r="A243" s="84" t="s">
        <v>94</v>
      </c>
      <c r="B243" s="50">
        <v>45252</v>
      </c>
      <c r="C243" s="47">
        <v>10000</v>
      </c>
      <c r="D243" s="47">
        <f t="shared" si="49"/>
        <v>107.38600975064969</v>
      </c>
      <c r="E243" s="48">
        <f>93.122</f>
        <v>93.122</v>
      </c>
      <c r="F243" s="37">
        <f>VLOOKUP("INF174K01LT0", [1]NAVAll!B$1:E$501244,4,FALSE)</f>
        <v>170.18299999999999</v>
      </c>
      <c r="G243" s="47">
        <f t="shared" si="50"/>
        <v>15847.781325999998</v>
      </c>
      <c r="H243" s="49">
        <f>0</f>
        <v>0</v>
      </c>
      <c r="I243" s="48">
        <f t="shared" si="51"/>
        <v>5847.7813259999984</v>
      </c>
      <c r="J243" s="46">
        <f t="shared" si="52"/>
        <v>0.58477813259999989</v>
      </c>
      <c r="K243" s="47">
        <f t="shared" ca="1" si="53"/>
        <v>32.033333333333331</v>
      </c>
      <c r="L243" s="46">
        <f t="shared" ca="1" si="54"/>
        <v>0.21906360846618103</v>
      </c>
      <c r="M243" s="57" t="s">
        <v>68</v>
      </c>
      <c r="N243" s="47">
        <f t="shared" si="55"/>
        <v>-10000</v>
      </c>
      <c r="O243" s="51" t="s">
        <v>64</v>
      </c>
    </row>
    <row r="244" spans="1:15" s="75" customFormat="1" x14ac:dyDescent="0.3">
      <c r="A244" s="84" t="s">
        <v>94</v>
      </c>
      <c r="B244" s="50">
        <v>45282</v>
      </c>
      <c r="C244" s="47">
        <v>10000</v>
      </c>
      <c r="D244" s="47">
        <f t="shared" si="49"/>
        <v>113.28363957677232</v>
      </c>
      <c r="E244" s="48">
        <f>88.274</f>
        <v>88.274000000000001</v>
      </c>
      <c r="F244" s="37">
        <f>VLOOKUP("INF174K01LT0", [1]NAVAll!B$1:E$501244,4,FALSE)</f>
        <v>170.18299999999999</v>
      </c>
      <c r="G244" s="47">
        <f t="shared" si="50"/>
        <v>15022.734141999999</v>
      </c>
      <c r="H244" s="49">
        <f>0</f>
        <v>0</v>
      </c>
      <c r="I244" s="48">
        <f t="shared" si="51"/>
        <v>5022.7341419999993</v>
      </c>
      <c r="J244" s="46">
        <f t="shared" si="52"/>
        <v>0.50227341419999993</v>
      </c>
      <c r="K244" s="47">
        <f t="shared" ca="1" si="53"/>
        <v>31.033333333333335</v>
      </c>
      <c r="L244" s="46">
        <f t="shared" ca="1" si="54"/>
        <v>0.194219580141783</v>
      </c>
      <c r="M244" s="57" t="s">
        <v>68</v>
      </c>
      <c r="N244" s="47">
        <f t="shared" si="55"/>
        <v>-10000</v>
      </c>
      <c r="O244" s="51" t="s">
        <v>64</v>
      </c>
    </row>
    <row r="245" spans="1:15" s="75" customFormat="1" x14ac:dyDescent="0.3">
      <c r="A245" s="84" t="s">
        <v>94</v>
      </c>
      <c r="B245" s="50">
        <v>45314</v>
      </c>
      <c r="C245" s="47">
        <v>10000</v>
      </c>
      <c r="D245" s="47">
        <f t="shared" si="49"/>
        <v>112.64051904751176</v>
      </c>
      <c r="E245" s="48">
        <f>88.778</f>
        <v>88.778000000000006</v>
      </c>
      <c r="F245" s="37">
        <f>VLOOKUP("INF174K01LT0", [1]NAVAll!B$1:E$501244,4,FALSE)</f>
        <v>170.18299999999999</v>
      </c>
      <c r="G245" s="47">
        <f t="shared" si="50"/>
        <v>15108.506374000001</v>
      </c>
      <c r="H245" s="49">
        <f>0</f>
        <v>0</v>
      </c>
      <c r="I245" s="48">
        <f t="shared" si="51"/>
        <v>5108.5063740000005</v>
      </c>
      <c r="J245" s="46">
        <f t="shared" si="52"/>
        <v>0.51085063740000003</v>
      </c>
      <c r="K245" s="47">
        <f t="shared" ca="1" si="53"/>
        <v>30</v>
      </c>
      <c r="L245" s="46">
        <f t="shared" ca="1" si="54"/>
        <v>0.20434025496000002</v>
      </c>
      <c r="M245" s="57" t="s">
        <v>68</v>
      </c>
      <c r="N245" s="47">
        <f t="shared" si="55"/>
        <v>-10000</v>
      </c>
      <c r="O245" s="51" t="s">
        <v>64</v>
      </c>
    </row>
    <row r="246" spans="1:15" s="75" customFormat="1" x14ac:dyDescent="0.3">
      <c r="A246" s="84" t="s">
        <v>94</v>
      </c>
      <c r="B246" s="50">
        <v>45344</v>
      </c>
      <c r="C246" s="47">
        <v>10000</v>
      </c>
      <c r="D246" s="47">
        <f t="shared" si="49"/>
        <v>117.85503830288745</v>
      </c>
      <c r="E246" s="48">
        <f>84.85</f>
        <v>84.85</v>
      </c>
      <c r="F246" s="37">
        <f>VLOOKUP("INF174K01LT0", [1]NAVAll!B$1:E$501244,4,FALSE)</f>
        <v>170.18299999999999</v>
      </c>
      <c r="G246" s="47">
        <f t="shared" si="50"/>
        <v>14440.027549999999</v>
      </c>
      <c r="H246" s="49">
        <f>0</f>
        <v>0</v>
      </c>
      <c r="I246" s="48">
        <f t="shared" si="51"/>
        <v>4440.0275499999989</v>
      </c>
      <c r="J246" s="46">
        <f t="shared" si="52"/>
        <v>0.44400275499999992</v>
      </c>
      <c r="K246" s="47">
        <f t="shared" ca="1" si="53"/>
        <v>29.033333333333335</v>
      </c>
      <c r="L246" s="46">
        <f t="shared" ca="1" si="54"/>
        <v>0.1835143419058553</v>
      </c>
      <c r="M246" s="57" t="s">
        <v>68</v>
      </c>
      <c r="N246" s="47">
        <f t="shared" si="55"/>
        <v>-10000</v>
      </c>
      <c r="O246" s="51" t="s">
        <v>64</v>
      </c>
    </row>
    <row r="247" spans="1:15" s="75" customFormat="1" x14ac:dyDescent="0.3">
      <c r="A247" s="84" t="s">
        <v>94</v>
      </c>
      <c r="B247" s="50">
        <v>45373</v>
      </c>
      <c r="C247" s="47">
        <v>10000</v>
      </c>
      <c r="D247" s="47">
        <f t="shared" si="49"/>
        <v>116.0685268582571</v>
      </c>
      <c r="E247" s="48">
        <f>86.156</f>
        <v>86.156000000000006</v>
      </c>
      <c r="F247" s="37">
        <f>VLOOKUP("INF174K01LT0", [1]NAVAll!B$1:E$501244,4,FALSE)</f>
        <v>170.18299999999999</v>
      </c>
      <c r="G247" s="47">
        <f t="shared" si="50"/>
        <v>14662.286548</v>
      </c>
      <c r="H247" s="49">
        <f>0</f>
        <v>0</v>
      </c>
      <c r="I247" s="48">
        <f t="shared" si="51"/>
        <v>4662.286548</v>
      </c>
      <c r="J247" s="46">
        <f t="shared" si="52"/>
        <v>0.46622865480000003</v>
      </c>
      <c r="K247" s="47">
        <f t="shared" ca="1" si="53"/>
        <v>28.033333333333335</v>
      </c>
      <c r="L247" s="46">
        <f t="shared" ca="1" si="54"/>
        <v>0.19957469170986919</v>
      </c>
      <c r="M247" s="57" t="s">
        <v>68</v>
      </c>
      <c r="N247" s="47">
        <f t="shared" si="55"/>
        <v>-10000</v>
      </c>
      <c r="O247" s="51" t="s">
        <v>64</v>
      </c>
    </row>
    <row r="248" spans="1:15" s="75" customFormat="1" x14ac:dyDescent="0.3">
      <c r="A248" s="84" t="s">
        <v>94</v>
      </c>
      <c r="B248" s="50">
        <v>45404</v>
      </c>
      <c r="C248" s="47">
        <v>10000</v>
      </c>
      <c r="D248" s="47">
        <f t="shared" si="49"/>
        <v>121.558378411232</v>
      </c>
      <c r="E248" s="48">
        <f>82.265</f>
        <v>82.265000000000001</v>
      </c>
      <c r="F248" s="37">
        <f>VLOOKUP("INF174K01LT0", [1]NAVAll!B$1:E$501244,4,FALSE)</f>
        <v>170.18299999999999</v>
      </c>
      <c r="G248" s="47">
        <f t="shared" si="50"/>
        <v>14000.104495</v>
      </c>
      <c r="H248" s="49">
        <f>0</f>
        <v>0</v>
      </c>
      <c r="I248" s="48">
        <f t="shared" si="51"/>
        <v>4000.1044949999996</v>
      </c>
      <c r="J248" s="46">
        <f t="shared" si="52"/>
        <v>0.40001044949999998</v>
      </c>
      <c r="K248" s="47">
        <f t="shared" ca="1" si="53"/>
        <v>27.033333333333335</v>
      </c>
      <c r="L248" s="46">
        <f t="shared" ca="1" si="54"/>
        <v>0.17756320816276203</v>
      </c>
      <c r="M248" s="57" t="s">
        <v>68</v>
      </c>
      <c r="N248" s="47">
        <f t="shared" si="55"/>
        <v>-10000</v>
      </c>
      <c r="O248" s="51" t="s">
        <v>64</v>
      </c>
    </row>
    <row r="249" spans="1:15" s="75" customFormat="1" x14ac:dyDescent="0.3">
      <c r="A249" s="84" t="s">
        <v>94</v>
      </c>
      <c r="B249" s="50">
        <v>45434</v>
      </c>
      <c r="C249" s="47">
        <v>10000</v>
      </c>
      <c r="D249" s="47">
        <f t="shared" si="49"/>
        <v>132.85329011172962</v>
      </c>
      <c r="E249" s="48">
        <f>75.271</f>
        <v>75.271000000000001</v>
      </c>
      <c r="F249" s="37">
        <f>VLOOKUP("INF174K01LT0", [1]NAVAll!B$1:E$501244,4,FALSE)</f>
        <v>170.18299999999999</v>
      </c>
      <c r="G249" s="47">
        <f t="shared" si="50"/>
        <v>12809.844593</v>
      </c>
      <c r="H249" s="49">
        <f>0</f>
        <v>0</v>
      </c>
      <c r="I249" s="48">
        <f t="shared" si="51"/>
        <v>2809.8445929999998</v>
      </c>
      <c r="J249" s="46">
        <f t="shared" si="52"/>
        <v>0.28098445929999999</v>
      </c>
      <c r="K249" s="47">
        <f t="shared" ca="1" si="53"/>
        <v>26.033333333333335</v>
      </c>
      <c r="L249" s="46">
        <f t="shared" ca="1" si="54"/>
        <v>0.12951908495262485</v>
      </c>
      <c r="M249" s="57" t="s">
        <v>68</v>
      </c>
      <c r="N249" s="47">
        <f t="shared" si="55"/>
        <v>-10000</v>
      </c>
      <c r="O249" s="51" t="s">
        <v>64</v>
      </c>
    </row>
    <row r="250" spans="1:15" s="75" customFormat="1" x14ac:dyDescent="0.3">
      <c r="A250" s="84" t="s">
        <v>94</v>
      </c>
      <c r="B250" s="50">
        <v>45467</v>
      </c>
      <c r="C250" s="47">
        <v>10000</v>
      </c>
      <c r="D250" s="47">
        <f t="shared" si="49"/>
        <v>144.80833169217226</v>
      </c>
      <c r="E250" s="48">
        <f>69.0568</f>
        <v>69.056799999999996</v>
      </c>
      <c r="F250" s="37">
        <f>VLOOKUP("INF174K01LT0", [1]NAVAll!B$1:E$501244,4,FALSE)</f>
        <v>170.18299999999999</v>
      </c>
      <c r="G250" s="47">
        <f t="shared" si="50"/>
        <v>11752.293394399998</v>
      </c>
      <c r="H250" s="49">
        <f>0</f>
        <v>0</v>
      </c>
      <c r="I250" s="48">
        <f t="shared" si="51"/>
        <v>1752.2933943999979</v>
      </c>
      <c r="J250" s="46">
        <f t="shared" si="52"/>
        <v>0.1752293394399998</v>
      </c>
      <c r="K250" s="47">
        <f t="shared" ca="1" si="53"/>
        <v>24.966666666666665</v>
      </c>
      <c r="L250" s="46">
        <f t="shared" ca="1" si="54"/>
        <v>8.4222379437116066E-2</v>
      </c>
      <c r="M250" s="57" t="s">
        <v>68</v>
      </c>
      <c r="N250" s="47">
        <f t="shared" si="55"/>
        <v>-10000</v>
      </c>
      <c r="O250" s="51" t="s">
        <v>64</v>
      </c>
    </row>
    <row r="251" spans="1:15" s="75" customFormat="1" x14ac:dyDescent="0.3">
      <c r="A251" s="84" t="s">
        <v>94</v>
      </c>
      <c r="B251" s="50">
        <v>45495</v>
      </c>
      <c r="C251" s="47">
        <v>10000</v>
      </c>
      <c r="D251" s="47">
        <f t="shared" si="49"/>
        <v>147.43173910479447</v>
      </c>
      <c r="E251" s="48">
        <f>67.828</f>
        <v>67.828000000000003</v>
      </c>
      <c r="F251" s="37">
        <f>VLOOKUP("INF174K01LT0", [1]NAVAll!B$1:E$501244,4,FALSE)</f>
        <v>170.18299999999999</v>
      </c>
      <c r="G251" s="47">
        <f t="shared" si="50"/>
        <v>11543.172524</v>
      </c>
      <c r="H251" s="49">
        <f>0</f>
        <v>0</v>
      </c>
      <c r="I251" s="48">
        <f t="shared" si="51"/>
        <v>1543.1725239999996</v>
      </c>
      <c r="J251" s="46">
        <f t="shared" si="52"/>
        <v>0.15431725239999997</v>
      </c>
      <c r="K251" s="47">
        <f t="shared" ca="1" si="53"/>
        <v>24.033333333333335</v>
      </c>
      <c r="L251" s="46">
        <f t="shared" ca="1" si="54"/>
        <v>7.7051610074895957E-2</v>
      </c>
      <c r="M251" s="57" t="s">
        <v>68</v>
      </c>
      <c r="N251" s="47">
        <f t="shared" si="55"/>
        <v>-10000</v>
      </c>
      <c r="O251" s="51" t="s">
        <v>64</v>
      </c>
    </row>
    <row r="252" spans="1:15" s="75" customFormat="1" x14ac:dyDescent="0.3">
      <c r="A252" s="84" t="s">
        <v>94</v>
      </c>
      <c r="B252" s="50">
        <v>45526</v>
      </c>
      <c r="C252" s="47">
        <v>10000</v>
      </c>
      <c r="D252" s="47">
        <f t="shared" si="49"/>
        <v>151.88566047479458</v>
      </c>
      <c r="E252" s="48">
        <f>65.839</f>
        <v>65.838999999999999</v>
      </c>
      <c r="F252" s="37">
        <f>VLOOKUP("INF174K01LT0", [1]NAVAll!B$1:E$501244,4,FALSE)</f>
        <v>170.18299999999999</v>
      </c>
      <c r="G252" s="47">
        <f t="shared" si="50"/>
        <v>11204.678537</v>
      </c>
      <c r="H252" s="49">
        <f>0</f>
        <v>0</v>
      </c>
      <c r="I252" s="48">
        <f t="shared" si="51"/>
        <v>1204.6785369999998</v>
      </c>
      <c r="J252" s="46">
        <f t="shared" si="52"/>
        <v>0.12046785369999997</v>
      </c>
      <c r="K252" s="47">
        <f t="shared" ca="1" si="53"/>
        <v>23.033333333333335</v>
      </c>
      <c r="L252" s="46">
        <f t="shared" ca="1" si="54"/>
        <v>6.2761834054992749E-2</v>
      </c>
      <c r="M252" s="57" t="s">
        <v>68</v>
      </c>
      <c r="N252" s="47">
        <f t="shared" si="55"/>
        <v>-10000</v>
      </c>
      <c r="O252" s="51" t="s">
        <v>64</v>
      </c>
    </row>
    <row r="253" spans="1:15" s="75" customFormat="1" x14ac:dyDescent="0.3">
      <c r="A253" s="84" t="s">
        <v>94</v>
      </c>
      <c r="B253" s="50">
        <v>45558</v>
      </c>
      <c r="C253" s="47">
        <v>10000</v>
      </c>
      <c r="D253" s="47">
        <f t="shared" si="49"/>
        <v>156.55087120559824</v>
      </c>
      <c r="E253" s="48">
        <f>63.877</f>
        <v>63.877000000000002</v>
      </c>
      <c r="F253" s="37">
        <f>VLOOKUP("INF174K01LT0", [1]NAVAll!B$1:E$501244,4,FALSE)</f>
        <v>170.18299999999999</v>
      </c>
      <c r="G253" s="47">
        <f t="shared" si="50"/>
        <v>10870.779490999999</v>
      </c>
      <c r="H253" s="49">
        <f>0</f>
        <v>0</v>
      </c>
      <c r="I253" s="48">
        <f t="shared" si="51"/>
        <v>870.77949099999933</v>
      </c>
      <c r="J253" s="46">
        <f t="shared" si="52"/>
        <v>8.7077949099999927E-2</v>
      </c>
      <c r="K253" s="47">
        <f t="shared" ca="1" si="53"/>
        <v>22</v>
      </c>
      <c r="L253" s="46">
        <f t="shared" ca="1" si="54"/>
        <v>4.7497063145454502E-2</v>
      </c>
      <c r="M253" s="57" t="s">
        <v>68</v>
      </c>
      <c r="N253" s="47">
        <f t="shared" si="55"/>
        <v>-10000</v>
      </c>
      <c r="O253" s="51" t="s">
        <v>64</v>
      </c>
    </row>
    <row r="254" spans="1:15" s="75" customFormat="1" x14ac:dyDescent="0.3">
      <c r="A254" s="84" t="s">
        <v>94</v>
      </c>
      <c r="B254" s="50">
        <v>45587</v>
      </c>
      <c r="C254" s="47">
        <v>10000</v>
      </c>
      <c r="D254" s="47">
        <f t="shared" si="49"/>
        <v>149.53494631695429</v>
      </c>
      <c r="E254" s="48">
        <f>66.874</f>
        <v>66.873999999999995</v>
      </c>
      <c r="F254" s="37">
        <f>VLOOKUP("INF174K01LT0", [1]NAVAll!B$1:E$501244,4,FALSE)</f>
        <v>170.18299999999999</v>
      </c>
      <c r="G254" s="47">
        <f t="shared" si="50"/>
        <v>11380.817941999998</v>
      </c>
      <c r="H254" s="49">
        <f>0</f>
        <v>0</v>
      </c>
      <c r="I254" s="48">
        <f t="shared" si="51"/>
        <v>1380.8179419999979</v>
      </c>
      <c r="J254" s="46">
        <f t="shared" si="52"/>
        <v>0.13808179419999977</v>
      </c>
      <c r="K254" s="47">
        <f t="shared" ca="1" si="53"/>
        <v>21.033333333333335</v>
      </c>
      <c r="L254" s="46">
        <f t="shared" ca="1" si="54"/>
        <v>7.8778836627575136E-2</v>
      </c>
      <c r="M254" s="57" t="s">
        <v>68</v>
      </c>
      <c r="N254" s="47">
        <f t="shared" si="55"/>
        <v>-10000</v>
      </c>
      <c r="O254" s="51" t="s">
        <v>64</v>
      </c>
    </row>
    <row r="255" spans="1:15" s="75" customFormat="1" x14ac:dyDescent="0.3">
      <c r="A255" s="84" t="s">
        <v>94</v>
      </c>
      <c r="B255" s="50">
        <v>45618</v>
      </c>
      <c r="C255" s="47">
        <v>10000</v>
      </c>
      <c r="D255" s="47">
        <f t="shared" si="49"/>
        <v>149.50588305649828</v>
      </c>
      <c r="E255" s="48">
        <f>66.887</f>
        <v>66.887</v>
      </c>
      <c r="F255" s="37">
        <f>VLOOKUP("INF174K01LT0", [1]NAVAll!B$1:E$501244,4,FALSE)</f>
        <v>170.18299999999999</v>
      </c>
      <c r="G255" s="47">
        <f t="shared" si="50"/>
        <v>11383.030321</v>
      </c>
      <c r="H255" s="49">
        <f>0</f>
        <v>0</v>
      </c>
      <c r="I255" s="48">
        <f t="shared" si="51"/>
        <v>1383.0303210000002</v>
      </c>
      <c r="J255" s="46">
        <f t="shared" si="52"/>
        <v>0.13830303210000003</v>
      </c>
      <c r="K255" s="47">
        <f t="shared" ca="1" si="53"/>
        <v>20.033333333333335</v>
      </c>
      <c r="L255" s="46">
        <f t="shared" ca="1" si="54"/>
        <v>8.2843746349417643E-2</v>
      </c>
      <c r="M255" s="57" t="s">
        <v>68</v>
      </c>
      <c r="N255" s="47">
        <f t="shared" si="55"/>
        <v>-10000</v>
      </c>
      <c r="O255" s="51" t="s">
        <v>64</v>
      </c>
    </row>
    <row r="256" spans="1:15" s="75" customFormat="1" x14ac:dyDescent="0.3">
      <c r="A256" s="84" t="s">
        <v>94</v>
      </c>
      <c r="B256" s="50">
        <v>45649</v>
      </c>
      <c r="C256" s="47">
        <v>10000</v>
      </c>
      <c r="D256" s="47">
        <f t="shared" si="49"/>
        <v>153.69246138476908</v>
      </c>
      <c r="E256" s="48">
        <f>65.065</f>
        <v>65.064999999999998</v>
      </c>
      <c r="F256" s="37">
        <f>VLOOKUP("INF174K01LT0", [1]NAVAll!B$1:E$501244,4,FALSE)</f>
        <v>170.18299999999999</v>
      </c>
      <c r="G256" s="47">
        <f t="shared" si="50"/>
        <v>11072.956894999999</v>
      </c>
      <c r="H256" s="49">
        <f>0</f>
        <v>0</v>
      </c>
      <c r="I256" s="48">
        <f t="shared" si="51"/>
        <v>1072.9568949999993</v>
      </c>
      <c r="J256" s="46">
        <f t="shared" si="52"/>
        <v>0.10729568949999993</v>
      </c>
      <c r="K256" s="47">
        <f t="shared" ca="1" si="53"/>
        <v>19</v>
      </c>
      <c r="L256" s="46">
        <f t="shared" ca="1" si="54"/>
        <v>6.7765698631578913E-2</v>
      </c>
      <c r="M256" s="57" t="s">
        <v>68</v>
      </c>
      <c r="N256" s="47">
        <f t="shared" si="55"/>
        <v>-10000</v>
      </c>
      <c r="O256" s="51" t="s">
        <v>64</v>
      </c>
    </row>
    <row r="257" spans="1:15" s="75" customFormat="1" x14ac:dyDescent="0.3">
      <c r="A257" s="84" t="s">
        <v>94</v>
      </c>
      <c r="B257" s="50">
        <v>45679</v>
      </c>
      <c r="C257" s="47">
        <v>10000</v>
      </c>
      <c r="D257" s="47">
        <f t="shared" si="49"/>
        <v>141.0675995937253</v>
      </c>
      <c r="E257" s="48">
        <f>70.888</f>
        <v>70.888000000000005</v>
      </c>
      <c r="F257" s="37">
        <f>VLOOKUP("INF174K01LT0", [1]NAVAll!B$1:E$501244,4,FALSE)</f>
        <v>170.18299999999999</v>
      </c>
      <c r="G257" s="47">
        <f t="shared" si="50"/>
        <v>12063.932504</v>
      </c>
      <c r="H257" s="49">
        <f>0</f>
        <v>0</v>
      </c>
      <c r="I257" s="48">
        <f t="shared" si="51"/>
        <v>2063.9325040000003</v>
      </c>
      <c r="J257" s="46">
        <f t="shared" si="52"/>
        <v>0.20639325040000003</v>
      </c>
      <c r="K257" s="47">
        <f t="shared" ca="1" si="53"/>
        <v>18.033333333333335</v>
      </c>
      <c r="L257" s="46">
        <f t="shared" ca="1" si="54"/>
        <v>0.13734116477634012</v>
      </c>
      <c r="M257" s="57" t="s">
        <v>68</v>
      </c>
      <c r="N257" s="47">
        <f t="shared" si="55"/>
        <v>-10000</v>
      </c>
      <c r="O257" s="51" t="s">
        <v>64</v>
      </c>
    </row>
    <row r="258" spans="1:15" s="75" customFormat="1" x14ac:dyDescent="0.3">
      <c r="A258" s="84" t="s">
        <v>94</v>
      </c>
      <c r="B258" s="50">
        <v>45712</v>
      </c>
      <c r="C258" s="47">
        <v>10000</v>
      </c>
      <c r="D258" s="47">
        <f t="shared" si="49"/>
        <v>130.77194680197206</v>
      </c>
      <c r="E258" s="48">
        <f>76.469</f>
        <v>76.468999999999994</v>
      </c>
      <c r="F258" s="37">
        <f>VLOOKUP("INF174K01LT0", [1]NAVAll!B$1:E$501244,4,FALSE)</f>
        <v>170.18299999999999</v>
      </c>
      <c r="G258" s="47">
        <f t="shared" si="50"/>
        <v>13013.723826999998</v>
      </c>
      <c r="H258" s="49">
        <f>0</f>
        <v>0</v>
      </c>
      <c r="I258" s="48">
        <f t="shared" si="51"/>
        <v>3013.723826999998</v>
      </c>
      <c r="J258" s="46">
        <f t="shared" si="52"/>
        <v>0.30137238269999977</v>
      </c>
      <c r="K258" s="47">
        <f t="shared" ca="1" si="53"/>
        <v>16.966666666666665</v>
      </c>
      <c r="L258" s="46">
        <f t="shared" ca="1" si="54"/>
        <v>0.21315139051473464</v>
      </c>
      <c r="M258" s="57" t="s">
        <v>68</v>
      </c>
      <c r="N258" s="47">
        <f t="shared" si="55"/>
        <v>-10000</v>
      </c>
      <c r="O258" s="51" t="s">
        <v>64</v>
      </c>
    </row>
    <row r="259" spans="1:15" s="75" customFormat="1" x14ac:dyDescent="0.3">
      <c r="A259" s="84" t="s">
        <v>94</v>
      </c>
      <c r="B259" s="50">
        <v>45740</v>
      </c>
      <c r="C259" s="47">
        <v>10000</v>
      </c>
      <c r="D259" s="47">
        <f t="shared" si="49"/>
        <v>137.68794404361955</v>
      </c>
      <c r="E259" s="48">
        <f>72.628</f>
        <v>72.628</v>
      </c>
      <c r="F259" s="37">
        <f>VLOOKUP("INF174K01LT0", [1]NAVAll!B$1:E$501244,4,FALSE)</f>
        <v>170.18299999999999</v>
      </c>
      <c r="G259" s="47">
        <f t="shared" si="50"/>
        <v>12360.050923999999</v>
      </c>
      <c r="H259" s="49">
        <f>0</f>
        <v>0</v>
      </c>
      <c r="I259" s="48">
        <f t="shared" si="51"/>
        <v>2360.0509239999992</v>
      </c>
      <c r="J259" s="46">
        <f t="shared" si="52"/>
        <v>0.23600509239999992</v>
      </c>
      <c r="K259" s="47">
        <f t="shared" ca="1" si="53"/>
        <v>15.966666666666667</v>
      </c>
      <c r="L259" s="46">
        <f t="shared" ca="1" si="54"/>
        <v>0.17737334710647176</v>
      </c>
      <c r="M259" s="57" t="s">
        <v>68</v>
      </c>
      <c r="N259" s="47">
        <f t="shared" si="55"/>
        <v>-10000</v>
      </c>
      <c r="O259" s="51" t="s">
        <v>64</v>
      </c>
    </row>
    <row r="260" spans="1:15" s="75" customFormat="1" x14ac:dyDescent="0.3">
      <c r="A260" s="84" t="s">
        <v>94</v>
      </c>
      <c r="B260" s="50">
        <v>45769</v>
      </c>
      <c r="C260" s="47">
        <v>10000</v>
      </c>
      <c r="D260" s="47">
        <f t="shared" si="49"/>
        <v>140.1188207600045</v>
      </c>
      <c r="E260" s="48">
        <f>71.368</f>
        <v>71.367999999999995</v>
      </c>
      <c r="F260" s="37">
        <f>VLOOKUP("INF174K01LT0", [1]NAVAll!B$1:E$501244,4,FALSE)</f>
        <v>170.18299999999999</v>
      </c>
      <c r="G260" s="47">
        <f t="shared" si="50"/>
        <v>12145.620343999999</v>
      </c>
      <c r="H260" s="49">
        <f>0</f>
        <v>0</v>
      </c>
      <c r="I260" s="48">
        <f t="shared" si="51"/>
        <v>2145.620343999999</v>
      </c>
      <c r="J260" s="46">
        <f t="shared" si="52"/>
        <v>0.21456203439999991</v>
      </c>
      <c r="K260" s="47">
        <f t="shared" ca="1" si="53"/>
        <v>15.033333333333333</v>
      </c>
      <c r="L260" s="46">
        <f t="shared" ca="1" si="54"/>
        <v>0.17126902967627489</v>
      </c>
      <c r="M260" s="57" t="s">
        <v>68</v>
      </c>
      <c r="N260" s="47">
        <f t="shared" si="55"/>
        <v>-10000</v>
      </c>
      <c r="O260" s="51" t="s">
        <v>64</v>
      </c>
    </row>
    <row r="261" spans="1:15" s="75" customFormat="1" x14ac:dyDescent="0.3">
      <c r="A261" s="84" t="s">
        <v>94</v>
      </c>
      <c r="B261" s="50">
        <v>45799</v>
      </c>
      <c r="C261" s="47">
        <v>10000</v>
      </c>
      <c r="D261" s="47">
        <f t="shared" si="49"/>
        <v>147.03071471630423</v>
      </c>
      <c r="E261" s="48">
        <f>68.013</f>
        <v>68.013000000000005</v>
      </c>
      <c r="F261" s="37">
        <f>VLOOKUP("INF174K01LT0", [1]NAVAll!B$1:E$501244,4,FALSE)</f>
        <v>170.18299999999999</v>
      </c>
      <c r="G261" s="47">
        <f t="shared" si="50"/>
        <v>11574.656379</v>
      </c>
      <c r="H261" s="49">
        <f>0</f>
        <v>0</v>
      </c>
      <c r="I261" s="48">
        <f t="shared" si="51"/>
        <v>1574.656379</v>
      </c>
      <c r="J261" s="46">
        <f t="shared" si="52"/>
        <v>0.15746563790000001</v>
      </c>
      <c r="K261" s="47">
        <f t="shared" ca="1" si="53"/>
        <v>14.033333333333333</v>
      </c>
      <c r="L261" s="46">
        <f t="shared" ca="1" si="54"/>
        <v>0.13464995164845606</v>
      </c>
      <c r="M261" s="57" t="s">
        <v>68</v>
      </c>
      <c r="N261" s="47">
        <f t="shared" si="55"/>
        <v>-10000</v>
      </c>
      <c r="O261" s="51" t="s">
        <v>64</v>
      </c>
    </row>
    <row r="262" spans="1:15" s="75" customFormat="1" x14ac:dyDescent="0.3">
      <c r="A262" s="84" t="s">
        <v>94</v>
      </c>
      <c r="B262" s="50">
        <v>45831</v>
      </c>
      <c r="C262" s="47">
        <v>10000</v>
      </c>
      <c r="D262" s="47">
        <f t="shared" si="49"/>
        <v>153.69009928380413</v>
      </c>
      <c r="E262" s="48">
        <f>65.066</f>
        <v>65.066000000000003</v>
      </c>
      <c r="F262" s="37">
        <f>VLOOKUP("INF174K01LT0", [1]NAVAll!B$1:E$501244,4,FALSE)</f>
        <v>170.18299999999999</v>
      </c>
      <c r="G262" s="47">
        <f t="shared" si="50"/>
        <v>11073.127078</v>
      </c>
      <c r="H262" s="49">
        <f>0</f>
        <v>0</v>
      </c>
      <c r="I262" s="48">
        <f t="shared" si="51"/>
        <v>1073.1270779999995</v>
      </c>
      <c r="J262" s="46">
        <f t="shared" si="52"/>
        <v>0.10731270779999995</v>
      </c>
      <c r="K262" s="47">
        <f t="shared" ca="1" si="53"/>
        <v>13</v>
      </c>
      <c r="L262" s="46">
        <f t="shared" ca="1" si="54"/>
        <v>9.9057884123076867E-2</v>
      </c>
      <c r="M262" s="57" t="s">
        <v>68</v>
      </c>
      <c r="N262" s="47">
        <f t="shared" si="55"/>
        <v>-10000</v>
      </c>
      <c r="O262" s="51" t="s">
        <v>64</v>
      </c>
    </row>
    <row r="263" spans="1:15" s="75" customFormat="1" x14ac:dyDescent="0.3">
      <c r="A263" s="84" t="s">
        <v>94</v>
      </c>
      <c r="B263" s="50">
        <v>45860</v>
      </c>
      <c r="C263" s="47">
        <v>10000</v>
      </c>
      <c r="D263" s="47">
        <f t="shared" si="49"/>
        <v>159.07102521275749</v>
      </c>
      <c r="E263" s="48">
        <f>62.865</f>
        <v>62.865000000000002</v>
      </c>
      <c r="F263" s="37">
        <f>VLOOKUP("INF174K01LT0", [1]NAVAll!B$1:E$501244,4,FALSE)</f>
        <v>170.18299999999999</v>
      </c>
      <c r="G263" s="47">
        <f t="shared" si="50"/>
        <v>10698.554295</v>
      </c>
      <c r="H263" s="49">
        <f>0</f>
        <v>0</v>
      </c>
      <c r="I263" s="48">
        <f t="shared" si="51"/>
        <v>698.55429499999991</v>
      </c>
      <c r="J263" s="46">
        <f t="shared" si="52"/>
        <v>6.9855429499999996E-2</v>
      </c>
      <c r="K263" s="47">
        <f t="shared" ca="1" si="53"/>
        <v>12.033333333333333</v>
      </c>
      <c r="L263" s="46">
        <f t="shared" ca="1" si="54"/>
        <v>6.9661924155124649E-2</v>
      </c>
      <c r="M263" s="57" t="s">
        <v>68</v>
      </c>
      <c r="N263" s="47">
        <f t="shared" si="55"/>
        <v>-10000</v>
      </c>
      <c r="O263" s="51" t="s">
        <v>64</v>
      </c>
    </row>
    <row r="264" spans="1:15" s="75" customFormat="1" x14ac:dyDescent="0.3">
      <c r="A264" s="84" t="s">
        <v>94</v>
      </c>
      <c r="B264" s="50">
        <v>45891</v>
      </c>
      <c r="C264" s="47">
        <v>10000</v>
      </c>
      <c r="D264" s="47">
        <f t="shared" si="49"/>
        <v>159.24327595267292</v>
      </c>
      <c r="E264" s="48">
        <f>62.797</f>
        <v>62.796999999999997</v>
      </c>
      <c r="F264" s="37">
        <f>VLOOKUP("INF174K01LT0", [1]NAVAll!B$1:E$501244,4,FALSE)</f>
        <v>170.18299999999999</v>
      </c>
      <c r="G264" s="47">
        <f t="shared" si="50"/>
        <v>10686.981850999999</v>
      </c>
      <c r="H264" s="49">
        <f>0</f>
        <v>0</v>
      </c>
      <c r="I264" s="48">
        <f t="shared" si="51"/>
        <v>686.98185099999864</v>
      </c>
      <c r="J264" s="46">
        <f t="shared" si="52"/>
        <v>6.8698185099999864E-2</v>
      </c>
      <c r="K264" s="47">
        <f t="shared" ca="1" si="53"/>
        <v>11.033333333333333</v>
      </c>
      <c r="L264" s="46">
        <f t="shared" ca="1" si="54"/>
        <v>7.4717059323262697E-2</v>
      </c>
      <c r="M264" s="57" t="s">
        <v>68</v>
      </c>
      <c r="N264" s="47">
        <f t="shared" si="55"/>
        <v>-10000</v>
      </c>
      <c r="O264" s="51" t="s">
        <v>64</v>
      </c>
    </row>
    <row r="265" spans="1:15" s="75" customFormat="1" x14ac:dyDescent="0.3">
      <c r="A265" s="84" t="s">
        <v>94</v>
      </c>
      <c r="B265" s="50">
        <v>45922</v>
      </c>
      <c r="C265" s="47">
        <v>10000</v>
      </c>
      <c r="D265" s="47">
        <f t="shared" si="49"/>
        <v>161.09025887204601</v>
      </c>
      <c r="E265" s="48">
        <f>62.077</f>
        <v>62.076999999999998</v>
      </c>
      <c r="F265" s="37">
        <f>VLOOKUP("INF174K01LT0", [1]NAVAll!B$1:E$501244,4,FALSE)</f>
        <v>170.18299999999999</v>
      </c>
      <c r="G265" s="47">
        <f t="shared" si="50"/>
        <v>10564.450090999999</v>
      </c>
      <c r="H265" s="49">
        <f>0</f>
        <v>0</v>
      </c>
      <c r="I265" s="48">
        <f t="shared" si="51"/>
        <v>564.45009099999879</v>
      </c>
      <c r="J265" s="46">
        <f t="shared" si="52"/>
        <v>5.6445009099999881E-2</v>
      </c>
      <c r="K265" s="47">
        <f t="shared" ca="1" si="53"/>
        <v>10.033333333333333</v>
      </c>
      <c r="L265" s="46">
        <f t="shared" ca="1" si="54"/>
        <v>6.7508980983388561E-2</v>
      </c>
      <c r="M265" s="57" t="s">
        <v>68</v>
      </c>
      <c r="N265" s="47">
        <f t="shared" si="55"/>
        <v>-10000</v>
      </c>
      <c r="O265" s="51" t="s">
        <v>64</v>
      </c>
    </row>
    <row r="266" spans="1:15" s="75" customFormat="1" x14ac:dyDescent="0.3">
      <c r="A266" s="84" t="s">
        <v>94</v>
      </c>
      <c r="B266" s="50">
        <v>45953</v>
      </c>
      <c r="C266" s="47">
        <v>10000</v>
      </c>
      <c r="D266" s="47">
        <f t="shared" si="49"/>
        <v>160.76395029178656</v>
      </c>
      <c r="E266" s="48">
        <f>62.203</f>
        <v>62.203000000000003</v>
      </c>
      <c r="F266" s="37">
        <f>VLOOKUP("INF174K01LT0", [1]NAVAll!B$1:E$501244,4,FALSE)</f>
        <v>170.18299999999999</v>
      </c>
      <c r="G266" s="47">
        <f t="shared" si="50"/>
        <v>10585.893149</v>
      </c>
      <c r="H266" s="49">
        <f>0</f>
        <v>0</v>
      </c>
      <c r="I266" s="48">
        <f t="shared" si="51"/>
        <v>585.89314899999954</v>
      </c>
      <c r="J266" s="46">
        <f t="shared" si="52"/>
        <v>5.8589314899999953E-2</v>
      </c>
      <c r="K266" s="47">
        <f t="shared" ca="1" si="53"/>
        <v>9</v>
      </c>
      <c r="L266" s="46">
        <f t="shared" ca="1" si="54"/>
        <v>7.8119086533333271E-2</v>
      </c>
      <c r="M266" s="57" t="s">
        <v>68</v>
      </c>
      <c r="N266" s="47">
        <f t="shared" si="55"/>
        <v>-10000</v>
      </c>
      <c r="O266" s="51" t="s">
        <v>64</v>
      </c>
    </row>
    <row r="267" spans="1:15" s="75" customFormat="1" x14ac:dyDescent="0.3">
      <c r="A267" s="84" t="s">
        <v>94</v>
      </c>
      <c r="B267" s="50">
        <v>45985</v>
      </c>
      <c r="C267" s="47">
        <v>10000</v>
      </c>
      <c r="D267" s="47">
        <f t="shared" si="49"/>
        <v>158.13026771454324</v>
      </c>
      <c r="E267" s="48">
        <f>63.239</f>
        <v>63.238999999999997</v>
      </c>
      <c r="F267" s="37">
        <f>VLOOKUP("INF174K01LT0", [1]NAVAll!B$1:E$501244,4,FALSE)</f>
        <v>170.18299999999999</v>
      </c>
      <c r="G267" s="47">
        <f t="shared" si="50"/>
        <v>10762.202737</v>
      </c>
      <c r="H267" s="49">
        <f>0</f>
        <v>0</v>
      </c>
      <c r="I267" s="48">
        <f t="shared" si="51"/>
        <v>762.20273699999962</v>
      </c>
      <c r="J267" s="46">
        <f t="shared" si="52"/>
        <v>7.6220273699999966E-2</v>
      </c>
      <c r="K267" s="47">
        <f t="shared" ca="1" si="53"/>
        <v>7.9666666666666668</v>
      </c>
      <c r="L267" s="46">
        <f t="shared" ca="1" si="54"/>
        <v>0.1148087804686192</v>
      </c>
      <c r="M267" s="57" t="s">
        <v>68</v>
      </c>
      <c r="N267" s="47">
        <f t="shared" si="55"/>
        <v>-10000</v>
      </c>
      <c r="O267" s="51" t="s">
        <v>64</v>
      </c>
    </row>
    <row r="268" spans="1:15" s="75" customFormat="1" x14ac:dyDescent="0.3">
      <c r="A268" s="84" t="s">
        <v>94</v>
      </c>
      <c r="B268" s="50">
        <v>46013</v>
      </c>
      <c r="C268" s="47">
        <v>10000</v>
      </c>
      <c r="D268" s="47">
        <f t="shared" si="49"/>
        <v>159.32446427148889</v>
      </c>
      <c r="E268" s="48">
        <f>62.765</f>
        <v>62.765000000000001</v>
      </c>
      <c r="F268" s="37">
        <f>VLOOKUP("INF174K01LT0", [1]NAVAll!B$1:E$501244,4,FALSE)</f>
        <v>170.18299999999999</v>
      </c>
      <c r="G268" s="47">
        <f t="shared" si="50"/>
        <v>10681.535995</v>
      </c>
      <c r="H268" s="49">
        <f>0</f>
        <v>0</v>
      </c>
      <c r="I268" s="48">
        <f t="shared" si="51"/>
        <v>681.53599500000018</v>
      </c>
      <c r="J268" s="46">
        <f t="shared" si="52"/>
        <v>6.8153599500000023E-2</v>
      </c>
      <c r="K268" s="47">
        <f t="shared" ca="1" si="53"/>
        <v>7.0333333333333332</v>
      </c>
      <c r="L268" s="46">
        <f t="shared" ca="1" si="54"/>
        <v>0.11628102284360194</v>
      </c>
      <c r="M268" s="57" t="s">
        <v>68</v>
      </c>
      <c r="N268" s="47">
        <f t="shared" si="55"/>
        <v>-10000</v>
      </c>
      <c r="O268" s="51" t="s">
        <v>64</v>
      </c>
    </row>
    <row r="269" spans="1:15" s="75" customFormat="1" x14ac:dyDescent="0.3">
      <c r="A269" s="84" t="s">
        <v>94</v>
      </c>
      <c r="B269" s="50">
        <v>46044</v>
      </c>
      <c r="C269" s="47">
        <v>10000</v>
      </c>
      <c r="D269" s="47">
        <f t="shared" si="49"/>
        <v>151.41191611779846</v>
      </c>
      <c r="E269" s="48">
        <f>66.045</f>
        <v>66.045000000000002</v>
      </c>
      <c r="F269" s="37">
        <f>VLOOKUP("INF174K01LT0", [1]NAVAll!B$1:E$501244,4,FALSE)</f>
        <v>170.18299999999999</v>
      </c>
      <c r="G269" s="47">
        <f t="shared" si="50"/>
        <v>11239.736235</v>
      </c>
      <c r="H269" s="49">
        <f>0</f>
        <v>0</v>
      </c>
      <c r="I269" s="48">
        <f t="shared" si="51"/>
        <v>1239.7362350000003</v>
      </c>
      <c r="J269" s="46">
        <f t="shared" si="52"/>
        <v>0.12397362350000003</v>
      </c>
      <c r="K269" s="47">
        <f t="shared" ca="1" si="53"/>
        <v>6.0333333333333332</v>
      </c>
      <c r="L269" s="46">
        <f t="shared" ca="1" si="54"/>
        <v>0.24657737270718241</v>
      </c>
      <c r="M269" s="57" t="s">
        <v>68</v>
      </c>
      <c r="N269" s="47">
        <f t="shared" si="55"/>
        <v>-10000</v>
      </c>
      <c r="O269" s="51" t="s">
        <v>64</v>
      </c>
    </row>
    <row r="270" spans="1:15" s="75" customFormat="1" x14ac:dyDescent="0.3">
      <c r="A270" s="84" t="s">
        <v>94</v>
      </c>
      <c r="B270" s="50">
        <v>46076</v>
      </c>
      <c r="C270" s="47">
        <v>10000</v>
      </c>
      <c r="D270" s="47">
        <f t="shared" si="49"/>
        <v>159.41590014188014</v>
      </c>
      <c r="E270" s="48">
        <f>62.729</f>
        <v>62.728999999999999</v>
      </c>
      <c r="F270" s="37">
        <f>VLOOKUP("INF174K01LT0", [1]NAVAll!B$1:E$501244,4,FALSE)</f>
        <v>170.18299999999999</v>
      </c>
      <c r="G270" s="47">
        <f t="shared" si="50"/>
        <v>10675.409406999999</v>
      </c>
      <c r="H270" s="49">
        <f>0</f>
        <v>0</v>
      </c>
      <c r="I270" s="48">
        <f t="shared" si="51"/>
        <v>675.40940699999919</v>
      </c>
      <c r="J270" s="46">
        <f t="shared" si="52"/>
        <v>6.7540940699999913E-2</v>
      </c>
      <c r="K270" s="47">
        <f t="shared" ca="1" si="53"/>
        <v>5</v>
      </c>
      <c r="L270" s="46">
        <f t="shared" ca="1" si="54"/>
        <v>0.1620982576799998</v>
      </c>
      <c r="M270" s="57" t="s">
        <v>68</v>
      </c>
      <c r="N270" s="47">
        <f t="shared" si="55"/>
        <v>-10000</v>
      </c>
      <c r="O270" s="51" t="s">
        <v>64</v>
      </c>
    </row>
    <row r="271" spans="1:15" s="75" customFormat="1" x14ac:dyDescent="0.3">
      <c r="A271" s="84" t="s">
        <v>94</v>
      </c>
      <c r="B271" s="50">
        <v>46104</v>
      </c>
      <c r="C271" s="47">
        <v>10000</v>
      </c>
      <c r="D271" s="47">
        <f t="shared" si="49"/>
        <v>141.58891075650956</v>
      </c>
      <c r="E271" s="48">
        <f>70.627</f>
        <v>70.626999999999995</v>
      </c>
      <c r="F271" s="37">
        <f>VLOOKUP("INF174K01LT0", [1]NAVAll!B$1:E$501244,4,FALSE)</f>
        <v>170.18299999999999</v>
      </c>
      <c r="G271" s="47">
        <f t="shared" si="50"/>
        <v>12019.514740999999</v>
      </c>
      <c r="H271" s="49">
        <f>0</f>
        <v>0</v>
      </c>
      <c r="I271" s="48">
        <f t="shared" si="51"/>
        <v>2019.514740999999</v>
      </c>
      <c r="J271" s="46">
        <f t="shared" si="52"/>
        <v>0.20195147409999992</v>
      </c>
      <c r="K271" s="47">
        <f t="shared" ca="1" si="53"/>
        <v>4</v>
      </c>
      <c r="L271" s="46">
        <f t="shared" ca="1" si="54"/>
        <v>0.60585442229999975</v>
      </c>
      <c r="M271" s="57" t="s">
        <v>68</v>
      </c>
      <c r="N271" s="47">
        <f t="shared" si="55"/>
        <v>-10000</v>
      </c>
      <c r="O271" s="51" t="s">
        <v>64</v>
      </c>
    </row>
    <row r="272" spans="1:15" s="75" customFormat="1" x14ac:dyDescent="0.3">
      <c r="A272" s="84" t="s">
        <v>94</v>
      </c>
      <c r="B272" s="50">
        <v>46134</v>
      </c>
      <c r="C272" s="47">
        <v>10000</v>
      </c>
      <c r="D272" s="47">
        <f t="shared" si="49"/>
        <v>162.75246976872876</v>
      </c>
      <c r="E272" s="48">
        <f>61.443</f>
        <v>61.442999999999998</v>
      </c>
      <c r="F272" s="37">
        <f>VLOOKUP("INF174K01LT0", [1]NAVAll!B$1:E$501244,4,FALSE)</f>
        <v>170.18299999999999</v>
      </c>
      <c r="G272" s="47">
        <f t="shared" si="50"/>
        <v>10456.554069</v>
      </c>
      <c r="H272" s="49">
        <f>0</f>
        <v>0</v>
      </c>
      <c r="I272" s="48">
        <f t="shared" si="51"/>
        <v>456.5540689999998</v>
      </c>
      <c r="J272" s="46">
        <f t="shared" si="52"/>
        <v>4.565540689999998E-2</v>
      </c>
      <c r="K272" s="47">
        <f t="shared" ca="1" si="53"/>
        <v>3.0333333333333332</v>
      </c>
      <c r="L272" s="46">
        <f t="shared" ca="1" si="54"/>
        <v>0.18061479652747248</v>
      </c>
      <c r="M272" s="57" t="s">
        <v>68</v>
      </c>
      <c r="N272" s="47">
        <f t="shared" si="55"/>
        <v>-10000</v>
      </c>
      <c r="O272" s="51" t="s">
        <v>64</v>
      </c>
    </row>
    <row r="273" spans="1:15" s="75" customFormat="1" x14ac:dyDescent="0.3">
      <c r="A273" s="84" t="s">
        <v>94</v>
      </c>
      <c r="B273" s="50">
        <v>46164</v>
      </c>
      <c r="C273" s="47">
        <v>10000</v>
      </c>
      <c r="D273" s="47">
        <f t="shared" si="49"/>
        <v>162.55933415696731</v>
      </c>
      <c r="E273" s="48">
        <f>61.516</f>
        <v>61.515999999999998</v>
      </c>
      <c r="F273" s="37">
        <f>VLOOKUP("INF174K01LT0", [1]NAVAll!B$1:E$501244,4,FALSE)</f>
        <v>170.18299999999999</v>
      </c>
      <c r="G273" s="47">
        <f t="shared" si="50"/>
        <v>10468.977428</v>
      </c>
      <c r="H273" s="49">
        <f>0</f>
        <v>0</v>
      </c>
      <c r="I273" s="48">
        <f t="shared" si="51"/>
        <v>468.97742800000015</v>
      </c>
      <c r="J273" s="46">
        <f t="shared" si="52"/>
        <v>4.6897742800000017E-2</v>
      </c>
      <c r="K273" s="47">
        <f t="shared" ca="1" si="53"/>
        <v>2.0333333333333332</v>
      </c>
      <c r="L273" s="46">
        <f t="shared" ca="1" si="54"/>
        <v>0.27677356406557385</v>
      </c>
      <c r="M273" s="57" t="s">
        <v>68</v>
      </c>
      <c r="N273" s="47">
        <f t="shared" si="55"/>
        <v>-10000</v>
      </c>
      <c r="O273" s="51" t="s">
        <v>64</v>
      </c>
    </row>
    <row r="274" spans="1:15" s="75" customFormat="1" x14ac:dyDescent="0.3">
      <c r="A274" s="84" t="s">
        <v>94</v>
      </c>
      <c r="B274" s="50">
        <v>46195</v>
      </c>
      <c r="C274" s="47">
        <v>10000</v>
      </c>
      <c r="D274" s="47">
        <f t="shared" si="49"/>
        <v>170.01309100800762</v>
      </c>
      <c r="E274" s="48">
        <f>58.819</f>
        <v>58.819000000000003</v>
      </c>
      <c r="F274" s="37">
        <f>VLOOKUP("INF174K01LT0", [1]NAVAll!B$1:E$501244,4,FALSE)</f>
        <v>170.18299999999999</v>
      </c>
      <c r="G274" s="47">
        <f t="shared" si="50"/>
        <v>10009.993877000001</v>
      </c>
      <c r="H274" s="49">
        <f>0</f>
        <v>0</v>
      </c>
      <c r="I274" s="48">
        <f t="shared" si="51"/>
        <v>9.9938770000007935</v>
      </c>
      <c r="J274" s="46">
        <f t="shared" si="52"/>
        <v>9.993877000000794E-4</v>
      </c>
      <c r="K274" s="47">
        <f t="shared" ca="1" si="53"/>
        <v>1.0333333333333334</v>
      </c>
      <c r="L274" s="46">
        <f t="shared" ca="1" si="54"/>
        <v>1.160579264516221E-2</v>
      </c>
      <c r="M274" s="57" t="s">
        <v>68</v>
      </c>
      <c r="N274" s="47">
        <f t="shared" si="55"/>
        <v>-10000</v>
      </c>
      <c r="O274" s="51" t="s">
        <v>64</v>
      </c>
    </row>
    <row r="275" spans="1:15" s="75" customFormat="1" x14ac:dyDescent="0.3">
      <c r="A275" s="84" t="s">
        <v>94</v>
      </c>
      <c r="B275" s="50">
        <v>46225</v>
      </c>
      <c r="C275" s="47">
        <v>10000</v>
      </c>
      <c r="D275" s="47">
        <f t="shared" si="49"/>
        <v>170.19248770359278</v>
      </c>
      <c r="E275" s="48">
        <f>58.757</f>
        <v>58.756999999999998</v>
      </c>
      <c r="F275" s="37">
        <f>VLOOKUP("INF174K01LT0", [1]NAVAll!B$1:E$501244,4,FALSE)</f>
        <v>170.18299999999999</v>
      </c>
      <c r="G275" s="47">
        <f t="shared" si="50"/>
        <v>9999.4425309999988</v>
      </c>
      <c r="H275" s="49">
        <f>0</f>
        <v>0</v>
      </c>
      <c r="I275" s="48">
        <f t="shared" si="51"/>
        <v>-0.55746900000121968</v>
      </c>
      <c r="J275" s="46">
        <f t="shared" si="52"/>
        <v>-5.5746900000121966E-5</v>
      </c>
      <c r="K275" s="47">
        <f t="shared" ca="1" si="53"/>
        <v>3.3333333333333333E-2</v>
      </c>
      <c r="L275" s="46">
        <f t="shared" ca="1" si="54"/>
        <v>-2.0068884000043908E-2</v>
      </c>
      <c r="M275" s="57" t="s">
        <v>68</v>
      </c>
      <c r="N275" s="47">
        <f t="shared" si="55"/>
        <v>-10000</v>
      </c>
      <c r="O275" s="51" t="s">
        <v>64</v>
      </c>
    </row>
    <row r="276" spans="1:15" s="75" customFormat="1" x14ac:dyDescent="0.3">
      <c r="A276" s="76" t="s">
        <v>95</v>
      </c>
      <c r="B276" s="77">
        <f ca="1">TODAY()</f>
        <v>46226</v>
      </c>
      <c r="C276" s="78"/>
      <c r="D276" s="78"/>
      <c r="E276" s="79"/>
      <c r="F276" s="80"/>
      <c r="G276" s="78"/>
      <c r="H276" s="80"/>
      <c r="I276" s="79"/>
      <c r="J276" s="81"/>
      <c r="K276" s="78"/>
      <c r="L276" s="81"/>
      <c r="M276" s="82"/>
      <c r="N276" s="78">
        <f>SUM(G240:G275)</f>
        <v>442138.80362340005</v>
      </c>
      <c r="O276" s="51"/>
    </row>
    <row r="277" spans="1:15" s="75" customFormat="1" x14ac:dyDescent="0.3">
      <c r="A277" s="76" t="s">
        <v>96</v>
      </c>
      <c r="B277" s="77"/>
      <c r="C277" s="78"/>
      <c r="D277" s="78"/>
      <c r="E277" s="79"/>
      <c r="F277" s="80"/>
      <c r="G277" s="78"/>
      <c r="H277" s="80"/>
      <c r="I277" s="79"/>
      <c r="J277" s="81">
        <f>SUM(N240:N276)/-SUM(N240:N275)</f>
        <v>0.22816334339833347</v>
      </c>
      <c r="K277" s="78"/>
      <c r="L277" s="81"/>
      <c r="M277" s="82"/>
      <c r="N277" s="78"/>
      <c r="O277" s="51"/>
    </row>
    <row r="278" spans="1:15" s="75" customFormat="1" x14ac:dyDescent="0.3">
      <c r="A278" s="76" t="s">
        <v>97</v>
      </c>
      <c r="B278" s="77"/>
      <c r="C278" s="78"/>
      <c r="D278" s="78"/>
      <c r="E278" s="79"/>
      <c r="F278" s="80"/>
      <c r="G278" s="78"/>
      <c r="H278" s="80"/>
      <c r="I278" s="79"/>
      <c r="J278" s="81">
        <f ca="1">XIRR(N240:N276,B240:B276)</f>
        <v>0.14585847258567811</v>
      </c>
      <c r="K278" s="78"/>
      <c r="L278" s="81"/>
      <c r="M278" s="82"/>
      <c r="N278" s="78"/>
      <c r="O278" s="51"/>
    </row>
    <row r="279" spans="1:15" s="75" customFormat="1" x14ac:dyDescent="0.3">
      <c r="A279" s="51" t="s">
        <v>98</v>
      </c>
      <c r="B279" s="50">
        <v>43948</v>
      </c>
      <c r="C279" s="47">
        <v>10000</v>
      </c>
      <c r="D279" s="47">
        <f t="shared" ref="D279:D360" si="56">C279/E279</f>
        <v>32.294004618042663</v>
      </c>
      <c r="E279" s="49">
        <f>309.655</f>
        <v>309.65499999999997</v>
      </c>
      <c r="F279" s="37">
        <f>VLOOKUP("INF174K01DS9", [1]NAVAll!B$1:E$501244,4,FALSE)</f>
        <v>145.53700000000001</v>
      </c>
      <c r="G279" s="47">
        <f t="shared" ref="G279:G360" si="57">PRODUCT(E279:F279)</f>
        <v>45066.259735</v>
      </c>
      <c r="H279" s="49">
        <f>0</f>
        <v>0</v>
      </c>
      <c r="I279" s="48">
        <f t="shared" ref="I279:I439" si="58">SUM(-C279,G279)+H279</f>
        <v>35066.259735</v>
      </c>
      <c r="J279" s="46">
        <f t="shared" ref="J279:J439" si="59">I279/C279</f>
        <v>3.5066259734999998</v>
      </c>
      <c r="K279" s="47">
        <f t="shared" ref="K279:K439" ca="1" si="60">(DAYS360(B279,NOW(),TRUE))/30</f>
        <v>74.86666666666666</v>
      </c>
      <c r="L279" s="46">
        <f t="shared" ref="L279:L439" ca="1" si="61">J279*12/K279</f>
        <v>0.5620593724220837</v>
      </c>
      <c r="M279" s="57"/>
      <c r="N279" s="47">
        <f t="shared" si="48"/>
        <v>-10000</v>
      </c>
      <c r="O279" s="51" t="s">
        <v>64</v>
      </c>
    </row>
    <row r="280" spans="1:15" s="75" customFormat="1" x14ac:dyDescent="0.3">
      <c r="A280" s="51" t="s">
        <v>98</v>
      </c>
      <c r="B280" s="50">
        <v>43978</v>
      </c>
      <c r="C280" s="47">
        <v>10000</v>
      </c>
      <c r="D280" s="47">
        <f t="shared" si="56"/>
        <v>31.860019816932326</v>
      </c>
      <c r="E280" s="49">
        <f>313.873</f>
        <v>313.87299999999999</v>
      </c>
      <c r="F280" s="37">
        <f>VLOOKUP("INF174K01DS9", [1]NAVAll!B$1:E$501244,4,FALSE)</f>
        <v>145.53700000000001</v>
      </c>
      <c r="G280" s="47">
        <f t="shared" si="57"/>
        <v>45680.134801</v>
      </c>
      <c r="H280" s="49">
        <f>0</f>
        <v>0</v>
      </c>
      <c r="I280" s="48">
        <f t="shared" si="58"/>
        <v>35680.134801</v>
      </c>
      <c r="J280" s="46">
        <f t="shared" si="59"/>
        <v>3.5680134800999999</v>
      </c>
      <c r="K280" s="47">
        <f t="shared" ca="1" si="60"/>
        <v>73.86666666666666</v>
      </c>
      <c r="L280" s="46">
        <f t="shared" ca="1" si="61"/>
        <v>0.57964117907761736</v>
      </c>
      <c r="M280" s="57"/>
      <c r="N280" s="47">
        <f t="shared" si="48"/>
        <v>-10000</v>
      </c>
      <c r="O280" s="51" t="s">
        <v>64</v>
      </c>
    </row>
    <row r="281" spans="1:15" s="75" customFormat="1" x14ac:dyDescent="0.3">
      <c r="A281" s="51" t="s">
        <v>98</v>
      </c>
      <c r="B281" s="50">
        <v>44011</v>
      </c>
      <c r="C281" s="47">
        <v>10000</v>
      </c>
      <c r="D281" s="47">
        <f t="shared" si="56"/>
        <v>35.416032129424345</v>
      </c>
      <c r="E281" s="49">
        <f>282.358</f>
        <v>282.358</v>
      </c>
      <c r="F281" s="37">
        <f>VLOOKUP("INF174K01DS9", [1]NAVAll!B$1:E$501244,4,FALSE)</f>
        <v>145.53700000000001</v>
      </c>
      <c r="G281" s="47">
        <f t="shared" si="57"/>
        <v>41093.536246000003</v>
      </c>
      <c r="H281" s="49">
        <f>0</f>
        <v>0</v>
      </c>
      <c r="I281" s="48">
        <f t="shared" si="58"/>
        <v>31093.536246000003</v>
      </c>
      <c r="J281" s="46">
        <f t="shared" si="59"/>
        <v>3.1093536246000002</v>
      </c>
      <c r="K281" s="47">
        <f t="shared" ca="1" si="60"/>
        <v>72.8</v>
      </c>
      <c r="L281" s="46">
        <f t="shared" ca="1" si="61"/>
        <v>0.51253081724175831</v>
      </c>
      <c r="M281" s="57"/>
      <c r="N281" s="47">
        <f t="shared" si="48"/>
        <v>-10000</v>
      </c>
      <c r="O281" s="51" t="s">
        <v>64</v>
      </c>
    </row>
    <row r="282" spans="1:15" s="75" customFormat="1" x14ac:dyDescent="0.3">
      <c r="A282" s="51" t="s">
        <v>98</v>
      </c>
      <c r="B282" s="50">
        <v>44039</v>
      </c>
      <c r="C282" s="47">
        <v>10000</v>
      </c>
      <c r="D282" s="47">
        <f t="shared" si="56"/>
        <v>37.019898195279964</v>
      </c>
      <c r="E282" s="49">
        <f>270.125</f>
        <v>270.125</v>
      </c>
      <c r="F282" s="37">
        <f>VLOOKUP("INF174K01DS9", [1]NAVAll!B$1:E$501244,4,FALSE)</f>
        <v>145.53700000000001</v>
      </c>
      <c r="G282" s="47">
        <f t="shared" si="57"/>
        <v>39313.182124999999</v>
      </c>
      <c r="H282" s="49">
        <f>0</f>
        <v>0</v>
      </c>
      <c r="I282" s="48">
        <f t="shared" si="58"/>
        <v>29313.182124999999</v>
      </c>
      <c r="J282" s="46">
        <f t="shared" si="59"/>
        <v>2.9313182124999999</v>
      </c>
      <c r="K282" s="47">
        <f t="shared" ca="1" si="60"/>
        <v>71.86666666666666</v>
      </c>
      <c r="L282" s="46">
        <f t="shared" ca="1" si="61"/>
        <v>0.48945944179035261</v>
      </c>
      <c r="M282" s="57"/>
      <c r="N282" s="47">
        <f t="shared" si="48"/>
        <v>-10000</v>
      </c>
      <c r="O282" s="51" t="s">
        <v>64</v>
      </c>
    </row>
    <row r="283" spans="1:15" s="75" customFormat="1" x14ac:dyDescent="0.3">
      <c r="A283" s="51" t="s">
        <v>98</v>
      </c>
      <c r="B283" s="50">
        <v>44070</v>
      </c>
      <c r="C283" s="47">
        <v>10000</v>
      </c>
      <c r="D283" s="47">
        <f t="shared" si="56"/>
        <v>41.406152954329016</v>
      </c>
      <c r="E283" s="49">
        <f>241.51</f>
        <v>241.51</v>
      </c>
      <c r="F283" s="37">
        <f>VLOOKUP("INF174K01DS9", [1]NAVAll!B$1:E$501244,4,FALSE)</f>
        <v>145.53700000000001</v>
      </c>
      <c r="G283" s="47">
        <f t="shared" si="57"/>
        <v>35148.640870000003</v>
      </c>
      <c r="H283" s="49">
        <f>0</f>
        <v>0</v>
      </c>
      <c r="I283" s="48">
        <f t="shared" si="58"/>
        <v>25148.640870000003</v>
      </c>
      <c r="J283" s="46">
        <f t="shared" si="59"/>
        <v>2.5148640870000003</v>
      </c>
      <c r="K283" s="47">
        <f t="shared" ca="1" si="60"/>
        <v>70.86666666666666</v>
      </c>
      <c r="L283" s="46">
        <f t="shared" ca="1" si="61"/>
        <v>0.42584716430856079</v>
      </c>
      <c r="M283" s="57"/>
      <c r="N283" s="47">
        <f t="shared" si="48"/>
        <v>-10000</v>
      </c>
      <c r="O283" s="51" t="s">
        <v>64</v>
      </c>
    </row>
    <row r="284" spans="1:15" s="75" customFormat="1" x14ac:dyDescent="0.3">
      <c r="A284" s="51" t="s">
        <v>98</v>
      </c>
      <c r="B284" s="50">
        <v>44102</v>
      </c>
      <c r="C284" s="47">
        <v>10000</v>
      </c>
      <c r="D284" s="47">
        <f t="shared" si="56"/>
        <v>40.914019188674999</v>
      </c>
      <c r="E284" s="49">
        <f>244.415</f>
        <v>244.41499999999999</v>
      </c>
      <c r="F284" s="37">
        <f>VLOOKUP("INF174K01DS9", [1]NAVAll!B$1:E$501244,4,FALSE)</f>
        <v>145.53700000000001</v>
      </c>
      <c r="G284" s="47">
        <f t="shared" si="57"/>
        <v>35571.425855000001</v>
      </c>
      <c r="H284" s="49">
        <f>0</f>
        <v>0</v>
      </c>
      <c r="I284" s="48">
        <f t="shared" si="58"/>
        <v>25571.425855000001</v>
      </c>
      <c r="J284" s="46">
        <f t="shared" si="59"/>
        <v>2.5571425855000003</v>
      </c>
      <c r="K284" s="47">
        <f t="shared" ca="1" si="60"/>
        <v>69.833333333333329</v>
      </c>
      <c r="L284" s="46">
        <f t="shared" ca="1" si="61"/>
        <v>0.43941352304534614</v>
      </c>
      <c r="M284" s="57"/>
      <c r="N284" s="47">
        <f t="shared" si="48"/>
        <v>-10000</v>
      </c>
      <c r="O284" s="51" t="s">
        <v>64</v>
      </c>
    </row>
    <row r="285" spans="1:15" s="75" customFormat="1" x14ac:dyDescent="0.3">
      <c r="A285" s="51" t="s">
        <v>98</v>
      </c>
      <c r="B285" s="50">
        <v>44131</v>
      </c>
      <c r="C285" s="47">
        <v>10000</v>
      </c>
      <c r="D285" s="47">
        <f t="shared" si="56"/>
        <v>41.847132425250557</v>
      </c>
      <c r="E285" s="49">
        <f>238.965</f>
        <v>238.965</v>
      </c>
      <c r="F285" s="37">
        <f>VLOOKUP("INF174K01DS9", [1]NAVAll!B$1:E$501244,4,FALSE)</f>
        <v>145.53700000000001</v>
      </c>
      <c r="G285" s="47">
        <f t="shared" si="57"/>
        <v>34778.249205</v>
      </c>
      <c r="H285" s="49">
        <f>0</f>
        <v>0</v>
      </c>
      <c r="I285" s="48">
        <f t="shared" si="58"/>
        <v>24778.249205</v>
      </c>
      <c r="J285" s="46">
        <f t="shared" si="59"/>
        <v>2.4778249204999998</v>
      </c>
      <c r="K285" s="47">
        <f t="shared" ca="1" si="60"/>
        <v>68.86666666666666</v>
      </c>
      <c r="L285" s="46">
        <f t="shared" ca="1" si="61"/>
        <v>0.4317603927299129</v>
      </c>
      <c r="M285" s="57"/>
      <c r="N285" s="47">
        <f t="shared" si="48"/>
        <v>-10000</v>
      </c>
      <c r="O285" s="51" t="s">
        <v>64</v>
      </c>
    </row>
    <row r="286" spans="1:15" s="75" customFormat="1" x14ac:dyDescent="0.3">
      <c r="A286" s="51" t="s">
        <v>98</v>
      </c>
      <c r="B286" s="50">
        <v>44162</v>
      </c>
      <c r="C286" s="47">
        <v>10000</v>
      </c>
      <c r="D286" s="47">
        <f t="shared" si="56"/>
        <v>47.17426172280404</v>
      </c>
      <c r="E286" s="49">
        <f>211.98</f>
        <v>211.98</v>
      </c>
      <c r="F286" s="37">
        <f>VLOOKUP("INF174K01DS9", [1]NAVAll!B$1:E$501244,4,FALSE)</f>
        <v>145.53700000000001</v>
      </c>
      <c r="G286" s="47">
        <f t="shared" si="57"/>
        <v>30850.933260000002</v>
      </c>
      <c r="H286" s="49">
        <f>0</f>
        <v>0</v>
      </c>
      <c r="I286" s="48">
        <f t="shared" si="58"/>
        <v>20850.933260000002</v>
      </c>
      <c r="J286" s="46">
        <f t="shared" si="59"/>
        <v>2.085093326</v>
      </c>
      <c r="K286" s="47">
        <f t="shared" ca="1" si="60"/>
        <v>67.86666666666666</v>
      </c>
      <c r="L286" s="46">
        <f t="shared" ca="1" si="61"/>
        <v>0.36868054880157175</v>
      </c>
      <c r="M286" s="57"/>
      <c r="N286" s="47">
        <f t="shared" si="48"/>
        <v>-10000</v>
      </c>
      <c r="O286" s="51" t="s">
        <v>64</v>
      </c>
    </row>
    <row r="287" spans="1:15" s="75" customFormat="1" x14ac:dyDescent="0.3">
      <c r="A287" s="51" t="s">
        <v>98</v>
      </c>
      <c r="B287" s="50">
        <v>44193</v>
      </c>
      <c r="C287" s="47">
        <v>10000</v>
      </c>
      <c r="D287" s="47">
        <f t="shared" si="56"/>
        <v>48.97447450388858</v>
      </c>
      <c r="E287" s="49">
        <f>204.188</f>
        <v>204.18799999999999</v>
      </c>
      <c r="F287" s="37">
        <f>VLOOKUP("INF174K01DS9", [1]NAVAll!B$1:E$501244,4,FALSE)</f>
        <v>145.53700000000001</v>
      </c>
      <c r="G287" s="47">
        <f t="shared" si="57"/>
        <v>29716.908955999999</v>
      </c>
      <c r="H287" s="49">
        <f>0</f>
        <v>0</v>
      </c>
      <c r="I287" s="48">
        <f t="shared" si="58"/>
        <v>19716.908955999999</v>
      </c>
      <c r="J287" s="46">
        <f t="shared" si="59"/>
        <v>1.9716908955999999</v>
      </c>
      <c r="K287" s="47">
        <f t="shared" ca="1" si="60"/>
        <v>66.833333333333329</v>
      </c>
      <c r="L287" s="46">
        <f t="shared" ca="1" si="61"/>
        <v>0.35401931292568578</v>
      </c>
      <c r="M287" s="57"/>
      <c r="N287" s="47">
        <f t="shared" si="48"/>
        <v>-10000</v>
      </c>
      <c r="O287" s="51" t="s">
        <v>64</v>
      </c>
    </row>
    <row r="288" spans="1:15" s="75" customFormat="1" x14ac:dyDescent="0.3">
      <c r="A288" s="51" t="s">
        <v>98</v>
      </c>
      <c r="B288" s="50">
        <v>44223</v>
      </c>
      <c r="C288" s="47">
        <v>10000</v>
      </c>
      <c r="D288" s="47">
        <f t="shared" si="56"/>
        <v>50.404496081050425</v>
      </c>
      <c r="E288" s="49">
        <f>198.395</f>
        <v>198.39500000000001</v>
      </c>
      <c r="F288" s="37">
        <f>VLOOKUP("INF174K01DS9", [1]NAVAll!B$1:E$501244,4,FALSE)</f>
        <v>145.53700000000001</v>
      </c>
      <c r="G288" s="47">
        <f t="shared" si="57"/>
        <v>28873.813115000004</v>
      </c>
      <c r="H288" s="49">
        <f>0</f>
        <v>0</v>
      </c>
      <c r="I288" s="48">
        <f t="shared" si="58"/>
        <v>18873.813115000004</v>
      </c>
      <c r="J288" s="46">
        <f t="shared" si="59"/>
        <v>1.8873813115000004</v>
      </c>
      <c r="K288" s="47">
        <f t="shared" ca="1" si="60"/>
        <v>65.86666666666666</v>
      </c>
      <c r="L288" s="46">
        <f t="shared" ca="1" si="61"/>
        <v>0.34385489480769243</v>
      </c>
      <c r="M288" s="57"/>
      <c r="N288" s="47">
        <f t="shared" si="48"/>
        <v>-10000</v>
      </c>
      <c r="O288" s="51" t="s">
        <v>64</v>
      </c>
    </row>
    <row r="289" spans="1:15" s="75" customFormat="1" x14ac:dyDescent="0.3">
      <c r="A289" s="51" t="s">
        <v>98</v>
      </c>
      <c r="B289" s="50">
        <v>44256</v>
      </c>
      <c r="C289" s="47">
        <v>10000</v>
      </c>
      <c r="D289" s="47">
        <f t="shared" si="56"/>
        <v>56.949878412009596</v>
      </c>
      <c r="E289" s="49">
        <f>175.593</f>
        <v>175.59299999999999</v>
      </c>
      <c r="F289" s="37">
        <f>VLOOKUP("INF174K01DS9", [1]NAVAll!B$1:E$501244,4,FALSE)</f>
        <v>145.53700000000001</v>
      </c>
      <c r="G289" s="47">
        <f t="shared" si="57"/>
        <v>25555.278440999999</v>
      </c>
      <c r="H289" s="49">
        <f>0</f>
        <v>0</v>
      </c>
      <c r="I289" s="48">
        <f t="shared" si="58"/>
        <v>15555.278440999999</v>
      </c>
      <c r="J289" s="46">
        <f t="shared" si="59"/>
        <v>1.5555278440999998</v>
      </c>
      <c r="K289" s="47">
        <f t="shared" ca="1" si="60"/>
        <v>64.733333333333334</v>
      </c>
      <c r="L289" s="46">
        <f t="shared" ca="1" si="61"/>
        <v>0.2883573758372811</v>
      </c>
      <c r="M289" s="57"/>
      <c r="N289" s="47">
        <f t="shared" si="48"/>
        <v>-10000</v>
      </c>
      <c r="O289" s="51" t="s">
        <v>64</v>
      </c>
    </row>
    <row r="290" spans="1:15" s="75" customFormat="1" x14ac:dyDescent="0.3">
      <c r="A290" s="51" t="s">
        <v>98</v>
      </c>
      <c r="B290" s="50">
        <v>44285</v>
      </c>
      <c r="C290" s="47">
        <v>10000</v>
      </c>
      <c r="D290" s="47">
        <f t="shared" si="56"/>
        <v>57.22002243024879</v>
      </c>
      <c r="E290" s="49">
        <f>174.764</f>
        <v>174.76400000000001</v>
      </c>
      <c r="F290" s="37">
        <f>VLOOKUP("INF174K01DS9", [1]NAVAll!B$1:E$501244,4,FALSE)</f>
        <v>145.53700000000001</v>
      </c>
      <c r="G290" s="47">
        <f t="shared" si="57"/>
        <v>25434.628268000004</v>
      </c>
      <c r="H290" s="49">
        <f>0</f>
        <v>0</v>
      </c>
      <c r="I290" s="48">
        <f t="shared" si="58"/>
        <v>15434.628268000004</v>
      </c>
      <c r="J290" s="46">
        <f t="shared" si="59"/>
        <v>1.5434628268000004</v>
      </c>
      <c r="K290" s="47">
        <f t="shared" ca="1" si="60"/>
        <v>63.766666666666666</v>
      </c>
      <c r="L290" s="46">
        <f t="shared" ca="1" si="61"/>
        <v>0.29045824236696294</v>
      </c>
      <c r="M290" s="57"/>
      <c r="N290" s="47">
        <f t="shared" si="48"/>
        <v>-10000</v>
      </c>
      <c r="O290" s="51" t="s">
        <v>64</v>
      </c>
    </row>
    <row r="291" spans="1:15" s="75" customFormat="1" x14ac:dyDescent="0.3">
      <c r="A291" s="51" t="s">
        <v>98</v>
      </c>
      <c r="B291" s="50">
        <v>44313</v>
      </c>
      <c r="C291" s="47">
        <v>10000</v>
      </c>
      <c r="D291" s="47">
        <f t="shared" si="56"/>
        <v>58.039989552801885</v>
      </c>
      <c r="E291" s="49">
        <f>172.295</f>
        <v>172.29499999999999</v>
      </c>
      <c r="F291" s="37">
        <f>VLOOKUP("INF174K01DS9", [1]NAVAll!B$1:E$501244,4,FALSE)</f>
        <v>145.53700000000001</v>
      </c>
      <c r="G291" s="47">
        <f t="shared" si="57"/>
        <v>25075.297415000001</v>
      </c>
      <c r="H291" s="49">
        <f>0</f>
        <v>0</v>
      </c>
      <c r="I291" s="48">
        <f t="shared" si="58"/>
        <v>15075.297415000001</v>
      </c>
      <c r="J291" s="46">
        <f t="shared" si="59"/>
        <v>1.5075297415000002</v>
      </c>
      <c r="K291" s="47">
        <f t="shared" ca="1" si="60"/>
        <v>62.866666666666667</v>
      </c>
      <c r="L291" s="46">
        <f t="shared" ca="1" si="61"/>
        <v>0.28775753284199368</v>
      </c>
      <c r="M291" s="57"/>
      <c r="N291" s="47">
        <f t="shared" si="48"/>
        <v>-10000</v>
      </c>
      <c r="O291" s="51" t="s">
        <v>64</v>
      </c>
    </row>
    <row r="292" spans="1:15" s="75" customFormat="1" x14ac:dyDescent="0.3">
      <c r="A292" s="51" t="s">
        <v>98</v>
      </c>
      <c r="B292" s="50">
        <v>44343</v>
      </c>
      <c r="C292" s="47">
        <v>10000</v>
      </c>
      <c r="D292" s="47">
        <f t="shared" si="56"/>
        <v>61.069075230993782</v>
      </c>
      <c r="E292" s="49">
        <f>163.749</f>
        <v>163.749</v>
      </c>
      <c r="F292" s="37">
        <f>VLOOKUP("INF174K01DS9", [1]NAVAll!B$1:E$501244,4,FALSE)</f>
        <v>145.53700000000001</v>
      </c>
      <c r="G292" s="47">
        <f t="shared" si="57"/>
        <v>23831.538213</v>
      </c>
      <c r="H292" s="49">
        <f>0</f>
        <v>0</v>
      </c>
      <c r="I292" s="48">
        <f t="shared" si="58"/>
        <v>13831.538213</v>
      </c>
      <c r="J292" s="46">
        <f t="shared" si="59"/>
        <v>1.3831538213000001</v>
      </c>
      <c r="K292" s="47">
        <f t="shared" ca="1" si="60"/>
        <v>61.866666666666667</v>
      </c>
      <c r="L292" s="46">
        <f t="shared" ca="1" si="61"/>
        <v>0.26828414637284481</v>
      </c>
      <c r="M292" s="57"/>
      <c r="N292" s="47">
        <f t="shared" ref="N292:N396" si="62">-C292</f>
        <v>-10000</v>
      </c>
      <c r="O292" s="51" t="s">
        <v>64</v>
      </c>
    </row>
    <row r="293" spans="1:15" s="75" customFormat="1" x14ac:dyDescent="0.3">
      <c r="A293" s="51" t="s">
        <v>98</v>
      </c>
      <c r="B293" s="50">
        <v>44375</v>
      </c>
      <c r="C293" s="47">
        <v>10000</v>
      </c>
      <c r="D293" s="47">
        <f t="shared" si="56"/>
        <v>64.8180557176007</v>
      </c>
      <c r="E293" s="49">
        <f>154.278</f>
        <v>154.27799999999999</v>
      </c>
      <c r="F293" s="37">
        <f>VLOOKUP("INF174K01DS9", [1]NAVAll!B$1:E$501244,4,FALSE)</f>
        <v>145.53700000000001</v>
      </c>
      <c r="G293" s="47">
        <f t="shared" si="57"/>
        <v>22453.157286000001</v>
      </c>
      <c r="H293" s="49">
        <f>0</f>
        <v>0</v>
      </c>
      <c r="I293" s="48">
        <f t="shared" si="58"/>
        <v>12453.157286000001</v>
      </c>
      <c r="J293" s="46">
        <f t="shared" si="59"/>
        <v>1.2453157286000001</v>
      </c>
      <c r="K293" s="47">
        <f t="shared" ca="1" si="60"/>
        <v>60.833333333333336</v>
      </c>
      <c r="L293" s="46">
        <f t="shared" ca="1" si="61"/>
        <v>0.24565132180602739</v>
      </c>
      <c r="M293" s="57"/>
      <c r="N293" s="47">
        <f t="shared" si="62"/>
        <v>-10000</v>
      </c>
      <c r="O293" s="51" t="s">
        <v>64</v>
      </c>
    </row>
    <row r="294" spans="1:15" s="75" customFormat="1" x14ac:dyDescent="0.3">
      <c r="A294" s="51" t="s">
        <v>98</v>
      </c>
      <c r="B294" s="50">
        <v>44404</v>
      </c>
      <c r="C294" s="47">
        <v>10000</v>
      </c>
      <c r="D294" s="47">
        <f t="shared" si="56"/>
        <v>66.939332882608483</v>
      </c>
      <c r="E294" s="49">
        <f>149.389</f>
        <v>149.38900000000001</v>
      </c>
      <c r="F294" s="37">
        <f>VLOOKUP("INF174K01DS9", [1]NAVAll!B$1:E$501244,4,FALSE)</f>
        <v>145.53700000000001</v>
      </c>
      <c r="G294" s="47">
        <f t="shared" si="57"/>
        <v>21741.626893000001</v>
      </c>
      <c r="H294" s="49">
        <f>0</f>
        <v>0</v>
      </c>
      <c r="I294" s="48">
        <f t="shared" si="58"/>
        <v>11741.626893000001</v>
      </c>
      <c r="J294" s="46">
        <f t="shared" si="59"/>
        <v>1.1741626893000001</v>
      </c>
      <c r="K294" s="47">
        <f t="shared" ca="1" si="60"/>
        <v>59.866666666666667</v>
      </c>
      <c r="L294" s="46">
        <f t="shared" ca="1" si="61"/>
        <v>0.23535555019376395</v>
      </c>
      <c r="M294" s="57"/>
      <c r="N294" s="47">
        <f t="shared" si="62"/>
        <v>-10000</v>
      </c>
      <c r="O294" s="51" t="s">
        <v>64</v>
      </c>
    </row>
    <row r="295" spans="1:15" s="75" customFormat="1" x14ac:dyDescent="0.3">
      <c r="A295" s="51" t="s">
        <v>98</v>
      </c>
      <c r="B295" s="50">
        <v>44435</v>
      </c>
      <c r="C295" s="47">
        <v>10000</v>
      </c>
      <c r="D295" s="47">
        <f t="shared" si="56"/>
        <v>67.397252887972286</v>
      </c>
      <c r="E295" s="49">
        <f>148.374</f>
        <v>148.374</v>
      </c>
      <c r="F295" s="37">
        <f>VLOOKUP("INF174K01DS9", [1]NAVAll!B$1:E$501244,4,FALSE)</f>
        <v>145.53700000000001</v>
      </c>
      <c r="G295" s="47">
        <f t="shared" si="57"/>
        <v>21593.906837999999</v>
      </c>
      <c r="H295" s="49">
        <f>0</f>
        <v>0</v>
      </c>
      <c r="I295" s="48">
        <f t="shared" si="58"/>
        <v>11593.906837999999</v>
      </c>
      <c r="J295" s="46">
        <f t="shared" si="59"/>
        <v>1.1593906837999999</v>
      </c>
      <c r="K295" s="47">
        <f t="shared" ca="1" si="60"/>
        <v>58.866666666666667</v>
      </c>
      <c r="L295" s="46">
        <f t="shared" ca="1" si="61"/>
        <v>0.23634238174858435</v>
      </c>
      <c r="M295" s="57"/>
      <c r="N295" s="47">
        <f t="shared" si="62"/>
        <v>-10000</v>
      </c>
      <c r="O295" s="51" t="s">
        <v>64</v>
      </c>
    </row>
    <row r="296" spans="1:15" s="75" customFormat="1" x14ac:dyDescent="0.3">
      <c r="A296" s="51" t="s">
        <v>98</v>
      </c>
      <c r="B296" s="50">
        <v>44466</v>
      </c>
      <c r="C296" s="47">
        <v>10000</v>
      </c>
      <c r="D296" s="47">
        <f t="shared" si="56"/>
        <v>70.538775164708042</v>
      </c>
      <c r="E296" s="49">
        <f>141.766</f>
        <v>141.76599999999999</v>
      </c>
      <c r="F296" s="37">
        <f>VLOOKUP("INF174K01DS9", [1]NAVAll!B$1:E$501244,4,FALSE)</f>
        <v>145.53700000000001</v>
      </c>
      <c r="G296" s="47">
        <f t="shared" si="57"/>
        <v>20632.198342</v>
      </c>
      <c r="H296" s="49">
        <f>0</f>
        <v>0</v>
      </c>
      <c r="I296" s="48">
        <f t="shared" si="58"/>
        <v>10632.198342</v>
      </c>
      <c r="J296" s="46">
        <f t="shared" si="59"/>
        <v>1.0632198341999999</v>
      </c>
      <c r="K296" s="47">
        <f t="shared" ca="1" si="60"/>
        <v>57.866666666666667</v>
      </c>
      <c r="L296" s="46">
        <f t="shared" ca="1" si="61"/>
        <v>0.22048337575576035</v>
      </c>
      <c r="M296" s="57"/>
      <c r="N296" s="47">
        <f t="shared" si="62"/>
        <v>-10000</v>
      </c>
      <c r="O296" s="51" t="s">
        <v>64</v>
      </c>
    </row>
    <row r="297" spans="1:15" s="75" customFormat="1" x14ac:dyDescent="0.3">
      <c r="A297" s="51" t="s">
        <v>98</v>
      </c>
      <c r="B297" s="50">
        <v>44496</v>
      </c>
      <c r="C297" s="47">
        <v>10000</v>
      </c>
      <c r="D297" s="47">
        <f t="shared" si="56"/>
        <v>71.520526391074242</v>
      </c>
      <c r="E297" s="49">
        <f>139.82</f>
        <v>139.82</v>
      </c>
      <c r="F297" s="37">
        <f>VLOOKUP("INF174K01DS9", [1]NAVAll!B$1:E$501244,4,FALSE)</f>
        <v>145.53700000000001</v>
      </c>
      <c r="G297" s="47">
        <f t="shared" si="57"/>
        <v>20348.983339999999</v>
      </c>
      <c r="H297" s="49">
        <f>0</f>
        <v>0</v>
      </c>
      <c r="I297" s="48">
        <f t="shared" si="58"/>
        <v>10348.983339999999</v>
      </c>
      <c r="J297" s="46">
        <f t="shared" si="59"/>
        <v>1.034898334</v>
      </c>
      <c r="K297" s="47">
        <f t="shared" ca="1" si="60"/>
        <v>56.866666666666667</v>
      </c>
      <c r="L297" s="46">
        <f t="shared" ca="1" si="61"/>
        <v>0.21838417364595542</v>
      </c>
      <c r="M297" s="57"/>
      <c r="N297" s="47">
        <f t="shared" si="62"/>
        <v>-10000</v>
      </c>
      <c r="O297" s="51" t="s">
        <v>64</v>
      </c>
    </row>
    <row r="298" spans="1:15" s="75" customFormat="1" x14ac:dyDescent="0.3">
      <c r="A298" s="51" t="s">
        <v>98</v>
      </c>
      <c r="B298" s="50">
        <v>44529</v>
      </c>
      <c r="C298" s="47">
        <v>10000</v>
      </c>
      <c r="D298" s="47">
        <f t="shared" si="56"/>
        <v>69.965297212582556</v>
      </c>
      <c r="E298" s="49">
        <f>142.928</f>
        <v>142.928</v>
      </c>
      <c r="F298" s="37">
        <f>VLOOKUP("INF174K01DS9", [1]NAVAll!B$1:E$501244,4,FALSE)</f>
        <v>145.53700000000001</v>
      </c>
      <c r="G298" s="47">
        <f t="shared" si="57"/>
        <v>20801.312335999999</v>
      </c>
      <c r="H298" s="49">
        <f>0</f>
        <v>0</v>
      </c>
      <c r="I298" s="48">
        <f t="shared" si="58"/>
        <v>10801.312335999999</v>
      </c>
      <c r="J298" s="46">
        <f t="shared" si="59"/>
        <v>1.0801312336</v>
      </c>
      <c r="K298" s="47">
        <f t="shared" ca="1" si="60"/>
        <v>55.8</v>
      </c>
      <c r="L298" s="46">
        <f t="shared" ca="1" si="61"/>
        <v>0.23228628679569893</v>
      </c>
      <c r="M298" s="57"/>
      <c r="N298" s="47">
        <f t="shared" si="62"/>
        <v>-10000</v>
      </c>
      <c r="O298" s="51" t="s">
        <v>64</v>
      </c>
    </row>
    <row r="299" spans="1:15" s="75" customFormat="1" x14ac:dyDescent="0.3">
      <c r="A299" s="51" t="s">
        <v>98</v>
      </c>
      <c r="B299" s="50">
        <v>44557</v>
      </c>
      <c r="C299" s="47">
        <v>10000</v>
      </c>
      <c r="D299" s="47">
        <f t="shared" si="56"/>
        <v>70.898353031259091</v>
      </c>
      <c r="E299" s="49">
        <f>141.047</f>
        <v>141.047</v>
      </c>
      <c r="F299" s="37">
        <f>VLOOKUP("INF174K01DS9", [1]NAVAll!B$1:E$501244,4,FALSE)</f>
        <v>145.53700000000001</v>
      </c>
      <c r="G299" s="47">
        <f t="shared" si="57"/>
        <v>20527.557239000002</v>
      </c>
      <c r="H299" s="49">
        <f>0</f>
        <v>0</v>
      </c>
      <c r="I299" s="48">
        <f t="shared" si="58"/>
        <v>10527.557239000002</v>
      </c>
      <c r="J299" s="46">
        <f t="shared" si="59"/>
        <v>1.0527557239000001</v>
      </c>
      <c r="K299" s="47">
        <f t="shared" ca="1" si="60"/>
        <v>54.866666666666667</v>
      </c>
      <c r="L299" s="46">
        <f t="shared" ca="1" si="61"/>
        <v>0.23025034058566224</v>
      </c>
      <c r="M299" s="57"/>
      <c r="N299" s="47">
        <f t="shared" si="62"/>
        <v>-10000</v>
      </c>
      <c r="O299" s="51" t="s">
        <v>64</v>
      </c>
    </row>
    <row r="300" spans="1:15" s="75" customFormat="1" x14ac:dyDescent="0.3">
      <c r="A300" s="51" t="s">
        <v>98</v>
      </c>
      <c r="B300" s="50">
        <v>44588</v>
      </c>
      <c r="C300" s="47">
        <v>10000</v>
      </c>
      <c r="D300" s="47">
        <f t="shared" si="56"/>
        <v>70.214364454680137</v>
      </c>
      <c r="E300" s="48">
        <f>142.421</f>
        <v>142.42099999999999</v>
      </c>
      <c r="F300" s="37">
        <f>VLOOKUP("INF174K01DS9", [1]NAVAll!B$1:E$501244,4,FALSE)</f>
        <v>145.53700000000001</v>
      </c>
      <c r="G300" s="47">
        <f t="shared" si="57"/>
        <v>20727.525076999998</v>
      </c>
      <c r="H300" s="49">
        <f>0</f>
        <v>0</v>
      </c>
      <c r="I300" s="48">
        <f t="shared" si="58"/>
        <v>10727.525076999998</v>
      </c>
      <c r="J300" s="46">
        <f t="shared" si="59"/>
        <v>1.0727525076999997</v>
      </c>
      <c r="K300" s="47">
        <f t="shared" ca="1" si="60"/>
        <v>53.866666666666667</v>
      </c>
      <c r="L300" s="46">
        <f t="shared" ca="1" si="61"/>
        <v>0.23897951904207915</v>
      </c>
      <c r="M300" s="57"/>
      <c r="N300" s="47">
        <f t="shared" si="62"/>
        <v>-10000</v>
      </c>
      <c r="O300" s="51" t="s">
        <v>64</v>
      </c>
    </row>
    <row r="301" spans="1:15" s="75" customFormat="1" x14ac:dyDescent="0.3">
      <c r="A301" s="51" t="s">
        <v>98</v>
      </c>
      <c r="B301" s="50">
        <v>44620</v>
      </c>
      <c r="C301" s="47">
        <v>10000</v>
      </c>
      <c r="D301" s="47">
        <f t="shared" si="56"/>
        <v>68.762549165222651</v>
      </c>
      <c r="E301" s="48">
        <f>145.428</f>
        <v>145.428</v>
      </c>
      <c r="F301" s="37">
        <f>VLOOKUP("INF174K01DS9", [1]NAVAll!B$1:E$501244,4,FALSE)</f>
        <v>145.53700000000001</v>
      </c>
      <c r="G301" s="47">
        <f t="shared" si="57"/>
        <v>21165.154836000002</v>
      </c>
      <c r="H301" s="49">
        <f>0</f>
        <v>0</v>
      </c>
      <c r="I301" s="48">
        <f t="shared" si="58"/>
        <v>11165.154836000002</v>
      </c>
      <c r="J301" s="46">
        <f t="shared" si="59"/>
        <v>1.1165154836000002</v>
      </c>
      <c r="K301" s="47">
        <f t="shared" ca="1" si="60"/>
        <v>52.833333333333336</v>
      </c>
      <c r="L301" s="46">
        <f t="shared" ca="1" si="61"/>
        <v>0.25359342214258679</v>
      </c>
      <c r="M301" s="57"/>
      <c r="N301" s="47">
        <f t="shared" si="62"/>
        <v>-10000</v>
      </c>
      <c r="O301" s="51" t="s">
        <v>64</v>
      </c>
    </row>
    <row r="302" spans="1:15" s="75" customFormat="1" x14ac:dyDescent="0.3">
      <c r="A302" s="51" t="s">
        <v>98</v>
      </c>
      <c r="B302" s="50">
        <v>44648</v>
      </c>
      <c r="C302" s="47">
        <v>10000</v>
      </c>
      <c r="D302" s="47">
        <f t="shared" si="56"/>
        <v>69.943276003161429</v>
      </c>
      <c r="E302" s="48">
        <f>142.973</f>
        <v>142.97300000000001</v>
      </c>
      <c r="F302" s="37">
        <f>VLOOKUP("INF174K01DS9", [1]NAVAll!B$1:E$501244,4,FALSE)</f>
        <v>145.53700000000001</v>
      </c>
      <c r="G302" s="47">
        <f t="shared" si="57"/>
        <v>20807.861501000003</v>
      </c>
      <c r="H302" s="49">
        <f>0</f>
        <v>0</v>
      </c>
      <c r="I302" s="48">
        <f t="shared" si="58"/>
        <v>10807.861501000003</v>
      </c>
      <c r="J302" s="46">
        <f t="shared" si="59"/>
        <v>1.0807861501000002</v>
      </c>
      <c r="K302" s="47">
        <f t="shared" ca="1" si="60"/>
        <v>51.833333333333336</v>
      </c>
      <c r="L302" s="46">
        <f t="shared" ca="1" si="61"/>
        <v>0.25021415693633442</v>
      </c>
      <c r="M302" s="57"/>
      <c r="N302" s="47">
        <f t="shared" si="62"/>
        <v>-10000</v>
      </c>
      <c r="O302" s="51" t="s">
        <v>64</v>
      </c>
    </row>
    <row r="303" spans="1:15" s="75" customFormat="1" x14ac:dyDescent="0.3">
      <c r="A303" s="51" t="s">
        <v>98</v>
      </c>
      <c r="B303" s="50">
        <v>44678</v>
      </c>
      <c r="C303" s="47">
        <v>10000</v>
      </c>
      <c r="D303" s="47">
        <f t="shared" si="56"/>
        <v>71.992685543148824</v>
      </c>
      <c r="E303" s="48">
        <f>138.903</f>
        <v>138.90299999999999</v>
      </c>
      <c r="F303" s="37">
        <f>VLOOKUP("INF174K01DS9", [1]NAVAll!B$1:E$501244,4,FALSE)</f>
        <v>145.53700000000001</v>
      </c>
      <c r="G303" s="47">
        <f t="shared" si="57"/>
        <v>20215.525911000001</v>
      </c>
      <c r="H303" s="49">
        <f>0</f>
        <v>0</v>
      </c>
      <c r="I303" s="48">
        <f t="shared" si="58"/>
        <v>10215.525911000001</v>
      </c>
      <c r="J303" s="46">
        <f t="shared" si="59"/>
        <v>1.0215525911000001</v>
      </c>
      <c r="K303" s="47">
        <f t="shared" ca="1" si="60"/>
        <v>50.866666666666667</v>
      </c>
      <c r="L303" s="46">
        <f t="shared" ca="1" si="61"/>
        <v>0.24099536880471825</v>
      </c>
      <c r="M303" s="57"/>
      <c r="N303" s="47">
        <f t="shared" si="62"/>
        <v>-10000</v>
      </c>
      <c r="O303" s="51" t="s">
        <v>64</v>
      </c>
    </row>
    <row r="304" spans="1:15" s="75" customFormat="1" x14ac:dyDescent="0.3">
      <c r="A304" s="51" t="s">
        <v>98</v>
      </c>
      <c r="B304" s="50">
        <v>44708</v>
      </c>
      <c r="C304" s="47">
        <v>10000</v>
      </c>
      <c r="D304" s="47">
        <f t="shared" si="56"/>
        <v>67.077179002159895</v>
      </c>
      <c r="E304" s="48">
        <f>149.082</f>
        <v>149.08199999999999</v>
      </c>
      <c r="F304" s="37">
        <f>VLOOKUP("INF174K01DS9", [1]NAVAll!B$1:E$501244,4,FALSE)</f>
        <v>145.53700000000001</v>
      </c>
      <c r="G304" s="47">
        <f t="shared" si="57"/>
        <v>21696.947034000001</v>
      </c>
      <c r="H304" s="49">
        <f>0</f>
        <v>0</v>
      </c>
      <c r="I304" s="48">
        <f t="shared" si="58"/>
        <v>11696.947034000001</v>
      </c>
      <c r="J304" s="46">
        <f t="shared" si="59"/>
        <v>1.1696947034</v>
      </c>
      <c r="K304" s="47">
        <f t="shared" ca="1" si="60"/>
        <v>49.866666666666667</v>
      </c>
      <c r="L304" s="46">
        <f t="shared" ca="1" si="61"/>
        <v>0.28147733504278072</v>
      </c>
      <c r="M304" s="57"/>
      <c r="N304" s="47">
        <f t="shared" si="62"/>
        <v>-10000</v>
      </c>
      <c r="O304" s="51" t="s">
        <v>64</v>
      </c>
    </row>
    <row r="305" spans="1:15" s="75" customFormat="1" x14ac:dyDescent="0.3">
      <c r="A305" s="51" t="s">
        <v>98</v>
      </c>
      <c r="B305" s="50">
        <v>44739</v>
      </c>
      <c r="C305" s="47">
        <v>10000</v>
      </c>
      <c r="D305" s="47">
        <f t="shared" si="56"/>
        <v>65.734118636937325</v>
      </c>
      <c r="E305" s="48">
        <f>152.128</f>
        <v>152.12799999999999</v>
      </c>
      <c r="F305" s="37">
        <f>VLOOKUP("INF174K01DS9", [1]NAVAll!B$1:E$501244,4,FALSE)</f>
        <v>145.53700000000001</v>
      </c>
      <c r="G305" s="47">
        <f t="shared" si="57"/>
        <v>22140.252735999999</v>
      </c>
      <c r="H305" s="49">
        <f>0</f>
        <v>0</v>
      </c>
      <c r="I305" s="48">
        <f t="shared" si="58"/>
        <v>12140.252735999999</v>
      </c>
      <c r="J305" s="46">
        <f t="shared" si="59"/>
        <v>1.2140252735999999</v>
      </c>
      <c r="K305" s="47">
        <f t="shared" ca="1" si="60"/>
        <v>48.866666666666667</v>
      </c>
      <c r="L305" s="46">
        <f t="shared" ca="1" si="61"/>
        <v>0.29812353239836287</v>
      </c>
      <c r="M305" s="57"/>
      <c r="N305" s="47">
        <f t="shared" si="62"/>
        <v>-10000</v>
      </c>
      <c r="O305" s="51" t="s">
        <v>64</v>
      </c>
    </row>
    <row r="306" spans="1:15" s="75" customFormat="1" x14ac:dyDescent="0.3">
      <c r="A306" s="51" t="s">
        <v>98</v>
      </c>
      <c r="B306" s="50">
        <v>44769</v>
      </c>
      <c r="C306" s="47">
        <v>10000</v>
      </c>
      <c r="D306" s="47">
        <f t="shared" si="56"/>
        <v>71.296672584290505</v>
      </c>
      <c r="E306" s="48">
        <f>140.259</f>
        <v>140.25899999999999</v>
      </c>
      <c r="F306" s="37">
        <f>VLOOKUP("INF174K01DS9", [1]NAVAll!B$1:E$501244,4,FALSE)</f>
        <v>145.53700000000001</v>
      </c>
      <c r="G306" s="47">
        <f t="shared" si="57"/>
        <v>20412.874082999999</v>
      </c>
      <c r="H306" s="49">
        <f>0</f>
        <v>0</v>
      </c>
      <c r="I306" s="48">
        <f t="shared" si="58"/>
        <v>10412.874082999999</v>
      </c>
      <c r="J306" s="46">
        <f t="shared" si="59"/>
        <v>1.0412874082999999</v>
      </c>
      <c r="K306" s="47">
        <f t="shared" ca="1" si="60"/>
        <v>47.866666666666667</v>
      </c>
      <c r="L306" s="46">
        <f t="shared" ca="1" si="61"/>
        <v>0.26104698258217268</v>
      </c>
      <c r="M306" s="57"/>
      <c r="N306" s="47">
        <f t="shared" si="62"/>
        <v>-10000</v>
      </c>
      <c r="O306" s="51" t="s">
        <v>64</v>
      </c>
    </row>
    <row r="307" spans="1:15" s="75" customFormat="1" x14ac:dyDescent="0.3">
      <c r="A307" s="51" t="s">
        <v>98</v>
      </c>
      <c r="B307" s="50">
        <v>44802</v>
      </c>
      <c r="C307" s="47">
        <v>10000</v>
      </c>
      <c r="D307" s="47">
        <f t="shared" si="56"/>
        <v>75.47397657287766</v>
      </c>
      <c r="E307" s="48">
        <f>132.496</f>
        <v>132.49600000000001</v>
      </c>
      <c r="F307" s="37">
        <f>VLOOKUP("INF174K01DS9", [1]NAVAll!B$1:E$501244,4,FALSE)</f>
        <v>145.53700000000001</v>
      </c>
      <c r="G307" s="47">
        <f t="shared" si="57"/>
        <v>19283.070352000002</v>
      </c>
      <c r="H307" s="49">
        <f>0</f>
        <v>0</v>
      </c>
      <c r="I307" s="48">
        <f t="shared" si="58"/>
        <v>9283.0703520000025</v>
      </c>
      <c r="J307" s="46">
        <f t="shared" si="59"/>
        <v>0.92830703520000024</v>
      </c>
      <c r="K307" s="47">
        <f t="shared" ca="1" si="60"/>
        <v>46.8</v>
      </c>
      <c r="L307" s="46">
        <f t="shared" ca="1" si="61"/>
        <v>0.23802744492307698</v>
      </c>
      <c r="M307" s="57"/>
      <c r="N307" s="47">
        <f t="shared" si="62"/>
        <v>-10000</v>
      </c>
      <c r="O307" s="51" t="s">
        <v>64</v>
      </c>
    </row>
    <row r="308" spans="1:15" s="75" customFormat="1" x14ac:dyDescent="0.3">
      <c r="A308" s="51" t="s">
        <v>98</v>
      </c>
      <c r="B308" s="50">
        <v>44831</v>
      </c>
      <c r="C308" s="47">
        <v>10000</v>
      </c>
      <c r="D308" s="47">
        <f t="shared" si="56"/>
        <v>74.556760061434773</v>
      </c>
      <c r="E308" s="48">
        <f>134.126</f>
        <v>134.126</v>
      </c>
      <c r="F308" s="37">
        <f>VLOOKUP("INF174K01DS9", [1]NAVAll!B$1:E$501244,4,FALSE)</f>
        <v>145.53700000000001</v>
      </c>
      <c r="G308" s="47">
        <f t="shared" si="57"/>
        <v>19520.295662</v>
      </c>
      <c r="H308" s="49">
        <f>0</f>
        <v>0</v>
      </c>
      <c r="I308" s="48">
        <f t="shared" si="58"/>
        <v>9520.2956620000004</v>
      </c>
      <c r="J308" s="46">
        <f t="shared" si="59"/>
        <v>0.95202956620000001</v>
      </c>
      <c r="K308" s="47">
        <f t="shared" ca="1" si="60"/>
        <v>45.866666666666667</v>
      </c>
      <c r="L308" s="46">
        <f t="shared" ca="1" si="61"/>
        <v>0.24907750278488369</v>
      </c>
      <c r="M308" s="57"/>
      <c r="N308" s="47">
        <f t="shared" si="62"/>
        <v>-10000</v>
      </c>
      <c r="O308" s="51" t="s">
        <v>64</v>
      </c>
    </row>
    <row r="309" spans="1:15" s="75" customFormat="1" x14ac:dyDescent="0.3">
      <c r="A309" s="51" t="s">
        <v>98</v>
      </c>
      <c r="B309" s="50">
        <v>44861</v>
      </c>
      <c r="C309" s="47">
        <v>10000</v>
      </c>
      <c r="D309" s="47">
        <f t="shared" si="56"/>
        <v>75.811562779555132</v>
      </c>
      <c r="E309" s="48">
        <f>131.906</f>
        <v>131.90600000000001</v>
      </c>
      <c r="F309" s="37">
        <f>VLOOKUP("INF174K01DS9", [1]NAVAll!B$1:E$501244,4,FALSE)</f>
        <v>145.53700000000001</v>
      </c>
      <c r="G309" s="47">
        <f t="shared" si="57"/>
        <v>19197.203522000003</v>
      </c>
      <c r="H309" s="49">
        <f>0</f>
        <v>0</v>
      </c>
      <c r="I309" s="48">
        <f t="shared" si="58"/>
        <v>9197.2035220000034</v>
      </c>
      <c r="J309" s="46">
        <f t="shared" si="59"/>
        <v>0.91972035220000037</v>
      </c>
      <c r="K309" s="47">
        <f t="shared" ca="1" si="60"/>
        <v>44.866666666666667</v>
      </c>
      <c r="L309" s="46">
        <f t="shared" ca="1" si="61"/>
        <v>0.24598761277265982</v>
      </c>
      <c r="M309" s="57"/>
      <c r="N309" s="47">
        <f t="shared" si="62"/>
        <v>-10000</v>
      </c>
      <c r="O309" s="51" t="s">
        <v>64</v>
      </c>
    </row>
    <row r="310" spans="1:15" s="75" customFormat="1" x14ac:dyDescent="0.3">
      <c r="A310" s="51" t="s">
        <v>98</v>
      </c>
      <c r="B310" s="50">
        <v>44893</v>
      </c>
      <c r="C310" s="47">
        <v>10000</v>
      </c>
      <c r="D310" s="47">
        <f t="shared" si="56"/>
        <v>77.140851480718638</v>
      </c>
      <c r="E310" s="48">
        <f>129.633</f>
        <v>129.63300000000001</v>
      </c>
      <c r="F310" s="37">
        <f>VLOOKUP("INF174K01DS9", [1]NAVAll!B$1:E$501244,4,FALSE)</f>
        <v>145.53700000000001</v>
      </c>
      <c r="G310" s="47">
        <f t="shared" si="57"/>
        <v>18866.397921000003</v>
      </c>
      <c r="H310" s="49">
        <f>0</f>
        <v>0</v>
      </c>
      <c r="I310" s="48">
        <f t="shared" si="58"/>
        <v>8866.3979210000034</v>
      </c>
      <c r="J310" s="46">
        <f t="shared" si="59"/>
        <v>0.88663979210000032</v>
      </c>
      <c r="K310" s="47">
        <f t="shared" ca="1" si="60"/>
        <v>43.833333333333336</v>
      </c>
      <c r="L310" s="46">
        <f t="shared" ca="1" si="61"/>
        <v>0.24273028528973389</v>
      </c>
      <c r="M310" s="57"/>
      <c r="N310" s="47">
        <f t="shared" si="62"/>
        <v>-10000</v>
      </c>
      <c r="O310" s="51" t="s">
        <v>64</v>
      </c>
    </row>
    <row r="311" spans="1:15" s="75" customFormat="1" x14ac:dyDescent="0.3">
      <c r="A311" s="51" t="s">
        <v>98</v>
      </c>
      <c r="B311" s="50">
        <v>44922</v>
      </c>
      <c r="C311" s="47">
        <v>10000</v>
      </c>
      <c r="D311" s="47">
        <f t="shared" si="56"/>
        <v>75.980913594505068</v>
      </c>
      <c r="E311" s="48">
        <f>131.612</f>
        <v>131.61199999999999</v>
      </c>
      <c r="F311" s="37">
        <f>VLOOKUP("INF174K01DS9", [1]NAVAll!B$1:E$501244,4,FALSE)</f>
        <v>145.53700000000001</v>
      </c>
      <c r="G311" s="47">
        <f t="shared" si="57"/>
        <v>19154.415644000001</v>
      </c>
      <c r="H311" s="49">
        <f>0</f>
        <v>0</v>
      </c>
      <c r="I311" s="48">
        <f t="shared" si="58"/>
        <v>9154.4156440000006</v>
      </c>
      <c r="J311" s="46">
        <f t="shared" si="59"/>
        <v>0.91544156440000002</v>
      </c>
      <c r="K311" s="47">
        <f t="shared" ca="1" si="60"/>
        <v>42.866666666666667</v>
      </c>
      <c r="L311" s="46">
        <f t="shared" ca="1" si="61"/>
        <v>0.25626668987869361</v>
      </c>
      <c r="M311" s="57"/>
      <c r="N311" s="47">
        <f t="shared" si="62"/>
        <v>-10000</v>
      </c>
      <c r="O311" s="51" t="s">
        <v>64</v>
      </c>
    </row>
    <row r="312" spans="1:15" s="75" customFormat="1" x14ac:dyDescent="0.3">
      <c r="A312" s="51" t="s">
        <v>98</v>
      </c>
      <c r="B312" s="50">
        <v>44953</v>
      </c>
      <c r="C312" s="47">
        <v>10000</v>
      </c>
      <c r="D312" s="47">
        <f t="shared" si="56"/>
        <v>73.681651058436927</v>
      </c>
      <c r="E312" s="48">
        <f>135.719</f>
        <v>135.71899999999999</v>
      </c>
      <c r="F312" s="37">
        <f>VLOOKUP("INF174K01DS9", [1]NAVAll!B$1:E$501244,4,FALSE)</f>
        <v>145.53700000000001</v>
      </c>
      <c r="G312" s="47">
        <f t="shared" si="57"/>
        <v>19752.136103000001</v>
      </c>
      <c r="H312" s="49">
        <f>0</f>
        <v>0</v>
      </c>
      <c r="I312" s="48">
        <f t="shared" si="58"/>
        <v>9752.1361030000007</v>
      </c>
      <c r="J312" s="46">
        <f t="shared" si="59"/>
        <v>0.97521361030000009</v>
      </c>
      <c r="K312" s="47">
        <f t="shared" ca="1" si="60"/>
        <v>41.866666666666667</v>
      </c>
      <c r="L312" s="46">
        <f t="shared" ca="1" si="61"/>
        <v>0.27951982460828029</v>
      </c>
      <c r="M312" s="57"/>
      <c r="N312" s="47">
        <f t="shared" si="62"/>
        <v>-10000</v>
      </c>
      <c r="O312" s="51" t="s">
        <v>64</v>
      </c>
    </row>
    <row r="313" spans="1:15" s="75" customFormat="1" x14ac:dyDescent="0.3">
      <c r="A313" s="51" t="s">
        <v>98</v>
      </c>
      <c r="B313" s="50">
        <v>44984</v>
      </c>
      <c r="C313" s="47">
        <v>10000</v>
      </c>
      <c r="D313" s="47">
        <f t="shared" si="56"/>
        <v>75.06380423359856</v>
      </c>
      <c r="E313" s="48">
        <f>133.22</f>
        <v>133.22</v>
      </c>
      <c r="F313" s="37">
        <f>VLOOKUP("INF174K01DS9", [1]NAVAll!B$1:E$501244,4,FALSE)</f>
        <v>145.53700000000001</v>
      </c>
      <c r="G313" s="47">
        <f t="shared" si="57"/>
        <v>19388.439140000002</v>
      </c>
      <c r="H313" s="49">
        <f>0</f>
        <v>0</v>
      </c>
      <c r="I313" s="48">
        <f t="shared" si="58"/>
        <v>9388.4391400000022</v>
      </c>
      <c r="J313" s="46">
        <f t="shared" si="59"/>
        <v>0.93884391400000022</v>
      </c>
      <c r="K313" s="47">
        <f t="shared" ca="1" si="60"/>
        <v>40.866666666666667</v>
      </c>
      <c r="L313" s="46">
        <f t="shared" ca="1" si="61"/>
        <v>0.27568010525285486</v>
      </c>
      <c r="M313" s="57"/>
      <c r="N313" s="47">
        <f t="shared" si="62"/>
        <v>-10000</v>
      </c>
      <c r="O313" s="51" t="s">
        <v>64</v>
      </c>
    </row>
    <row r="314" spans="1:15" s="75" customFormat="1" x14ac:dyDescent="0.3">
      <c r="A314" s="51" t="s">
        <v>98</v>
      </c>
      <c r="B314" s="50">
        <v>45012</v>
      </c>
      <c r="C314" s="47">
        <v>10000</v>
      </c>
      <c r="D314" s="47">
        <f t="shared" si="56"/>
        <v>72.864522992400225</v>
      </c>
      <c r="E314" s="48">
        <f>137.241</f>
        <v>137.24100000000001</v>
      </c>
      <c r="F314" s="37">
        <f>VLOOKUP("INF174K01DS9", [1]NAVAll!B$1:E$501244,4,FALSE)</f>
        <v>145.53700000000001</v>
      </c>
      <c r="G314" s="47">
        <f t="shared" si="57"/>
        <v>19973.643417000003</v>
      </c>
      <c r="H314" s="49">
        <f>0</f>
        <v>0</v>
      </c>
      <c r="I314" s="48">
        <f t="shared" si="58"/>
        <v>9973.643417000003</v>
      </c>
      <c r="J314" s="46">
        <f t="shared" si="59"/>
        <v>0.99736434170000032</v>
      </c>
      <c r="K314" s="47">
        <f t="shared" ca="1" si="60"/>
        <v>39.866666666666667</v>
      </c>
      <c r="L314" s="46">
        <f t="shared" ca="1" si="61"/>
        <v>0.30021000251839475</v>
      </c>
      <c r="M314" s="57"/>
      <c r="N314" s="47">
        <f t="shared" si="62"/>
        <v>-10000</v>
      </c>
      <c r="O314" s="51" t="s">
        <v>64</v>
      </c>
    </row>
    <row r="315" spans="1:15" s="75" customFormat="1" x14ac:dyDescent="0.3">
      <c r="A315" s="51" t="s">
        <v>98</v>
      </c>
      <c r="B315" s="50">
        <v>45043</v>
      </c>
      <c r="C315" s="47">
        <v>10000</v>
      </c>
      <c r="D315" s="47">
        <f t="shared" si="56"/>
        <v>75.849514563106794</v>
      </c>
      <c r="E315" s="48">
        <f>131.84</f>
        <v>131.84</v>
      </c>
      <c r="F315" s="37">
        <f>VLOOKUP("INF174K01DS9", [1]NAVAll!B$1:E$501244,4,FALSE)</f>
        <v>145.53700000000001</v>
      </c>
      <c r="G315" s="47">
        <f t="shared" si="57"/>
        <v>19187.59808</v>
      </c>
      <c r="H315" s="49">
        <f>0</f>
        <v>0</v>
      </c>
      <c r="I315" s="48">
        <f t="shared" si="58"/>
        <v>9187.5980799999998</v>
      </c>
      <c r="J315" s="46">
        <f t="shared" si="59"/>
        <v>0.91875980800000001</v>
      </c>
      <c r="K315" s="47">
        <f t="shared" ca="1" si="60"/>
        <v>38.866666666666667</v>
      </c>
      <c r="L315" s="46">
        <f t="shared" ca="1" si="61"/>
        <v>0.28366512082332762</v>
      </c>
      <c r="M315" s="57"/>
      <c r="N315" s="47">
        <f t="shared" si="62"/>
        <v>-10000</v>
      </c>
      <c r="O315" s="51" t="s">
        <v>64</v>
      </c>
    </row>
    <row r="316" spans="1:15" s="75" customFormat="1" x14ac:dyDescent="0.3">
      <c r="A316" s="51" t="s">
        <v>98</v>
      </c>
      <c r="B316" s="50">
        <v>45075</v>
      </c>
      <c r="C316" s="47">
        <v>10000</v>
      </c>
      <c r="D316" s="47">
        <f t="shared" si="56"/>
        <v>79.641929883244927</v>
      </c>
      <c r="E316" s="48">
        <f>125.562</f>
        <v>125.562</v>
      </c>
      <c r="F316" s="37">
        <f>VLOOKUP("INF174K01DS9", [1]NAVAll!B$1:E$501244,4,FALSE)</f>
        <v>145.53700000000001</v>
      </c>
      <c r="G316" s="47">
        <f t="shared" si="57"/>
        <v>18273.916794000001</v>
      </c>
      <c r="H316" s="49">
        <f>0</f>
        <v>0</v>
      </c>
      <c r="I316" s="48">
        <f t="shared" si="58"/>
        <v>8273.9167940000007</v>
      </c>
      <c r="J316" s="46">
        <f t="shared" si="59"/>
        <v>0.82739167940000002</v>
      </c>
      <c r="K316" s="47">
        <f t="shared" ca="1" si="60"/>
        <v>37.799999999999997</v>
      </c>
      <c r="L316" s="46">
        <f t="shared" ca="1" si="61"/>
        <v>0.26266402520634924</v>
      </c>
      <c r="M316" s="57"/>
      <c r="N316" s="47">
        <f t="shared" si="62"/>
        <v>-10000</v>
      </c>
      <c r="O316" s="51" t="s">
        <v>64</v>
      </c>
    </row>
    <row r="317" spans="1:15" s="75" customFormat="1" x14ac:dyDescent="0.3">
      <c r="A317" s="51" t="s">
        <v>98</v>
      </c>
      <c r="B317" s="50">
        <v>45104</v>
      </c>
      <c r="C317" s="47">
        <v>10000</v>
      </c>
      <c r="D317" s="47">
        <f t="shared" si="56"/>
        <v>83.218907335746678</v>
      </c>
      <c r="E317" s="48">
        <f>120.165</f>
        <v>120.16500000000001</v>
      </c>
      <c r="F317" s="37">
        <f>VLOOKUP("INF174K01DS9", [1]NAVAll!B$1:E$501244,4,FALSE)</f>
        <v>145.53700000000001</v>
      </c>
      <c r="G317" s="47">
        <f t="shared" si="57"/>
        <v>17488.453605000002</v>
      </c>
      <c r="H317" s="49">
        <f>0</f>
        <v>0</v>
      </c>
      <c r="I317" s="48">
        <f t="shared" si="58"/>
        <v>7488.4536050000024</v>
      </c>
      <c r="J317" s="46">
        <f t="shared" si="59"/>
        <v>0.74884536050000028</v>
      </c>
      <c r="K317" s="47">
        <f t="shared" ca="1" si="60"/>
        <v>36.866666666666667</v>
      </c>
      <c r="L317" s="46">
        <f t="shared" ca="1" si="61"/>
        <v>0.24374713361663661</v>
      </c>
      <c r="M317" s="57"/>
      <c r="N317" s="47">
        <f t="shared" si="62"/>
        <v>-10000</v>
      </c>
      <c r="O317" s="51" t="s">
        <v>64</v>
      </c>
    </row>
    <row r="318" spans="1:15" s="75" customFormat="1" x14ac:dyDescent="0.3">
      <c r="A318" s="51" t="s">
        <v>98</v>
      </c>
      <c r="B318" s="50">
        <v>45134</v>
      </c>
      <c r="C318" s="47">
        <v>10000</v>
      </c>
      <c r="D318" s="47">
        <f t="shared" si="56"/>
        <v>86.150453151383587</v>
      </c>
      <c r="E318" s="48">
        <f>116.076</f>
        <v>116.07599999999999</v>
      </c>
      <c r="F318" s="37">
        <f>VLOOKUP("INF174K01DS9", [1]NAVAll!B$1:E$501244,4,FALSE)</f>
        <v>145.53700000000001</v>
      </c>
      <c r="G318" s="47">
        <f t="shared" si="57"/>
        <v>16893.352812000001</v>
      </c>
      <c r="H318" s="49">
        <f>0</f>
        <v>0</v>
      </c>
      <c r="I318" s="48">
        <f t="shared" si="58"/>
        <v>6893.352812000001</v>
      </c>
      <c r="J318" s="46">
        <f t="shared" si="59"/>
        <v>0.68933528120000009</v>
      </c>
      <c r="K318" s="47">
        <f t="shared" ca="1" si="60"/>
        <v>35.866666666666667</v>
      </c>
      <c r="L318" s="46">
        <f t="shared" ca="1" si="61"/>
        <v>0.23063262196282533</v>
      </c>
      <c r="M318" s="57"/>
      <c r="N318" s="47">
        <f t="shared" si="62"/>
        <v>-10000</v>
      </c>
      <c r="O318" s="51" t="s">
        <v>64</v>
      </c>
    </row>
    <row r="319" spans="1:15" s="75" customFormat="1" x14ac:dyDescent="0.3">
      <c r="A319" s="76" t="s">
        <v>99</v>
      </c>
      <c r="B319" s="77">
        <f ca="1">TODAY()</f>
        <v>46226</v>
      </c>
      <c r="C319" s="78"/>
      <c r="D319" s="78"/>
      <c r="E319" s="79"/>
      <c r="F319" s="80"/>
      <c r="G319" s="78"/>
      <c r="H319" s="80"/>
      <c r="I319" s="79"/>
      <c r="J319" s="81"/>
      <c r="K319" s="78"/>
      <c r="L319" s="81"/>
      <c r="M319" s="82"/>
      <c r="N319" s="78">
        <f>SUM(G279:G318)</f>
        <v>988233.63300900022</v>
      </c>
      <c r="O319" s="51"/>
    </row>
    <row r="320" spans="1:15" s="75" customFormat="1" x14ac:dyDescent="0.3">
      <c r="A320" s="76" t="s">
        <v>100</v>
      </c>
      <c r="B320" s="77"/>
      <c r="C320" s="78"/>
      <c r="D320" s="78"/>
      <c r="E320" s="79"/>
      <c r="F320" s="80"/>
      <c r="G320" s="78"/>
      <c r="H320" s="80"/>
      <c r="I320" s="79"/>
      <c r="J320" s="81">
        <f>SUM(N279:N319)/-SUM(N279:N318)</f>
        <v>1.4705840825225005</v>
      </c>
      <c r="K320" s="78"/>
      <c r="L320" s="81"/>
      <c r="M320" s="82"/>
      <c r="N320" s="78"/>
      <c r="O320" s="51"/>
    </row>
    <row r="321" spans="1:15" s="75" customFormat="1" x14ac:dyDescent="0.3">
      <c r="A321" s="76" t="s">
        <v>101</v>
      </c>
      <c r="B321" s="77"/>
      <c r="C321" s="78"/>
      <c r="D321" s="78"/>
      <c r="E321" s="79"/>
      <c r="F321" s="80"/>
      <c r="G321" s="78"/>
      <c r="H321" s="80"/>
      <c r="I321" s="79"/>
      <c r="J321" s="81">
        <f ca="1">XIRR(N279:N319,B279:B319)</f>
        <v>0.21208377480506899</v>
      </c>
      <c r="K321" s="78"/>
      <c r="L321" s="81"/>
      <c r="M321" s="82"/>
      <c r="N321" s="78"/>
      <c r="O321" s="51"/>
    </row>
    <row r="322" spans="1:15" s="75" customFormat="1" x14ac:dyDescent="0.3">
      <c r="A322" s="51" t="e" vm="43">
        <v>#VALUE!</v>
      </c>
      <c r="B322" s="50">
        <v>44186</v>
      </c>
      <c r="C322" s="47">
        <v>18.259</v>
      </c>
      <c r="D322" s="47">
        <f t="shared" ref="D322:D353" si="63">C322/E322</f>
        <v>58.9</v>
      </c>
      <c r="E322" s="48">
        <v>0.31</v>
      </c>
      <c r="F322" s="37">
        <f>VLOOKUP("INF769K01010", [1]NAVAll!B$1:E$501244,4,FALSE)</f>
        <v>111.215</v>
      </c>
      <c r="G322" s="47">
        <f t="shared" ref="G322:G353" si="64">PRODUCT(E322:F322)</f>
        <v>34.476649999999999</v>
      </c>
      <c r="H322" s="49">
        <f>0</f>
        <v>0</v>
      </c>
      <c r="I322" s="48">
        <f t="shared" ref="I322:I352" si="65">SUM(-C322,G322)+H322</f>
        <v>16.217649999999999</v>
      </c>
      <c r="J322" s="46">
        <f t="shared" ref="J322:J352" si="66">I322/C322</f>
        <v>0.8882003395585738</v>
      </c>
      <c r="K322" s="47">
        <f t="shared" ref="K322:K352" ca="1" si="67">(DAYS360(B322,NOW(),TRUE))/30</f>
        <v>67.066666666666663</v>
      </c>
      <c r="L322" s="46">
        <f t="shared" ref="L322:L352" ca="1" si="68">J322*12/K322</f>
        <v>0.15892252596475478</v>
      </c>
      <c r="M322" s="57"/>
      <c r="N322" s="47">
        <f t="shared" ref="N322:N352" si="69">-C322</f>
        <v>-18.259</v>
      </c>
      <c r="O322" s="51" t="s">
        <v>102</v>
      </c>
    </row>
    <row r="323" spans="1:15" s="75" customFormat="1" x14ac:dyDescent="0.3">
      <c r="A323" s="51" t="e" vm="43">
        <v>#VALUE!</v>
      </c>
      <c r="B323" s="50">
        <v>44217</v>
      </c>
      <c r="C323" s="47">
        <v>2500</v>
      </c>
      <c r="D323" s="47">
        <f t="shared" si="63"/>
        <v>64.835706320184656</v>
      </c>
      <c r="E323" s="48">
        <f>38.559</f>
        <v>38.558999999999997</v>
      </c>
      <c r="F323" s="37">
        <f>VLOOKUP("INF769K01010", [1]NAVAll!B$1:E$501244,4,FALSE)</f>
        <v>111.215</v>
      </c>
      <c r="G323" s="47">
        <f t="shared" si="64"/>
        <v>4288.3391849999998</v>
      </c>
      <c r="H323" s="49">
        <f>0</f>
        <v>0</v>
      </c>
      <c r="I323" s="48">
        <f t="shared" si="65"/>
        <v>1788.3391849999998</v>
      </c>
      <c r="J323" s="46">
        <f t="shared" si="66"/>
        <v>0.71533567399999998</v>
      </c>
      <c r="K323" s="47">
        <f t="shared" ca="1" si="67"/>
        <v>66.066666666666663</v>
      </c>
      <c r="L323" s="46">
        <f t="shared" ca="1" si="68"/>
        <v>0.12992978942482342</v>
      </c>
      <c r="M323" s="57"/>
      <c r="N323" s="47">
        <f t="shared" si="69"/>
        <v>-2500</v>
      </c>
      <c r="O323" s="51" t="s">
        <v>102</v>
      </c>
    </row>
    <row r="324" spans="1:15" s="75" customFormat="1" x14ac:dyDescent="0.3">
      <c r="A324" s="51" t="e" vm="43">
        <v>#VALUE!</v>
      </c>
      <c r="B324" s="50">
        <v>44249</v>
      </c>
      <c r="C324" s="47">
        <v>2500</v>
      </c>
      <c r="D324" s="47">
        <f t="shared" si="63"/>
        <v>65.379988493122028</v>
      </c>
      <c r="E324" s="48">
        <f>38.238</f>
        <v>38.238</v>
      </c>
      <c r="F324" s="37">
        <f>VLOOKUP("INF769K01010", [1]NAVAll!B$1:E$501244,4,FALSE)</f>
        <v>111.215</v>
      </c>
      <c r="G324" s="47">
        <f t="shared" si="64"/>
        <v>4252.6391700000004</v>
      </c>
      <c r="H324" s="49">
        <f>0</f>
        <v>0</v>
      </c>
      <c r="I324" s="48">
        <f t="shared" si="65"/>
        <v>1752.6391700000004</v>
      </c>
      <c r="J324" s="46">
        <f t="shared" si="66"/>
        <v>0.70105566800000019</v>
      </c>
      <c r="K324" s="47">
        <f t="shared" ca="1" si="67"/>
        <v>65.033333333333331</v>
      </c>
      <c r="L324" s="46">
        <f t="shared" ca="1" si="68"/>
        <v>0.1293593236699129</v>
      </c>
      <c r="M324" s="57"/>
      <c r="N324" s="47">
        <f t="shared" si="69"/>
        <v>-2500</v>
      </c>
      <c r="O324" s="51" t="s">
        <v>102</v>
      </c>
    </row>
    <row r="325" spans="1:15" s="75" customFormat="1" x14ac:dyDescent="0.3">
      <c r="A325" s="51" t="e" vm="43">
        <v>#VALUE!</v>
      </c>
      <c r="B325" s="50">
        <v>44277</v>
      </c>
      <c r="C325" s="47">
        <v>2500</v>
      </c>
      <c r="D325" s="47">
        <f t="shared" si="63"/>
        <v>65.475878686291964</v>
      </c>
      <c r="E325" s="48">
        <f>38.182</f>
        <v>38.182000000000002</v>
      </c>
      <c r="F325" s="37">
        <f>VLOOKUP("INF769K01010", [1]NAVAll!B$1:E$501244,4,FALSE)</f>
        <v>111.215</v>
      </c>
      <c r="G325" s="47">
        <f t="shared" si="64"/>
        <v>4246.4111300000004</v>
      </c>
      <c r="H325" s="49">
        <f>0</f>
        <v>0</v>
      </c>
      <c r="I325" s="48">
        <f t="shared" si="65"/>
        <v>1746.4111300000004</v>
      </c>
      <c r="J325" s="46">
        <f t="shared" si="66"/>
        <v>0.69856445200000017</v>
      </c>
      <c r="K325" s="47">
        <f t="shared" ca="1" si="67"/>
        <v>64.033333333333331</v>
      </c>
      <c r="L325" s="46">
        <f t="shared" ca="1" si="68"/>
        <v>0.13091265107756381</v>
      </c>
      <c r="M325" s="57"/>
      <c r="N325" s="47">
        <f t="shared" si="69"/>
        <v>-2500</v>
      </c>
      <c r="O325" s="51" t="s">
        <v>102</v>
      </c>
    </row>
    <row r="326" spans="1:15" s="75" customFormat="1" x14ac:dyDescent="0.3">
      <c r="A326" s="51" t="e" vm="43">
        <v>#VALUE!</v>
      </c>
      <c r="B326" s="50">
        <v>44308</v>
      </c>
      <c r="C326" s="47">
        <v>2500</v>
      </c>
      <c r="D326" s="47">
        <f t="shared" si="63"/>
        <v>64.249184035362745</v>
      </c>
      <c r="E326" s="48">
        <f>38.911</f>
        <v>38.911000000000001</v>
      </c>
      <c r="F326" s="37">
        <f>VLOOKUP("INF769K01010", [1]NAVAll!B$1:E$501244,4,FALSE)</f>
        <v>111.215</v>
      </c>
      <c r="G326" s="47">
        <f t="shared" si="64"/>
        <v>4327.4868649999999</v>
      </c>
      <c r="H326" s="49">
        <f>0</f>
        <v>0</v>
      </c>
      <c r="I326" s="48">
        <f t="shared" si="65"/>
        <v>1827.4868649999999</v>
      </c>
      <c r="J326" s="46">
        <f t="shared" si="66"/>
        <v>0.73099474599999992</v>
      </c>
      <c r="K326" s="47">
        <f t="shared" ca="1" si="67"/>
        <v>63.033333333333331</v>
      </c>
      <c r="L326" s="46">
        <f t="shared" ca="1" si="68"/>
        <v>0.13916346301427815</v>
      </c>
      <c r="M326" s="57"/>
      <c r="N326" s="47">
        <f t="shared" si="69"/>
        <v>-2500</v>
      </c>
      <c r="O326" s="51" t="s">
        <v>102</v>
      </c>
    </row>
    <row r="327" spans="1:15" s="75" customFormat="1" x14ac:dyDescent="0.3">
      <c r="A327" s="51" t="e" vm="43">
        <v>#VALUE!</v>
      </c>
      <c r="B327" s="50">
        <v>44337</v>
      </c>
      <c r="C327" s="47">
        <v>2500</v>
      </c>
      <c r="D327" s="47">
        <f t="shared" si="63"/>
        <v>67.626054966457474</v>
      </c>
      <c r="E327" s="48">
        <f>36.968</f>
        <v>36.968000000000004</v>
      </c>
      <c r="F327" s="37">
        <f>VLOOKUP("INF769K01010", [1]NAVAll!B$1:E$501244,4,FALSE)</f>
        <v>111.215</v>
      </c>
      <c r="G327" s="47">
        <f t="shared" si="64"/>
        <v>4111.3961200000003</v>
      </c>
      <c r="H327" s="49">
        <f>0</f>
        <v>0</v>
      </c>
      <c r="I327" s="48">
        <f t="shared" si="65"/>
        <v>1611.3961200000003</v>
      </c>
      <c r="J327" s="46">
        <f t="shared" si="66"/>
        <v>0.64455844800000017</v>
      </c>
      <c r="K327" s="47">
        <f t="shared" ca="1" si="67"/>
        <v>62.06666666666667</v>
      </c>
      <c r="L327" s="46">
        <f t="shared" ca="1" si="68"/>
        <v>0.12461924880773365</v>
      </c>
      <c r="M327" s="57"/>
      <c r="N327" s="47">
        <f t="shared" si="69"/>
        <v>-2500</v>
      </c>
      <c r="O327" s="51" t="s">
        <v>102</v>
      </c>
    </row>
    <row r="328" spans="1:15" s="75" customFormat="1" x14ac:dyDescent="0.3">
      <c r="A328" s="51" t="e" vm="43">
        <v>#VALUE!</v>
      </c>
      <c r="B328" s="50">
        <v>44368</v>
      </c>
      <c r="C328" s="47">
        <v>2500</v>
      </c>
      <c r="D328" s="47">
        <f t="shared" si="63"/>
        <v>70.613490001129804</v>
      </c>
      <c r="E328" s="48">
        <f>35.404</f>
        <v>35.404000000000003</v>
      </c>
      <c r="F328" s="37">
        <f>VLOOKUP("INF769K01010", [1]NAVAll!B$1:E$501244,4,FALSE)</f>
        <v>111.215</v>
      </c>
      <c r="G328" s="47">
        <f t="shared" si="64"/>
        <v>3937.4558600000005</v>
      </c>
      <c r="H328" s="49">
        <f>0</f>
        <v>0</v>
      </c>
      <c r="I328" s="48">
        <f t="shared" si="65"/>
        <v>1437.4558600000005</v>
      </c>
      <c r="J328" s="46">
        <f t="shared" si="66"/>
        <v>0.57498234400000015</v>
      </c>
      <c r="K328" s="47">
        <f t="shared" ca="1" si="67"/>
        <v>61.06666666666667</v>
      </c>
      <c r="L328" s="46">
        <f t="shared" ca="1" si="68"/>
        <v>0.11298779685589522</v>
      </c>
      <c r="M328" s="57"/>
      <c r="N328" s="47">
        <f t="shared" si="69"/>
        <v>-2500</v>
      </c>
      <c r="O328" s="51" t="s">
        <v>102</v>
      </c>
    </row>
    <row r="329" spans="1:15" s="75" customFormat="1" x14ac:dyDescent="0.3">
      <c r="A329" s="51" t="e" vm="43">
        <v>#VALUE!</v>
      </c>
      <c r="B329" s="50">
        <v>44399</v>
      </c>
      <c r="C329" s="47">
        <v>2500</v>
      </c>
      <c r="D329" s="47">
        <f t="shared" si="63"/>
        <v>72.233458537994807</v>
      </c>
      <c r="E329" s="48">
        <f>34.61</f>
        <v>34.61</v>
      </c>
      <c r="F329" s="37">
        <f>VLOOKUP("INF769K01010", [1]NAVAll!B$1:E$501244,4,FALSE)</f>
        <v>111.215</v>
      </c>
      <c r="G329" s="47">
        <f t="shared" si="64"/>
        <v>3849.1511500000001</v>
      </c>
      <c r="H329" s="49">
        <f>0</f>
        <v>0</v>
      </c>
      <c r="I329" s="48">
        <f t="shared" si="65"/>
        <v>1349.1511500000001</v>
      </c>
      <c r="J329" s="46">
        <f t="shared" si="66"/>
        <v>0.53966046000000001</v>
      </c>
      <c r="K329" s="47">
        <f t="shared" ca="1" si="67"/>
        <v>60.033333333333331</v>
      </c>
      <c r="L329" s="46">
        <f t="shared" ca="1" si="68"/>
        <v>0.10787216302054416</v>
      </c>
      <c r="M329" s="57"/>
      <c r="N329" s="47">
        <f t="shared" si="69"/>
        <v>-2500</v>
      </c>
      <c r="O329" s="51" t="s">
        <v>102</v>
      </c>
    </row>
    <row r="330" spans="1:15" s="75" customFormat="1" x14ac:dyDescent="0.3">
      <c r="A330" s="51" t="e" vm="43">
        <v>#VALUE!</v>
      </c>
      <c r="B330" s="50">
        <v>44431</v>
      </c>
      <c r="C330" s="47">
        <v>2500</v>
      </c>
      <c r="D330" s="47">
        <f t="shared" si="63"/>
        <v>74.115798523613293</v>
      </c>
      <c r="E330" s="48">
        <f>33.731</f>
        <v>33.731000000000002</v>
      </c>
      <c r="F330" s="37">
        <f>VLOOKUP("INF769K01010", [1]NAVAll!B$1:E$501244,4,FALSE)</f>
        <v>111.215</v>
      </c>
      <c r="G330" s="47">
        <f t="shared" si="64"/>
        <v>3751.3931650000004</v>
      </c>
      <c r="H330" s="49">
        <f>0</f>
        <v>0</v>
      </c>
      <c r="I330" s="48">
        <f t="shared" si="65"/>
        <v>1251.3931650000004</v>
      </c>
      <c r="J330" s="46">
        <f t="shared" si="66"/>
        <v>0.50055726600000017</v>
      </c>
      <c r="K330" s="47">
        <f t="shared" ca="1" si="67"/>
        <v>59</v>
      </c>
      <c r="L330" s="46">
        <f t="shared" ca="1" si="68"/>
        <v>0.10180825749152546</v>
      </c>
      <c r="M330" s="57"/>
      <c r="N330" s="47">
        <f t="shared" si="69"/>
        <v>-2500</v>
      </c>
      <c r="O330" s="51" t="s">
        <v>102</v>
      </c>
    </row>
    <row r="331" spans="1:15" s="75" customFormat="1" x14ac:dyDescent="0.3">
      <c r="A331" s="51" t="e" vm="43">
        <v>#VALUE!</v>
      </c>
      <c r="B331" s="50">
        <v>44460</v>
      </c>
      <c r="C331" s="47">
        <v>2500</v>
      </c>
      <c r="D331" s="47">
        <f t="shared" si="63"/>
        <v>79.146484313166809</v>
      </c>
      <c r="E331" s="48">
        <f>31.587</f>
        <v>31.587</v>
      </c>
      <c r="F331" s="37">
        <f>VLOOKUP("INF769K01010", [1]NAVAll!B$1:E$501244,4,FALSE)</f>
        <v>111.215</v>
      </c>
      <c r="G331" s="47">
        <f t="shared" si="64"/>
        <v>3512.9482050000001</v>
      </c>
      <c r="H331" s="49">
        <f>0</f>
        <v>0</v>
      </c>
      <c r="I331" s="48">
        <f t="shared" si="65"/>
        <v>1012.9482050000001</v>
      </c>
      <c r="J331" s="46">
        <f t="shared" si="66"/>
        <v>0.40517928200000008</v>
      </c>
      <c r="K331" s="47">
        <f t="shared" ca="1" si="67"/>
        <v>58.06666666666667</v>
      </c>
      <c r="L331" s="46">
        <f t="shared" ca="1" si="68"/>
        <v>8.3733950355912745E-2</v>
      </c>
      <c r="M331" s="57"/>
      <c r="N331" s="47">
        <f t="shared" si="69"/>
        <v>-2500</v>
      </c>
      <c r="O331" s="51" t="s">
        <v>102</v>
      </c>
    </row>
    <row r="332" spans="1:15" s="75" customFormat="1" x14ac:dyDescent="0.3">
      <c r="A332" s="51" t="e" vm="43">
        <v>#VALUE!</v>
      </c>
      <c r="B332" s="50">
        <v>44490</v>
      </c>
      <c r="C332" s="47">
        <v>2500</v>
      </c>
      <c r="D332" s="47">
        <f t="shared" si="63"/>
        <v>81.579376733561759</v>
      </c>
      <c r="E332" s="48">
        <f>30.645</f>
        <v>30.645</v>
      </c>
      <c r="F332" s="37">
        <f>VLOOKUP("INF769K01010", [1]NAVAll!B$1:E$501244,4,FALSE)</f>
        <v>111.215</v>
      </c>
      <c r="G332" s="47">
        <f t="shared" si="64"/>
        <v>3408.1836750000002</v>
      </c>
      <c r="H332" s="49">
        <f>0</f>
        <v>0</v>
      </c>
      <c r="I332" s="48">
        <f t="shared" si="65"/>
        <v>908.18367500000022</v>
      </c>
      <c r="J332" s="46">
        <f t="shared" si="66"/>
        <v>0.3632734700000001</v>
      </c>
      <c r="K332" s="47">
        <f t="shared" ca="1" si="67"/>
        <v>57.06666666666667</v>
      </c>
      <c r="L332" s="46">
        <f t="shared" ca="1" si="68"/>
        <v>7.6389281074766363E-2</v>
      </c>
      <c r="M332" s="57"/>
      <c r="N332" s="47">
        <f t="shared" si="69"/>
        <v>-2500</v>
      </c>
      <c r="O332" s="51" t="s">
        <v>102</v>
      </c>
    </row>
    <row r="333" spans="1:15" s="75" customFormat="1" x14ac:dyDescent="0.3">
      <c r="A333" s="51" t="e" vm="43">
        <v>#VALUE!</v>
      </c>
      <c r="B333" s="50">
        <v>44522</v>
      </c>
      <c r="C333" s="47">
        <v>2500</v>
      </c>
      <c r="D333" s="47">
        <f t="shared" si="63"/>
        <v>78.574347047176033</v>
      </c>
      <c r="E333" s="48">
        <f>31.817</f>
        <v>31.817</v>
      </c>
      <c r="F333" s="37">
        <f>VLOOKUP("INF769K01010", [1]NAVAll!B$1:E$501244,4,FALSE)</f>
        <v>111.215</v>
      </c>
      <c r="G333" s="47">
        <f t="shared" si="64"/>
        <v>3538.5276550000003</v>
      </c>
      <c r="H333" s="49">
        <f>0</f>
        <v>0</v>
      </c>
      <c r="I333" s="48">
        <f t="shared" si="65"/>
        <v>1038.5276550000003</v>
      </c>
      <c r="J333" s="46">
        <f t="shared" si="66"/>
        <v>0.41541106200000011</v>
      </c>
      <c r="K333" s="47">
        <f t="shared" ca="1" si="67"/>
        <v>56.033333333333331</v>
      </c>
      <c r="L333" s="46">
        <f t="shared" ca="1" si="68"/>
        <v>8.8963701558596106E-2</v>
      </c>
      <c r="M333" s="57"/>
      <c r="N333" s="47">
        <f t="shared" si="69"/>
        <v>-2500</v>
      </c>
      <c r="O333" s="51" t="s">
        <v>102</v>
      </c>
    </row>
    <row r="334" spans="1:15" s="75" customFormat="1" x14ac:dyDescent="0.3">
      <c r="A334" s="51" t="e" vm="43">
        <v>#VALUE!</v>
      </c>
      <c r="B334" s="50">
        <v>44551</v>
      </c>
      <c r="C334" s="47">
        <v>2500</v>
      </c>
      <c r="D334" s="47">
        <f t="shared" si="63"/>
        <v>76.084971696390539</v>
      </c>
      <c r="E334" s="48">
        <f>32.858</f>
        <v>32.857999999999997</v>
      </c>
      <c r="F334" s="37">
        <f>VLOOKUP("INF769K01010", [1]NAVAll!B$1:E$501244,4,FALSE)</f>
        <v>111.215</v>
      </c>
      <c r="G334" s="47">
        <f t="shared" si="64"/>
        <v>3654.3024699999996</v>
      </c>
      <c r="H334" s="49">
        <f>0</f>
        <v>0</v>
      </c>
      <c r="I334" s="48">
        <f t="shared" si="65"/>
        <v>1154.3024699999996</v>
      </c>
      <c r="J334" s="46">
        <f t="shared" si="66"/>
        <v>0.46172098799999983</v>
      </c>
      <c r="K334" s="47">
        <f t="shared" ca="1" si="67"/>
        <v>55.06666666666667</v>
      </c>
      <c r="L334" s="46">
        <f t="shared" ca="1" si="68"/>
        <v>0.10061716445520577</v>
      </c>
      <c r="M334" s="57"/>
      <c r="N334" s="47">
        <f t="shared" si="69"/>
        <v>-2500</v>
      </c>
      <c r="O334" s="51" t="s">
        <v>102</v>
      </c>
    </row>
    <row r="335" spans="1:15" s="75" customFormat="1" x14ac:dyDescent="0.3">
      <c r="A335" s="51" t="e" vm="43">
        <v>#VALUE!</v>
      </c>
      <c r="B335" s="50">
        <v>44582</v>
      </c>
      <c r="C335" s="47">
        <v>2500</v>
      </c>
      <c r="D335" s="47">
        <f t="shared" si="63"/>
        <v>79.206666033013335</v>
      </c>
      <c r="E335" s="48">
        <f>31.563</f>
        <v>31.562999999999999</v>
      </c>
      <c r="F335" s="37">
        <f>VLOOKUP("INF769K01010", [1]NAVAll!B$1:E$501244,4,FALSE)</f>
        <v>111.215</v>
      </c>
      <c r="G335" s="47">
        <f t="shared" si="64"/>
        <v>3510.2790449999998</v>
      </c>
      <c r="H335" s="49">
        <f>0</f>
        <v>0</v>
      </c>
      <c r="I335" s="48">
        <f t="shared" si="65"/>
        <v>1010.2790449999998</v>
      </c>
      <c r="J335" s="46">
        <f t="shared" si="66"/>
        <v>0.40411161799999989</v>
      </c>
      <c r="K335" s="47">
        <f t="shared" ca="1" si="67"/>
        <v>54.06666666666667</v>
      </c>
      <c r="L335" s="46">
        <f t="shared" ca="1" si="68"/>
        <v>8.9691851097410569E-2</v>
      </c>
      <c r="M335" s="57"/>
      <c r="N335" s="47">
        <f t="shared" si="69"/>
        <v>-2500</v>
      </c>
      <c r="O335" s="51" t="s">
        <v>102</v>
      </c>
    </row>
    <row r="336" spans="1:15" s="75" customFormat="1" x14ac:dyDescent="0.3">
      <c r="A336" s="51" t="e" vm="43">
        <v>#VALUE!</v>
      </c>
      <c r="B336" s="50">
        <v>44613</v>
      </c>
      <c r="C336" s="47">
        <v>2500</v>
      </c>
      <c r="D336" s="47">
        <f t="shared" si="63"/>
        <v>76.835602544795165</v>
      </c>
      <c r="E336" s="48">
        <f>32.537</f>
        <v>32.536999999999999</v>
      </c>
      <c r="F336" s="37">
        <f>VLOOKUP("INF769K01010", [1]NAVAll!B$1:E$501244,4,FALSE)</f>
        <v>111.215</v>
      </c>
      <c r="G336" s="47">
        <f t="shared" si="64"/>
        <v>3618.6024550000002</v>
      </c>
      <c r="H336" s="49">
        <f>0</f>
        <v>0</v>
      </c>
      <c r="I336" s="48">
        <f t="shared" si="65"/>
        <v>1118.6024550000002</v>
      </c>
      <c r="J336" s="46">
        <f t="shared" si="66"/>
        <v>0.4474409820000001</v>
      </c>
      <c r="K336" s="47">
        <f t="shared" ca="1" si="67"/>
        <v>53.06666666666667</v>
      </c>
      <c r="L336" s="46">
        <f t="shared" ca="1" si="68"/>
        <v>0.10118012155778897</v>
      </c>
      <c r="M336" s="57"/>
      <c r="N336" s="47">
        <f t="shared" si="69"/>
        <v>-2500</v>
      </c>
      <c r="O336" s="51" t="s">
        <v>102</v>
      </c>
    </row>
    <row r="337" spans="1:15" s="75" customFormat="1" x14ac:dyDescent="0.3">
      <c r="A337" s="51" t="e" vm="43">
        <v>#VALUE!</v>
      </c>
      <c r="B337" s="50">
        <v>44641</v>
      </c>
      <c r="C337" s="47">
        <v>2500</v>
      </c>
      <c r="D337" s="47">
        <f t="shared" si="63"/>
        <v>76.020190962719695</v>
      </c>
      <c r="E337" s="48">
        <f>32.886</f>
        <v>32.886000000000003</v>
      </c>
      <c r="F337" s="37">
        <f>VLOOKUP("INF769K01010", [1]NAVAll!B$1:E$501244,4,FALSE)</f>
        <v>111.215</v>
      </c>
      <c r="G337" s="47">
        <f t="shared" si="64"/>
        <v>3657.4164900000005</v>
      </c>
      <c r="H337" s="49">
        <f>0</f>
        <v>0</v>
      </c>
      <c r="I337" s="48">
        <f t="shared" si="65"/>
        <v>1157.4164900000005</v>
      </c>
      <c r="J337" s="46">
        <f t="shared" si="66"/>
        <v>0.46296659600000023</v>
      </c>
      <c r="K337" s="47">
        <f t="shared" ca="1" si="67"/>
        <v>52.06666666666667</v>
      </c>
      <c r="L337" s="46">
        <f t="shared" ca="1" si="68"/>
        <v>0.10670164824583872</v>
      </c>
      <c r="M337" s="57"/>
      <c r="N337" s="47">
        <f t="shared" si="69"/>
        <v>-2500</v>
      </c>
      <c r="O337" s="51" t="s">
        <v>102</v>
      </c>
    </row>
    <row r="338" spans="1:15" s="75" customFormat="1" x14ac:dyDescent="0.3">
      <c r="A338" s="51" t="e" vm="43">
        <v>#VALUE!</v>
      </c>
      <c r="B338" s="50">
        <v>44672</v>
      </c>
      <c r="C338" s="47">
        <v>2500</v>
      </c>
      <c r="D338" s="47">
        <f t="shared" si="63"/>
        <v>77.881619937694694</v>
      </c>
      <c r="E338" s="48">
        <f>32.1</f>
        <v>32.1</v>
      </c>
      <c r="F338" s="37">
        <f>VLOOKUP("INF769K01010", [1]NAVAll!B$1:E$501244,4,FALSE)</f>
        <v>111.215</v>
      </c>
      <c r="G338" s="47">
        <f t="shared" si="64"/>
        <v>3570.0015000000003</v>
      </c>
      <c r="H338" s="49">
        <f>0</f>
        <v>0</v>
      </c>
      <c r="I338" s="48">
        <f t="shared" si="65"/>
        <v>1070.0015000000003</v>
      </c>
      <c r="J338" s="46">
        <f t="shared" si="66"/>
        <v>0.42800060000000012</v>
      </c>
      <c r="K338" s="47">
        <f t="shared" ca="1" si="67"/>
        <v>51.06666666666667</v>
      </c>
      <c r="L338" s="46">
        <f t="shared" ca="1" si="68"/>
        <v>0.1005745535248042</v>
      </c>
      <c r="M338" s="57"/>
      <c r="N338" s="47">
        <f t="shared" si="69"/>
        <v>-2500</v>
      </c>
      <c r="O338" s="51" t="s">
        <v>102</v>
      </c>
    </row>
    <row r="339" spans="1:15" s="75" customFormat="1" x14ac:dyDescent="0.3">
      <c r="A339" s="51" t="e" vm="43">
        <v>#VALUE!</v>
      </c>
      <c r="B339" s="50">
        <v>44704</v>
      </c>
      <c r="C339" s="47">
        <v>2500</v>
      </c>
      <c r="D339" s="47">
        <f t="shared" si="63"/>
        <v>72.2689561471974</v>
      </c>
      <c r="E339" s="48">
        <f>34.593</f>
        <v>34.593000000000004</v>
      </c>
      <c r="F339" s="37">
        <f>VLOOKUP("INF769K01010", [1]NAVAll!B$1:E$501244,4,FALSE)</f>
        <v>111.215</v>
      </c>
      <c r="G339" s="47">
        <f t="shared" si="64"/>
        <v>3847.2604950000004</v>
      </c>
      <c r="H339" s="49">
        <f>0</f>
        <v>0</v>
      </c>
      <c r="I339" s="48">
        <f t="shared" si="65"/>
        <v>1347.2604950000004</v>
      </c>
      <c r="J339" s="46">
        <f t="shared" si="66"/>
        <v>0.53890419800000022</v>
      </c>
      <c r="K339" s="47">
        <f t="shared" ca="1" si="67"/>
        <v>50</v>
      </c>
      <c r="L339" s="46">
        <f t="shared" ca="1" si="68"/>
        <v>0.12933700752000005</v>
      </c>
      <c r="M339" s="57"/>
      <c r="N339" s="47">
        <f t="shared" si="69"/>
        <v>-2500</v>
      </c>
      <c r="O339" s="51" t="s">
        <v>102</v>
      </c>
    </row>
    <row r="340" spans="1:15" s="75" customFormat="1" x14ac:dyDescent="0.3">
      <c r="A340" s="51" t="e" vm="43">
        <v>#VALUE!</v>
      </c>
      <c r="B340" s="50">
        <v>44733</v>
      </c>
      <c r="C340" s="47">
        <v>2500</v>
      </c>
      <c r="D340" s="47">
        <f t="shared" si="63"/>
        <v>70.157714542291075</v>
      </c>
      <c r="E340" s="48">
        <f>35.634</f>
        <v>35.634</v>
      </c>
      <c r="F340" s="37">
        <f>VLOOKUP("INF769K01010", [1]NAVAll!B$1:E$501244,4,FALSE)</f>
        <v>111.215</v>
      </c>
      <c r="G340" s="47">
        <f t="shared" si="64"/>
        <v>3963.0353100000002</v>
      </c>
      <c r="H340" s="49">
        <f>0</f>
        <v>0</v>
      </c>
      <c r="I340" s="48">
        <f t="shared" si="65"/>
        <v>1463.0353100000002</v>
      </c>
      <c r="J340" s="46">
        <f t="shared" si="66"/>
        <v>0.58521412400000006</v>
      </c>
      <c r="K340" s="47">
        <f t="shared" ca="1" si="67"/>
        <v>49.06666666666667</v>
      </c>
      <c r="L340" s="46">
        <f t="shared" ca="1" si="68"/>
        <v>0.14312301945652173</v>
      </c>
      <c r="M340" s="57"/>
      <c r="N340" s="47">
        <f t="shared" si="69"/>
        <v>-2500</v>
      </c>
      <c r="O340" s="51" t="s">
        <v>102</v>
      </c>
    </row>
    <row r="341" spans="1:15" s="75" customFormat="1" x14ac:dyDescent="0.3">
      <c r="A341" s="51" t="e" vm="43">
        <v>#VALUE!</v>
      </c>
      <c r="B341" s="50">
        <v>44763</v>
      </c>
      <c r="C341" s="47">
        <v>2500</v>
      </c>
      <c r="D341" s="47">
        <f t="shared" si="63"/>
        <v>74.897390574912379</v>
      </c>
      <c r="E341" s="48">
        <f>33.379</f>
        <v>33.378999999999998</v>
      </c>
      <c r="F341" s="37">
        <f>VLOOKUP("INF769K01010", [1]NAVAll!B$1:E$501244,4,FALSE)</f>
        <v>111.215</v>
      </c>
      <c r="G341" s="47">
        <f t="shared" si="64"/>
        <v>3712.2454849999999</v>
      </c>
      <c r="H341" s="49">
        <f>0</f>
        <v>0</v>
      </c>
      <c r="I341" s="48">
        <f t="shared" si="65"/>
        <v>1212.2454849999999</v>
      </c>
      <c r="J341" s="46">
        <f t="shared" si="66"/>
        <v>0.48489819399999995</v>
      </c>
      <c r="K341" s="47">
        <f t="shared" ca="1" si="67"/>
        <v>48.06666666666667</v>
      </c>
      <c r="L341" s="46">
        <f t="shared" ca="1" si="68"/>
        <v>0.12105641459084603</v>
      </c>
      <c r="M341" s="57"/>
      <c r="N341" s="47">
        <f t="shared" si="69"/>
        <v>-2500</v>
      </c>
      <c r="O341" s="51" t="s">
        <v>102</v>
      </c>
    </row>
    <row r="342" spans="1:15" s="75" customFormat="1" x14ac:dyDescent="0.3">
      <c r="A342" s="51" t="e" vm="43">
        <v>#VALUE!</v>
      </c>
      <c r="B342" s="50">
        <v>44795</v>
      </c>
      <c r="C342" s="47">
        <v>2500</v>
      </c>
      <c r="D342" s="47">
        <f t="shared" si="63"/>
        <v>77.927745394470236</v>
      </c>
      <c r="E342" s="48">
        <f>32.081</f>
        <v>32.081000000000003</v>
      </c>
      <c r="F342" s="37">
        <f>VLOOKUP("INF769K01010", [1]NAVAll!B$1:E$501244,4,FALSE)</f>
        <v>111.215</v>
      </c>
      <c r="G342" s="47">
        <f t="shared" si="64"/>
        <v>3567.8884150000004</v>
      </c>
      <c r="H342" s="49">
        <f>0</f>
        <v>0</v>
      </c>
      <c r="I342" s="48">
        <f t="shared" si="65"/>
        <v>1067.8884150000004</v>
      </c>
      <c r="J342" s="46">
        <f t="shared" si="66"/>
        <v>0.42715536600000015</v>
      </c>
      <c r="K342" s="47">
        <f t="shared" ca="1" si="67"/>
        <v>47.033333333333331</v>
      </c>
      <c r="L342" s="46">
        <f t="shared" ca="1" si="68"/>
        <v>0.10898365114103478</v>
      </c>
      <c r="M342" s="57"/>
      <c r="N342" s="47">
        <f t="shared" si="69"/>
        <v>-2500</v>
      </c>
      <c r="O342" s="51" t="s">
        <v>102</v>
      </c>
    </row>
    <row r="343" spans="1:15" s="75" customFormat="1" x14ac:dyDescent="0.3">
      <c r="A343" s="51" t="e" vm="43">
        <v>#VALUE!</v>
      </c>
      <c r="B343" s="50">
        <v>44825</v>
      </c>
      <c r="C343" s="47">
        <v>2500</v>
      </c>
      <c r="D343" s="47">
        <f t="shared" si="63"/>
        <v>79.271966261851162</v>
      </c>
      <c r="E343" s="48">
        <f>31.537</f>
        <v>31.536999999999999</v>
      </c>
      <c r="F343" s="37">
        <f>VLOOKUP("INF769K01010", [1]NAVAll!B$1:E$501244,4,FALSE)</f>
        <v>111.215</v>
      </c>
      <c r="G343" s="47">
        <f t="shared" si="64"/>
        <v>3507.387455</v>
      </c>
      <c r="H343" s="49">
        <f>0</f>
        <v>0</v>
      </c>
      <c r="I343" s="48">
        <f t="shared" si="65"/>
        <v>1007.387455</v>
      </c>
      <c r="J343" s="46">
        <f t="shared" si="66"/>
        <v>0.40295498200000002</v>
      </c>
      <c r="K343" s="47">
        <f t="shared" ca="1" si="67"/>
        <v>46.06666666666667</v>
      </c>
      <c r="L343" s="46">
        <f t="shared" ca="1" si="68"/>
        <v>0.10496656549927641</v>
      </c>
      <c r="M343" s="57"/>
      <c r="N343" s="47">
        <f t="shared" si="69"/>
        <v>-2500</v>
      </c>
      <c r="O343" s="51" t="s">
        <v>102</v>
      </c>
    </row>
    <row r="344" spans="1:15" s="75" customFormat="1" x14ac:dyDescent="0.3">
      <c r="A344" s="51" t="e" vm="43">
        <v>#VALUE!</v>
      </c>
      <c r="B344" s="50">
        <v>44855</v>
      </c>
      <c r="C344" s="47">
        <v>2500</v>
      </c>
      <c r="D344" s="47">
        <f t="shared" si="63"/>
        <v>78.608936263874469</v>
      </c>
      <c r="E344" s="48">
        <f>31.803</f>
        <v>31.803000000000001</v>
      </c>
      <c r="F344" s="37">
        <f>VLOOKUP("INF769K01010", [1]NAVAll!B$1:E$501244,4,FALSE)</f>
        <v>111.215</v>
      </c>
      <c r="G344" s="47">
        <f t="shared" si="64"/>
        <v>3536.9706450000003</v>
      </c>
      <c r="H344" s="49">
        <f>0</f>
        <v>0</v>
      </c>
      <c r="I344" s="48">
        <f t="shared" si="65"/>
        <v>1036.9706450000003</v>
      </c>
      <c r="J344" s="46">
        <f t="shared" si="66"/>
        <v>0.41478825800000013</v>
      </c>
      <c r="K344" s="47">
        <f t="shared" ca="1" si="67"/>
        <v>45.06666666666667</v>
      </c>
      <c r="L344" s="46">
        <f t="shared" ca="1" si="68"/>
        <v>0.11044657757396452</v>
      </c>
      <c r="M344" s="57"/>
      <c r="N344" s="47">
        <f t="shared" si="69"/>
        <v>-2500</v>
      </c>
      <c r="O344" s="51" t="s">
        <v>102</v>
      </c>
    </row>
    <row r="345" spans="1:15" s="75" customFormat="1" x14ac:dyDescent="0.3">
      <c r="A345" s="51" t="e" vm="43">
        <v>#VALUE!</v>
      </c>
      <c r="B345" s="50">
        <v>44886</v>
      </c>
      <c r="C345" s="47">
        <v>2500</v>
      </c>
      <c r="D345" s="47">
        <f t="shared" si="63"/>
        <v>80.434992439110715</v>
      </c>
      <c r="E345" s="48">
        <f>31.081</f>
        <v>31.081</v>
      </c>
      <c r="F345" s="37">
        <f>VLOOKUP("INF769K01010", [1]NAVAll!B$1:E$501244,4,FALSE)</f>
        <v>111.215</v>
      </c>
      <c r="G345" s="47">
        <f t="shared" si="64"/>
        <v>3456.6734150000002</v>
      </c>
      <c r="H345" s="49">
        <f>0</f>
        <v>0</v>
      </c>
      <c r="I345" s="48">
        <f t="shared" si="65"/>
        <v>956.6734150000002</v>
      </c>
      <c r="J345" s="46">
        <f t="shared" si="66"/>
        <v>0.38266936600000007</v>
      </c>
      <c r="K345" s="47">
        <f t="shared" ca="1" si="67"/>
        <v>44.06666666666667</v>
      </c>
      <c r="L345" s="46">
        <f t="shared" ca="1" si="68"/>
        <v>0.10420648393343421</v>
      </c>
      <c r="M345" s="57"/>
      <c r="N345" s="47">
        <f t="shared" si="69"/>
        <v>-2500</v>
      </c>
      <c r="O345" s="51" t="s">
        <v>102</v>
      </c>
    </row>
    <row r="346" spans="1:15" s="75" customFormat="1" x14ac:dyDescent="0.3">
      <c r="A346" s="51" t="e" vm="43">
        <v>#VALUE!</v>
      </c>
      <c r="B346" s="50">
        <v>44916</v>
      </c>
      <c r="C346" s="47">
        <v>2500</v>
      </c>
      <c r="D346" s="47">
        <f t="shared" si="63"/>
        <v>80.388436927232391</v>
      </c>
      <c r="E346" s="48">
        <f>31.099</f>
        <v>31.099</v>
      </c>
      <c r="F346" s="37">
        <f>VLOOKUP("INF769K01010", [1]NAVAll!B$1:E$501244,4,FALSE)</f>
        <v>111.215</v>
      </c>
      <c r="G346" s="47">
        <f t="shared" si="64"/>
        <v>3458.6752850000003</v>
      </c>
      <c r="H346" s="49">
        <f>0</f>
        <v>0</v>
      </c>
      <c r="I346" s="48">
        <f t="shared" si="65"/>
        <v>958.67528500000026</v>
      </c>
      <c r="J346" s="46">
        <f t="shared" si="66"/>
        <v>0.38347011400000008</v>
      </c>
      <c r="K346" s="47">
        <f t="shared" ca="1" si="67"/>
        <v>43.06666666666667</v>
      </c>
      <c r="L346" s="46">
        <f t="shared" ca="1" si="68"/>
        <v>0.10684925777089785</v>
      </c>
      <c r="M346" s="57"/>
      <c r="N346" s="47">
        <f t="shared" si="69"/>
        <v>-2500</v>
      </c>
      <c r="O346" s="51" t="s">
        <v>102</v>
      </c>
    </row>
    <row r="347" spans="1:15" s="75" customFormat="1" x14ac:dyDescent="0.3">
      <c r="A347" s="51" t="e" vm="43">
        <v>#VALUE!</v>
      </c>
      <c r="B347" s="50">
        <v>44949</v>
      </c>
      <c r="C347" s="47">
        <v>2500</v>
      </c>
      <c r="D347" s="47">
        <f t="shared" si="63"/>
        <v>80.061487222186642</v>
      </c>
      <c r="E347" s="48">
        <f>31.226</f>
        <v>31.225999999999999</v>
      </c>
      <c r="F347" s="37">
        <f>VLOOKUP("INF769K01010", [1]NAVAll!B$1:E$501244,4,FALSE)</f>
        <v>111.215</v>
      </c>
      <c r="G347" s="47">
        <f t="shared" si="64"/>
        <v>3472.7995900000001</v>
      </c>
      <c r="H347" s="49">
        <f>0</f>
        <v>0</v>
      </c>
      <c r="I347" s="48">
        <f t="shared" si="65"/>
        <v>972.79959000000008</v>
      </c>
      <c r="J347" s="46">
        <f t="shared" si="66"/>
        <v>0.38911983600000005</v>
      </c>
      <c r="K347" s="47">
        <f t="shared" ca="1" si="67"/>
        <v>42</v>
      </c>
      <c r="L347" s="46">
        <f t="shared" ca="1" si="68"/>
        <v>0.111177096</v>
      </c>
      <c r="M347" s="57"/>
      <c r="N347" s="47">
        <f t="shared" si="69"/>
        <v>-2500</v>
      </c>
      <c r="O347" s="51" t="s">
        <v>102</v>
      </c>
    </row>
    <row r="348" spans="1:15" s="75" customFormat="1" x14ac:dyDescent="0.3">
      <c r="A348" s="51" t="e" vm="43">
        <v>#VALUE!</v>
      </c>
      <c r="B348" s="50">
        <v>44978</v>
      </c>
      <c r="C348" s="47">
        <v>2500</v>
      </c>
      <c r="D348" s="47">
        <f t="shared" si="63"/>
        <v>78.866841225275238</v>
      </c>
      <c r="E348" s="48">
        <f>31.699</f>
        <v>31.699000000000002</v>
      </c>
      <c r="F348" s="37">
        <f>VLOOKUP("INF769K01010", [1]NAVAll!B$1:E$501244,4,FALSE)</f>
        <v>111.215</v>
      </c>
      <c r="G348" s="47">
        <f t="shared" si="64"/>
        <v>3525.4042850000001</v>
      </c>
      <c r="H348" s="49">
        <f>0</f>
        <v>0</v>
      </c>
      <c r="I348" s="48">
        <f t="shared" si="65"/>
        <v>1025.4042850000001</v>
      </c>
      <c r="J348" s="46">
        <f t="shared" si="66"/>
        <v>0.41016171400000001</v>
      </c>
      <c r="K348" s="47">
        <f t="shared" ca="1" si="67"/>
        <v>41.06666666666667</v>
      </c>
      <c r="L348" s="46">
        <f t="shared" ca="1" si="68"/>
        <v>0.11985244889610389</v>
      </c>
      <c r="M348" s="57"/>
      <c r="N348" s="47">
        <f t="shared" si="69"/>
        <v>-2500</v>
      </c>
      <c r="O348" s="51" t="s">
        <v>102</v>
      </c>
    </row>
    <row r="349" spans="1:15" s="75" customFormat="1" x14ac:dyDescent="0.3">
      <c r="A349" s="51" t="e" vm="43">
        <v>#VALUE!</v>
      </c>
      <c r="B349" s="50">
        <v>45006</v>
      </c>
      <c r="C349" s="47">
        <v>2500</v>
      </c>
      <c r="D349" s="47">
        <f t="shared" si="63"/>
        <v>75.713982858354285</v>
      </c>
      <c r="E349" s="48">
        <f>33.019</f>
        <v>33.018999999999998</v>
      </c>
      <c r="F349" s="37">
        <f>VLOOKUP("INF769K01010", [1]NAVAll!B$1:E$501244,4,FALSE)</f>
        <v>111.215</v>
      </c>
      <c r="G349" s="47">
        <f t="shared" si="64"/>
        <v>3672.2080849999998</v>
      </c>
      <c r="H349" s="49">
        <f>0</f>
        <v>0</v>
      </c>
      <c r="I349" s="48">
        <f t="shared" si="65"/>
        <v>1172.2080849999998</v>
      </c>
      <c r="J349" s="46">
        <f t="shared" si="66"/>
        <v>0.46888323399999993</v>
      </c>
      <c r="K349" s="47">
        <f t="shared" ca="1" si="67"/>
        <v>40.06666666666667</v>
      </c>
      <c r="L349" s="46">
        <f t="shared" ca="1" si="68"/>
        <v>0.14043091866888516</v>
      </c>
      <c r="M349" s="57"/>
      <c r="N349" s="47">
        <f t="shared" si="69"/>
        <v>-2500</v>
      </c>
      <c r="O349" s="51" t="s">
        <v>102</v>
      </c>
    </row>
    <row r="350" spans="1:15" s="75" customFormat="1" x14ac:dyDescent="0.3">
      <c r="A350" s="51" t="e" vm="43">
        <v>#VALUE!</v>
      </c>
      <c r="B350" s="50">
        <v>45037</v>
      </c>
      <c r="C350" s="47">
        <v>2500</v>
      </c>
      <c r="D350" s="47">
        <f t="shared" si="63"/>
        <v>77.531400217087921</v>
      </c>
      <c r="E350" s="48">
        <f>32.245</f>
        <v>32.244999999999997</v>
      </c>
      <c r="F350" s="37">
        <f>VLOOKUP("INF769K01010", [1]NAVAll!B$1:E$501244,4,FALSE)</f>
        <v>111.215</v>
      </c>
      <c r="G350" s="47">
        <f t="shared" si="64"/>
        <v>3586.1276749999997</v>
      </c>
      <c r="H350" s="49">
        <f>0</f>
        <v>0</v>
      </c>
      <c r="I350" s="48">
        <f t="shared" si="65"/>
        <v>1086.1276749999997</v>
      </c>
      <c r="J350" s="46">
        <f t="shared" si="66"/>
        <v>0.43445106999999988</v>
      </c>
      <c r="K350" s="47">
        <f t="shared" ca="1" si="67"/>
        <v>39.06666666666667</v>
      </c>
      <c r="L350" s="46">
        <f t="shared" ca="1" si="68"/>
        <v>0.13344913412969278</v>
      </c>
      <c r="M350" s="57"/>
      <c r="N350" s="47">
        <f t="shared" si="69"/>
        <v>-2500</v>
      </c>
      <c r="O350" s="51" t="s">
        <v>102</v>
      </c>
    </row>
    <row r="351" spans="1:15" s="75" customFormat="1" x14ac:dyDescent="0.3">
      <c r="A351" s="51" t="e" vm="43">
        <v>#VALUE!</v>
      </c>
      <c r="B351" s="50">
        <v>45068</v>
      </c>
      <c r="C351" s="47">
        <v>2500</v>
      </c>
      <c r="D351" s="47">
        <f t="shared" si="63"/>
        <v>80.593165699548678</v>
      </c>
      <c r="E351" s="48">
        <f>31.02</f>
        <v>31.02</v>
      </c>
      <c r="F351" s="37">
        <f>VLOOKUP("INF769K01010", [1]NAVAll!B$1:E$501244,4,FALSE)</f>
        <v>111.215</v>
      </c>
      <c r="G351" s="47">
        <f t="shared" si="64"/>
        <v>3449.8893000000003</v>
      </c>
      <c r="H351" s="49">
        <f>0</f>
        <v>0</v>
      </c>
      <c r="I351" s="48">
        <f t="shared" si="65"/>
        <v>949.88930000000028</v>
      </c>
      <c r="J351" s="46">
        <f t="shared" si="66"/>
        <v>0.37995572000000011</v>
      </c>
      <c r="K351" s="47">
        <f t="shared" ca="1" si="67"/>
        <v>38.033333333333331</v>
      </c>
      <c r="L351" s="46">
        <f t="shared" ca="1" si="68"/>
        <v>0.1198808581945662</v>
      </c>
      <c r="M351" s="57"/>
      <c r="N351" s="47">
        <f t="shared" si="69"/>
        <v>-2500</v>
      </c>
      <c r="O351" s="51" t="s">
        <v>102</v>
      </c>
    </row>
    <row r="352" spans="1:15" s="75" customFormat="1" x14ac:dyDescent="0.3">
      <c r="A352" s="51" t="e" vm="43">
        <v>#VALUE!</v>
      </c>
      <c r="B352" s="50">
        <v>45098</v>
      </c>
      <c r="C352" s="47">
        <v>2500</v>
      </c>
      <c r="D352" s="47">
        <f t="shared" si="63"/>
        <v>83.497545172171939</v>
      </c>
      <c r="E352" s="48">
        <f>29.941</f>
        <v>29.940999999999999</v>
      </c>
      <c r="F352" s="37">
        <f>VLOOKUP("INF769K01010", [1]NAVAll!B$1:E$501244,4,FALSE)</f>
        <v>111.215</v>
      </c>
      <c r="G352" s="47">
        <f t="shared" si="64"/>
        <v>3329.8883150000001</v>
      </c>
      <c r="H352" s="49">
        <f>0</f>
        <v>0</v>
      </c>
      <c r="I352" s="48">
        <f t="shared" si="65"/>
        <v>829.88831500000015</v>
      </c>
      <c r="J352" s="46">
        <f t="shared" si="66"/>
        <v>0.33195532600000005</v>
      </c>
      <c r="K352" s="47">
        <f t="shared" ca="1" si="67"/>
        <v>37.06666666666667</v>
      </c>
      <c r="L352" s="46">
        <f t="shared" ca="1" si="68"/>
        <v>0.10746755158273381</v>
      </c>
      <c r="M352" s="57"/>
      <c r="N352" s="47">
        <f t="shared" si="69"/>
        <v>-2500</v>
      </c>
      <c r="O352" s="51" t="s">
        <v>102</v>
      </c>
    </row>
    <row r="353" spans="1:15" s="75" customFormat="1" x14ac:dyDescent="0.3">
      <c r="A353" s="51" t="e" vm="43">
        <v>#VALUE!</v>
      </c>
      <c r="B353" s="50">
        <v>45128</v>
      </c>
      <c r="C353" s="47">
        <v>2500</v>
      </c>
      <c r="D353" s="47">
        <f t="shared" si="63"/>
        <v>86.85380767092829</v>
      </c>
      <c r="E353" s="48">
        <f>28.784</f>
        <v>28.783999999999999</v>
      </c>
      <c r="F353" s="37">
        <f>VLOOKUP("INF769K01010", [1]NAVAll!B$1:E$501244,4,FALSE)</f>
        <v>111.215</v>
      </c>
      <c r="G353" s="47">
        <f t="shared" si="64"/>
        <v>3201.2125599999999</v>
      </c>
      <c r="H353" s="49">
        <f>0</f>
        <v>0</v>
      </c>
      <c r="I353" s="48">
        <f>SUM(-C353,G353)+H353</f>
        <v>701.21255999999994</v>
      </c>
      <c r="J353" s="46">
        <f>I353/C353</f>
        <v>0.28048502399999997</v>
      </c>
      <c r="K353" s="47">
        <f ca="1">(DAYS360(B353,NOW(),TRUE))/30</f>
        <v>36.06666666666667</v>
      </c>
      <c r="L353" s="46">
        <f ca="1">J353*12/K353</f>
        <v>9.3322189131238423E-2</v>
      </c>
      <c r="M353" s="57"/>
      <c r="N353" s="47">
        <f>-C353</f>
        <v>-2500</v>
      </c>
      <c r="O353" s="51" t="s">
        <v>102</v>
      </c>
    </row>
    <row r="354" spans="1:15" s="75" customFormat="1" x14ac:dyDescent="0.3">
      <c r="A354" s="76" t="s">
        <v>103</v>
      </c>
      <c r="B354" s="77">
        <f ca="1">TODAY()</f>
        <v>46226</v>
      </c>
      <c r="C354" s="78"/>
      <c r="D354" s="78"/>
      <c r="E354" s="79"/>
      <c r="F354" s="80"/>
      <c r="G354" s="78"/>
      <c r="H354" s="80"/>
      <c r="I354" s="79"/>
      <c r="J354" s="81"/>
      <c r="K354" s="78"/>
      <c r="L354" s="81"/>
      <c r="M354" s="82"/>
      <c r="N354" s="78">
        <f>SUM(G322:G353)</f>
        <v>114556.67710500001</v>
      </c>
      <c r="O354" s="51"/>
    </row>
    <row r="355" spans="1:15" s="75" customFormat="1" x14ac:dyDescent="0.3">
      <c r="A355" s="76" t="s">
        <v>104</v>
      </c>
      <c r="B355" s="77"/>
      <c r="C355" s="78"/>
      <c r="D355" s="78"/>
      <c r="E355" s="79"/>
      <c r="F355" s="80"/>
      <c r="G355" s="78"/>
      <c r="H355" s="80"/>
      <c r="I355" s="79"/>
      <c r="J355" s="81">
        <f>SUM(N322:N354)/-SUM(N322:N353)</f>
        <v>0.47780250205309721</v>
      </c>
      <c r="K355" s="78"/>
      <c r="L355" s="81"/>
      <c r="M355" s="82"/>
      <c r="N355" s="78"/>
      <c r="O355" s="51"/>
    </row>
    <row r="356" spans="1:15" s="75" customFormat="1" x14ac:dyDescent="0.3">
      <c r="A356" s="76" t="s">
        <v>105</v>
      </c>
      <c r="B356" s="77"/>
      <c r="C356" s="78"/>
      <c r="D356" s="78"/>
      <c r="E356" s="79"/>
      <c r="F356" s="80"/>
      <c r="G356" s="78"/>
      <c r="H356" s="80"/>
      <c r="I356" s="79"/>
      <c r="J356" s="81">
        <f ca="1">XIRR(N322:N354,B322:B354)</f>
        <v>9.5524373650550831E-2</v>
      </c>
      <c r="K356" s="78"/>
      <c r="L356" s="81"/>
      <c r="M356" s="82"/>
      <c r="N356" s="78"/>
      <c r="O356" s="51"/>
    </row>
    <row r="357" spans="1:15" s="75" customFormat="1" x14ac:dyDescent="0.3">
      <c r="A357" s="51" t="s">
        <v>106</v>
      </c>
      <c r="B357" s="50">
        <v>43949</v>
      </c>
      <c r="C357" s="47">
        <v>10000</v>
      </c>
      <c r="D357" s="47">
        <f t="shared" si="56"/>
        <v>47.324956815976904</v>
      </c>
      <c r="E357" s="49">
        <f>211.305</f>
        <v>211.30500000000001</v>
      </c>
      <c r="F357" s="37">
        <f>VLOOKUP("INF769K01101", [1]NAVAll!B$1:E$501244,4,FALSE)</f>
        <v>155.251</v>
      </c>
      <c r="G357" s="47">
        <f t="shared" si="57"/>
        <v>32805.312555000004</v>
      </c>
      <c r="H357" s="49">
        <f>0</f>
        <v>0</v>
      </c>
      <c r="I357" s="48">
        <f t="shared" si="58"/>
        <v>22805.312555000004</v>
      </c>
      <c r="J357" s="46">
        <f t="shared" si="59"/>
        <v>2.2805312555000006</v>
      </c>
      <c r="K357" s="47">
        <f t="shared" ca="1" si="60"/>
        <v>74.833333333333329</v>
      </c>
      <c r="L357" s="46">
        <f t="shared" ca="1" si="61"/>
        <v>0.36569766235189322</v>
      </c>
      <c r="M357" s="57"/>
      <c r="N357" s="47">
        <f t="shared" si="62"/>
        <v>-10000</v>
      </c>
      <c r="O357" s="51" t="s">
        <v>107</v>
      </c>
    </row>
    <row r="358" spans="1:15" s="75" customFormat="1" x14ac:dyDescent="0.3">
      <c r="A358" s="51" t="s">
        <v>106</v>
      </c>
      <c r="B358" s="50">
        <v>43979</v>
      </c>
      <c r="C358" s="47">
        <v>10000</v>
      </c>
      <c r="D358" s="47">
        <f t="shared" si="56"/>
        <v>46.832923545252314</v>
      </c>
      <c r="E358" s="48">
        <v>213.52500000000001</v>
      </c>
      <c r="F358" s="37">
        <f>VLOOKUP("INF769K01101", [1]NAVAll!B$1:E$501244,4,FALSE)</f>
        <v>155.251</v>
      </c>
      <c r="G358" s="47">
        <f t="shared" si="57"/>
        <v>33149.969775000005</v>
      </c>
      <c r="H358" s="49">
        <f>0</f>
        <v>0</v>
      </c>
      <c r="I358" s="48">
        <f t="shared" si="58"/>
        <v>23149.969775000005</v>
      </c>
      <c r="J358" s="46">
        <f t="shared" si="59"/>
        <v>2.3149969775000003</v>
      </c>
      <c r="K358" s="47">
        <f t="shared" ca="1" si="60"/>
        <v>73.833333333333329</v>
      </c>
      <c r="L358" s="46">
        <f t="shared" ca="1" si="61"/>
        <v>0.376252330428894</v>
      </c>
      <c r="M358" s="57"/>
      <c r="N358" s="47">
        <f t="shared" si="62"/>
        <v>-10000</v>
      </c>
      <c r="O358" s="51" t="s">
        <v>107</v>
      </c>
    </row>
    <row r="359" spans="1:15" s="75" customFormat="1" x14ac:dyDescent="0.3">
      <c r="A359" s="51" t="s">
        <v>106</v>
      </c>
      <c r="B359" s="50">
        <v>44011</v>
      </c>
      <c r="C359" s="47">
        <v>10000</v>
      </c>
      <c r="D359" s="47">
        <f t="shared" si="56"/>
        <v>51.5649976795751</v>
      </c>
      <c r="E359" s="48">
        <f>193.93</f>
        <v>193.93</v>
      </c>
      <c r="F359" s="37">
        <f>VLOOKUP("INF769K01101", [1]NAVAll!B$1:E$501244,4,FALSE)</f>
        <v>155.251</v>
      </c>
      <c r="G359" s="47">
        <f t="shared" si="57"/>
        <v>30107.826430000001</v>
      </c>
      <c r="H359" s="49">
        <f>0</f>
        <v>0</v>
      </c>
      <c r="I359" s="48">
        <f t="shared" si="58"/>
        <v>20107.826430000001</v>
      </c>
      <c r="J359" s="46">
        <f t="shared" si="59"/>
        <v>2.0107826430000002</v>
      </c>
      <c r="K359" s="47">
        <f t="shared" ca="1" si="60"/>
        <v>72.8</v>
      </c>
      <c r="L359" s="46">
        <f t="shared" ca="1" si="61"/>
        <v>0.33144768840659344</v>
      </c>
      <c r="M359" s="57"/>
      <c r="N359" s="47">
        <f t="shared" si="62"/>
        <v>-10000</v>
      </c>
      <c r="O359" s="51" t="s">
        <v>107</v>
      </c>
    </row>
    <row r="360" spans="1:15" s="75" customFormat="1" x14ac:dyDescent="0.3">
      <c r="A360" s="51" t="s">
        <v>106</v>
      </c>
      <c r="B360" s="50">
        <v>44040</v>
      </c>
      <c r="C360" s="47">
        <v>10000</v>
      </c>
      <c r="D360" s="47">
        <f t="shared" si="56"/>
        <v>54.979794925364928</v>
      </c>
      <c r="E360" s="48">
        <f>181.885</f>
        <v>181.88499999999999</v>
      </c>
      <c r="F360" s="37">
        <f>VLOOKUP("INF769K01101", [1]NAVAll!B$1:E$501244,4,FALSE)</f>
        <v>155.251</v>
      </c>
      <c r="G360" s="47">
        <f t="shared" si="57"/>
        <v>28237.828135</v>
      </c>
      <c r="H360" s="49">
        <f>0</f>
        <v>0</v>
      </c>
      <c r="I360" s="48">
        <f t="shared" si="58"/>
        <v>18237.828135</v>
      </c>
      <c r="J360" s="46">
        <f t="shared" si="59"/>
        <v>1.8237828135</v>
      </c>
      <c r="K360" s="47">
        <f t="shared" ca="1" si="60"/>
        <v>71.833333333333329</v>
      </c>
      <c r="L360" s="46">
        <f t="shared" ca="1" si="61"/>
        <v>0.30466905469141531</v>
      </c>
      <c r="M360" s="57"/>
      <c r="N360" s="47">
        <f t="shared" si="62"/>
        <v>-10000</v>
      </c>
      <c r="O360" s="51" t="s">
        <v>107</v>
      </c>
    </row>
    <row r="361" spans="1:15" s="75" customFormat="1" x14ac:dyDescent="0.3">
      <c r="A361" s="51" t="s">
        <v>106</v>
      </c>
      <c r="B361" s="50">
        <v>44071</v>
      </c>
      <c r="C361" s="47">
        <v>10000</v>
      </c>
      <c r="D361" s="47">
        <f t="shared" ref="D361:D438" si="70">C361/E361</f>
        <v>59.665871121718382</v>
      </c>
      <c r="E361" s="48">
        <f>167.6</f>
        <v>167.6</v>
      </c>
      <c r="F361" s="37">
        <f>VLOOKUP("INF769K01101", [1]NAVAll!B$1:E$501244,4,FALSE)</f>
        <v>155.251</v>
      </c>
      <c r="G361" s="47">
        <f t="shared" ref="G361:G438" si="71">PRODUCT(E361:F361)</f>
        <v>26020.067599999998</v>
      </c>
      <c r="H361" s="49">
        <f>0</f>
        <v>0</v>
      </c>
      <c r="I361" s="48">
        <f t="shared" si="58"/>
        <v>16020.067599999998</v>
      </c>
      <c r="J361" s="46">
        <f t="shared" si="59"/>
        <v>1.6020067599999999</v>
      </c>
      <c r="K361" s="47">
        <f t="shared" ca="1" si="60"/>
        <v>70.833333333333329</v>
      </c>
      <c r="L361" s="46">
        <f t="shared" ca="1" si="61"/>
        <v>0.27139879228235292</v>
      </c>
      <c r="M361" s="57"/>
      <c r="N361" s="47">
        <f t="shared" si="62"/>
        <v>-10000</v>
      </c>
      <c r="O361" s="51" t="s">
        <v>107</v>
      </c>
    </row>
    <row r="362" spans="1:15" s="75" customFormat="1" x14ac:dyDescent="0.3">
      <c r="A362" s="51" t="s">
        <v>106</v>
      </c>
      <c r="B362" s="50">
        <v>44102</v>
      </c>
      <c r="C362" s="47">
        <v>10000</v>
      </c>
      <c r="D362" s="47">
        <f t="shared" si="70"/>
        <v>58.027864980763766</v>
      </c>
      <c r="E362" s="48">
        <f>172.331</f>
        <v>172.33099999999999</v>
      </c>
      <c r="F362" s="37">
        <f>VLOOKUP("INF769K01101", [1]NAVAll!B$1:E$501244,4,FALSE)</f>
        <v>155.251</v>
      </c>
      <c r="G362" s="47">
        <f t="shared" si="71"/>
        <v>26754.560081</v>
      </c>
      <c r="H362" s="49">
        <f>0</f>
        <v>0</v>
      </c>
      <c r="I362" s="48">
        <f t="shared" si="58"/>
        <v>16754.560081</v>
      </c>
      <c r="J362" s="46">
        <f t="shared" si="59"/>
        <v>1.6754560081000001</v>
      </c>
      <c r="K362" s="47">
        <f t="shared" ca="1" si="60"/>
        <v>69.833333333333329</v>
      </c>
      <c r="L362" s="46">
        <f t="shared" ca="1" si="61"/>
        <v>0.28790652167828162</v>
      </c>
      <c r="M362" s="57"/>
      <c r="N362" s="47">
        <f t="shared" si="62"/>
        <v>-10000</v>
      </c>
      <c r="O362" s="51" t="s">
        <v>107</v>
      </c>
    </row>
    <row r="363" spans="1:15" s="75" customFormat="1" x14ac:dyDescent="0.3">
      <c r="A363" s="51" t="s">
        <v>106</v>
      </c>
      <c r="B363" s="50">
        <v>44132</v>
      </c>
      <c r="C363" s="47">
        <v>10000</v>
      </c>
      <c r="D363" s="47">
        <f t="shared" si="70"/>
        <v>59.874861539382692</v>
      </c>
      <c r="E363" s="48">
        <f>167.015</f>
        <v>167.01499999999999</v>
      </c>
      <c r="F363" s="37">
        <f>VLOOKUP("INF769K01101", [1]NAVAll!B$1:E$501244,4,FALSE)</f>
        <v>155.251</v>
      </c>
      <c r="G363" s="47">
        <f t="shared" si="71"/>
        <v>25929.245765</v>
      </c>
      <c r="H363" s="49">
        <f>0</f>
        <v>0</v>
      </c>
      <c r="I363" s="48">
        <f t="shared" si="58"/>
        <v>15929.245765</v>
      </c>
      <c r="J363" s="46">
        <f t="shared" si="59"/>
        <v>1.5929245765</v>
      </c>
      <c r="K363" s="47">
        <f t="shared" ca="1" si="60"/>
        <v>68.833333333333329</v>
      </c>
      <c r="L363" s="46">
        <f t="shared" ca="1" si="61"/>
        <v>0.2777011368232446</v>
      </c>
      <c r="M363" s="57"/>
      <c r="N363" s="47">
        <f t="shared" si="62"/>
        <v>-10000</v>
      </c>
      <c r="O363" s="51" t="s">
        <v>107</v>
      </c>
    </row>
    <row r="364" spans="1:15" s="75" customFormat="1" x14ac:dyDescent="0.3">
      <c r="A364" s="51" t="s">
        <v>106</v>
      </c>
      <c r="B364" s="50">
        <v>44167</v>
      </c>
      <c r="C364" s="47">
        <v>10000</v>
      </c>
      <c r="D364" s="47">
        <f t="shared" si="70"/>
        <v>67.047496446482697</v>
      </c>
      <c r="E364" s="48">
        <f>149.148</f>
        <v>149.148</v>
      </c>
      <c r="F364" s="37">
        <f>VLOOKUP("INF769K01101", [1]NAVAll!B$1:E$501244,4,FALSE)</f>
        <v>155.251</v>
      </c>
      <c r="G364" s="47">
        <f t="shared" si="71"/>
        <v>23155.376147999999</v>
      </c>
      <c r="H364" s="49">
        <f>0</f>
        <v>0</v>
      </c>
      <c r="I364" s="48">
        <f t="shared" si="58"/>
        <v>13155.376147999999</v>
      </c>
      <c r="J364" s="46">
        <f t="shared" si="59"/>
        <v>1.3155376148</v>
      </c>
      <c r="K364" s="47">
        <f t="shared" ca="1" si="60"/>
        <v>67.7</v>
      </c>
      <c r="L364" s="46">
        <f t="shared" ca="1" si="61"/>
        <v>0.23318244280059081</v>
      </c>
      <c r="M364" s="57"/>
      <c r="N364" s="47">
        <f t="shared" si="62"/>
        <v>-10000</v>
      </c>
      <c r="O364" s="51" t="s">
        <v>107</v>
      </c>
    </row>
    <row r="365" spans="1:15" s="75" customFormat="1" x14ac:dyDescent="0.3">
      <c r="A365" s="51" t="s">
        <v>106</v>
      </c>
      <c r="B365" s="50">
        <v>44193</v>
      </c>
      <c r="C365" s="47">
        <v>10000</v>
      </c>
      <c r="D365" s="47">
        <f t="shared" si="70"/>
        <v>70.049595113340246</v>
      </c>
      <c r="E365" s="48">
        <f>142.756</f>
        <v>142.756</v>
      </c>
      <c r="F365" s="37">
        <f>VLOOKUP("INF769K01101", [1]NAVAll!B$1:E$501244,4,FALSE)</f>
        <v>155.251</v>
      </c>
      <c r="G365" s="47">
        <f t="shared" si="71"/>
        <v>22163.011756</v>
      </c>
      <c r="H365" s="49">
        <f>0</f>
        <v>0</v>
      </c>
      <c r="I365" s="48">
        <f t="shared" si="58"/>
        <v>12163.011756</v>
      </c>
      <c r="J365" s="46">
        <f t="shared" si="59"/>
        <v>1.2163011756</v>
      </c>
      <c r="K365" s="47">
        <f t="shared" ca="1" si="60"/>
        <v>66.833333333333329</v>
      </c>
      <c r="L365" s="46">
        <f t="shared" ca="1" si="61"/>
        <v>0.21838824100548629</v>
      </c>
      <c r="M365" s="57"/>
      <c r="N365" s="47">
        <f t="shared" si="62"/>
        <v>-10000</v>
      </c>
      <c r="O365" s="51" t="s">
        <v>107</v>
      </c>
    </row>
    <row r="366" spans="1:15" s="75" customFormat="1" x14ac:dyDescent="0.3">
      <c r="A366" s="51" t="s">
        <v>106</v>
      </c>
      <c r="B366" s="50">
        <v>44224</v>
      </c>
      <c r="C366" s="47">
        <v>10000</v>
      </c>
      <c r="D366" s="47">
        <f t="shared" si="70"/>
        <v>71.837532237092589</v>
      </c>
      <c r="E366" s="48">
        <f>139.203</f>
        <v>139.203</v>
      </c>
      <c r="F366" s="37">
        <f>VLOOKUP("INF769K01101", [1]NAVAll!B$1:E$501244,4,FALSE)</f>
        <v>155.251</v>
      </c>
      <c r="G366" s="47">
        <f t="shared" si="71"/>
        <v>21611.404953000001</v>
      </c>
      <c r="H366" s="49">
        <f>0</f>
        <v>0</v>
      </c>
      <c r="I366" s="48">
        <f t="shared" si="58"/>
        <v>11611.404953000001</v>
      </c>
      <c r="J366" s="46">
        <f t="shared" si="59"/>
        <v>1.1611404953000002</v>
      </c>
      <c r="K366" s="47">
        <f t="shared" ca="1" si="60"/>
        <v>65.833333333333329</v>
      </c>
      <c r="L366" s="46">
        <f t="shared" ca="1" si="61"/>
        <v>0.21165092572556968</v>
      </c>
      <c r="M366" s="57"/>
      <c r="N366" s="47">
        <f t="shared" si="62"/>
        <v>-10000</v>
      </c>
      <c r="O366" s="51" t="s">
        <v>107</v>
      </c>
    </row>
    <row r="367" spans="1:15" s="75" customFormat="1" x14ac:dyDescent="0.3">
      <c r="A367" s="51" t="s">
        <v>106</v>
      </c>
      <c r="B367" s="50">
        <v>44256</v>
      </c>
      <c r="C367" s="47">
        <v>10000</v>
      </c>
      <c r="D367" s="47">
        <f t="shared" si="70"/>
        <v>78.364992790420658</v>
      </c>
      <c r="E367" s="48">
        <f>127.608</f>
        <v>127.608</v>
      </c>
      <c r="F367" s="37">
        <f>VLOOKUP("INF769K01101", [1]NAVAll!B$1:E$501244,4,FALSE)</f>
        <v>155.251</v>
      </c>
      <c r="G367" s="47">
        <f t="shared" si="71"/>
        <v>19811.269608000002</v>
      </c>
      <c r="H367" s="49">
        <f>0</f>
        <v>0</v>
      </c>
      <c r="I367" s="48">
        <f t="shared" si="58"/>
        <v>9811.2696080000023</v>
      </c>
      <c r="J367" s="46">
        <f t="shared" si="59"/>
        <v>0.98112696080000028</v>
      </c>
      <c r="K367" s="47">
        <f t="shared" ca="1" si="60"/>
        <v>64.733333333333334</v>
      </c>
      <c r="L367" s="46">
        <f t="shared" ca="1" si="61"/>
        <v>0.18187729448403714</v>
      </c>
      <c r="M367" s="57"/>
      <c r="N367" s="47">
        <f t="shared" si="62"/>
        <v>-10000</v>
      </c>
      <c r="O367" s="51" t="s">
        <v>107</v>
      </c>
    </row>
    <row r="368" spans="1:15" s="75" customFormat="1" x14ac:dyDescent="0.3">
      <c r="A368" s="51" t="s">
        <v>106</v>
      </c>
      <c r="B368" s="50">
        <v>44285</v>
      </c>
      <c r="C368" s="47">
        <v>10000</v>
      </c>
      <c r="D368" s="47">
        <f t="shared" si="70"/>
        <v>78.79289288106213</v>
      </c>
      <c r="E368" s="48">
        <f>126.915</f>
        <v>126.91500000000001</v>
      </c>
      <c r="F368" s="37">
        <f>VLOOKUP("INF769K01101", [1]NAVAll!B$1:E$501244,4,FALSE)</f>
        <v>155.251</v>
      </c>
      <c r="G368" s="47">
        <f t="shared" si="71"/>
        <v>19703.680665</v>
      </c>
      <c r="H368" s="49">
        <f>0</f>
        <v>0</v>
      </c>
      <c r="I368" s="48">
        <f t="shared" si="58"/>
        <v>9703.6806649999999</v>
      </c>
      <c r="J368" s="46">
        <f t="shared" si="59"/>
        <v>0.97036806649999996</v>
      </c>
      <c r="K368" s="47">
        <f t="shared" ca="1" si="60"/>
        <v>63.766666666666666</v>
      </c>
      <c r="L368" s="46">
        <f t="shared" ca="1" si="61"/>
        <v>0.1826097772817564</v>
      </c>
      <c r="M368" s="57"/>
      <c r="N368" s="47">
        <f t="shared" si="62"/>
        <v>-10000</v>
      </c>
      <c r="O368" s="51" t="s">
        <v>107</v>
      </c>
    </row>
    <row r="369" spans="1:15" s="75" customFormat="1" x14ac:dyDescent="0.3">
      <c r="A369" s="51" t="s">
        <v>106</v>
      </c>
      <c r="B369" s="50">
        <v>44314</v>
      </c>
      <c r="C369" s="47">
        <v>10000</v>
      </c>
      <c r="D369" s="47">
        <f t="shared" si="70"/>
        <v>80.180888083516408</v>
      </c>
      <c r="E369" s="48">
        <f>124.718</f>
        <v>124.718</v>
      </c>
      <c r="F369" s="37">
        <f>VLOOKUP("INF769K01101", [1]NAVAll!B$1:E$501244,4,FALSE)</f>
        <v>155.251</v>
      </c>
      <c r="G369" s="47">
        <f t="shared" si="71"/>
        <v>19362.594218000002</v>
      </c>
      <c r="H369" s="49">
        <f>0</f>
        <v>0</v>
      </c>
      <c r="I369" s="48">
        <f t="shared" si="58"/>
        <v>9362.594218000002</v>
      </c>
      <c r="J369" s="46">
        <f t="shared" si="59"/>
        <v>0.93625942180000021</v>
      </c>
      <c r="K369" s="47">
        <f t="shared" ca="1" si="60"/>
        <v>62.833333333333336</v>
      </c>
      <c r="L369" s="46">
        <f t="shared" ca="1" si="61"/>
        <v>0.17880816543660483</v>
      </c>
      <c r="M369" s="57"/>
      <c r="N369" s="47">
        <f t="shared" si="62"/>
        <v>-10000</v>
      </c>
      <c r="O369" s="51" t="s">
        <v>107</v>
      </c>
    </row>
    <row r="370" spans="1:15" s="75" customFormat="1" x14ac:dyDescent="0.3">
      <c r="A370" s="51" t="s">
        <v>106</v>
      </c>
      <c r="B370" s="50">
        <v>44344</v>
      </c>
      <c r="C370" s="47">
        <v>10000</v>
      </c>
      <c r="D370" s="47">
        <f t="shared" si="70"/>
        <v>84.292867137582817</v>
      </c>
      <c r="E370" s="48">
        <f>118.634</f>
        <v>118.634</v>
      </c>
      <c r="F370" s="37">
        <f>VLOOKUP("INF769K01101", [1]NAVAll!B$1:E$501244,4,FALSE)</f>
        <v>155.251</v>
      </c>
      <c r="G370" s="47">
        <f t="shared" si="71"/>
        <v>18418.047134</v>
      </c>
      <c r="H370" s="49">
        <f>0</f>
        <v>0</v>
      </c>
      <c r="I370" s="48">
        <f t="shared" si="58"/>
        <v>8418.0471340000004</v>
      </c>
      <c r="J370" s="46">
        <f t="shared" si="59"/>
        <v>0.84180471340000007</v>
      </c>
      <c r="K370" s="47">
        <f t="shared" ca="1" si="60"/>
        <v>61.833333333333336</v>
      </c>
      <c r="L370" s="46">
        <f t="shared" ca="1" si="61"/>
        <v>0.1633691088</v>
      </c>
      <c r="M370" s="57"/>
      <c r="N370" s="47">
        <f t="shared" si="62"/>
        <v>-10000</v>
      </c>
      <c r="O370" s="51" t="s">
        <v>107</v>
      </c>
    </row>
    <row r="371" spans="1:15" s="75" customFormat="1" x14ac:dyDescent="0.3">
      <c r="A371" s="51" t="s">
        <v>106</v>
      </c>
      <c r="B371" s="50">
        <v>44375</v>
      </c>
      <c r="C371" s="47">
        <v>10000</v>
      </c>
      <c r="D371" s="47">
        <f t="shared" si="70"/>
        <v>87.917498219670662</v>
      </c>
      <c r="E371" s="48">
        <f>113.743</f>
        <v>113.74299999999999</v>
      </c>
      <c r="F371" s="37">
        <f>VLOOKUP("INF769K01101", [1]NAVAll!B$1:E$501244,4,FALSE)</f>
        <v>155.251</v>
      </c>
      <c r="G371" s="47">
        <f t="shared" si="71"/>
        <v>17658.714492999999</v>
      </c>
      <c r="H371" s="49">
        <f>0</f>
        <v>0</v>
      </c>
      <c r="I371" s="48">
        <f t="shared" si="58"/>
        <v>7658.7144929999995</v>
      </c>
      <c r="J371" s="46">
        <f t="shared" si="59"/>
        <v>0.76587144929999995</v>
      </c>
      <c r="K371" s="47">
        <f t="shared" ca="1" si="60"/>
        <v>60.833333333333336</v>
      </c>
      <c r="L371" s="46">
        <f t="shared" ca="1" si="61"/>
        <v>0.1510760119167123</v>
      </c>
      <c r="M371" s="57"/>
      <c r="N371" s="47">
        <f t="shared" si="62"/>
        <v>-10000</v>
      </c>
      <c r="O371" s="51" t="s">
        <v>107</v>
      </c>
    </row>
    <row r="372" spans="1:15" s="75" customFormat="1" x14ac:dyDescent="0.3">
      <c r="A372" s="51" t="s">
        <v>106</v>
      </c>
      <c r="B372" s="50">
        <v>44405</v>
      </c>
      <c r="C372" s="47">
        <v>10000</v>
      </c>
      <c r="D372" s="47">
        <f t="shared" si="70"/>
        <v>89.907844459429086</v>
      </c>
      <c r="E372" s="48">
        <f>111.225</f>
        <v>111.22499999999999</v>
      </c>
      <c r="F372" s="37">
        <f>VLOOKUP("INF769K01101", [1]NAVAll!B$1:E$501244,4,FALSE)</f>
        <v>155.251</v>
      </c>
      <c r="G372" s="47">
        <f t="shared" si="71"/>
        <v>17267.792474999998</v>
      </c>
      <c r="H372" s="49">
        <f>0</f>
        <v>0</v>
      </c>
      <c r="I372" s="48">
        <f t="shared" si="58"/>
        <v>7267.7924749999984</v>
      </c>
      <c r="J372" s="46">
        <f t="shared" si="59"/>
        <v>0.72677924749999989</v>
      </c>
      <c r="K372" s="47">
        <f t="shared" ca="1" si="60"/>
        <v>59.833333333333336</v>
      </c>
      <c r="L372" s="46">
        <f t="shared" ca="1" si="61"/>
        <v>0.14576074044568244</v>
      </c>
      <c r="M372" s="57"/>
      <c r="N372" s="47">
        <f t="shared" si="62"/>
        <v>-10000</v>
      </c>
      <c r="O372" s="51" t="s">
        <v>107</v>
      </c>
    </row>
    <row r="373" spans="1:15" s="75" customFormat="1" x14ac:dyDescent="0.3">
      <c r="A373" s="51" t="s">
        <v>106</v>
      </c>
      <c r="B373" s="50">
        <v>44436</v>
      </c>
      <c r="C373" s="47">
        <v>10000</v>
      </c>
      <c r="D373" s="47">
        <f t="shared" si="70"/>
        <v>94.107904122867282</v>
      </c>
      <c r="E373" s="48">
        <f>106.261</f>
        <v>106.261</v>
      </c>
      <c r="F373" s="37">
        <f>VLOOKUP("INF769K01101", [1]NAVAll!B$1:E$501244,4,FALSE)</f>
        <v>155.251</v>
      </c>
      <c r="G373" s="47">
        <f t="shared" si="71"/>
        <v>16497.126510999999</v>
      </c>
      <c r="H373" s="49">
        <f>0</f>
        <v>0</v>
      </c>
      <c r="I373" s="48">
        <f t="shared" si="58"/>
        <v>6497.1265109999986</v>
      </c>
      <c r="J373" s="46">
        <f t="shared" si="59"/>
        <v>0.64971265109999987</v>
      </c>
      <c r="K373" s="47">
        <f t="shared" ca="1" si="60"/>
        <v>58.833333333333336</v>
      </c>
      <c r="L373" s="46">
        <f t="shared" ca="1" si="61"/>
        <v>0.13251929427535408</v>
      </c>
      <c r="M373" s="57"/>
      <c r="N373" s="47">
        <f t="shared" si="62"/>
        <v>-10000</v>
      </c>
      <c r="O373" s="51" t="s">
        <v>107</v>
      </c>
    </row>
    <row r="374" spans="1:15" s="75" customFormat="1" x14ac:dyDescent="0.3">
      <c r="A374" s="51" t="s">
        <v>106</v>
      </c>
      <c r="B374" s="50">
        <v>44467</v>
      </c>
      <c r="C374" s="47">
        <v>10000</v>
      </c>
      <c r="D374" s="47">
        <f t="shared" si="70"/>
        <v>97.678189437080604</v>
      </c>
      <c r="E374" s="48">
        <f>102.377</f>
        <v>102.377</v>
      </c>
      <c r="F374" s="37">
        <f>VLOOKUP("INF769K01101", [1]NAVAll!B$1:E$501244,4,FALSE)</f>
        <v>155.251</v>
      </c>
      <c r="G374" s="47">
        <f t="shared" si="71"/>
        <v>15894.131627000001</v>
      </c>
      <c r="H374" s="49">
        <f>0</f>
        <v>0</v>
      </c>
      <c r="I374" s="48">
        <f t="shared" si="58"/>
        <v>5894.1316270000007</v>
      </c>
      <c r="J374" s="46">
        <f t="shared" si="59"/>
        <v>0.5894131627000001</v>
      </c>
      <c r="K374" s="47">
        <f t="shared" ca="1" si="60"/>
        <v>57.833333333333336</v>
      </c>
      <c r="L374" s="46">
        <f t="shared" ca="1" si="61"/>
        <v>0.12229898476772336</v>
      </c>
      <c r="M374" s="57"/>
      <c r="N374" s="47">
        <f t="shared" si="62"/>
        <v>-10000</v>
      </c>
      <c r="O374" s="51" t="s">
        <v>107</v>
      </c>
    </row>
    <row r="375" spans="1:15" s="75" customFormat="1" x14ac:dyDescent="0.3">
      <c r="A375" s="51" t="s">
        <v>106</v>
      </c>
      <c r="B375" s="50">
        <v>44497</v>
      </c>
      <c r="C375" s="47">
        <v>10000</v>
      </c>
      <c r="D375" s="47">
        <f t="shared" si="70"/>
        <v>99.079550971475001</v>
      </c>
      <c r="E375" s="48">
        <f>100.929</f>
        <v>100.929</v>
      </c>
      <c r="F375" s="37">
        <f>VLOOKUP("INF769K01101", [1]NAVAll!B$1:E$501244,4,FALSE)</f>
        <v>155.251</v>
      </c>
      <c r="G375" s="47">
        <f t="shared" si="71"/>
        <v>15669.328179</v>
      </c>
      <c r="H375" s="49">
        <f>0</f>
        <v>0</v>
      </c>
      <c r="I375" s="48">
        <f t="shared" si="58"/>
        <v>5669.3281790000001</v>
      </c>
      <c r="J375" s="46">
        <f t="shared" si="59"/>
        <v>0.56693281790000005</v>
      </c>
      <c r="K375" s="47">
        <f t="shared" ca="1" si="60"/>
        <v>56.833333333333336</v>
      </c>
      <c r="L375" s="46">
        <f t="shared" ca="1" si="61"/>
        <v>0.11970428999648093</v>
      </c>
      <c r="M375" s="57"/>
      <c r="N375" s="47">
        <f t="shared" si="62"/>
        <v>-10000</v>
      </c>
      <c r="O375" s="51" t="s">
        <v>107</v>
      </c>
    </row>
    <row r="376" spans="1:15" s="75" customFormat="1" x14ac:dyDescent="0.3">
      <c r="A376" s="51" t="s">
        <v>106</v>
      </c>
      <c r="B376" s="50">
        <v>44529</v>
      </c>
      <c r="C376" s="47">
        <v>10000</v>
      </c>
      <c r="D376" s="47">
        <f t="shared" si="70"/>
        <v>95.401640908223627</v>
      </c>
      <c r="E376" s="48">
        <f>104.82</f>
        <v>104.82</v>
      </c>
      <c r="F376" s="37">
        <f>VLOOKUP("INF769K01101", [1]NAVAll!B$1:E$501244,4,FALSE)</f>
        <v>155.251</v>
      </c>
      <c r="G376" s="47">
        <f t="shared" si="71"/>
        <v>16273.409819999999</v>
      </c>
      <c r="H376" s="49">
        <f>0</f>
        <v>0</v>
      </c>
      <c r="I376" s="48">
        <f t="shared" si="58"/>
        <v>6273.4098199999989</v>
      </c>
      <c r="J376" s="46">
        <f t="shared" si="59"/>
        <v>0.62734098199999988</v>
      </c>
      <c r="K376" s="47">
        <f t="shared" ca="1" si="60"/>
        <v>55.8</v>
      </c>
      <c r="L376" s="46">
        <f t="shared" ca="1" si="61"/>
        <v>0.13491203913978494</v>
      </c>
      <c r="M376" s="57"/>
      <c r="N376" s="47">
        <f t="shared" si="62"/>
        <v>-10000</v>
      </c>
      <c r="O376" s="51" t="s">
        <v>107</v>
      </c>
    </row>
    <row r="377" spans="1:15" s="75" customFormat="1" x14ac:dyDescent="0.3">
      <c r="A377" s="51" t="s">
        <v>106</v>
      </c>
      <c r="B377" s="50">
        <v>44558</v>
      </c>
      <c r="C377" s="47">
        <v>10000</v>
      </c>
      <c r="D377" s="47">
        <f t="shared" si="70"/>
        <v>97.313183016903309</v>
      </c>
      <c r="E377" s="48">
        <f>102.761</f>
        <v>102.761</v>
      </c>
      <c r="F377" s="37">
        <f>VLOOKUP("INF769K01101", [1]NAVAll!B$1:E$501244,4,FALSE)</f>
        <v>155.251</v>
      </c>
      <c r="G377" s="47">
        <f t="shared" si="71"/>
        <v>15953.748011</v>
      </c>
      <c r="H377" s="49">
        <f>0</f>
        <v>0</v>
      </c>
      <c r="I377" s="48">
        <f t="shared" si="58"/>
        <v>5953.7480109999997</v>
      </c>
      <c r="J377" s="46">
        <f t="shared" si="59"/>
        <v>0.59537480109999996</v>
      </c>
      <c r="K377" s="47">
        <f t="shared" ca="1" si="60"/>
        <v>54.833333333333336</v>
      </c>
      <c r="L377" s="46">
        <f t="shared" ca="1" si="61"/>
        <v>0.13029478929848023</v>
      </c>
      <c r="M377" s="57"/>
      <c r="N377" s="47">
        <f t="shared" si="62"/>
        <v>-10000</v>
      </c>
      <c r="O377" s="51" t="s">
        <v>107</v>
      </c>
    </row>
    <row r="378" spans="1:15" s="75" customFormat="1" x14ac:dyDescent="0.3">
      <c r="A378" s="51" t="s">
        <v>106</v>
      </c>
      <c r="B378" s="50">
        <v>44589</v>
      </c>
      <c r="C378" s="47">
        <v>10000</v>
      </c>
      <c r="D378" s="47">
        <f t="shared" si="70"/>
        <v>96.595025356194157</v>
      </c>
      <c r="E378" s="48">
        <f>103.525</f>
        <v>103.52500000000001</v>
      </c>
      <c r="F378" s="37">
        <f>VLOOKUP("INF769K01101", [1]NAVAll!B$1:E$501244,4,FALSE)</f>
        <v>155.251</v>
      </c>
      <c r="G378" s="47">
        <f t="shared" si="71"/>
        <v>16072.359775000001</v>
      </c>
      <c r="H378" s="49">
        <f>0</f>
        <v>0</v>
      </c>
      <c r="I378" s="48">
        <f t="shared" si="58"/>
        <v>6072.3597750000008</v>
      </c>
      <c r="J378" s="46">
        <f t="shared" si="59"/>
        <v>0.60723597750000013</v>
      </c>
      <c r="K378" s="47">
        <f t="shared" ca="1" si="60"/>
        <v>53.833333333333336</v>
      </c>
      <c r="L378" s="46">
        <f t="shared" ca="1" si="61"/>
        <v>0.13535910334365325</v>
      </c>
      <c r="M378" s="57"/>
      <c r="N378" s="47">
        <f t="shared" si="62"/>
        <v>-10000</v>
      </c>
      <c r="O378" s="51" t="s">
        <v>107</v>
      </c>
    </row>
    <row r="379" spans="1:15" s="75" customFormat="1" x14ac:dyDescent="0.3">
      <c r="A379" s="51" t="s">
        <v>106</v>
      </c>
      <c r="B379" s="50">
        <v>44620</v>
      </c>
      <c r="C379" s="47">
        <v>10000</v>
      </c>
      <c r="D379" s="47">
        <f t="shared" si="70"/>
        <v>92.546319432876146</v>
      </c>
      <c r="E379" s="48">
        <f>108.054</f>
        <v>108.054</v>
      </c>
      <c r="F379" s="37">
        <f>VLOOKUP("INF769K01101", [1]NAVAll!B$1:E$501244,4,FALSE)</f>
        <v>155.251</v>
      </c>
      <c r="G379" s="47">
        <f t="shared" si="71"/>
        <v>16775.491554</v>
      </c>
      <c r="H379" s="49">
        <f>0</f>
        <v>0</v>
      </c>
      <c r="I379" s="48">
        <f t="shared" si="58"/>
        <v>6775.4915540000002</v>
      </c>
      <c r="J379" s="46">
        <f t="shared" si="59"/>
        <v>0.67754915540000005</v>
      </c>
      <c r="K379" s="47">
        <f t="shared" ca="1" si="60"/>
        <v>52.833333333333336</v>
      </c>
      <c r="L379" s="46">
        <f t="shared" ca="1" si="61"/>
        <v>0.15389129081640379</v>
      </c>
      <c r="M379" s="57"/>
      <c r="N379" s="47">
        <f t="shared" si="62"/>
        <v>-10000</v>
      </c>
      <c r="O379" s="51" t="s">
        <v>107</v>
      </c>
    </row>
    <row r="380" spans="1:15" s="75" customFormat="1" x14ac:dyDescent="0.3">
      <c r="A380" s="51" t="s">
        <v>106</v>
      </c>
      <c r="B380" s="50">
        <v>44648</v>
      </c>
      <c r="C380" s="47">
        <v>10000</v>
      </c>
      <c r="D380" s="47">
        <f t="shared" si="70"/>
        <v>93.28358208955224</v>
      </c>
      <c r="E380" s="48">
        <f>107.2</f>
        <v>107.2</v>
      </c>
      <c r="F380" s="37">
        <f>VLOOKUP("INF769K01101", [1]NAVAll!B$1:E$501244,4,FALSE)</f>
        <v>155.251</v>
      </c>
      <c r="G380" s="47">
        <f t="shared" si="71"/>
        <v>16642.907200000001</v>
      </c>
      <c r="H380" s="49">
        <f>0</f>
        <v>0</v>
      </c>
      <c r="I380" s="48">
        <f t="shared" si="58"/>
        <v>6642.9072000000015</v>
      </c>
      <c r="J380" s="46">
        <f t="shared" si="59"/>
        <v>0.66429072000000011</v>
      </c>
      <c r="K380" s="47">
        <f t="shared" ca="1" si="60"/>
        <v>51.833333333333336</v>
      </c>
      <c r="L380" s="46">
        <f t="shared" ca="1" si="61"/>
        <v>0.1537907776205788</v>
      </c>
      <c r="M380" s="57"/>
      <c r="N380" s="47">
        <f t="shared" si="62"/>
        <v>-10000</v>
      </c>
      <c r="O380" s="51" t="s">
        <v>107</v>
      </c>
    </row>
    <row r="381" spans="1:15" s="75" customFormat="1" x14ac:dyDescent="0.3">
      <c r="A381" s="51" t="s">
        <v>106</v>
      </c>
      <c r="B381" s="50">
        <v>44679</v>
      </c>
      <c r="C381" s="47">
        <v>10000</v>
      </c>
      <c r="D381" s="47">
        <f t="shared" si="70"/>
        <v>94.852362298083023</v>
      </c>
      <c r="E381" s="48">
        <f>105.427</f>
        <v>105.42700000000001</v>
      </c>
      <c r="F381" s="37">
        <f>VLOOKUP("INF769K01101", [1]NAVAll!B$1:E$501244,4,FALSE)</f>
        <v>155.251</v>
      </c>
      <c r="G381" s="47">
        <f t="shared" si="71"/>
        <v>16367.647177000001</v>
      </c>
      <c r="H381" s="49">
        <f>0</f>
        <v>0</v>
      </c>
      <c r="I381" s="48">
        <f t="shared" si="58"/>
        <v>6367.6471770000007</v>
      </c>
      <c r="J381" s="46">
        <f t="shared" si="59"/>
        <v>0.63676471770000009</v>
      </c>
      <c r="K381" s="47">
        <f t="shared" ca="1" si="60"/>
        <v>50.833333333333336</v>
      </c>
      <c r="L381" s="46">
        <f t="shared" ca="1" si="61"/>
        <v>0.15031822844065573</v>
      </c>
      <c r="M381" s="57"/>
      <c r="N381" s="47">
        <f t="shared" si="62"/>
        <v>-10000</v>
      </c>
      <c r="O381" s="51" t="s">
        <v>107</v>
      </c>
    </row>
    <row r="382" spans="1:15" s="75" customFormat="1" x14ac:dyDescent="0.3">
      <c r="A382" s="51" t="s">
        <v>106</v>
      </c>
      <c r="B382" s="50">
        <v>44711</v>
      </c>
      <c r="C382" s="47">
        <v>10000</v>
      </c>
      <c r="D382" s="47">
        <f t="shared" si="70"/>
        <v>90.816623074687598</v>
      </c>
      <c r="E382" s="48">
        <f>110.112</f>
        <v>110.11199999999999</v>
      </c>
      <c r="F382" s="37">
        <f>VLOOKUP("INF769K01101", [1]NAVAll!B$1:E$501244,4,FALSE)</f>
        <v>155.251</v>
      </c>
      <c r="G382" s="47">
        <f t="shared" si="71"/>
        <v>17094.998112000001</v>
      </c>
      <c r="H382" s="49">
        <f>0</f>
        <v>0</v>
      </c>
      <c r="I382" s="48">
        <f t="shared" si="58"/>
        <v>7094.9981120000011</v>
      </c>
      <c r="J382" s="46">
        <f t="shared" si="59"/>
        <v>0.70949981120000016</v>
      </c>
      <c r="K382" s="47">
        <f t="shared" ca="1" si="60"/>
        <v>49.766666666666666</v>
      </c>
      <c r="L382" s="46">
        <f t="shared" ca="1" si="61"/>
        <v>0.17107832018218355</v>
      </c>
      <c r="M382" s="57"/>
      <c r="N382" s="47">
        <f t="shared" si="62"/>
        <v>-10000</v>
      </c>
      <c r="O382" s="51" t="s">
        <v>107</v>
      </c>
    </row>
    <row r="383" spans="1:15" s="75" customFormat="1" x14ac:dyDescent="0.3">
      <c r="A383" s="51" t="s">
        <v>106</v>
      </c>
      <c r="B383" s="50">
        <v>44740</v>
      </c>
      <c r="C383" s="47">
        <v>10000</v>
      </c>
      <c r="D383" s="47">
        <f t="shared" si="70"/>
        <v>86.843247937472853</v>
      </c>
      <c r="E383" s="48">
        <f>115.15</f>
        <v>115.15</v>
      </c>
      <c r="F383" s="37">
        <f>VLOOKUP("INF769K01101", [1]NAVAll!B$1:E$501244,4,FALSE)</f>
        <v>155.251</v>
      </c>
      <c r="G383" s="47">
        <f t="shared" si="71"/>
        <v>17877.15265</v>
      </c>
      <c r="H383" s="49">
        <f>0</f>
        <v>0</v>
      </c>
      <c r="I383" s="48">
        <f t="shared" si="58"/>
        <v>7877.15265</v>
      </c>
      <c r="J383" s="46">
        <f t="shared" si="59"/>
        <v>0.787715265</v>
      </c>
      <c r="K383" s="47">
        <f t="shared" ca="1" si="60"/>
        <v>48.833333333333336</v>
      </c>
      <c r="L383" s="46">
        <f t="shared" ca="1" si="61"/>
        <v>0.19356825624573376</v>
      </c>
      <c r="M383" s="57"/>
      <c r="N383" s="47">
        <f t="shared" si="62"/>
        <v>-10000</v>
      </c>
      <c r="O383" s="51" t="s">
        <v>107</v>
      </c>
    </row>
    <row r="384" spans="1:15" s="75" customFormat="1" x14ac:dyDescent="0.3">
      <c r="A384" s="51" t="s">
        <v>106</v>
      </c>
      <c r="B384" s="50">
        <v>44770</v>
      </c>
      <c r="C384" s="47">
        <v>10000</v>
      </c>
      <c r="D384" s="47">
        <f t="shared" si="70"/>
        <v>93.053552319359795</v>
      </c>
      <c r="E384" s="48">
        <f>107.465</f>
        <v>107.465</v>
      </c>
      <c r="F384" s="37">
        <f>VLOOKUP("INF769K01101", [1]NAVAll!B$1:E$501244,4,FALSE)</f>
        <v>155.251</v>
      </c>
      <c r="G384" s="47">
        <f t="shared" si="71"/>
        <v>16684.048715000001</v>
      </c>
      <c r="H384" s="49">
        <f>0</f>
        <v>0</v>
      </c>
      <c r="I384" s="48">
        <f t="shared" si="58"/>
        <v>6684.0487150000008</v>
      </c>
      <c r="J384" s="46">
        <f t="shared" si="59"/>
        <v>0.66840487150000005</v>
      </c>
      <c r="K384" s="47">
        <f t="shared" ca="1" si="60"/>
        <v>47.833333333333336</v>
      </c>
      <c r="L384" s="46">
        <f t="shared" ca="1" si="61"/>
        <v>0.1676834520836237</v>
      </c>
      <c r="M384" s="57"/>
      <c r="N384" s="47">
        <f t="shared" si="62"/>
        <v>-10000</v>
      </c>
      <c r="O384" s="51" t="s">
        <v>107</v>
      </c>
    </row>
    <row r="385" spans="1:15" s="75" customFormat="1" x14ac:dyDescent="0.3">
      <c r="A385" s="51" t="s">
        <v>106</v>
      </c>
      <c r="B385" s="50">
        <v>44802</v>
      </c>
      <c r="C385" s="47">
        <v>10000</v>
      </c>
      <c r="D385" s="47">
        <f t="shared" si="70"/>
        <v>94.878460691853732</v>
      </c>
      <c r="E385" s="48">
        <f>105.398</f>
        <v>105.398</v>
      </c>
      <c r="F385" s="37">
        <f>VLOOKUP("INF769K01101", [1]NAVAll!B$1:E$501244,4,FALSE)</f>
        <v>155.251</v>
      </c>
      <c r="G385" s="47">
        <f t="shared" si="71"/>
        <v>16363.144898</v>
      </c>
      <c r="H385" s="49">
        <f>0</f>
        <v>0</v>
      </c>
      <c r="I385" s="48">
        <f t="shared" si="58"/>
        <v>6363.1448980000005</v>
      </c>
      <c r="J385" s="46">
        <f t="shared" si="59"/>
        <v>0.63631448980000005</v>
      </c>
      <c r="K385" s="47">
        <f t="shared" ca="1" si="60"/>
        <v>46.8</v>
      </c>
      <c r="L385" s="46">
        <f t="shared" ca="1" si="61"/>
        <v>0.1631575614871795</v>
      </c>
      <c r="M385" s="57"/>
      <c r="N385" s="47">
        <f t="shared" si="62"/>
        <v>-10000</v>
      </c>
      <c r="O385" s="51" t="s">
        <v>107</v>
      </c>
    </row>
    <row r="386" spans="1:15" s="75" customFormat="1" x14ac:dyDescent="0.3">
      <c r="A386" s="51" t="s">
        <v>106</v>
      </c>
      <c r="B386" s="50">
        <v>44832</v>
      </c>
      <c r="C386" s="47">
        <v>10000</v>
      </c>
      <c r="D386" s="47">
        <f t="shared" si="70"/>
        <v>92.080183423725387</v>
      </c>
      <c r="E386" s="48">
        <f>108.601</f>
        <v>108.601</v>
      </c>
      <c r="F386" s="37">
        <f>VLOOKUP("INF769K01101", [1]NAVAll!B$1:E$501244,4,FALSE)</f>
        <v>155.251</v>
      </c>
      <c r="G386" s="47">
        <f t="shared" si="71"/>
        <v>16860.413851000001</v>
      </c>
      <c r="H386" s="49">
        <f>0</f>
        <v>0</v>
      </c>
      <c r="I386" s="48">
        <f t="shared" si="58"/>
        <v>6860.4138510000012</v>
      </c>
      <c r="J386" s="46">
        <f t="shared" si="59"/>
        <v>0.68604138510000012</v>
      </c>
      <c r="K386" s="47">
        <f t="shared" ca="1" si="60"/>
        <v>45.833333333333336</v>
      </c>
      <c r="L386" s="46">
        <f t="shared" ca="1" si="61"/>
        <v>0.1796181080989091</v>
      </c>
      <c r="M386" s="57"/>
      <c r="N386" s="47">
        <f t="shared" si="62"/>
        <v>-10000</v>
      </c>
      <c r="O386" s="51" t="s">
        <v>107</v>
      </c>
    </row>
    <row r="387" spans="1:15" s="75" customFormat="1" x14ac:dyDescent="0.3">
      <c r="A387" s="51" t="s">
        <v>106</v>
      </c>
      <c r="B387" s="50">
        <v>44862</v>
      </c>
      <c r="C387" s="47">
        <v>10000</v>
      </c>
      <c r="D387" s="47">
        <f t="shared" si="70"/>
        <v>95.191859192201875</v>
      </c>
      <c r="E387" s="48">
        <f>105.051</f>
        <v>105.051</v>
      </c>
      <c r="F387" s="37">
        <f>VLOOKUP("INF769K01101", [1]NAVAll!B$1:E$501244,4,FALSE)</f>
        <v>155.251</v>
      </c>
      <c r="G387" s="47">
        <f t="shared" si="71"/>
        <v>16309.272801000001</v>
      </c>
      <c r="H387" s="49">
        <f>0</f>
        <v>0</v>
      </c>
      <c r="I387" s="48">
        <f t="shared" si="58"/>
        <v>6309.272801000001</v>
      </c>
      <c r="J387" s="46">
        <f t="shared" si="59"/>
        <v>0.6309272801000001</v>
      </c>
      <c r="K387" s="47">
        <f t="shared" ca="1" si="60"/>
        <v>44.833333333333336</v>
      </c>
      <c r="L387" s="46">
        <f t="shared" ca="1" si="61"/>
        <v>0.16887272924609667</v>
      </c>
      <c r="M387" s="57"/>
      <c r="N387" s="47">
        <f t="shared" si="62"/>
        <v>-10000</v>
      </c>
      <c r="O387" s="51" t="s">
        <v>107</v>
      </c>
    </row>
    <row r="388" spans="1:15" s="75" customFormat="1" x14ac:dyDescent="0.3">
      <c r="A388" s="51" t="s">
        <v>106</v>
      </c>
      <c r="B388" s="50">
        <v>44893</v>
      </c>
      <c r="C388" s="47">
        <v>10000</v>
      </c>
      <c r="D388" s="47">
        <f t="shared" si="70"/>
        <v>98.816182137986928</v>
      </c>
      <c r="E388" s="48">
        <f>101.198</f>
        <v>101.19799999999999</v>
      </c>
      <c r="F388" s="37">
        <f>VLOOKUP("INF769K01101", [1]NAVAll!B$1:E$501244,4,FALSE)</f>
        <v>155.251</v>
      </c>
      <c r="G388" s="47">
        <f t="shared" si="71"/>
        <v>15711.090698</v>
      </c>
      <c r="H388" s="49">
        <f>0</f>
        <v>0</v>
      </c>
      <c r="I388" s="48">
        <f t="shared" si="58"/>
        <v>5711.090698</v>
      </c>
      <c r="J388" s="46">
        <f t="shared" si="59"/>
        <v>0.57110906979999998</v>
      </c>
      <c r="K388" s="47">
        <f t="shared" ca="1" si="60"/>
        <v>43.833333333333336</v>
      </c>
      <c r="L388" s="46">
        <f t="shared" ca="1" si="61"/>
        <v>0.15634925104790875</v>
      </c>
      <c r="M388" s="57"/>
      <c r="N388" s="47">
        <f t="shared" si="62"/>
        <v>-10000</v>
      </c>
      <c r="O388" s="51" t="s">
        <v>107</v>
      </c>
    </row>
    <row r="389" spans="1:15" s="75" customFormat="1" x14ac:dyDescent="0.3">
      <c r="A389" s="51" t="s">
        <v>106</v>
      </c>
      <c r="B389" s="50">
        <v>44923</v>
      </c>
      <c r="C389" s="47">
        <v>10000</v>
      </c>
      <c r="D389" s="47">
        <f t="shared" si="70"/>
        <v>96.567041668678471</v>
      </c>
      <c r="E389" s="48">
        <f>103.555</f>
        <v>103.55500000000001</v>
      </c>
      <c r="F389" s="37">
        <f>VLOOKUP("INF769K01101", [1]NAVAll!B$1:E$501244,4,FALSE)</f>
        <v>155.251</v>
      </c>
      <c r="G389" s="47">
        <f t="shared" si="71"/>
        <v>16077.017305000001</v>
      </c>
      <c r="H389" s="49">
        <f>0</f>
        <v>0</v>
      </c>
      <c r="I389" s="48">
        <f t="shared" si="58"/>
        <v>6077.0173050000012</v>
      </c>
      <c r="J389" s="46">
        <f t="shared" si="59"/>
        <v>0.60770173050000009</v>
      </c>
      <c r="K389" s="47">
        <f t="shared" ca="1" si="60"/>
        <v>42.833333333333336</v>
      </c>
      <c r="L389" s="46">
        <f t="shared" ca="1" si="61"/>
        <v>0.17025106846692609</v>
      </c>
      <c r="M389" s="57"/>
      <c r="N389" s="47">
        <f t="shared" si="62"/>
        <v>-10000</v>
      </c>
      <c r="O389" s="51" t="s">
        <v>107</v>
      </c>
    </row>
    <row r="390" spans="1:15" s="75" customFormat="1" x14ac:dyDescent="0.3">
      <c r="A390" s="51" t="s">
        <v>106</v>
      </c>
      <c r="B390" s="50">
        <v>44956</v>
      </c>
      <c r="C390" s="47">
        <v>10000</v>
      </c>
      <c r="D390" s="47">
        <f t="shared" si="70"/>
        <v>94.02738077328118</v>
      </c>
      <c r="E390" s="48">
        <f>106.352</f>
        <v>106.352</v>
      </c>
      <c r="F390" s="37">
        <f>VLOOKUP("INF769K01101", [1]NAVAll!B$1:E$501244,4,FALSE)</f>
        <v>155.251</v>
      </c>
      <c r="G390" s="47">
        <f t="shared" si="71"/>
        <v>16511.254352</v>
      </c>
      <c r="H390" s="49">
        <f>0</f>
        <v>0</v>
      </c>
      <c r="I390" s="48">
        <f t="shared" si="58"/>
        <v>6511.2543519999999</v>
      </c>
      <c r="J390" s="46">
        <f t="shared" si="59"/>
        <v>0.65112543519999999</v>
      </c>
      <c r="K390" s="47">
        <f t="shared" ca="1" si="60"/>
        <v>41.766666666666666</v>
      </c>
      <c r="L390" s="46">
        <f t="shared" ca="1" si="61"/>
        <v>0.18707514498962491</v>
      </c>
      <c r="M390" s="57"/>
      <c r="N390" s="47">
        <f t="shared" si="62"/>
        <v>-10000</v>
      </c>
      <c r="O390" s="51" t="s">
        <v>107</v>
      </c>
    </row>
    <row r="391" spans="1:15" s="75" customFormat="1" x14ac:dyDescent="0.3">
      <c r="A391" s="51" t="s">
        <v>106</v>
      </c>
      <c r="B391" s="50">
        <v>44985</v>
      </c>
      <c r="C391" s="47">
        <v>10000</v>
      </c>
      <c r="D391" s="47">
        <f t="shared" si="70"/>
        <v>92.961857749765272</v>
      </c>
      <c r="E391" s="48">
        <f>107.571</f>
        <v>107.571</v>
      </c>
      <c r="F391" s="37">
        <f>VLOOKUP("INF769K01101", [1]NAVAll!B$1:E$501244,4,FALSE)</f>
        <v>155.251</v>
      </c>
      <c r="G391" s="47">
        <f t="shared" si="71"/>
        <v>16700.505321000001</v>
      </c>
      <c r="H391" s="49">
        <f>0</f>
        <v>0</v>
      </c>
      <c r="I391" s="48">
        <f t="shared" si="58"/>
        <v>6700.5053210000005</v>
      </c>
      <c r="J391" s="46">
        <f t="shared" si="59"/>
        <v>0.6700505321000001</v>
      </c>
      <c r="K391" s="47">
        <f t="shared" ca="1" si="60"/>
        <v>40.833333333333336</v>
      </c>
      <c r="L391" s="46">
        <f t="shared" ca="1" si="61"/>
        <v>0.19691280943346939</v>
      </c>
      <c r="M391" s="57"/>
      <c r="N391" s="47">
        <f t="shared" si="62"/>
        <v>-10000</v>
      </c>
      <c r="O391" s="51" t="s">
        <v>107</v>
      </c>
    </row>
    <row r="392" spans="1:15" s="75" customFormat="1" x14ac:dyDescent="0.3">
      <c r="A392" s="51" t="s">
        <v>106</v>
      </c>
      <c r="B392" s="50">
        <v>45013</v>
      </c>
      <c r="C392" s="47">
        <v>10000</v>
      </c>
      <c r="D392" s="47">
        <f t="shared" si="70"/>
        <v>90.355458373240324</v>
      </c>
      <c r="E392" s="48">
        <f>110.674</f>
        <v>110.67400000000001</v>
      </c>
      <c r="F392" s="37">
        <f>VLOOKUP("INF769K01101", [1]NAVAll!B$1:E$501244,4,FALSE)</f>
        <v>155.251</v>
      </c>
      <c r="G392" s="47">
        <f t="shared" si="71"/>
        <v>17182.249174</v>
      </c>
      <c r="H392" s="49">
        <f>0</f>
        <v>0</v>
      </c>
      <c r="I392" s="48">
        <f t="shared" si="58"/>
        <v>7182.2491740000005</v>
      </c>
      <c r="J392" s="46">
        <f t="shared" si="59"/>
        <v>0.71822491740000005</v>
      </c>
      <c r="K392" s="47">
        <f t="shared" ca="1" si="60"/>
        <v>39.833333333333336</v>
      </c>
      <c r="L392" s="46">
        <f t="shared" ca="1" si="61"/>
        <v>0.21636901277322174</v>
      </c>
      <c r="M392" s="57"/>
      <c r="N392" s="47">
        <f t="shared" si="62"/>
        <v>-10000</v>
      </c>
      <c r="O392" s="51" t="s">
        <v>107</v>
      </c>
    </row>
    <row r="393" spans="1:15" s="75" customFormat="1" x14ac:dyDescent="0.3">
      <c r="A393" s="51" t="s">
        <v>106</v>
      </c>
      <c r="B393" s="50">
        <v>45044</v>
      </c>
      <c r="C393" s="47">
        <v>10000</v>
      </c>
      <c r="D393" s="47">
        <f t="shared" si="70"/>
        <v>96.38368416994372</v>
      </c>
      <c r="E393" s="48">
        <f>103.752</f>
        <v>103.752</v>
      </c>
      <c r="F393" s="37">
        <f>VLOOKUP("INF769K01101", [1]NAVAll!B$1:E$501244,4,FALSE)</f>
        <v>155.251</v>
      </c>
      <c r="G393" s="47">
        <f t="shared" si="71"/>
        <v>16107.601752</v>
      </c>
      <c r="H393" s="49">
        <f>0</f>
        <v>0</v>
      </c>
      <c r="I393" s="48">
        <f t="shared" si="58"/>
        <v>6107.6017520000005</v>
      </c>
      <c r="J393" s="46">
        <f t="shared" si="59"/>
        <v>0.61076017520000003</v>
      </c>
      <c r="K393" s="47">
        <f t="shared" ca="1" si="60"/>
        <v>38.833333333333336</v>
      </c>
      <c r="L393" s="46">
        <f t="shared" ca="1" si="61"/>
        <v>0.18873275800171674</v>
      </c>
      <c r="M393" s="57"/>
      <c r="N393" s="47">
        <f t="shared" si="62"/>
        <v>-10000</v>
      </c>
      <c r="O393" s="51" t="s">
        <v>107</v>
      </c>
    </row>
    <row r="394" spans="1:15" s="75" customFormat="1" x14ac:dyDescent="0.3">
      <c r="A394" s="51" t="s">
        <v>106</v>
      </c>
      <c r="B394" s="50">
        <v>45075</v>
      </c>
      <c r="C394" s="47">
        <v>10000</v>
      </c>
      <c r="D394" s="47">
        <f t="shared" si="70"/>
        <v>99.097224286747732</v>
      </c>
      <c r="E394" s="48">
        <f>100.911</f>
        <v>100.911</v>
      </c>
      <c r="F394" s="37">
        <f>VLOOKUP("INF769K01101", [1]NAVAll!B$1:E$501244,4,FALSE)</f>
        <v>155.251</v>
      </c>
      <c r="G394" s="47">
        <f t="shared" si="71"/>
        <v>15666.533661000001</v>
      </c>
      <c r="H394" s="49">
        <f>0</f>
        <v>0</v>
      </c>
      <c r="I394" s="48">
        <f t="shared" si="58"/>
        <v>5666.5336610000013</v>
      </c>
      <c r="J394" s="46">
        <f t="shared" si="59"/>
        <v>0.56665336610000017</v>
      </c>
      <c r="K394" s="47">
        <f t="shared" ca="1" si="60"/>
        <v>37.799999999999997</v>
      </c>
      <c r="L394" s="46">
        <f t="shared" ca="1" si="61"/>
        <v>0.17988995749206355</v>
      </c>
      <c r="M394" s="57"/>
      <c r="N394" s="47">
        <f t="shared" si="62"/>
        <v>-10000</v>
      </c>
      <c r="O394" s="51" t="s">
        <v>107</v>
      </c>
    </row>
    <row r="395" spans="1:15" s="75" customFormat="1" x14ac:dyDescent="0.3">
      <c r="A395" s="51" t="s">
        <v>106</v>
      </c>
      <c r="B395" s="50">
        <v>45105</v>
      </c>
      <c r="C395" s="47">
        <v>10000</v>
      </c>
      <c r="D395" s="47">
        <f t="shared" si="70"/>
        <v>103.63875674947403</v>
      </c>
      <c r="E395" s="48">
        <f>96.489</f>
        <v>96.489000000000004</v>
      </c>
      <c r="F395" s="37">
        <f>VLOOKUP("INF769K01101", [1]NAVAll!B$1:E$501244,4,FALSE)</f>
        <v>155.251</v>
      </c>
      <c r="G395" s="47">
        <f t="shared" si="71"/>
        <v>14980.013739000002</v>
      </c>
      <c r="H395" s="49">
        <f>0</f>
        <v>0</v>
      </c>
      <c r="I395" s="48">
        <f t="shared" si="58"/>
        <v>4980.0137390000018</v>
      </c>
      <c r="J395" s="46">
        <f t="shared" si="59"/>
        <v>0.49800137390000015</v>
      </c>
      <c r="K395" s="47">
        <f t="shared" ca="1" si="60"/>
        <v>36.833333333333336</v>
      </c>
      <c r="L395" s="46">
        <f t="shared" ca="1" si="61"/>
        <v>0.1622447914968326</v>
      </c>
      <c r="M395" s="57"/>
      <c r="N395" s="47">
        <f t="shared" si="62"/>
        <v>-10000</v>
      </c>
      <c r="O395" s="51" t="s">
        <v>107</v>
      </c>
    </row>
    <row r="396" spans="1:15" s="75" customFormat="1" x14ac:dyDescent="0.3">
      <c r="A396" s="51" t="s">
        <v>106</v>
      </c>
      <c r="B396" s="50">
        <v>45135</v>
      </c>
      <c r="C396" s="47">
        <v>10000</v>
      </c>
      <c r="D396" s="47">
        <f t="shared" si="70"/>
        <v>108.55052484178761</v>
      </c>
      <c r="E396" s="48">
        <f>92.123</f>
        <v>92.123000000000005</v>
      </c>
      <c r="F396" s="37">
        <f>VLOOKUP("INF769K01101", [1]NAVAll!B$1:E$501244,4,FALSE)</f>
        <v>155.251</v>
      </c>
      <c r="G396" s="47">
        <f t="shared" si="71"/>
        <v>14302.187873000001</v>
      </c>
      <c r="H396" s="49">
        <f>0</f>
        <v>0</v>
      </c>
      <c r="I396" s="48">
        <f t="shared" si="58"/>
        <v>4302.1878730000008</v>
      </c>
      <c r="J396" s="46">
        <f t="shared" si="59"/>
        <v>0.43021878730000007</v>
      </c>
      <c r="K396" s="47">
        <f t="shared" ca="1" si="60"/>
        <v>35.833333333333336</v>
      </c>
      <c r="L396" s="46">
        <f t="shared" ca="1" si="61"/>
        <v>0.1440732683051163</v>
      </c>
      <c r="M396" s="57"/>
      <c r="N396" s="47">
        <f t="shared" si="62"/>
        <v>-10000</v>
      </c>
      <c r="O396" s="51" t="s">
        <v>107</v>
      </c>
    </row>
    <row r="397" spans="1:15" s="75" customFormat="1" x14ac:dyDescent="0.3">
      <c r="A397" s="76" t="s">
        <v>108</v>
      </c>
      <c r="B397" s="77">
        <f ca="1">TODAY()</f>
        <v>46226</v>
      </c>
      <c r="C397" s="78"/>
      <c r="D397" s="78"/>
      <c r="E397" s="79"/>
      <c r="F397" s="80"/>
      <c r="G397" s="78"/>
      <c r="H397" s="80"/>
      <c r="I397" s="79"/>
      <c r="J397" s="81"/>
      <c r="K397" s="78"/>
      <c r="L397" s="81"/>
      <c r="M397" s="82"/>
      <c r="N397" s="78">
        <f>SUM(G357:G396)</f>
        <v>772730.33654700022</v>
      </c>
      <c r="O397" s="51"/>
    </row>
    <row r="398" spans="1:15" s="75" customFormat="1" x14ac:dyDescent="0.3">
      <c r="A398" s="76" t="s">
        <v>109</v>
      </c>
      <c r="B398" s="77"/>
      <c r="C398" s="78"/>
      <c r="D398" s="78"/>
      <c r="E398" s="79"/>
      <c r="F398" s="80"/>
      <c r="G398" s="78"/>
      <c r="H398" s="80"/>
      <c r="I398" s="79"/>
      <c r="J398" s="81">
        <f>SUM(N357:N397)/-SUM(N357:N396)</f>
        <v>0.93182584136750057</v>
      </c>
      <c r="K398" s="78"/>
      <c r="L398" s="81"/>
      <c r="M398" s="82"/>
      <c r="N398" s="78"/>
      <c r="O398" s="51"/>
    </row>
    <row r="399" spans="1:15" s="75" customFormat="1" x14ac:dyDescent="0.3">
      <c r="A399" s="76" t="s">
        <v>110</v>
      </c>
      <c r="B399" s="77"/>
      <c r="C399" s="78"/>
      <c r="D399" s="78"/>
      <c r="E399" s="79"/>
      <c r="F399" s="80"/>
      <c r="G399" s="78"/>
      <c r="H399" s="80"/>
      <c r="I399" s="79"/>
      <c r="J399" s="81">
        <f ca="1">XIRR(N357:N397,B357:B397)</f>
        <v>0.15120684504508974</v>
      </c>
      <c r="K399" s="78"/>
      <c r="L399" s="81"/>
      <c r="M399" s="82"/>
      <c r="N399" s="78"/>
      <c r="O399" s="51"/>
    </row>
    <row r="400" spans="1:15" s="75" customFormat="1" x14ac:dyDescent="0.3">
      <c r="A400" s="51" t="s">
        <v>111</v>
      </c>
      <c r="B400" s="50">
        <v>45468</v>
      </c>
      <c r="C400" s="47">
        <v>50000</v>
      </c>
      <c r="D400" s="47">
        <f t="shared" ref="D400" si="72">C400/E400</f>
        <v>25.009253423766793</v>
      </c>
      <c r="E400" s="48">
        <f>1999.26</f>
        <v>1999.26</v>
      </c>
      <c r="F400" s="37">
        <f>VLOOKUP("INF247L01BF2", [1]NAVAll!B$1:E$501244,4,FALSE)</f>
        <v>27.6248</v>
      </c>
      <c r="G400" s="47">
        <f t="shared" ref="G400" si="73">PRODUCT(E400:F400)</f>
        <v>55229.157648</v>
      </c>
      <c r="H400" s="49">
        <f>0</f>
        <v>0</v>
      </c>
      <c r="I400" s="48">
        <f t="shared" ref="I400" si="74">SUM(-C400,G400)+H400</f>
        <v>5229.1576480000003</v>
      </c>
      <c r="J400" s="46">
        <f t="shared" ref="J400" si="75">I400/C400</f>
        <v>0.10458315296000001</v>
      </c>
      <c r="K400" s="47">
        <f t="shared" ref="K400" ca="1" si="76">(DAYS360(B400,NOW(),TRUE))/30</f>
        <v>24.933333333333334</v>
      </c>
      <c r="L400" s="46">
        <f t="shared" ref="L400" ca="1" si="77">J400*12/K400</f>
        <v>5.0334137788235304E-2</v>
      </c>
      <c r="M400" s="57" t="s">
        <v>68</v>
      </c>
      <c r="N400" s="47">
        <f t="shared" ref="N400" si="78">-C400</f>
        <v>-50000</v>
      </c>
      <c r="O400" s="51" t="s">
        <v>83</v>
      </c>
    </row>
    <row r="401" spans="1:15" s="75" customFormat="1" x14ac:dyDescent="0.3">
      <c r="A401" s="76" t="s">
        <v>112</v>
      </c>
      <c r="B401" s="77">
        <f ca="1">TODAY()</f>
        <v>46226</v>
      </c>
      <c r="C401" s="78"/>
      <c r="D401" s="78"/>
      <c r="E401" s="79"/>
      <c r="F401" s="80"/>
      <c r="G401" s="78"/>
      <c r="H401" s="80"/>
      <c r="I401" s="79"/>
      <c r="J401" s="81"/>
      <c r="K401" s="78"/>
      <c r="L401" s="81"/>
      <c r="M401" s="82"/>
      <c r="N401" s="78">
        <f>SUM(G400:G400)</f>
        <v>55229.157648</v>
      </c>
      <c r="O401" s="51"/>
    </row>
    <row r="402" spans="1:15" s="75" customFormat="1" x14ac:dyDescent="0.3">
      <c r="A402" s="76" t="s">
        <v>113</v>
      </c>
      <c r="B402" s="77"/>
      <c r="C402" s="78"/>
      <c r="D402" s="78"/>
      <c r="E402" s="79"/>
      <c r="F402" s="80"/>
      <c r="G402" s="78"/>
      <c r="H402" s="80"/>
      <c r="I402" s="79"/>
      <c r="J402" s="81">
        <f>SUM(N400:N401)/-SUM(N400:N400)</f>
        <v>0.10458315296000001</v>
      </c>
      <c r="K402" s="78"/>
      <c r="L402" s="81"/>
      <c r="M402" s="82"/>
      <c r="N402" s="78"/>
      <c r="O402" s="51"/>
    </row>
    <row r="403" spans="1:15" s="75" customFormat="1" x14ac:dyDescent="0.3">
      <c r="A403" s="76" t="s">
        <v>114</v>
      </c>
      <c r="B403" s="77"/>
      <c r="C403" s="78"/>
      <c r="D403" s="78"/>
      <c r="E403" s="79"/>
      <c r="F403" s="80"/>
      <c r="G403" s="78"/>
      <c r="H403" s="80"/>
      <c r="I403" s="79"/>
      <c r="J403" s="81">
        <f ca="1">XIRR(N400:N401,B400:B401)</f>
        <v>4.9062463641166676E-2</v>
      </c>
      <c r="K403" s="78"/>
      <c r="L403" s="81"/>
      <c r="M403" s="82"/>
      <c r="N403" s="78"/>
      <c r="O403" s="51"/>
    </row>
    <row r="404" spans="1:15" s="75" customFormat="1" x14ac:dyDescent="0.3">
      <c r="A404" s="84" t="s">
        <v>115</v>
      </c>
      <c r="B404" s="50">
        <v>45754</v>
      </c>
      <c r="C404" s="47">
        <v>25000</v>
      </c>
      <c r="D404" s="47">
        <f t="shared" ref="D404:D418" si="79">C404/E404</f>
        <v>89.245235196892835</v>
      </c>
      <c r="E404" s="48">
        <f>280.127</f>
        <v>280.12700000000001</v>
      </c>
      <c r="F404" s="37">
        <f>VLOOKUP("INF204K01XI3", [1]NAVAll!B$1:E$501244,4,FALSE)</f>
        <v>100.0997</v>
      </c>
      <c r="G404" s="47">
        <f t="shared" ref="G404:G418" si="80">PRODUCT(E404:F404)</f>
        <v>28040.628661900002</v>
      </c>
      <c r="H404" s="49">
        <f>0</f>
        <v>0</v>
      </c>
      <c r="I404" s="48">
        <f t="shared" ref="I404:I418" si="81">SUM(-C404,G404)+H404</f>
        <v>3040.628661900002</v>
      </c>
      <c r="J404" s="46">
        <f t="shared" ref="J404:J418" si="82">I404/C404</f>
        <v>0.12162514647600008</v>
      </c>
      <c r="K404" s="47">
        <f t="shared" ref="K404:K418" ca="1" si="83">(DAYS360(B404,NOW(),TRUE))/30</f>
        <v>15.533333333333333</v>
      </c>
      <c r="L404" s="46">
        <f t="shared" ref="L404:L418" ca="1" si="84">J404*12/K404</f>
        <v>9.3959340625236101E-2</v>
      </c>
      <c r="M404" s="57" t="s">
        <v>68</v>
      </c>
      <c r="N404" s="47">
        <f t="shared" ref="N404:N418" si="85">-C404</f>
        <v>-25000</v>
      </c>
      <c r="O404" s="51" t="s">
        <v>102</v>
      </c>
    </row>
    <row r="405" spans="1:15" s="75" customFormat="1" x14ac:dyDescent="0.3">
      <c r="A405" s="84" t="s">
        <v>115</v>
      </c>
      <c r="B405" s="50">
        <v>45859</v>
      </c>
      <c r="C405" s="47">
        <v>10000</v>
      </c>
      <c r="D405" s="47">
        <f t="shared" si="79"/>
        <v>101.37875101378751</v>
      </c>
      <c r="E405" s="48">
        <f>98.64</f>
        <v>98.64</v>
      </c>
      <c r="F405" s="37">
        <f>VLOOKUP("INF204K01XI3", [1]NAVAll!B$1:E$501244,4,FALSE)</f>
        <v>100.0997</v>
      </c>
      <c r="G405" s="47">
        <f t="shared" si="80"/>
        <v>9873.8344080000006</v>
      </c>
      <c r="H405" s="49">
        <f>0</f>
        <v>0</v>
      </c>
      <c r="I405" s="48">
        <f t="shared" si="81"/>
        <v>-126.16559199999938</v>
      </c>
      <c r="J405" s="46">
        <f t="shared" si="82"/>
        <v>-1.2616559199999938E-2</v>
      </c>
      <c r="K405" s="47">
        <f t="shared" ca="1" si="83"/>
        <v>12.066666666666666</v>
      </c>
      <c r="L405" s="46">
        <f t="shared" ca="1" si="84"/>
        <v>-1.2546854453038611E-2</v>
      </c>
      <c r="M405" s="57" t="s">
        <v>68</v>
      </c>
      <c r="N405" s="47">
        <f t="shared" si="85"/>
        <v>-10000</v>
      </c>
      <c r="O405" s="51" t="s">
        <v>102</v>
      </c>
    </row>
    <row r="406" spans="1:15" s="75" customFormat="1" x14ac:dyDescent="0.3">
      <c r="A406" s="84" t="s">
        <v>115</v>
      </c>
      <c r="B406" s="50">
        <v>45891</v>
      </c>
      <c r="C406" s="47">
        <v>10000</v>
      </c>
      <c r="D406" s="47">
        <f t="shared" si="79"/>
        <v>102.05747877204442</v>
      </c>
      <c r="E406" s="48">
        <f>97.984</f>
        <v>97.983999999999995</v>
      </c>
      <c r="F406" s="37">
        <f>VLOOKUP("INF204K01XI3", [1]NAVAll!B$1:E$501244,4,FALSE)</f>
        <v>100.0997</v>
      </c>
      <c r="G406" s="47">
        <f t="shared" si="80"/>
        <v>9808.1690048</v>
      </c>
      <c r="H406" s="49">
        <f>0</f>
        <v>0</v>
      </c>
      <c r="I406" s="48">
        <f t="shared" si="81"/>
        <v>-191.83099519999996</v>
      </c>
      <c r="J406" s="46">
        <f t="shared" si="82"/>
        <v>-1.9183099519999997E-2</v>
      </c>
      <c r="K406" s="47">
        <f t="shared" ca="1" si="83"/>
        <v>11.033333333333333</v>
      </c>
      <c r="L406" s="46">
        <f t="shared" ca="1" si="84"/>
        <v>-2.086379403987915E-2</v>
      </c>
      <c r="M406" s="57" t="s">
        <v>68</v>
      </c>
      <c r="N406" s="47">
        <f t="shared" si="85"/>
        <v>-10000</v>
      </c>
      <c r="O406" s="51" t="s">
        <v>102</v>
      </c>
    </row>
    <row r="407" spans="1:15" s="75" customFormat="1" x14ac:dyDescent="0.3">
      <c r="A407" s="84" t="s">
        <v>115</v>
      </c>
      <c r="B407" s="50">
        <v>45894</v>
      </c>
      <c r="C407" s="47">
        <v>135000</v>
      </c>
      <c r="D407" s="47">
        <f t="shared" si="79"/>
        <v>102.34382521797339</v>
      </c>
      <c r="E407" s="48">
        <f>1319.083</f>
        <v>1319.0830000000001</v>
      </c>
      <c r="F407" s="37">
        <f>VLOOKUP("INF204K01XI3", [1]NAVAll!B$1:E$501244,4,FALSE)</f>
        <v>100.0997</v>
      </c>
      <c r="G407" s="47">
        <f t="shared" si="80"/>
        <v>132039.81257510002</v>
      </c>
      <c r="H407" s="49">
        <f>0</f>
        <v>0</v>
      </c>
      <c r="I407" s="48">
        <f t="shared" si="81"/>
        <v>-2960.1874248999811</v>
      </c>
      <c r="J407" s="46">
        <f t="shared" si="82"/>
        <v>-2.192731425851838E-2</v>
      </c>
      <c r="K407" s="47">
        <f t="shared" ca="1" si="83"/>
        <v>10.933333333333334</v>
      </c>
      <c r="L407" s="46">
        <f t="shared" ca="1" si="84"/>
        <v>-2.406656443008115E-2</v>
      </c>
      <c r="M407" s="57" t="s">
        <v>68</v>
      </c>
      <c r="N407" s="47">
        <f t="shared" si="85"/>
        <v>-135000</v>
      </c>
      <c r="O407" s="51" t="s">
        <v>102</v>
      </c>
    </row>
    <row r="408" spans="1:15" s="75" customFormat="1" x14ac:dyDescent="0.3">
      <c r="A408" s="84" t="s">
        <v>115</v>
      </c>
      <c r="B408" s="50">
        <v>45922</v>
      </c>
      <c r="C408" s="47">
        <v>10000</v>
      </c>
      <c r="D408" s="47">
        <f t="shared" si="79"/>
        <v>103.81520892810796</v>
      </c>
      <c r="E408" s="48">
        <f>96.325</f>
        <v>96.325000000000003</v>
      </c>
      <c r="F408" s="37">
        <f>VLOOKUP("INF204K01XI3", [1]NAVAll!B$1:E$501244,4,FALSE)</f>
        <v>100.0997</v>
      </c>
      <c r="G408" s="47">
        <f t="shared" si="80"/>
        <v>9642.1036024999994</v>
      </c>
      <c r="H408" s="49">
        <f>0</f>
        <v>0</v>
      </c>
      <c r="I408" s="48">
        <f t="shared" si="81"/>
        <v>-357.8963975000006</v>
      </c>
      <c r="J408" s="46">
        <f t="shared" si="82"/>
        <v>-3.578963975000006E-2</v>
      </c>
      <c r="K408" s="47">
        <f t="shared" ca="1" si="83"/>
        <v>10.033333333333333</v>
      </c>
      <c r="L408" s="46">
        <f t="shared" ca="1" si="84"/>
        <v>-4.2804884750830635E-2</v>
      </c>
      <c r="M408" s="57" t="s">
        <v>68</v>
      </c>
      <c r="N408" s="47">
        <f t="shared" si="85"/>
        <v>-10000</v>
      </c>
      <c r="O408" s="51" t="s">
        <v>102</v>
      </c>
    </row>
    <row r="409" spans="1:15" s="75" customFormat="1" x14ac:dyDescent="0.3">
      <c r="A409" s="84" t="s">
        <v>115</v>
      </c>
      <c r="B409" s="50">
        <v>45953</v>
      </c>
      <c r="C409" s="47">
        <v>10000</v>
      </c>
      <c r="D409" s="47">
        <f t="shared" si="79"/>
        <v>105.04863751917138</v>
      </c>
      <c r="E409" s="48">
        <f>95.194</f>
        <v>95.194000000000003</v>
      </c>
      <c r="F409" s="37">
        <f>VLOOKUP("INF204K01XI3", [1]NAVAll!B$1:E$501244,4,FALSE)</f>
        <v>100.0997</v>
      </c>
      <c r="G409" s="47">
        <f t="shared" si="80"/>
        <v>9528.890841800001</v>
      </c>
      <c r="H409" s="49">
        <f>0</f>
        <v>0</v>
      </c>
      <c r="I409" s="48">
        <f t="shared" si="81"/>
        <v>-471.109158199999</v>
      </c>
      <c r="J409" s="46">
        <f t="shared" si="82"/>
        <v>-4.7110915819999898E-2</v>
      </c>
      <c r="K409" s="47">
        <f t="shared" ca="1" si="83"/>
        <v>9</v>
      </c>
      <c r="L409" s="46">
        <f t="shared" ca="1" si="84"/>
        <v>-6.281455442666653E-2</v>
      </c>
      <c r="M409" s="57" t="s">
        <v>68</v>
      </c>
      <c r="N409" s="47">
        <f t="shared" si="85"/>
        <v>-10000</v>
      </c>
      <c r="O409" s="51" t="s">
        <v>102</v>
      </c>
    </row>
    <row r="410" spans="1:15" s="75" customFormat="1" x14ac:dyDescent="0.3">
      <c r="A410" s="84" t="s">
        <v>115</v>
      </c>
      <c r="B410" s="50">
        <v>45985</v>
      </c>
      <c r="C410" s="47">
        <v>10000</v>
      </c>
      <c r="D410" s="47">
        <f t="shared" si="79"/>
        <v>104.32859333757602</v>
      </c>
      <c r="E410" s="48">
        <f>95.851</f>
        <v>95.850999999999999</v>
      </c>
      <c r="F410" s="37">
        <f>VLOOKUP("INF204K01XI3", [1]NAVAll!B$1:E$501244,4,FALSE)</f>
        <v>100.0997</v>
      </c>
      <c r="G410" s="47">
        <f t="shared" si="80"/>
        <v>9594.656344699999</v>
      </c>
      <c r="H410" s="49">
        <f>0</f>
        <v>0</v>
      </c>
      <c r="I410" s="48">
        <f t="shared" si="81"/>
        <v>-405.34365530000105</v>
      </c>
      <c r="J410" s="46">
        <f t="shared" si="82"/>
        <v>-4.0534365530000102E-2</v>
      </c>
      <c r="K410" s="47">
        <f t="shared" ca="1" si="83"/>
        <v>7.9666666666666668</v>
      </c>
      <c r="L410" s="46">
        <f t="shared" ca="1" si="84"/>
        <v>-6.1055948078661243E-2</v>
      </c>
      <c r="M410" s="57" t="s">
        <v>68</v>
      </c>
      <c r="N410" s="47">
        <f t="shared" si="85"/>
        <v>-10000</v>
      </c>
      <c r="O410" s="51" t="s">
        <v>102</v>
      </c>
    </row>
    <row r="411" spans="1:15" s="75" customFormat="1" x14ac:dyDescent="0.3">
      <c r="A411" s="84" t="s">
        <v>115</v>
      </c>
      <c r="B411" s="50">
        <v>46013</v>
      </c>
      <c r="C411" s="47">
        <v>10000</v>
      </c>
      <c r="D411" s="47">
        <f t="shared" si="79"/>
        <v>105.34299679757289</v>
      </c>
      <c r="E411" s="48">
        <f>94.928</f>
        <v>94.927999999999997</v>
      </c>
      <c r="F411" s="37">
        <f>VLOOKUP("INF204K01XI3", [1]NAVAll!B$1:E$501244,4,FALSE)</f>
        <v>100.0997</v>
      </c>
      <c r="G411" s="47">
        <f t="shared" si="80"/>
        <v>9502.2643215999997</v>
      </c>
      <c r="H411" s="49">
        <f>0</f>
        <v>0</v>
      </c>
      <c r="I411" s="48">
        <f t="shared" si="81"/>
        <v>-497.73567840000032</v>
      </c>
      <c r="J411" s="46">
        <f t="shared" si="82"/>
        <v>-4.9773567840000033E-2</v>
      </c>
      <c r="K411" s="47">
        <f t="shared" ca="1" si="83"/>
        <v>7.0333333333333332</v>
      </c>
      <c r="L411" s="46">
        <f t="shared" ca="1" si="84"/>
        <v>-8.4921727120379209E-2</v>
      </c>
      <c r="M411" s="57" t="s">
        <v>68</v>
      </c>
      <c r="N411" s="47">
        <f t="shared" si="85"/>
        <v>-10000</v>
      </c>
      <c r="O411" s="51" t="s">
        <v>102</v>
      </c>
    </row>
    <row r="412" spans="1:15" s="75" customFormat="1" x14ac:dyDescent="0.3">
      <c r="A412" s="84" t="s">
        <v>115</v>
      </c>
      <c r="B412" s="50">
        <v>46044</v>
      </c>
      <c r="C412" s="47">
        <v>10000</v>
      </c>
      <c r="D412" s="47">
        <f t="shared" si="79"/>
        <v>101.5444917190467</v>
      </c>
      <c r="E412" s="48">
        <f>98.479</f>
        <v>98.478999999999999</v>
      </c>
      <c r="F412" s="37">
        <f>VLOOKUP("INF204K01XI3", [1]NAVAll!B$1:E$501244,4,FALSE)</f>
        <v>100.0997</v>
      </c>
      <c r="G412" s="47">
        <f t="shared" si="80"/>
        <v>9857.7183562999999</v>
      </c>
      <c r="H412" s="49">
        <f>0</f>
        <v>0</v>
      </c>
      <c r="I412" s="48">
        <f t="shared" si="81"/>
        <v>-142.28164370000013</v>
      </c>
      <c r="J412" s="46">
        <f t="shared" si="82"/>
        <v>-1.4228164370000013E-2</v>
      </c>
      <c r="K412" s="47">
        <f t="shared" ca="1" si="83"/>
        <v>6.0333333333333332</v>
      </c>
      <c r="L412" s="46">
        <f t="shared" ca="1" si="84"/>
        <v>-2.8299111454143672E-2</v>
      </c>
      <c r="M412" s="57" t="s">
        <v>68</v>
      </c>
      <c r="N412" s="47">
        <f t="shared" si="85"/>
        <v>-10000</v>
      </c>
      <c r="O412" s="51" t="s">
        <v>102</v>
      </c>
    </row>
    <row r="413" spans="1:15" s="75" customFormat="1" x14ac:dyDescent="0.3">
      <c r="A413" s="84" t="s">
        <v>115</v>
      </c>
      <c r="B413" s="50">
        <v>46076</v>
      </c>
      <c r="C413" s="47">
        <v>10000</v>
      </c>
      <c r="D413" s="47">
        <f t="shared" si="79"/>
        <v>104.82509932178161</v>
      </c>
      <c r="E413" s="48">
        <f>95.397</f>
        <v>95.397000000000006</v>
      </c>
      <c r="F413" s="37">
        <f>VLOOKUP("INF204K01XI3", [1]NAVAll!B$1:E$501244,4,FALSE)</f>
        <v>100.0997</v>
      </c>
      <c r="G413" s="47">
        <f t="shared" si="80"/>
        <v>9549.2110809000005</v>
      </c>
      <c r="H413" s="49">
        <f>0</f>
        <v>0</v>
      </c>
      <c r="I413" s="48">
        <f t="shared" si="81"/>
        <v>-450.78891909999948</v>
      </c>
      <c r="J413" s="46">
        <f t="shared" si="82"/>
        <v>-4.5078891909999946E-2</v>
      </c>
      <c r="K413" s="47">
        <f t="shared" ca="1" si="83"/>
        <v>5</v>
      </c>
      <c r="L413" s="46">
        <f t="shared" ca="1" si="84"/>
        <v>-0.10818934058399987</v>
      </c>
      <c r="M413" s="57" t="s">
        <v>68</v>
      </c>
      <c r="N413" s="47">
        <f t="shared" si="85"/>
        <v>-10000</v>
      </c>
      <c r="O413" s="51" t="s">
        <v>102</v>
      </c>
    </row>
    <row r="414" spans="1:15" s="75" customFormat="1" x14ac:dyDescent="0.3">
      <c r="A414" s="84" t="s">
        <v>115</v>
      </c>
      <c r="B414" s="50">
        <v>46104</v>
      </c>
      <c r="C414" s="47">
        <v>10000</v>
      </c>
      <c r="D414" s="47">
        <f t="shared" si="79"/>
        <v>92.156555556579519</v>
      </c>
      <c r="E414" s="48">
        <f>108.511</f>
        <v>108.511</v>
      </c>
      <c r="F414" s="37">
        <f>VLOOKUP("INF204K01XI3", [1]NAVAll!B$1:E$501244,4,FALSE)</f>
        <v>100.0997</v>
      </c>
      <c r="G414" s="47">
        <f t="shared" si="80"/>
        <v>10861.918546699999</v>
      </c>
      <c r="H414" s="49">
        <f>0</f>
        <v>0</v>
      </c>
      <c r="I414" s="48">
        <f t="shared" si="81"/>
        <v>861.91854669999884</v>
      </c>
      <c r="J414" s="46">
        <f t="shared" si="82"/>
        <v>8.6191854669999887E-2</v>
      </c>
      <c r="K414" s="47">
        <f t="shared" ca="1" si="83"/>
        <v>4</v>
      </c>
      <c r="L414" s="46">
        <f t="shared" ca="1" si="84"/>
        <v>0.25857556400999965</v>
      </c>
      <c r="M414" s="57" t="s">
        <v>68</v>
      </c>
      <c r="N414" s="47">
        <f t="shared" si="85"/>
        <v>-10000</v>
      </c>
      <c r="O414" s="51" t="s">
        <v>102</v>
      </c>
    </row>
    <row r="415" spans="1:15" s="75" customFormat="1" x14ac:dyDescent="0.3">
      <c r="A415" s="84" t="s">
        <v>115</v>
      </c>
      <c r="B415" s="50">
        <v>46134</v>
      </c>
      <c r="C415" s="47">
        <v>10000</v>
      </c>
      <c r="D415" s="47">
        <f t="shared" si="79"/>
        <v>101.5857536139132</v>
      </c>
      <c r="E415" s="48">
        <f>98.439</f>
        <v>98.438999999999993</v>
      </c>
      <c r="F415" s="37">
        <f>VLOOKUP("INF204K01XI3", [1]NAVAll!B$1:E$501244,4,FALSE)</f>
        <v>100.0997</v>
      </c>
      <c r="G415" s="47">
        <f t="shared" si="80"/>
        <v>9853.7143682999995</v>
      </c>
      <c r="H415" s="49">
        <f>0</f>
        <v>0</v>
      </c>
      <c r="I415" s="48">
        <f t="shared" si="81"/>
        <v>-146.28563170000052</v>
      </c>
      <c r="J415" s="46">
        <f t="shared" si="82"/>
        <v>-1.4628563170000053E-2</v>
      </c>
      <c r="K415" s="47">
        <f t="shared" ca="1" si="83"/>
        <v>3.0333333333333332</v>
      </c>
      <c r="L415" s="46">
        <f t="shared" ca="1" si="84"/>
        <v>-5.7871238914285923E-2</v>
      </c>
      <c r="M415" s="57" t="s">
        <v>68</v>
      </c>
      <c r="N415" s="47">
        <f t="shared" si="85"/>
        <v>-10000</v>
      </c>
      <c r="O415" s="51" t="s">
        <v>102</v>
      </c>
    </row>
    <row r="416" spans="1:15" s="75" customFormat="1" x14ac:dyDescent="0.3">
      <c r="A416" s="84" t="s">
        <v>115</v>
      </c>
      <c r="B416" s="50">
        <v>46164</v>
      </c>
      <c r="C416" s="47">
        <v>10000</v>
      </c>
      <c r="D416" s="47">
        <f t="shared" si="79"/>
        <v>98.754703192739555</v>
      </c>
      <c r="E416" s="48">
        <f>101.261</f>
        <v>101.261</v>
      </c>
      <c r="F416" s="37">
        <f>VLOOKUP("INF204K01XI3", [1]NAVAll!B$1:E$501244,4,FALSE)</f>
        <v>100.0997</v>
      </c>
      <c r="G416" s="47">
        <f t="shared" si="80"/>
        <v>10136.1957217</v>
      </c>
      <c r="H416" s="49">
        <f>0</f>
        <v>0</v>
      </c>
      <c r="I416" s="48">
        <f t="shared" si="81"/>
        <v>136.19572169999992</v>
      </c>
      <c r="J416" s="46">
        <f t="shared" si="82"/>
        <v>1.3619572169999991E-2</v>
      </c>
      <c r="K416" s="47">
        <f t="shared" ca="1" si="83"/>
        <v>2.0333333333333332</v>
      </c>
      <c r="L416" s="46">
        <f t="shared" ca="1" si="84"/>
        <v>8.0377802970491755E-2</v>
      </c>
      <c r="M416" s="57" t="s">
        <v>68</v>
      </c>
      <c r="N416" s="47">
        <f t="shared" si="85"/>
        <v>-10000</v>
      </c>
      <c r="O416" s="51" t="s">
        <v>102</v>
      </c>
    </row>
    <row r="417" spans="1:15" s="75" customFormat="1" x14ac:dyDescent="0.3">
      <c r="A417" s="84" t="s">
        <v>115</v>
      </c>
      <c r="B417" s="50">
        <v>46195</v>
      </c>
      <c r="C417" s="47">
        <v>10000</v>
      </c>
      <c r="D417" s="47">
        <f t="shared" si="79"/>
        <v>101.37052955964643</v>
      </c>
      <c r="E417" s="48">
        <f>98.648</f>
        <v>98.647999999999996</v>
      </c>
      <c r="F417" s="37">
        <f>VLOOKUP("INF204K01XI3", [1]NAVAll!B$1:E$501244,4,FALSE)</f>
        <v>100.0997</v>
      </c>
      <c r="G417" s="47">
        <f t="shared" si="80"/>
        <v>9874.6352055999996</v>
      </c>
      <c r="H417" s="49">
        <f>0</f>
        <v>0</v>
      </c>
      <c r="I417" s="48">
        <f t="shared" si="81"/>
        <v>-125.36479440000039</v>
      </c>
      <c r="J417" s="46">
        <f t="shared" si="82"/>
        <v>-1.253647944000004E-2</v>
      </c>
      <c r="K417" s="47">
        <f t="shared" ca="1" si="83"/>
        <v>1.0333333333333334</v>
      </c>
      <c r="L417" s="46">
        <f t="shared" ca="1" si="84"/>
        <v>-0.14558492252903271</v>
      </c>
      <c r="M417" s="57" t="s">
        <v>68</v>
      </c>
      <c r="N417" s="47">
        <f t="shared" si="85"/>
        <v>-10000</v>
      </c>
      <c r="O417" s="51" t="s">
        <v>102</v>
      </c>
    </row>
    <row r="418" spans="1:15" s="75" customFormat="1" x14ac:dyDescent="0.3">
      <c r="A418" s="84" t="s">
        <v>115</v>
      </c>
      <c r="B418" s="50">
        <v>46225</v>
      </c>
      <c r="C418" s="47">
        <v>10000</v>
      </c>
      <c r="D418" s="47">
        <f t="shared" si="79"/>
        <v>100.10511036588419</v>
      </c>
      <c r="E418" s="48">
        <f>99.895</f>
        <v>99.894999999999996</v>
      </c>
      <c r="F418" s="37">
        <f>VLOOKUP("INF204K01XI3", [1]NAVAll!B$1:E$501244,4,FALSE)</f>
        <v>100.0997</v>
      </c>
      <c r="G418" s="47">
        <f t="shared" si="80"/>
        <v>9999.4595314999988</v>
      </c>
      <c r="H418" s="49">
        <f>0</f>
        <v>0</v>
      </c>
      <c r="I418" s="48">
        <f t="shared" si="81"/>
        <v>-0.54046850000122504</v>
      </c>
      <c r="J418" s="46">
        <f t="shared" si="82"/>
        <v>-5.4046850000122504E-5</v>
      </c>
      <c r="K418" s="47">
        <f t="shared" ca="1" si="83"/>
        <v>3.3333333333333333E-2</v>
      </c>
      <c r="L418" s="46">
        <f t="shared" ca="1" si="84"/>
        <v>-1.94568660000441E-2</v>
      </c>
      <c r="M418" s="57" t="s">
        <v>68</v>
      </c>
      <c r="N418" s="47">
        <f t="shared" si="85"/>
        <v>-10000</v>
      </c>
      <c r="O418" s="51" t="s">
        <v>102</v>
      </c>
    </row>
    <row r="419" spans="1:15" s="75" customFormat="1" x14ac:dyDescent="0.3">
      <c r="A419" s="76" t="s">
        <v>116</v>
      </c>
      <c r="B419" s="77">
        <f ca="1">TODAY()</f>
        <v>46226</v>
      </c>
      <c r="C419" s="78"/>
      <c r="D419" s="78"/>
      <c r="E419" s="79"/>
      <c r="F419" s="80"/>
      <c r="G419" s="78"/>
      <c r="H419" s="80"/>
      <c r="I419" s="79"/>
      <c r="J419" s="81"/>
      <c r="K419" s="78"/>
      <c r="L419" s="81"/>
      <c r="M419" s="82"/>
      <c r="N419" s="78">
        <f>SUM(G404:G418)</f>
        <v>288163.21257139998</v>
      </c>
      <c r="O419" s="51"/>
    </row>
    <row r="420" spans="1:15" s="75" customFormat="1" x14ac:dyDescent="0.3">
      <c r="A420" s="76" t="s">
        <v>117</v>
      </c>
      <c r="B420" s="77"/>
      <c r="C420" s="78"/>
      <c r="D420" s="78"/>
      <c r="E420" s="79"/>
      <c r="F420" s="80"/>
      <c r="G420" s="78"/>
      <c r="H420" s="80"/>
      <c r="I420" s="79"/>
      <c r="J420" s="81">
        <f>SUM(N404:N419)/-SUM(N404:N418)</f>
        <v>-6.333749753793156E-3</v>
      </c>
      <c r="K420" s="78"/>
      <c r="L420" s="81"/>
      <c r="M420" s="82"/>
      <c r="N420" s="78"/>
      <c r="O420" s="51"/>
    </row>
    <row r="421" spans="1:15" s="75" customFormat="1" x14ac:dyDescent="0.3">
      <c r="A421" s="76" t="s">
        <v>118</v>
      </c>
      <c r="B421" s="77"/>
      <c r="C421" s="78"/>
      <c r="D421" s="78"/>
      <c r="E421" s="79"/>
      <c r="F421" s="80"/>
      <c r="G421" s="78"/>
      <c r="H421" s="80"/>
      <c r="I421" s="79"/>
      <c r="J421" s="81">
        <f ca="1">XIRR(N404:N419,B404:B419)</f>
        <v>-8.3404213190078763E-3</v>
      </c>
      <c r="K421" s="78"/>
      <c r="L421" s="81"/>
      <c r="M421" s="82"/>
      <c r="N421" s="78"/>
      <c r="O421" s="51"/>
    </row>
    <row r="422" spans="1:15" s="75" customFormat="1" x14ac:dyDescent="0.3">
      <c r="A422" s="51" t="s">
        <v>119</v>
      </c>
      <c r="B422" s="50">
        <v>45141</v>
      </c>
      <c r="C422" s="47">
        <v>117915.96</v>
      </c>
      <c r="D422" s="47">
        <f t="shared" ref="D422:D423" si="86">C422/E422</f>
        <v>231.72073079424845</v>
      </c>
      <c r="E422" s="48">
        <f>508.871</f>
        <v>508.87099999999998</v>
      </c>
      <c r="F422" s="37">
        <f>VLOOKUP("INF204K01I92", [1]NAVAll!B$1:E$501244,4,FALSE)</f>
        <v>414.25099999999998</v>
      </c>
      <c r="G422" s="47">
        <f t="shared" ref="G422:G423" si="87">PRODUCT(E422:F422)</f>
        <v>210800.32062099999</v>
      </c>
      <c r="H422" s="49">
        <f>0</f>
        <v>0</v>
      </c>
      <c r="I422" s="48">
        <f t="shared" ref="I422:I423" si="88">SUM(-C422,G422)+H422</f>
        <v>92884.360620999985</v>
      </c>
      <c r="J422" s="46">
        <f t="shared" ref="J422:J423" si="89">I422/C422</f>
        <v>0.78771661292500172</v>
      </c>
      <c r="K422" s="47">
        <f t="shared" ref="K422:K423" ca="1" si="90">(DAYS360(B422,NOW(),TRUE))/30</f>
        <v>35.666666666666664</v>
      </c>
      <c r="L422" s="46">
        <f t="shared" ref="L422:L423" ca="1" si="91">J422*12/K422</f>
        <v>0.26502615014299125</v>
      </c>
      <c r="M422" s="57" t="s">
        <v>68</v>
      </c>
      <c r="N422" s="47">
        <f t="shared" ref="N422:N423" si="92">-C422</f>
        <v>-117915.96</v>
      </c>
      <c r="O422" s="51" t="s">
        <v>83</v>
      </c>
    </row>
    <row r="423" spans="1:15" s="75" customFormat="1" x14ac:dyDescent="0.3">
      <c r="A423" s="51" t="s">
        <v>119</v>
      </c>
      <c r="B423" s="50">
        <v>45468</v>
      </c>
      <c r="C423" s="47">
        <v>50000</v>
      </c>
      <c r="D423" s="47">
        <f t="shared" si="86"/>
        <v>395.55397333966221</v>
      </c>
      <c r="E423" s="48">
        <f>126.405</f>
        <v>126.405</v>
      </c>
      <c r="F423" s="37">
        <f>VLOOKUP("INF204K01I92", [1]NAVAll!B$1:E$501244,4,FALSE)</f>
        <v>414.25099999999998</v>
      </c>
      <c r="G423" s="47">
        <f t="shared" si="87"/>
        <v>52363.397655000001</v>
      </c>
      <c r="H423" s="49">
        <f>0</f>
        <v>0</v>
      </c>
      <c r="I423" s="48">
        <f t="shared" si="88"/>
        <v>2363.3976550000007</v>
      </c>
      <c r="J423" s="46">
        <f t="shared" si="89"/>
        <v>4.7267953100000017E-2</v>
      </c>
      <c r="K423" s="47">
        <f t="shared" ca="1" si="90"/>
        <v>24.933333333333334</v>
      </c>
      <c r="L423" s="46">
        <f t="shared" ca="1" si="91"/>
        <v>2.2749282240641721E-2</v>
      </c>
      <c r="M423" s="57" t="s">
        <v>68</v>
      </c>
      <c r="N423" s="47">
        <f t="shared" si="92"/>
        <v>-50000</v>
      </c>
      <c r="O423" s="51" t="s">
        <v>83</v>
      </c>
    </row>
    <row r="424" spans="1:15" s="75" customFormat="1" x14ac:dyDescent="0.3">
      <c r="A424" s="76" t="s">
        <v>120</v>
      </c>
      <c r="B424" s="77">
        <f ca="1">TODAY()</f>
        <v>46226</v>
      </c>
      <c r="C424" s="78"/>
      <c r="D424" s="78"/>
      <c r="E424" s="79"/>
      <c r="F424" s="80"/>
      <c r="G424" s="78"/>
      <c r="H424" s="80"/>
      <c r="I424" s="79"/>
      <c r="J424" s="81"/>
      <c r="K424" s="78"/>
      <c r="L424" s="81"/>
      <c r="M424" s="82"/>
      <c r="N424" s="78">
        <f>SUM(G422:G423)</f>
        <v>263163.718276</v>
      </c>
      <c r="O424" s="51"/>
    </row>
    <row r="425" spans="1:15" s="75" customFormat="1" x14ac:dyDescent="0.3">
      <c r="A425" s="76" t="s">
        <v>121</v>
      </c>
      <c r="B425" s="77"/>
      <c r="C425" s="78"/>
      <c r="D425" s="78"/>
      <c r="E425" s="79"/>
      <c r="F425" s="80"/>
      <c r="G425" s="78"/>
      <c r="H425" s="80"/>
      <c r="I425" s="79"/>
      <c r="J425" s="81">
        <f>SUM(N422:N424)/-SUM(N422:N423)</f>
        <v>0.56723469452218811</v>
      </c>
      <c r="K425" s="78"/>
      <c r="L425" s="81"/>
      <c r="M425" s="82"/>
      <c r="N425" s="78"/>
      <c r="O425" s="51"/>
    </row>
    <row r="426" spans="1:15" s="75" customFormat="1" x14ac:dyDescent="0.3">
      <c r="A426" s="76" t="s">
        <v>122</v>
      </c>
      <c r="B426" s="77"/>
      <c r="C426" s="78"/>
      <c r="D426" s="78"/>
      <c r="E426" s="79"/>
      <c r="F426" s="80"/>
      <c r="G426" s="78"/>
      <c r="H426" s="80"/>
      <c r="I426" s="79"/>
      <c r="J426" s="81">
        <f ca="1">XIRR(N422:N424,B422:B424)</f>
        <v>0.17965721487998962</v>
      </c>
      <c r="K426" s="78"/>
      <c r="L426" s="81"/>
      <c r="M426" s="82"/>
      <c r="N426" s="78"/>
      <c r="O426" s="51"/>
    </row>
    <row r="427" spans="1:15" s="75" customFormat="1" x14ac:dyDescent="0.3">
      <c r="A427" s="84" t="s">
        <v>123</v>
      </c>
      <c r="B427" s="50">
        <v>45160</v>
      </c>
      <c r="C427" s="47">
        <v>15000</v>
      </c>
      <c r="D427" s="47">
        <f t="shared" ref="D427:D462" si="93">C427/E427</f>
        <v>130.04577611319186</v>
      </c>
      <c r="E427" s="49">
        <f>115.344</f>
        <v>115.34399999999999</v>
      </c>
      <c r="F427" s="37">
        <f>VLOOKUP("INF204K01K15", [1]NAVAll!B$1:E$501244,4,FALSE)</f>
        <v>202.1644</v>
      </c>
      <c r="G427" s="47">
        <f t="shared" ref="G427:G462" si="94">PRODUCT(E427:F427)</f>
        <v>23318.4505536</v>
      </c>
      <c r="H427" s="49">
        <f>0</f>
        <v>0</v>
      </c>
      <c r="I427" s="48">
        <f t="shared" ref="I427:I462" si="95">SUM(-C427,G427)+H427</f>
        <v>8318.4505535999997</v>
      </c>
      <c r="J427" s="46">
        <f t="shared" ref="J427:J462" si="96">I427/C427</f>
        <v>0.55456337024000002</v>
      </c>
      <c r="K427" s="47">
        <f t="shared" ref="K427:K462" ca="1" si="97">(DAYS360(B427,NOW(),TRUE))/30</f>
        <v>35.033333333333331</v>
      </c>
      <c r="L427" s="46">
        <f t="shared" ref="L427:L462" ca="1" si="98">J427*12/K427</f>
        <v>0.18995510303177929</v>
      </c>
      <c r="M427" s="57" t="s">
        <v>68</v>
      </c>
      <c r="N427" s="47">
        <f t="shared" ref="N427:N462" si="99">-C427</f>
        <v>-15000</v>
      </c>
      <c r="O427" s="51" t="s">
        <v>69</v>
      </c>
    </row>
    <row r="428" spans="1:15" s="75" customFormat="1" x14ac:dyDescent="0.3">
      <c r="A428" s="84" t="s">
        <v>123</v>
      </c>
      <c r="B428" s="50">
        <v>45191</v>
      </c>
      <c r="C428" s="47">
        <v>15000</v>
      </c>
      <c r="D428" s="47">
        <f t="shared" si="93"/>
        <v>134.20897231716265</v>
      </c>
      <c r="E428" s="48">
        <f>111.766</f>
        <v>111.76600000000001</v>
      </c>
      <c r="F428" s="37">
        <f>VLOOKUP("INF204K01K15", [1]NAVAll!B$1:E$501244,4,FALSE)</f>
        <v>202.1644</v>
      </c>
      <c r="G428" s="47">
        <f t="shared" si="94"/>
        <v>22595.106330400002</v>
      </c>
      <c r="H428" s="49">
        <f>0</f>
        <v>0</v>
      </c>
      <c r="I428" s="48">
        <f t="shared" si="95"/>
        <v>7595.1063304000018</v>
      </c>
      <c r="J428" s="46">
        <f t="shared" si="96"/>
        <v>0.50634042202666674</v>
      </c>
      <c r="K428" s="47">
        <f t="shared" ca="1" si="97"/>
        <v>34.033333333333331</v>
      </c>
      <c r="L428" s="46">
        <f t="shared" ca="1" si="98"/>
        <v>0.1785333515471107</v>
      </c>
      <c r="M428" s="57" t="s">
        <v>68</v>
      </c>
      <c r="N428" s="47">
        <f t="shared" si="99"/>
        <v>-15000</v>
      </c>
      <c r="O428" s="51" t="s">
        <v>69</v>
      </c>
    </row>
    <row r="429" spans="1:15" s="75" customFormat="1" x14ac:dyDescent="0.3">
      <c r="A429" s="84" t="s">
        <v>123</v>
      </c>
      <c r="B429" s="50">
        <v>45222</v>
      </c>
      <c r="C429" s="47">
        <v>15000</v>
      </c>
      <c r="D429" s="47">
        <f t="shared" si="93"/>
        <v>131.33586081901043</v>
      </c>
      <c r="E429" s="48">
        <f>114.211</f>
        <v>114.211</v>
      </c>
      <c r="F429" s="37">
        <f>VLOOKUP("INF204K01K15", [1]NAVAll!B$1:E$501244,4,FALSE)</f>
        <v>202.1644</v>
      </c>
      <c r="G429" s="47">
        <f t="shared" si="94"/>
        <v>23089.3982884</v>
      </c>
      <c r="H429" s="49">
        <f>0</f>
        <v>0</v>
      </c>
      <c r="I429" s="48">
        <f t="shared" si="95"/>
        <v>8089.3982883999997</v>
      </c>
      <c r="J429" s="46">
        <f t="shared" si="96"/>
        <v>0.53929321922666662</v>
      </c>
      <c r="K429" s="47">
        <f t="shared" ca="1" si="97"/>
        <v>33</v>
      </c>
      <c r="L429" s="46">
        <f t="shared" ca="1" si="98"/>
        <v>0.19610662517333333</v>
      </c>
      <c r="M429" s="57" t="s">
        <v>68</v>
      </c>
      <c r="N429" s="47">
        <f t="shared" si="99"/>
        <v>-15000</v>
      </c>
      <c r="O429" s="51" t="s">
        <v>69</v>
      </c>
    </row>
    <row r="430" spans="1:15" s="75" customFormat="1" x14ac:dyDescent="0.3">
      <c r="A430" s="84" t="s">
        <v>123</v>
      </c>
      <c r="B430" s="50">
        <v>45252</v>
      </c>
      <c r="C430" s="47">
        <v>15000</v>
      </c>
      <c r="D430" s="47">
        <f t="shared" si="93"/>
        <v>142.53000256554006</v>
      </c>
      <c r="E430" s="48">
        <f>105.241</f>
        <v>105.241</v>
      </c>
      <c r="F430" s="37">
        <f>VLOOKUP("INF204K01K15", [1]NAVAll!B$1:E$501244,4,FALSE)</f>
        <v>202.1644</v>
      </c>
      <c r="G430" s="47">
        <f t="shared" si="94"/>
        <v>21275.983620399998</v>
      </c>
      <c r="H430" s="49">
        <f>0</f>
        <v>0</v>
      </c>
      <c r="I430" s="48">
        <f t="shared" si="95"/>
        <v>6275.9836203999985</v>
      </c>
      <c r="J430" s="46">
        <f t="shared" si="96"/>
        <v>0.41839890802666657</v>
      </c>
      <c r="K430" s="47">
        <f t="shared" ca="1" si="97"/>
        <v>32.033333333333331</v>
      </c>
      <c r="L430" s="46">
        <f t="shared" ca="1" si="98"/>
        <v>0.15673632350634753</v>
      </c>
      <c r="M430" s="57" t="s">
        <v>68</v>
      </c>
      <c r="N430" s="47">
        <f t="shared" si="99"/>
        <v>-15000</v>
      </c>
      <c r="O430" s="51" t="s">
        <v>69</v>
      </c>
    </row>
    <row r="431" spans="1:15" s="75" customFormat="1" x14ac:dyDescent="0.3">
      <c r="A431" s="84" t="s">
        <v>123</v>
      </c>
      <c r="B431" s="50">
        <v>45282</v>
      </c>
      <c r="C431" s="47">
        <v>15000</v>
      </c>
      <c r="D431" s="47">
        <f t="shared" si="93"/>
        <v>151.22034821005514</v>
      </c>
      <c r="E431" s="48">
        <f>99.193</f>
        <v>99.192999999999998</v>
      </c>
      <c r="F431" s="37">
        <f>VLOOKUP("INF204K01K15", [1]NAVAll!B$1:E$501244,4,FALSE)</f>
        <v>202.1644</v>
      </c>
      <c r="G431" s="47">
        <f t="shared" si="94"/>
        <v>20053.293329199998</v>
      </c>
      <c r="H431" s="49">
        <f>0</f>
        <v>0</v>
      </c>
      <c r="I431" s="48">
        <f t="shared" si="95"/>
        <v>5053.293329199998</v>
      </c>
      <c r="J431" s="46">
        <f t="shared" si="96"/>
        <v>0.33688622194666651</v>
      </c>
      <c r="K431" s="47">
        <f t="shared" ca="1" si="97"/>
        <v>31.033333333333335</v>
      </c>
      <c r="L431" s="46">
        <f t="shared" ca="1" si="98"/>
        <v>0.13026749720816319</v>
      </c>
      <c r="M431" s="57" t="s">
        <v>68</v>
      </c>
      <c r="N431" s="47">
        <f t="shared" si="99"/>
        <v>-15000</v>
      </c>
      <c r="O431" s="51" t="s">
        <v>69</v>
      </c>
    </row>
    <row r="432" spans="1:15" s="75" customFormat="1" x14ac:dyDescent="0.3">
      <c r="A432" s="84" t="s">
        <v>123</v>
      </c>
      <c r="B432" s="50">
        <v>45314</v>
      </c>
      <c r="C432" s="47">
        <v>15000</v>
      </c>
      <c r="D432" s="47">
        <f t="shared" si="93"/>
        <v>152.7541574589855</v>
      </c>
      <c r="E432" s="48">
        <f>98.197</f>
        <v>98.197000000000003</v>
      </c>
      <c r="F432" s="37">
        <f>VLOOKUP("INF204K01K15", [1]NAVAll!B$1:E$501244,4,FALSE)</f>
        <v>202.1644</v>
      </c>
      <c r="G432" s="47">
        <f t="shared" si="94"/>
        <v>19851.937586799999</v>
      </c>
      <c r="H432" s="49">
        <f>0</f>
        <v>0</v>
      </c>
      <c r="I432" s="48">
        <f t="shared" si="95"/>
        <v>4851.9375867999988</v>
      </c>
      <c r="J432" s="46">
        <f t="shared" si="96"/>
        <v>0.32346250578666658</v>
      </c>
      <c r="K432" s="47">
        <f t="shared" ca="1" si="97"/>
        <v>30</v>
      </c>
      <c r="L432" s="46">
        <f t="shared" ca="1" si="98"/>
        <v>0.12938500231466663</v>
      </c>
      <c r="M432" s="57" t="s">
        <v>68</v>
      </c>
      <c r="N432" s="47">
        <f t="shared" si="99"/>
        <v>-15000</v>
      </c>
      <c r="O432" s="51" t="s">
        <v>69</v>
      </c>
    </row>
    <row r="433" spans="1:15" s="75" customFormat="1" x14ac:dyDescent="0.3">
      <c r="A433" s="84" t="s">
        <v>123</v>
      </c>
      <c r="B433" s="50">
        <v>45344</v>
      </c>
      <c r="C433" s="47">
        <v>15000</v>
      </c>
      <c r="D433" s="47">
        <f t="shared" si="93"/>
        <v>158.92692539970122</v>
      </c>
      <c r="E433" s="48">
        <f>94.383</f>
        <v>94.382999999999996</v>
      </c>
      <c r="F433" s="37">
        <f>VLOOKUP("INF204K01K15", [1]NAVAll!B$1:E$501244,4,FALSE)</f>
        <v>202.1644</v>
      </c>
      <c r="G433" s="47">
        <f t="shared" si="94"/>
        <v>19080.882565199998</v>
      </c>
      <c r="H433" s="49">
        <f>0</f>
        <v>0</v>
      </c>
      <c r="I433" s="48">
        <f t="shared" si="95"/>
        <v>4080.8825651999978</v>
      </c>
      <c r="J433" s="46">
        <f t="shared" si="96"/>
        <v>0.27205883767999983</v>
      </c>
      <c r="K433" s="47">
        <f t="shared" ca="1" si="97"/>
        <v>29.033333333333335</v>
      </c>
      <c r="L433" s="46">
        <f t="shared" ca="1" si="98"/>
        <v>0.11244682154397237</v>
      </c>
      <c r="M433" s="57" t="s">
        <v>68</v>
      </c>
      <c r="N433" s="47">
        <f t="shared" si="99"/>
        <v>-15000</v>
      </c>
      <c r="O433" s="51" t="s">
        <v>69</v>
      </c>
    </row>
    <row r="434" spans="1:15" s="75" customFormat="1" x14ac:dyDescent="0.3">
      <c r="A434" s="84" t="s">
        <v>123</v>
      </c>
      <c r="B434" s="50">
        <v>45373</v>
      </c>
      <c r="C434" s="47">
        <v>15000</v>
      </c>
      <c r="D434" s="47">
        <f t="shared" si="93"/>
        <v>154.42584470937055</v>
      </c>
      <c r="E434" s="48">
        <f>97.134</f>
        <v>97.134</v>
      </c>
      <c r="F434" s="37">
        <f>VLOOKUP("INF204K01K15", [1]NAVAll!B$1:E$501244,4,FALSE)</f>
        <v>202.1644</v>
      </c>
      <c r="G434" s="47">
        <f t="shared" si="94"/>
        <v>19637.036829600002</v>
      </c>
      <c r="H434" s="49">
        <f>0</f>
        <v>0</v>
      </c>
      <c r="I434" s="48">
        <f t="shared" si="95"/>
        <v>4637.0368296000015</v>
      </c>
      <c r="J434" s="46">
        <f t="shared" si="96"/>
        <v>0.30913578864000008</v>
      </c>
      <c r="K434" s="47">
        <f t="shared" ca="1" si="97"/>
        <v>28.033333333333335</v>
      </c>
      <c r="L434" s="46">
        <f t="shared" ca="1" si="98"/>
        <v>0.13232923176028538</v>
      </c>
      <c r="M434" s="57" t="s">
        <v>68</v>
      </c>
      <c r="N434" s="47">
        <f t="shared" si="99"/>
        <v>-15000</v>
      </c>
      <c r="O434" s="51" t="s">
        <v>69</v>
      </c>
    </row>
    <row r="435" spans="1:15" s="75" customFormat="1" x14ac:dyDescent="0.3">
      <c r="A435" s="84" t="s">
        <v>123</v>
      </c>
      <c r="B435" s="50">
        <v>45404</v>
      </c>
      <c r="C435" s="47">
        <v>15000</v>
      </c>
      <c r="D435" s="47">
        <f t="shared" si="93"/>
        <v>165.05826556774542</v>
      </c>
      <c r="E435" s="48">
        <f>90.877</f>
        <v>90.876999999999995</v>
      </c>
      <c r="F435" s="37">
        <f>VLOOKUP("INF204K01K15", [1]NAVAll!B$1:E$501244,4,FALSE)</f>
        <v>202.1644</v>
      </c>
      <c r="G435" s="47">
        <f t="shared" si="94"/>
        <v>18372.094178799998</v>
      </c>
      <c r="H435" s="49">
        <f>0</f>
        <v>0</v>
      </c>
      <c r="I435" s="48">
        <f t="shared" si="95"/>
        <v>3372.0941787999982</v>
      </c>
      <c r="J435" s="46">
        <f t="shared" si="96"/>
        <v>0.22480627858666655</v>
      </c>
      <c r="K435" s="47">
        <f t="shared" ca="1" si="97"/>
        <v>27.033333333333335</v>
      </c>
      <c r="L435" s="46">
        <f t="shared" ca="1" si="98"/>
        <v>9.9790703195067748E-2</v>
      </c>
      <c r="M435" s="57" t="s">
        <v>68</v>
      </c>
      <c r="N435" s="47">
        <f t="shared" si="99"/>
        <v>-15000</v>
      </c>
      <c r="O435" s="51" t="s">
        <v>69</v>
      </c>
    </row>
    <row r="436" spans="1:15" s="75" customFormat="1" x14ac:dyDescent="0.3">
      <c r="A436" s="84" t="s">
        <v>123</v>
      </c>
      <c r="B436" s="50">
        <v>45434</v>
      </c>
      <c r="C436" s="47">
        <v>15000</v>
      </c>
      <c r="D436" s="47">
        <f t="shared" si="93"/>
        <v>176.00469345849223</v>
      </c>
      <c r="E436" s="48">
        <f>85.225</f>
        <v>85.224999999999994</v>
      </c>
      <c r="F436" s="37">
        <f>VLOOKUP("INF204K01K15", [1]NAVAll!B$1:E$501244,4,FALSE)</f>
        <v>202.1644</v>
      </c>
      <c r="G436" s="47">
        <f t="shared" si="94"/>
        <v>17229.46099</v>
      </c>
      <c r="H436" s="49">
        <f>0</f>
        <v>0</v>
      </c>
      <c r="I436" s="48">
        <f t="shared" si="95"/>
        <v>2229.4609899999996</v>
      </c>
      <c r="J436" s="46">
        <f t="shared" si="96"/>
        <v>0.14863073266666663</v>
      </c>
      <c r="K436" s="47">
        <f t="shared" ca="1" si="97"/>
        <v>26.033333333333335</v>
      </c>
      <c r="L436" s="46">
        <f t="shared" ca="1" si="98"/>
        <v>6.85109651216389E-2</v>
      </c>
      <c r="M436" s="57" t="s">
        <v>68</v>
      </c>
      <c r="N436" s="47">
        <f t="shared" si="99"/>
        <v>-15000</v>
      </c>
      <c r="O436" s="51" t="s">
        <v>69</v>
      </c>
    </row>
    <row r="437" spans="1:15" s="75" customFormat="1" x14ac:dyDescent="0.3">
      <c r="A437" s="84" t="s">
        <v>123</v>
      </c>
      <c r="B437" s="50">
        <v>45467</v>
      </c>
      <c r="C437" s="47">
        <v>15000</v>
      </c>
      <c r="D437" s="47">
        <f t="shared" si="93"/>
        <v>188.32391713747646</v>
      </c>
      <c r="E437" s="48">
        <f>79.65</f>
        <v>79.650000000000006</v>
      </c>
      <c r="F437" s="37">
        <f>VLOOKUP("INF204K01K15", [1]NAVAll!B$1:E$501244,4,FALSE)</f>
        <v>202.1644</v>
      </c>
      <c r="G437" s="47">
        <f t="shared" si="94"/>
        <v>16102.394460000001</v>
      </c>
      <c r="H437" s="49">
        <f>0</f>
        <v>0</v>
      </c>
      <c r="I437" s="48">
        <f t="shared" si="95"/>
        <v>1102.3944600000013</v>
      </c>
      <c r="J437" s="46">
        <f t="shared" si="96"/>
        <v>7.3492964000000091E-2</v>
      </c>
      <c r="K437" s="47">
        <f t="shared" ca="1" si="97"/>
        <v>24.966666666666665</v>
      </c>
      <c r="L437" s="46">
        <f t="shared" ca="1" si="98"/>
        <v>3.5323721014686289E-2</v>
      </c>
      <c r="M437" s="57" t="s">
        <v>68</v>
      </c>
      <c r="N437" s="47">
        <f t="shared" si="99"/>
        <v>-15000</v>
      </c>
      <c r="O437" s="51" t="s">
        <v>69</v>
      </c>
    </row>
    <row r="438" spans="1:15" s="75" customFormat="1" x14ac:dyDescent="0.3">
      <c r="A438" s="84" t="s">
        <v>123</v>
      </c>
      <c r="B438" s="50">
        <v>45495</v>
      </c>
      <c r="C438" s="47">
        <v>15000</v>
      </c>
      <c r="D438" s="47">
        <f t="shared" si="93"/>
        <v>192.17218627890588</v>
      </c>
      <c r="E438" s="48">
        <f>78.055</f>
        <v>78.055000000000007</v>
      </c>
      <c r="F438" s="37">
        <f>VLOOKUP("INF204K01K15", [1]NAVAll!B$1:E$501244,4,FALSE)</f>
        <v>202.1644</v>
      </c>
      <c r="G438" s="47">
        <f t="shared" si="94"/>
        <v>15779.942242000001</v>
      </c>
      <c r="H438" s="49">
        <f>0</f>
        <v>0</v>
      </c>
      <c r="I438" s="48">
        <f t="shared" si="95"/>
        <v>779.94224200000099</v>
      </c>
      <c r="J438" s="46">
        <f t="shared" si="96"/>
        <v>5.1996149466666731E-2</v>
      </c>
      <c r="K438" s="47">
        <f t="shared" ca="1" si="97"/>
        <v>24.033333333333335</v>
      </c>
      <c r="L438" s="46">
        <f t="shared" ca="1" si="98"/>
        <v>2.5962016377253847E-2</v>
      </c>
      <c r="M438" s="57" t="s">
        <v>68</v>
      </c>
      <c r="N438" s="47">
        <f t="shared" si="99"/>
        <v>-15000</v>
      </c>
      <c r="O438" s="51" t="s">
        <v>69</v>
      </c>
    </row>
    <row r="439" spans="1:15" s="75" customFormat="1" x14ac:dyDescent="0.3">
      <c r="A439" s="84" t="s">
        <v>123</v>
      </c>
      <c r="B439" s="50">
        <v>45526</v>
      </c>
      <c r="C439" s="47">
        <v>15000</v>
      </c>
      <c r="D439" s="47">
        <f t="shared" si="93"/>
        <v>199.02609895577638</v>
      </c>
      <c r="E439" s="48">
        <f>75.367</f>
        <v>75.367000000000004</v>
      </c>
      <c r="F439" s="37">
        <f>VLOOKUP("INF204K01K15", [1]NAVAll!B$1:E$501244,4,FALSE)</f>
        <v>202.1644</v>
      </c>
      <c r="G439" s="47">
        <f t="shared" si="94"/>
        <v>15236.5243348</v>
      </c>
      <c r="H439" s="49">
        <f>0</f>
        <v>0</v>
      </c>
      <c r="I439" s="48">
        <f t="shared" si="95"/>
        <v>236.52433480000036</v>
      </c>
      <c r="J439" s="46">
        <f t="shared" si="96"/>
        <v>1.5768288986666691E-2</v>
      </c>
      <c r="K439" s="47">
        <f t="shared" ca="1" si="97"/>
        <v>23.033333333333335</v>
      </c>
      <c r="L439" s="46">
        <f t="shared" ca="1" si="98"/>
        <v>8.215027547322732E-3</v>
      </c>
      <c r="M439" s="57" t="s">
        <v>68</v>
      </c>
      <c r="N439" s="47">
        <f t="shared" si="99"/>
        <v>-15000</v>
      </c>
      <c r="O439" s="51" t="s">
        <v>69</v>
      </c>
    </row>
    <row r="440" spans="1:15" s="75" customFormat="1" x14ac:dyDescent="0.3">
      <c r="A440" s="84" t="s">
        <v>123</v>
      </c>
      <c r="B440" s="50">
        <v>45558</v>
      </c>
      <c r="C440" s="47">
        <v>15000</v>
      </c>
      <c r="D440" s="47">
        <f t="shared" si="93"/>
        <v>203.85143307557453</v>
      </c>
      <c r="E440" s="48">
        <f>73.583</f>
        <v>73.582999999999998</v>
      </c>
      <c r="F440" s="37">
        <f>VLOOKUP("INF204K01K15", [1]NAVAll!B$1:E$501244,4,FALSE)</f>
        <v>202.1644</v>
      </c>
      <c r="G440" s="47">
        <f t="shared" si="94"/>
        <v>14875.8630452</v>
      </c>
      <c r="H440" s="49">
        <f>0</f>
        <v>0</v>
      </c>
      <c r="I440" s="48">
        <f t="shared" si="95"/>
        <v>-124.13695480000024</v>
      </c>
      <c r="J440" s="46">
        <f t="shared" si="96"/>
        <v>-8.2757969866666826E-3</v>
      </c>
      <c r="K440" s="47">
        <f t="shared" ca="1" si="97"/>
        <v>22</v>
      </c>
      <c r="L440" s="46">
        <f t="shared" ca="1" si="98"/>
        <v>-4.5140710836363727E-3</v>
      </c>
      <c r="M440" s="57" t="s">
        <v>68</v>
      </c>
      <c r="N440" s="47">
        <f t="shared" si="99"/>
        <v>-15000</v>
      </c>
      <c r="O440" s="51" t="s">
        <v>69</v>
      </c>
    </row>
    <row r="441" spans="1:15" s="75" customFormat="1" x14ac:dyDescent="0.3">
      <c r="A441" s="84" t="s">
        <v>123</v>
      </c>
      <c r="B441" s="50">
        <v>45587</v>
      </c>
      <c r="C441" s="47">
        <v>15000</v>
      </c>
      <c r="D441" s="47">
        <f t="shared" si="93"/>
        <v>193.33883274902041</v>
      </c>
      <c r="E441" s="48">
        <f>77.584</f>
        <v>77.584000000000003</v>
      </c>
      <c r="F441" s="37">
        <f>VLOOKUP("INF204K01K15", [1]NAVAll!B$1:E$501244,4,FALSE)</f>
        <v>202.1644</v>
      </c>
      <c r="G441" s="47">
        <f t="shared" si="94"/>
        <v>15684.7228096</v>
      </c>
      <c r="H441" s="49">
        <f>0</f>
        <v>0</v>
      </c>
      <c r="I441" s="48">
        <f t="shared" si="95"/>
        <v>684.72280959999989</v>
      </c>
      <c r="J441" s="46">
        <f t="shared" si="96"/>
        <v>4.5648187306666657E-2</v>
      </c>
      <c r="K441" s="47">
        <f t="shared" ca="1" si="97"/>
        <v>21.033333333333335</v>
      </c>
      <c r="L441" s="46">
        <f t="shared" ca="1" si="98"/>
        <v>2.6043339826307445E-2</v>
      </c>
      <c r="M441" s="57" t="s">
        <v>68</v>
      </c>
      <c r="N441" s="47">
        <f t="shared" si="99"/>
        <v>-15000</v>
      </c>
      <c r="O441" s="51" t="s">
        <v>69</v>
      </c>
    </row>
    <row r="442" spans="1:15" s="75" customFormat="1" x14ac:dyDescent="0.3">
      <c r="A442" s="84" t="s">
        <v>123</v>
      </c>
      <c r="B442" s="50">
        <v>45618</v>
      </c>
      <c r="C442" s="47">
        <v>15000</v>
      </c>
      <c r="D442" s="47">
        <f t="shared" si="93"/>
        <v>188.53458352710499</v>
      </c>
      <c r="E442" s="48">
        <f>79.561</f>
        <v>79.561000000000007</v>
      </c>
      <c r="F442" s="37">
        <f>VLOOKUP("INF204K01K15", [1]NAVAll!B$1:E$501244,4,FALSE)</f>
        <v>202.1644</v>
      </c>
      <c r="G442" s="47">
        <f t="shared" si="94"/>
        <v>16084.401828400001</v>
      </c>
      <c r="H442" s="49">
        <f>0</f>
        <v>0</v>
      </c>
      <c r="I442" s="48">
        <f t="shared" si="95"/>
        <v>1084.4018284000012</v>
      </c>
      <c r="J442" s="46">
        <f t="shared" si="96"/>
        <v>7.2293455226666747E-2</v>
      </c>
      <c r="K442" s="47">
        <f t="shared" ca="1" si="97"/>
        <v>20.033333333333335</v>
      </c>
      <c r="L442" s="46">
        <f t="shared" ca="1" si="98"/>
        <v>4.3303899969384406E-2</v>
      </c>
      <c r="M442" s="57" t="s">
        <v>68</v>
      </c>
      <c r="N442" s="47">
        <f t="shared" si="99"/>
        <v>-15000</v>
      </c>
      <c r="O442" s="51" t="s">
        <v>69</v>
      </c>
    </row>
    <row r="443" spans="1:15" s="75" customFormat="1" x14ac:dyDescent="0.3">
      <c r="A443" s="84" t="s">
        <v>123</v>
      </c>
      <c r="B443" s="50">
        <v>45649</v>
      </c>
      <c r="C443" s="47">
        <v>15000</v>
      </c>
      <c r="D443" s="47">
        <f t="shared" si="93"/>
        <v>194.24264791577639</v>
      </c>
      <c r="E443" s="48">
        <f>77.223</f>
        <v>77.222999999999999</v>
      </c>
      <c r="F443" s="37">
        <f>VLOOKUP("INF204K01K15", [1]NAVAll!B$1:E$501244,4,FALSE)</f>
        <v>202.1644</v>
      </c>
      <c r="G443" s="47">
        <f t="shared" si="94"/>
        <v>15611.741461199999</v>
      </c>
      <c r="H443" s="49">
        <f>0</f>
        <v>0</v>
      </c>
      <c r="I443" s="48">
        <f t="shared" si="95"/>
        <v>611.74146119999932</v>
      </c>
      <c r="J443" s="46">
        <f t="shared" si="96"/>
        <v>4.0782764079999957E-2</v>
      </c>
      <c r="K443" s="47">
        <f t="shared" ca="1" si="97"/>
        <v>19</v>
      </c>
      <c r="L443" s="46">
        <f t="shared" ca="1" si="98"/>
        <v>2.5757535208421029E-2</v>
      </c>
      <c r="M443" s="57" t="s">
        <v>68</v>
      </c>
      <c r="N443" s="47">
        <f t="shared" si="99"/>
        <v>-15000</v>
      </c>
      <c r="O443" s="51" t="s">
        <v>69</v>
      </c>
    </row>
    <row r="444" spans="1:15" s="75" customFormat="1" x14ac:dyDescent="0.3">
      <c r="A444" s="84" t="s">
        <v>123</v>
      </c>
      <c r="B444" s="50">
        <v>45679</v>
      </c>
      <c r="C444" s="47">
        <v>15000</v>
      </c>
      <c r="D444" s="47">
        <f t="shared" si="93"/>
        <v>179.92083483267362</v>
      </c>
      <c r="E444" s="48">
        <f>83.37</f>
        <v>83.37</v>
      </c>
      <c r="F444" s="37">
        <f>VLOOKUP("INF204K01K15", [1]NAVAll!B$1:E$501244,4,FALSE)</f>
        <v>202.1644</v>
      </c>
      <c r="G444" s="47">
        <f t="shared" si="94"/>
        <v>16854.446028000002</v>
      </c>
      <c r="H444" s="49">
        <f>0</f>
        <v>0</v>
      </c>
      <c r="I444" s="48">
        <f t="shared" si="95"/>
        <v>1854.4460280000021</v>
      </c>
      <c r="J444" s="46">
        <f t="shared" si="96"/>
        <v>0.12362973520000015</v>
      </c>
      <c r="K444" s="47">
        <f t="shared" ca="1" si="97"/>
        <v>18.033333333333335</v>
      </c>
      <c r="L444" s="46">
        <f t="shared" ca="1" si="98"/>
        <v>8.2267476288354985E-2</v>
      </c>
      <c r="M444" s="57" t="s">
        <v>68</v>
      </c>
      <c r="N444" s="47">
        <f t="shared" si="99"/>
        <v>-15000</v>
      </c>
      <c r="O444" s="51" t="s">
        <v>69</v>
      </c>
    </row>
    <row r="445" spans="1:15" s="75" customFormat="1" x14ac:dyDescent="0.3">
      <c r="A445" s="84" t="s">
        <v>123</v>
      </c>
      <c r="B445" s="50">
        <v>45712</v>
      </c>
      <c r="C445" s="47">
        <v>15000</v>
      </c>
      <c r="D445" s="47">
        <f t="shared" si="93"/>
        <v>162.22529849454924</v>
      </c>
      <c r="E445" s="48">
        <f>92.464</f>
        <v>92.463999999999999</v>
      </c>
      <c r="F445" s="37">
        <f>VLOOKUP("INF204K01K15", [1]NAVAll!B$1:E$501244,4,FALSE)</f>
        <v>202.1644</v>
      </c>
      <c r="G445" s="47">
        <f t="shared" si="94"/>
        <v>18692.929081599999</v>
      </c>
      <c r="H445" s="49">
        <f>0</f>
        <v>0</v>
      </c>
      <c r="I445" s="48">
        <f t="shared" si="95"/>
        <v>3692.9290815999993</v>
      </c>
      <c r="J445" s="46">
        <f t="shared" si="96"/>
        <v>0.24619527210666661</v>
      </c>
      <c r="K445" s="47">
        <f t="shared" ca="1" si="97"/>
        <v>16.966666666666665</v>
      </c>
      <c r="L445" s="46">
        <f t="shared" ca="1" si="98"/>
        <v>0.17412632211866402</v>
      </c>
      <c r="M445" s="57" t="s">
        <v>68</v>
      </c>
      <c r="N445" s="47">
        <f t="shared" si="99"/>
        <v>-15000</v>
      </c>
      <c r="O445" s="51" t="s">
        <v>69</v>
      </c>
    </row>
    <row r="446" spans="1:15" s="75" customFormat="1" x14ac:dyDescent="0.3">
      <c r="A446" s="84" t="s">
        <v>123</v>
      </c>
      <c r="B446" s="50">
        <v>45740</v>
      </c>
      <c r="C446" s="47">
        <v>15000</v>
      </c>
      <c r="D446" s="47">
        <f t="shared" si="93"/>
        <v>171.77604983795794</v>
      </c>
      <c r="E446" s="48">
        <f>87.323</f>
        <v>87.322999999999993</v>
      </c>
      <c r="F446" s="37">
        <f>VLOOKUP("INF204K01K15", [1]NAVAll!B$1:E$501244,4,FALSE)</f>
        <v>202.1644</v>
      </c>
      <c r="G446" s="47">
        <f t="shared" si="94"/>
        <v>17653.6019012</v>
      </c>
      <c r="H446" s="49">
        <f>0</f>
        <v>0</v>
      </c>
      <c r="I446" s="48">
        <f t="shared" si="95"/>
        <v>2653.6019011999997</v>
      </c>
      <c r="J446" s="46">
        <f t="shared" si="96"/>
        <v>0.17690679341333332</v>
      </c>
      <c r="K446" s="47">
        <f t="shared" ca="1" si="97"/>
        <v>15.966666666666667</v>
      </c>
      <c r="L446" s="46">
        <f t="shared" ca="1" si="98"/>
        <v>0.13295708899540709</v>
      </c>
      <c r="M446" s="57" t="s">
        <v>68</v>
      </c>
      <c r="N446" s="47">
        <f t="shared" si="99"/>
        <v>-15000</v>
      </c>
      <c r="O446" s="51" t="s">
        <v>69</v>
      </c>
    </row>
    <row r="447" spans="1:15" s="75" customFormat="1" x14ac:dyDescent="0.3">
      <c r="A447" s="84" t="s">
        <v>123</v>
      </c>
      <c r="B447" s="50">
        <v>45769</v>
      </c>
      <c r="C447" s="47">
        <v>15000</v>
      </c>
      <c r="D447" s="47">
        <f t="shared" si="93"/>
        <v>176.61811630891685</v>
      </c>
      <c r="E447" s="48">
        <f>84.929</f>
        <v>84.929000000000002</v>
      </c>
      <c r="F447" s="37">
        <f>VLOOKUP("INF204K01K15", [1]NAVAll!B$1:E$501244,4,FALSE)</f>
        <v>202.1644</v>
      </c>
      <c r="G447" s="47">
        <f t="shared" si="94"/>
        <v>17169.620327600001</v>
      </c>
      <c r="H447" s="49">
        <f>0</f>
        <v>0</v>
      </c>
      <c r="I447" s="48">
        <f t="shared" si="95"/>
        <v>2169.6203276000015</v>
      </c>
      <c r="J447" s="46">
        <f t="shared" si="96"/>
        <v>0.14464135517333343</v>
      </c>
      <c r="K447" s="47">
        <f t="shared" ca="1" si="97"/>
        <v>15.033333333333333</v>
      </c>
      <c r="L447" s="46">
        <f t="shared" ca="1" si="98"/>
        <v>0.11545651410731715</v>
      </c>
      <c r="M447" s="57" t="s">
        <v>68</v>
      </c>
      <c r="N447" s="47">
        <f t="shared" si="99"/>
        <v>-15000</v>
      </c>
      <c r="O447" s="51" t="s">
        <v>69</v>
      </c>
    </row>
    <row r="448" spans="1:15" s="75" customFormat="1" x14ac:dyDescent="0.3">
      <c r="A448" s="84" t="s">
        <v>123</v>
      </c>
      <c r="B448" s="50">
        <v>45799</v>
      </c>
      <c r="C448" s="47">
        <v>15000</v>
      </c>
      <c r="D448" s="47">
        <f t="shared" si="93"/>
        <v>182.67509407767346</v>
      </c>
      <c r="E448" s="48">
        <f>82.113</f>
        <v>82.113</v>
      </c>
      <c r="F448" s="37">
        <f>VLOOKUP("INF204K01K15", [1]NAVAll!B$1:E$501244,4,FALSE)</f>
        <v>202.1644</v>
      </c>
      <c r="G448" s="47">
        <f t="shared" si="94"/>
        <v>16600.325377199999</v>
      </c>
      <c r="H448" s="49">
        <f>0</f>
        <v>0</v>
      </c>
      <c r="I448" s="48">
        <f t="shared" si="95"/>
        <v>1600.3253771999989</v>
      </c>
      <c r="J448" s="46">
        <f t="shared" si="96"/>
        <v>0.10668835847999993</v>
      </c>
      <c r="K448" s="47">
        <f t="shared" ca="1" si="97"/>
        <v>14.033333333333333</v>
      </c>
      <c r="L448" s="46">
        <f t="shared" ca="1" si="98"/>
        <v>9.1229950244180458E-2</v>
      </c>
      <c r="M448" s="57" t="s">
        <v>68</v>
      </c>
      <c r="N448" s="47">
        <f t="shared" si="99"/>
        <v>-15000</v>
      </c>
      <c r="O448" s="51" t="s">
        <v>69</v>
      </c>
    </row>
    <row r="449" spans="1:15" s="75" customFormat="1" x14ac:dyDescent="0.3">
      <c r="A449" s="84" t="s">
        <v>123</v>
      </c>
      <c r="B449" s="50">
        <v>45831</v>
      </c>
      <c r="C449" s="47">
        <v>15000</v>
      </c>
      <c r="D449" s="47">
        <f t="shared" si="93"/>
        <v>187.43908229825308</v>
      </c>
      <c r="E449" s="48">
        <f>80.026</f>
        <v>80.025999999999996</v>
      </c>
      <c r="F449" s="37">
        <f>VLOOKUP("INF204K01K15", [1]NAVAll!B$1:E$501244,4,FALSE)</f>
        <v>202.1644</v>
      </c>
      <c r="G449" s="47">
        <f t="shared" si="94"/>
        <v>16178.408274399999</v>
      </c>
      <c r="H449" s="49">
        <f>0</f>
        <v>0</v>
      </c>
      <c r="I449" s="48">
        <f t="shared" si="95"/>
        <v>1178.4082743999988</v>
      </c>
      <c r="J449" s="46">
        <f t="shared" si="96"/>
        <v>7.8560551626666586E-2</v>
      </c>
      <c r="K449" s="47">
        <f t="shared" ca="1" si="97"/>
        <v>13</v>
      </c>
      <c r="L449" s="46">
        <f t="shared" ca="1" si="98"/>
        <v>7.251743227076915E-2</v>
      </c>
      <c r="M449" s="57" t="s">
        <v>68</v>
      </c>
      <c r="N449" s="47">
        <f t="shared" si="99"/>
        <v>-15000</v>
      </c>
      <c r="O449" s="51" t="s">
        <v>69</v>
      </c>
    </row>
    <row r="450" spans="1:15" s="75" customFormat="1" x14ac:dyDescent="0.3">
      <c r="A450" s="84" t="s">
        <v>123</v>
      </c>
      <c r="B450" s="50">
        <v>45860</v>
      </c>
      <c r="C450" s="47">
        <v>15000</v>
      </c>
      <c r="D450" s="47">
        <f t="shared" si="93"/>
        <v>195.08642328551551</v>
      </c>
      <c r="E450" s="48">
        <f>76.889</f>
        <v>76.888999999999996</v>
      </c>
      <c r="F450" s="37">
        <f>VLOOKUP("INF204K01K15", [1]NAVAll!B$1:E$501244,4,FALSE)</f>
        <v>202.1644</v>
      </c>
      <c r="G450" s="47">
        <f t="shared" si="94"/>
        <v>15544.218551599999</v>
      </c>
      <c r="H450" s="49">
        <f>0</f>
        <v>0</v>
      </c>
      <c r="I450" s="48">
        <f t="shared" si="95"/>
        <v>544.21855159999905</v>
      </c>
      <c r="J450" s="46">
        <f t="shared" si="96"/>
        <v>3.6281236773333267E-2</v>
      </c>
      <c r="K450" s="47">
        <f t="shared" ca="1" si="97"/>
        <v>12.033333333333333</v>
      </c>
      <c r="L450" s="46">
        <f t="shared" ca="1" si="98"/>
        <v>3.618073473240991E-2</v>
      </c>
      <c r="M450" s="57" t="s">
        <v>68</v>
      </c>
      <c r="N450" s="47">
        <f t="shared" si="99"/>
        <v>-15000</v>
      </c>
      <c r="O450" s="51" t="s">
        <v>69</v>
      </c>
    </row>
    <row r="451" spans="1:15" s="75" customFormat="1" x14ac:dyDescent="0.3">
      <c r="A451" s="84" t="s">
        <v>123</v>
      </c>
      <c r="B451" s="50">
        <v>45891</v>
      </c>
      <c r="C451" s="47">
        <v>15000</v>
      </c>
      <c r="D451" s="47">
        <f t="shared" si="93"/>
        <v>189.26489514724807</v>
      </c>
      <c r="E451" s="48">
        <f>79.254</f>
        <v>79.254000000000005</v>
      </c>
      <c r="F451" s="37">
        <f>VLOOKUP("INF204K01K15", [1]NAVAll!B$1:E$501244,4,FALSE)</f>
        <v>202.1644</v>
      </c>
      <c r="G451" s="47">
        <f t="shared" si="94"/>
        <v>16022.337357600001</v>
      </c>
      <c r="H451" s="49">
        <f>0</f>
        <v>0</v>
      </c>
      <c r="I451" s="48">
        <f t="shared" si="95"/>
        <v>1022.3373576000013</v>
      </c>
      <c r="J451" s="46">
        <f t="shared" si="96"/>
        <v>6.8155823840000088E-2</v>
      </c>
      <c r="K451" s="47">
        <f t="shared" ca="1" si="97"/>
        <v>11.033333333333333</v>
      </c>
      <c r="L451" s="46">
        <f t="shared" ca="1" si="98"/>
        <v>7.4127180007250854E-2</v>
      </c>
      <c r="M451" s="57" t="s">
        <v>68</v>
      </c>
      <c r="N451" s="47">
        <f t="shared" si="99"/>
        <v>-15000</v>
      </c>
      <c r="O451" s="51" t="s">
        <v>69</v>
      </c>
    </row>
    <row r="452" spans="1:15" s="75" customFormat="1" x14ac:dyDescent="0.3">
      <c r="A452" s="84" t="s">
        <v>123</v>
      </c>
      <c r="B452" s="50">
        <v>45922</v>
      </c>
      <c r="C452" s="47">
        <v>15000</v>
      </c>
      <c r="D452" s="47">
        <f t="shared" si="93"/>
        <v>191.69329073482427</v>
      </c>
      <c r="E452" s="48">
        <f>78.25</f>
        <v>78.25</v>
      </c>
      <c r="F452" s="37">
        <f>VLOOKUP("INF204K01K15", [1]NAVAll!B$1:E$501244,4,FALSE)</f>
        <v>202.1644</v>
      </c>
      <c r="G452" s="47">
        <f t="shared" si="94"/>
        <v>15819.364299999999</v>
      </c>
      <c r="H452" s="49">
        <f>0</f>
        <v>0</v>
      </c>
      <c r="I452" s="48">
        <f t="shared" si="95"/>
        <v>819.36429999999928</v>
      </c>
      <c r="J452" s="46">
        <f t="shared" si="96"/>
        <v>5.4624286666666619E-2</v>
      </c>
      <c r="K452" s="47">
        <f t="shared" ca="1" si="97"/>
        <v>10.033333333333333</v>
      </c>
      <c r="L452" s="46">
        <f t="shared" ca="1" si="98"/>
        <v>6.5331372757475026E-2</v>
      </c>
      <c r="M452" s="57" t="s">
        <v>68</v>
      </c>
      <c r="N452" s="47">
        <f t="shared" si="99"/>
        <v>-15000</v>
      </c>
      <c r="O452" s="51" t="s">
        <v>69</v>
      </c>
    </row>
    <row r="453" spans="1:15" s="75" customFormat="1" x14ac:dyDescent="0.3">
      <c r="A453" s="84" t="s">
        <v>123</v>
      </c>
      <c r="B453" s="50">
        <v>45953</v>
      </c>
      <c r="C453" s="47">
        <v>15000</v>
      </c>
      <c r="D453" s="47">
        <f t="shared" si="93"/>
        <v>191.90911184463036</v>
      </c>
      <c r="E453" s="48">
        <f>78.162</f>
        <v>78.162000000000006</v>
      </c>
      <c r="F453" s="37">
        <f>VLOOKUP("INF204K01K15", [1]NAVAll!B$1:E$501244,4,FALSE)</f>
        <v>202.1644</v>
      </c>
      <c r="G453" s="47">
        <f t="shared" si="94"/>
        <v>15801.573832800001</v>
      </c>
      <c r="H453" s="49">
        <f>0</f>
        <v>0</v>
      </c>
      <c r="I453" s="48">
        <f t="shared" si="95"/>
        <v>801.57383280000067</v>
      </c>
      <c r="J453" s="46">
        <f t="shared" si="96"/>
        <v>5.3438255520000047E-2</v>
      </c>
      <c r="K453" s="47">
        <f t="shared" ca="1" si="97"/>
        <v>9</v>
      </c>
      <c r="L453" s="46">
        <f t="shared" ca="1" si="98"/>
        <v>7.1251007360000063E-2</v>
      </c>
      <c r="M453" s="57" t="s">
        <v>68</v>
      </c>
      <c r="N453" s="47">
        <f t="shared" si="99"/>
        <v>-15000</v>
      </c>
      <c r="O453" s="51" t="s">
        <v>69</v>
      </c>
    </row>
    <row r="454" spans="1:15" s="75" customFormat="1" x14ac:dyDescent="0.3">
      <c r="A454" s="84" t="s">
        <v>123</v>
      </c>
      <c r="B454" s="50">
        <v>45985</v>
      </c>
      <c r="C454" s="47">
        <v>15000</v>
      </c>
      <c r="D454" s="47">
        <f t="shared" si="93"/>
        <v>188.39014342769588</v>
      </c>
      <c r="E454" s="48">
        <f>79.622</f>
        <v>79.622</v>
      </c>
      <c r="F454" s="37">
        <f>VLOOKUP("INF204K01K15", [1]NAVAll!B$1:E$501244,4,FALSE)</f>
        <v>202.1644</v>
      </c>
      <c r="G454" s="47">
        <f t="shared" si="94"/>
        <v>16096.7338568</v>
      </c>
      <c r="H454" s="49">
        <f>0</f>
        <v>0</v>
      </c>
      <c r="I454" s="48">
        <f t="shared" si="95"/>
        <v>1096.7338567999996</v>
      </c>
      <c r="J454" s="46">
        <f t="shared" si="96"/>
        <v>7.311559045333331E-2</v>
      </c>
      <c r="K454" s="47">
        <f t="shared" ca="1" si="97"/>
        <v>7.9666666666666668</v>
      </c>
      <c r="L454" s="46">
        <f t="shared" ca="1" si="98"/>
        <v>0.11013227013891209</v>
      </c>
      <c r="M454" s="57" t="s">
        <v>68</v>
      </c>
      <c r="N454" s="47">
        <f t="shared" si="99"/>
        <v>-15000</v>
      </c>
      <c r="O454" s="51" t="s">
        <v>69</v>
      </c>
    </row>
    <row r="455" spans="1:15" s="75" customFormat="1" x14ac:dyDescent="0.3">
      <c r="A455" s="84" t="s">
        <v>123</v>
      </c>
      <c r="B455" s="50">
        <v>46013</v>
      </c>
      <c r="C455" s="47">
        <v>15000</v>
      </c>
      <c r="D455" s="47">
        <f t="shared" si="93"/>
        <v>187.06507370363903</v>
      </c>
      <c r="E455" s="48">
        <f>80.186</f>
        <v>80.186000000000007</v>
      </c>
      <c r="F455" s="37">
        <f>VLOOKUP("INF204K01K15", [1]NAVAll!B$1:E$501244,4,FALSE)</f>
        <v>202.1644</v>
      </c>
      <c r="G455" s="47">
        <f t="shared" si="94"/>
        <v>16210.754578400001</v>
      </c>
      <c r="H455" s="49">
        <f>0</f>
        <v>0</v>
      </c>
      <c r="I455" s="48">
        <f t="shared" si="95"/>
        <v>1210.7545784000013</v>
      </c>
      <c r="J455" s="46">
        <f t="shared" si="96"/>
        <v>8.071697189333342E-2</v>
      </c>
      <c r="K455" s="47">
        <f t="shared" ca="1" si="97"/>
        <v>7.0333333333333332</v>
      </c>
      <c r="L455" s="46">
        <f t="shared" ca="1" si="98"/>
        <v>0.13771616057630345</v>
      </c>
      <c r="M455" s="57" t="s">
        <v>68</v>
      </c>
      <c r="N455" s="47">
        <f t="shared" si="99"/>
        <v>-15000</v>
      </c>
      <c r="O455" s="51" t="s">
        <v>69</v>
      </c>
    </row>
    <row r="456" spans="1:15" s="75" customFormat="1" x14ac:dyDescent="0.3">
      <c r="A456" s="84" t="s">
        <v>123</v>
      </c>
      <c r="B456" s="50">
        <v>46044</v>
      </c>
      <c r="C456" s="47">
        <v>15000</v>
      </c>
      <c r="D456" s="47">
        <f t="shared" si="93"/>
        <v>176.8179835677154</v>
      </c>
      <c r="E456" s="48">
        <f>84.833</f>
        <v>84.832999999999998</v>
      </c>
      <c r="F456" s="37">
        <f>VLOOKUP("INF204K01K15", [1]NAVAll!B$1:E$501244,4,FALSE)</f>
        <v>202.1644</v>
      </c>
      <c r="G456" s="47">
        <f t="shared" si="94"/>
        <v>17150.2125452</v>
      </c>
      <c r="H456" s="49">
        <f>0</f>
        <v>0</v>
      </c>
      <c r="I456" s="48">
        <f t="shared" si="95"/>
        <v>2150.2125452</v>
      </c>
      <c r="J456" s="46">
        <f t="shared" si="96"/>
        <v>0.14334750301333332</v>
      </c>
      <c r="K456" s="47">
        <f t="shared" ca="1" si="97"/>
        <v>6.0333333333333332</v>
      </c>
      <c r="L456" s="46">
        <f t="shared" ca="1" si="98"/>
        <v>0.28511105571712703</v>
      </c>
      <c r="M456" s="57" t="s">
        <v>68</v>
      </c>
      <c r="N456" s="47">
        <f t="shared" si="99"/>
        <v>-15000</v>
      </c>
      <c r="O456" s="51" t="s">
        <v>69</v>
      </c>
    </row>
    <row r="457" spans="1:15" s="75" customFormat="1" x14ac:dyDescent="0.3">
      <c r="A457" s="84" t="s">
        <v>123</v>
      </c>
      <c r="B457" s="50">
        <v>46076</v>
      </c>
      <c r="C457" s="47">
        <v>15000</v>
      </c>
      <c r="D457" s="47">
        <f t="shared" si="93"/>
        <v>184.07166523499816</v>
      </c>
      <c r="E457" s="48">
        <f>81.49</f>
        <v>81.489999999999995</v>
      </c>
      <c r="F457" s="37">
        <f>VLOOKUP("INF204K01K15", [1]NAVAll!B$1:E$501244,4,FALSE)</f>
        <v>202.1644</v>
      </c>
      <c r="G457" s="47">
        <f t="shared" si="94"/>
        <v>16474.376956</v>
      </c>
      <c r="H457" s="49">
        <f>0</f>
        <v>0</v>
      </c>
      <c r="I457" s="48">
        <f t="shared" si="95"/>
        <v>1474.3769560000001</v>
      </c>
      <c r="J457" s="46">
        <f t="shared" si="96"/>
        <v>9.8291797066666672E-2</v>
      </c>
      <c r="K457" s="47">
        <f t="shared" ca="1" si="97"/>
        <v>5</v>
      </c>
      <c r="L457" s="46">
        <f t="shared" ca="1" si="98"/>
        <v>0.23590031296</v>
      </c>
      <c r="M457" s="57" t="s">
        <v>68</v>
      </c>
      <c r="N457" s="47">
        <f t="shared" si="99"/>
        <v>-15000</v>
      </c>
      <c r="O457" s="51" t="s">
        <v>69</v>
      </c>
    </row>
    <row r="458" spans="1:15" s="75" customFormat="1" x14ac:dyDescent="0.3">
      <c r="A458" s="84" t="s">
        <v>123</v>
      </c>
      <c r="B458" s="50">
        <v>46104</v>
      </c>
      <c r="C458" s="47">
        <v>15000</v>
      </c>
      <c r="D458" s="47">
        <f t="shared" si="93"/>
        <v>165.31111551940754</v>
      </c>
      <c r="E458" s="48">
        <f>90.738</f>
        <v>90.738</v>
      </c>
      <c r="F458" s="37">
        <f>VLOOKUP("INF204K01K15", [1]NAVAll!B$1:E$501244,4,FALSE)</f>
        <v>202.1644</v>
      </c>
      <c r="G458" s="47">
        <f t="shared" si="94"/>
        <v>18343.993327200002</v>
      </c>
      <c r="H458" s="49">
        <f>0</f>
        <v>0</v>
      </c>
      <c r="I458" s="48">
        <f t="shared" si="95"/>
        <v>3343.9933272000017</v>
      </c>
      <c r="J458" s="46">
        <f t="shared" si="96"/>
        <v>0.22293288848000012</v>
      </c>
      <c r="K458" s="47">
        <f t="shared" ca="1" si="97"/>
        <v>4</v>
      </c>
      <c r="L458" s="46">
        <f t="shared" ca="1" si="98"/>
        <v>0.66879866544000033</v>
      </c>
      <c r="M458" s="57" t="s">
        <v>68</v>
      </c>
      <c r="N458" s="47">
        <f t="shared" si="99"/>
        <v>-15000</v>
      </c>
      <c r="O458" s="51" t="s">
        <v>69</v>
      </c>
    </row>
    <row r="459" spans="1:15" s="75" customFormat="1" x14ac:dyDescent="0.3">
      <c r="A459" s="84" t="s">
        <v>123</v>
      </c>
      <c r="B459" s="50">
        <v>46134</v>
      </c>
      <c r="C459" s="47">
        <v>15000</v>
      </c>
      <c r="D459" s="47">
        <f t="shared" si="93"/>
        <v>192.05162347639046</v>
      </c>
      <c r="E459" s="48">
        <f>78.104</f>
        <v>78.103999999999999</v>
      </c>
      <c r="F459" s="37">
        <f>VLOOKUP("INF204K01K15", [1]NAVAll!B$1:E$501244,4,FALSE)</f>
        <v>202.1644</v>
      </c>
      <c r="G459" s="47">
        <f t="shared" si="94"/>
        <v>15789.8482976</v>
      </c>
      <c r="H459" s="49">
        <f>0</f>
        <v>0</v>
      </c>
      <c r="I459" s="48">
        <f t="shared" si="95"/>
        <v>789.84829759999957</v>
      </c>
      <c r="J459" s="46">
        <f t="shared" si="96"/>
        <v>5.2656553173333308E-2</v>
      </c>
      <c r="K459" s="47">
        <f t="shared" ca="1" si="97"/>
        <v>3.0333333333333332</v>
      </c>
      <c r="L459" s="46">
        <f t="shared" ca="1" si="98"/>
        <v>0.20831163892747243</v>
      </c>
      <c r="M459" s="57" t="s">
        <v>68</v>
      </c>
      <c r="N459" s="47">
        <f t="shared" si="99"/>
        <v>-15000</v>
      </c>
      <c r="O459" s="51" t="s">
        <v>69</v>
      </c>
    </row>
    <row r="460" spans="1:15" s="75" customFormat="1" x14ac:dyDescent="0.3">
      <c r="A460" s="84" t="s">
        <v>123</v>
      </c>
      <c r="B460" s="50">
        <v>46164</v>
      </c>
      <c r="C460" s="47">
        <v>15000</v>
      </c>
      <c r="D460" s="47">
        <f t="shared" si="93"/>
        <v>194.77989871445266</v>
      </c>
      <c r="E460" s="48">
        <f>77.01</f>
        <v>77.010000000000005</v>
      </c>
      <c r="F460" s="37">
        <f>VLOOKUP("INF204K01K15", [1]NAVAll!B$1:E$501244,4,FALSE)</f>
        <v>202.1644</v>
      </c>
      <c r="G460" s="47">
        <f t="shared" si="94"/>
        <v>15568.680444000001</v>
      </c>
      <c r="H460" s="49">
        <f>0</f>
        <v>0</v>
      </c>
      <c r="I460" s="48">
        <f t="shared" si="95"/>
        <v>568.68044400000144</v>
      </c>
      <c r="J460" s="46">
        <f t="shared" si="96"/>
        <v>3.7912029600000098E-2</v>
      </c>
      <c r="K460" s="47">
        <f t="shared" ca="1" si="97"/>
        <v>2.0333333333333332</v>
      </c>
      <c r="L460" s="46">
        <f t="shared" ca="1" si="98"/>
        <v>0.22374312550819733</v>
      </c>
      <c r="M460" s="57" t="s">
        <v>68</v>
      </c>
      <c r="N460" s="47">
        <f t="shared" si="99"/>
        <v>-15000</v>
      </c>
      <c r="O460" s="51" t="s">
        <v>69</v>
      </c>
    </row>
    <row r="461" spans="1:15" s="75" customFormat="1" x14ac:dyDescent="0.3">
      <c r="A461" s="84" t="s">
        <v>123</v>
      </c>
      <c r="B461" s="50">
        <v>46195</v>
      </c>
      <c r="C461" s="47">
        <v>15000</v>
      </c>
      <c r="D461" s="47">
        <f t="shared" si="93"/>
        <v>205.26855969893944</v>
      </c>
      <c r="E461" s="48">
        <f>73.075</f>
        <v>73.075000000000003</v>
      </c>
      <c r="F461" s="37">
        <f>VLOOKUP("INF204K01K15", [1]NAVAll!B$1:E$501244,4,FALSE)</f>
        <v>202.1644</v>
      </c>
      <c r="G461" s="47">
        <f t="shared" si="94"/>
        <v>14773.16353</v>
      </c>
      <c r="H461" s="49">
        <f>0</f>
        <v>0</v>
      </c>
      <c r="I461" s="48">
        <f t="shared" si="95"/>
        <v>-226.83647000000019</v>
      </c>
      <c r="J461" s="46">
        <f t="shared" si="96"/>
        <v>-1.5122431333333346E-2</v>
      </c>
      <c r="K461" s="47">
        <f t="shared" ca="1" si="97"/>
        <v>1.0333333333333334</v>
      </c>
      <c r="L461" s="46">
        <f t="shared" ca="1" si="98"/>
        <v>-0.17561533161290335</v>
      </c>
      <c r="M461" s="57" t="s">
        <v>68</v>
      </c>
      <c r="N461" s="47">
        <f t="shared" si="99"/>
        <v>-15000</v>
      </c>
      <c r="O461" s="51" t="s">
        <v>69</v>
      </c>
    </row>
    <row r="462" spans="1:15" s="75" customFormat="1" x14ac:dyDescent="0.3">
      <c r="A462" s="84" t="s">
        <v>123</v>
      </c>
      <c r="B462" s="50">
        <v>46225</v>
      </c>
      <c r="C462" s="47">
        <v>15000</v>
      </c>
      <c r="D462" s="47">
        <f t="shared" si="93"/>
        <v>202.17540738344587</v>
      </c>
      <c r="E462" s="48">
        <f>74.193</f>
        <v>74.192999999999998</v>
      </c>
      <c r="F462" s="37">
        <f>VLOOKUP("INF204K01K15", [1]NAVAll!B$1:E$501244,4,FALSE)</f>
        <v>202.1644</v>
      </c>
      <c r="G462" s="47">
        <f t="shared" si="94"/>
        <v>14999.183329199999</v>
      </c>
      <c r="H462" s="49">
        <f>0</f>
        <v>0</v>
      </c>
      <c r="I462" s="48">
        <f t="shared" si="95"/>
        <v>-0.81667080000079295</v>
      </c>
      <c r="J462" s="46">
        <f t="shared" si="96"/>
        <v>-5.444472000005286E-5</v>
      </c>
      <c r="K462" s="47">
        <f t="shared" ca="1" si="97"/>
        <v>3.3333333333333333E-2</v>
      </c>
      <c r="L462" s="46">
        <f t="shared" ca="1" si="98"/>
        <v>-1.9600099200019028E-2</v>
      </c>
      <c r="M462" s="57" t="s">
        <v>68</v>
      </c>
      <c r="N462" s="47">
        <f t="shared" si="99"/>
        <v>-15000</v>
      </c>
      <c r="O462" s="51" t="s">
        <v>69</v>
      </c>
    </row>
    <row r="463" spans="1:15" s="75" customFormat="1" x14ac:dyDescent="0.3">
      <c r="A463" s="76" t="s">
        <v>124</v>
      </c>
      <c r="B463" s="77">
        <f ca="1">TODAY()</f>
        <v>46226</v>
      </c>
      <c r="C463" s="78"/>
      <c r="D463" s="78"/>
      <c r="E463" s="79"/>
      <c r="F463" s="80"/>
      <c r="G463" s="78"/>
      <c r="H463" s="80"/>
      <c r="I463" s="79"/>
      <c r="J463" s="81"/>
      <c r="K463" s="78"/>
      <c r="L463" s="81"/>
      <c r="M463" s="82"/>
      <c r="N463" s="78">
        <f>SUM(G427:G462)</f>
        <v>625623.00634999992</v>
      </c>
      <c r="O463" s="51"/>
    </row>
    <row r="464" spans="1:15" s="75" customFormat="1" x14ac:dyDescent="0.3">
      <c r="A464" s="76" t="s">
        <v>125</v>
      </c>
      <c r="B464" s="77"/>
      <c r="C464" s="78"/>
      <c r="D464" s="78"/>
      <c r="E464" s="79"/>
      <c r="F464" s="80"/>
      <c r="G464" s="78"/>
      <c r="H464" s="80"/>
      <c r="I464" s="79"/>
      <c r="J464" s="81">
        <f>SUM(N427:N463)/-SUM(N427:N462)</f>
        <v>0.15856112287037022</v>
      </c>
      <c r="K464" s="78"/>
      <c r="L464" s="81"/>
      <c r="M464" s="82"/>
      <c r="N464" s="78"/>
      <c r="O464" s="51"/>
    </row>
    <row r="465" spans="1:15" s="75" customFormat="1" x14ac:dyDescent="0.3">
      <c r="A465" s="76" t="s">
        <v>126</v>
      </c>
      <c r="B465" s="77"/>
      <c r="C465" s="78"/>
      <c r="D465" s="78"/>
      <c r="E465" s="79"/>
      <c r="F465" s="80"/>
      <c r="G465" s="78"/>
      <c r="H465" s="80"/>
      <c r="I465" s="79"/>
      <c r="J465" s="81">
        <f ca="1">XIRR(N427:N463,B427:B463)</f>
        <v>0.10343087315559388</v>
      </c>
      <c r="K465" s="78"/>
      <c r="L465" s="81"/>
      <c r="M465" s="82"/>
      <c r="N465" s="78"/>
      <c r="O465" s="51"/>
    </row>
    <row r="466" spans="1:15" s="75" customFormat="1" x14ac:dyDescent="0.3">
      <c r="A466" s="84" t="e" vm="44">
        <v>#VALUE!</v>
      </c>
      <c r="B466" s="50">
        <v>45160</v>
      </c>
      <c r="C466" s="47">
        <v>15000</v>
      </c>
      <c r="D466" s="47">
        <f t="shared" ref="D466:D502" si="100">C466/E466</f>
        <v>61.073177881737898</v>
      </c>
      <c r="E466" s="49">
        <f>245.607</f>
        <v>245.607</v>
      </c>
      <c r="F466" s="37">
        <f>VLOOKUP("INF879O01027", [1]NAVAll!B$1:E$501244,4,FALSE)</f>
        <v>90.386300000000006</v>
      </c>
      <c r="G466" s="47">
        <f t="shared" ref="G466:G502" si="101">PRODUCT(E466:F466)</f>
        <v>22199.507984100001</v>
      </c>
      <c r="H466" s="49">
        <f>0</f>
        <v>0</v>
      </c>
      <c r="I466" s="48">
        <f t="shared" ref="I466:I502" si="102">SUM(-C466,G466)+H466</f>
        <v>7199.5079841000006</v>
      </c>
      <c r="J466" s="46">
        <f t="shared" ref="J466:J502" si="103">I466/C466</f>
        <v>0.47996719894000006</v>
      </c>
      <c r="K466" s="47">
        <f t="shared" ref="K466:K502" ca="1" si="104">(DAYS360(B466,NOW(),TRUE))/30</f>
        <v>35.033333333333331</v>
      </c>
      <c r="L466" s="46">
        <f t="shared" ref="L466:L502" ca="1" si="105">J466*12/K466</f>
        <v>0.16440360762930545</v>
      </c>
      <c r="M466" s="57" t="s">
        <v>68</v>
      </c>
      <c r="N466" s="47">
        <f t="shared" ref="N466:N502" si="106">-C466</f>
        <v>-15000</v>
      </c>
      <c r="O466" s="51" t="s">
        <v>73</v>
      </c>
    </row>
    <row r="467" spans="1:15" s="75" customFormat="1" x14ac:dyDescent="0.3">
      <c r="A467" s="84" t="e" vm="44">
        <v>#VALUE!</v>
      </c>
      <c r="B467" s="50">
        <v>45191</v>
      </c>
      <c r="C467" s="47">
        <v>15000</v>
      </c>
      <c r="D467" s="47">
        <f t="shared" si="100"/>
        <v>62.738930761316006</v>
      </c>
      <c r="E467" s="48">
        <f>239.086</f>
        <v>239.08600000000001</v>
      </c>
      <c r="F467" s="37">
        <f>VLOOKUP("INF879O01027", [1]NAVAll!B$1:E$501244,4,FALSE)</f>
        <v>90.386300000000006</v>
      </c>
      <c r="G467" s="47">
        <f t="shared" si="101"/>
        <v>21610.098921800003</v>
      </c>
      <c r="H467" s="49">
        <f>0</f>
        <v>0</v>
      </c>
      <c r="I467" s="48">
        <f t="shared" si="102"/>
        <v>6610.0989218000032</v>
      </c>
      <c r="J467" s="46">
        <f t="shared" si="103"/>
        <v>0.44067326145333352</v>
      </c>
      <c r="K467" s="47">
        <f t="shared" ca="1" si="104"/>
        <v>34.033333333333331</v>
      </c>
      <c r="L467" s="46">
        <f t="shared" ca="1" si="105"/>
        <v>0.15537940658491683</v>
      </c>
      <c r="M467" s="57" t="s">
        <v>68</v>
      </c>
      <c r="N467" s="47">
        <f t="shared" si="106"/>
        <v>-15000</v>
      </c>
      <c r="O467" s="51" t="s">
        <v>73</v>
      </c>
    </row>
    <row r="468" spans="1:15" s="75" customFormat="1" x14ac:dyDescent="0.3">
      <c r="A468" s="84" t="e" vm="44">
        <v>#VALUE!</v>
      </c>
      <c r="B468" s="50">
        <v>45222</v>
      </c>
      <c r="C468" s="47">
        <v>15000</v>
      </c>
      <c r="D468" s="47">
        <f t="shared" si="100"/>
        <v>62.265466741938695</v>
      </c>
      <c r="E468" s="48">
        <f>240.904</f>
        <v>240.904</v>
      </c>
      <c r="F468" s="37">
        <f>VLOOKUP("INF879O01027", [1]NAVAll!B$1:E$501244,4,FALSE)</f>
        <v>90.386300000000006</v>
      </c>
      <c r="G468" s="47">
        <f t="shared" si="101"/>
        <v>21774.4212152</v>
      </c>
      <c r="H468" s="49">
        <f>0</f>
        <v>0</v>
      </c>
      <c r="I468" s="48">
        <f t="shared" si="102"/>
        <v>6774.4212152</v>
      </c>
      <c r="J468" s="46">
        <f t="shared" si="103"/>
        <v>0.45162808101333335</v>
      </c>
      <c r="K468" s="47">
        <f t="shared" ca="1" si="104"/>
        <v>33</v>
      </c>
      <c r="L468" s="46">
        <f t="shared" ca="1" si="105"/>
        <v>0.1642283930957576</v>
      </c>
      <c r="M468" s="57" t="s">
        <v>68</v>
      </c>
      <c r="N468" s="47">
        <f t="shared" si="106"/>
        <v>-15000</v>
      </c>
      <c r="O468" s="51" t="s">
        <v>73</v>
      </c>
    </row>
    <row r="469" spans="1:15" s="75" customFormat="1" x14ac:dyDescent="0.3">
      <c r="A469" s="84" t="e" vm="44">
        <v>#VALUE!</v>
      </c>
      <c r="B469" s="50">
        <v>45252</v>
      </c>
      <c r="C469" s="47">
        <v>15000</v>
      </c>
      <c r="D469" s="47">
        <f t="shared" si="100"/>
        <v>66.365514708810252</v>
      </c>
      <c r="E469" s="48">
        <f>226.021</f>
        <v>226.02099999999999</v>
      </c>
      <c r="F469" s="37">
        <f>VLOOKUP("INF879O01027", [1]NAVAll!B$1:E$501244,4,FALSE)</f>
        <v>90.386300000000006</v>
      </c>
      <c r="G469" s="47">
        <f t="shared" si="101"/>
        <v>20429.201912299999</v>
      </c>
      <c r="H469" s="49">
        <f>0</f>
        <v>0</v>
      </c>
      <c r="I469" s="48">
        <f t="shared" si="102"/>
        <v>5429.2019122999991</v>
      </c>
      <c r="J469" s="46">
        <f t="shared" si="103"/>
        <v>0.36194679415333325</v>
      </c>
      <c r="K469" s="47">
        <f t="shared" ca="1" si="104"/>
        <v>32.033333333333331</v>
      </c>
      <c r="L469" s="46">
        <f t="shared" ca="1" si="105"/>
        <v>0.13558880946430799</v>
      </c>
      <c r="M469" s="57" t="s">
        <v>68</v>
      </c>
      <c r="N469" s="47">
        <f t="shared" si="106"/>
        <v>-15000</v>
      </c>
      <c r="O469" s="51" t="s">
        <v>73</v>
      </c>
    </row>
    <row r="470" spans="1:15" s="75" customFormat="1" x14ac:dyDescent="0.3">
      <c r="A470" s="84" t="e" vm="44">
        <v>#VALUE!</v>
      </c>
      <c r="B470" s="50">
        <v>45282</v>
      </c>
      <c r="C470" s="47">
        <v>15000</v>
      </c>
      <c r="D470" s="47">
        <f t="shared" si="100"/>
        <v>69.838904925970766</v>
      </c>
      <c r="E470" s="48">
        <f>214.78</f>
        <v>214.78</v>
      </c>
      <c r="F470" s="37">
        <f>VLOOKUP("INF879O01027", [1]NAVAll!B$1:E$501244,4,FALSE)</f>
        <v>90.386300000000006</v>
      </c>
      <c r="G470" s="47">
        <f t="shared" si="101"/>
        <v>19413.169514000001</v>
      </c>
      <c r="H470" s="49">
        <f>0</f>
        <v>0</v>
      </c>
      <c r="I470" s="48">
        <f t="shared" si="102"/>
        <v>4413.1695140000011</v>
      </c>
      <c r="J470" s="46">
        <f t="shared" si="103"/>
        <v>0.29421130093333342</v>
      </c>
      <c r="K470" s="47">
        <f t="shared" ca="1" si="104"/>
        <v>31.033333333333335</v>
      </c>
      <c r="L470" s="46">
        <f t="shared" ca="1" si="105"/>
        <v>0.11376591658002151</v>
      </c>
      <c r="M470" s="57" t="s">
        <v>68</v>
      </c>
      <c r="N470" s="47">
        <f t="shared" si="106"/>
        <v>-15000</v>
      </c>
      <c r="O470" s="51" t="s">
        <v>73</v>
      </c>
    </row>
    <row r="471" spans="1:15" s="75" customFormat="1" x14ac:dyDescent="0.3">
      <c r="A471" s="84" t="e" vm="44">
        <v>#VALUE!</v>
      </c>
      <c r="B471" s="50">
        <v>45314</v>
      </c>
      <c r="C471" s="47">
        <v>15000</v>
      </c>
      <c r="D471" s="47">
        <f t="shared" si="100"/>
        <v>70.469845952916742</v>
      </c>
      <c r="E471" s="48">
        <f>212.857</f>
        <v>212.857</v>
      </c>
      <c r="F471" s="37">
        <f>VLOOKUP("INF879O01027", [1]NAVAll!B$1:E$501244,4,FALSE)</f>
        <v>90.386300000000006</v>
      </c>
      <c r="G471" s="47">
        <f t="shared" si="101"/>
        <v>19239.356659100002</v>
      </c>
      <c r="H471" s="49">
        <f>0</f>
        <v>0</v>
      </c>
      <c r="I471" s="48">
        <f t="shared" si="102"/>
        <v>4239.3566591000017</v>
      </c>
      <c r="J471" s="46">
        <f t="shared" si="103"/>
        <v>0.28262377727333343</v>
      </c>
      <c r="K471" s="47">
        <f t="shared" ca="1" si="104"/>
        <v>30</v>
      </c>
      <c r="L471" s="46">
        <f t="shared" ca="1" si="105"/>
        <v>0.11304951090933338</v>
      </c>
      <c r="M471" s="57" t="s">
        <v>68</v>
      </c>
      <c r="N471" s="47">
        <f t="shared" si="106"/>
        <v>-15000</v>
      </c>
      <c r="O471" s="51" t="s">
        <v>73</v>
      </c>
    </row>
    <row r="472" spans="1:15" s="75" customFormat="1" x14ac:dyDescent="0.3">
      <c r="A472" s="84" t="e" vm="44">
        <v>#VALUE!</v>
      </c>
      <c r="B472" s="50">
        <v>45344</v>
      </c>
      <c r="C472" s="47">
        <v>15000</v>
      </c>
      <c r="D472" s="47">
        <f t="shared" si="100"/>
        <v>75.129598557511713</v>
      </c>
      <c r="E472" s="48">
        <f>199.655</f>
        <v>199.655</v>
      </c>
      <c r="F472" s="37">
        <f>VLOOKUP("INF879O01027", [1]NAVAll!B$1:E$501244,4,FALSE)</f>
        <v>90.386300000000006</v>
      </c>
      <c r="G472" s="47">
        <f t="shared" si="101"/>
        <v>18046.076726499999</v>
      </c>
      <c r="H472" s="49">
        <f>0</f>
        <v>0</v>
      </c>
      <c r="I472" s="48">
        <f t="shared" si="102"/>
        <v>3046.0767264999995</v>
      </c>
      <c r="J472" s="46">
        <f t="shared" si="103"/>
        <v>0.20307178176666663</v>
      </c>
      <c r="K472" s="47">
        <f t="shared" ca="1" si="104"/>
        <v>29.033333333333335</v>
      </c>
      <c r="L472" s="46">
        <f t="shared" ca="1" si="105"/>
        <v>8.3933227825487927E-2</v>
      </c>
      <c r="M472" s="57" t="s">
        <v>68</v>
      </c>
      <c r="N472" s="47">
        <f t="shared" si="106"/>
        <v>-15000</v>
      </c>
      <c r="O472" s="51" t="s">
        <v>73</v>
      </c>
    </row>
    <row r="473" spans="1:15" s="75" customFormat="1" x14ac:dyDescent="0.3">
      <c r="A473" s="84" t="e" vm="44">
        <v>#VALUE!</v>
      </c>
      <c r="B473" s="50">
        <v>45373</v>
      </c>
      <c r="C473" s="47">
        <v>15000</v>
      </c>
      <c r="D473" s="47">
        <f t="shared" si="100"/>
        <v>74.90225256040867</v>
      </c>
      <c r="E473" s="48">
        <f>200.261</f>
        <v>200.261</v>
      </c>
      <c r="F473" s="37">
        <f>VLOOKUP("INF879O01027", [1]NAVAll!B$1:E$501244,4,FALSE)</f>
        <v>90.386300000000006</v>
      </c>
      <c r="G473" s="47">
        <f t="shared" si="101"/>
        <v>18100.8508243</v>
      </c>
      <c r="H473" s="49">
        <f>0</f>
        <v>0</v>
      </c>
      <c r="I473" s="48">
        <f t="shared" si="102"/>
        <v>3100.8508242999997</v>
      </c>
      <c r="J473" s="46">
        <f t="shared" si="103"/>
        <v>0.20672338828666664</v>
      </c>
      <c r="K473" s="47">
        <f t="shared" ca="1" si="104"/>
        <v>28.033333333333335</v>
      </c>
      <c r="L473" s="46">
        <f t="shared" ca="1" si="105"/>
        <v>8.8490392132223539E-2</v>
      </c>
      <c r="M473" s="57" t="s">
        <v>68</v>
      </c>
      <c r="N473" s="47">
        <f t="shared" si="106"/>
        <v>-15000</v>
      </c>
      <c r="O473" s="51" t="s">
        <v>73</v>
      </c>
    </row>
    <row r="474" spans="1:15" s="75" customFormat="1" x14ac:dyDescent="0.3">
      <c r="A474" s="84" t="e" vm="44">
        <v>#VALUE!</v>
      </c>
      <c r="B474" s="50">
        <v>45404</v>
      </c>
      <c r="C474" s="47">
        <v>15000</v>
      </c>
      <c r="D474" s="47">
        <f t="shared" si="100"/>
        <v>76.067994644813169</v>
      </c>
      <c r="E474" s="48">
        <f>197.192</f>
        <v>197.19200000000001</v>
      </c>
      <c r="F474" s="37">
        <f>VLOOKUP("INF879O01027", [1]NAVAll!B$1:E$501244,4,FALSE)</f>
        <v>90.386300000000006</v>
      </c>
      <c r="G474" s="47">
        <f t="shared" si="101"/>
        <v>17823.455269600003</v>
      </c>
      <c r="H474" s="49">
        <f>0</f>
        <v>0</v>
      </c>
      <c r="I474" s="48">
        <f t="shared" si="102"/>
        <v>2823.4552696000028</v>
      </c>
      <c r="J474" s="46">
        <f t="shared" si="103"/>
        <v>0.18823035130666685</v>
      </c>
      <c r="K474" s="47">
        <f t="shared" ca="1" si="104"/>
        <v>27.033333333333335</v>
      </c>
      <c r="L474" s="46">
        <f t="shared" ca="1" si="105"/>
        <v>8.3554779864858278E-2</v>
      </c>
      <c r="M474" s="57" t="s">
        <v>68</v>
      </c>
      <c r="N474" s="47">
        <f t="shared" si="106"/>
        <v>-15000</v>
      </c>
      <c r="O474" s="51" t="s">
        <v>73</v>
      </c>
    </row>
    <row r="475" spans="1:15" s="75" customFormat="1" x14ac:dyDescent="0.3">
      <c r="A475" s="84" t="e" vm="44">
        <v>#VALUE!</v>
      </c>
      <c r="B475" s="50">
        <v>45434</v>
      </c>
      <c r="C475" s="47">
        <v>15000</v>
      </c>
      <c r="D475" s="47">
        <f t="shared" si="100"/>
        <v>78.612232063309051</v>
      </c>
      <c r="E475" s="48">
        <f>190.81</f>
        <v>190.81</v>
      </c>
      <c r="F475" s="37">
        <f>VLOOKUP("INF879O01027", [1]NAVAll!B$1:E$501244,4,FALSE)</f>
        <v>90.386300000000006</v>
      </c>
      <c r="G475" s="47">
        <f t="shared" si="101"/>
        <v>17246.609903</v>
      </c>
      <c r="H475" s="49">
        <f>0</f>
        <v>0</v>
      </c>
      <c r="I475" s="48">
        <f t="shared" si="102"/>
        <v>2246.6099030000005</v>
      </c>
      <c r="J475" s="46">
        <f t="shared" si="103"/>
        <v>0.14977399353333337</v>
      </c>
      <c r="K475" s="47">
        <f t="shared" ca="1" si="104"/>
        <v>26.033333333333335</v>
      </c>
      <c r="L475" s="46">
        <f t="shared" ca="1" si="105"/>
        <v>6.9037948363636373E-2</v>
      </c>
      <c r="M475" s="57" t="s">
        <v>68</v>
      </c>
      <c r="N475" s="47">
        <f t="shared" si="106"/>
        <v>-15000</v>
      </c>
      <c r="O475" s="51" t="s">
        <v>73</v>
      </c>
    </row>
    <row r="476" spans="1:15" s="75" customFormat="1" x14ac:dyDescent="0.3">
      <c r="A476" s="84" t="e" vm="44">
        <v>#VALUE!</v>
      </c>
      <c r="B476" s="50">
        <v>45467</v>
      </c>
      <c r="C476" s="47">
        <v>15000</v>
      </c>
      <c r="D476" s="47">
        <f t="shared" si="100"/>
        <v>81.502249462085146</v>
      </c>
      <c r="E476" s="48">
        <f>184.044</f>
        <v>184.04400000000001</v>
      </c>
      <c r="F476" s="37">
        <f>VLOOKUP("INF879O01027", [1]NAVAll!B$1:E$501244,4,FALSE)</f>
        <v>90.386300000000006</v>
      </c>
      <c r="G476" s="47">
        <f t="shared" si="101"/>
        <v>16635.056197200003</v>
      </c>
      <c r="H476" s="49">
        <f>0</f>
        <v>0</v>
      </c>
      <c r="I476" s="48">
        <f t="shared" si="102"/>
        <v>1635.0561972000032</v>
      </c>
      <c r="J476" s="46">
        <f t="shared" si="103"/>
        <v>0.10900374648000022</v>
      </c>
      <c r="K476" s="47">
        <f t="shared" ca="1" si="104"/>
        <v>24.966666666666665</v>
      </c>
      <c r="L476" s="46">
        <f t="shared" ca="1" si="105"/>
        <v>5.2391653848865259E-2</v>
      </c>
      <c r="M476" s="57" t="s">
        <v>68</v>
      </c>
      <c r="N476" s="47">
        <f t="shared" si="106"/>
        <v>-15000</v>
      </c>
      <c r="O476" s="51" t="s">
        <v>73</v>
      </c>
    </row>
    <row r="477" spans="1:15" s="75" customFormat="1" x14ac:dyDescent="0.3">
      <c r="A477" s="84" t="e" vm="44">
        <v>#VALUE!</v>
      </c>
      <c r="B477" s="50">
        <v>45495</v>
      </c>
      <c r="C477" s="47">
        <v>15000</v>
      </c>
      <c r="D477" s="47">
        <f t="shared" si="100"/>
        <v>83.7871805613741</v>
      </c>
      <c r="E477" s="48">
        <f>179.025</f>
        <v>179.02500000000001</v>
      </c>
      <c r="F477" s="37">
        <f>VLOOKUP("INF879O01027", [1]NAVAll!B$1:E$501244,4,FALSE)</f>
        <v>90.386300000000006</v>
      </c>
      <c r="G477" s="47">
        <f t="shared" si="101"/>
        <v>16181.407357500002</v>
      </c>
      <c r="H477" s="49">
        <f>0</f>
        <v>0</v>
      </c>
      <c r="I477" s="48">
        <f t="shared" si="102"/>
        <v>1181.407357500002</v>
      </c>
      <c r="J477" s="46">
        <f t="shared" si="103"/>
        <v>7.8760490500000141E-2</v>
      </c>
      <c r="K477" s="47">
        <f t="shared" ca="1" si="104"/>
        <v>24.033333333333335</v>
      </c>
      <c r="L477" s="46">
        <f t="shared" ca="1" si="105"/>
        <v>3.9325626324549307E-2</v>
      </c>
      <c r="M477" s="57" t="s">
        <v>68</v>
      </c>
      <c r="N477" s="47">
        <f t="shared" si="106"/>
        <v>-15000</v>
      </c>
      <c r="O477" s="51" t="s">
        <v>73</v>
      </c>
    </row>
    <row r="478" spans="1:15" s="75" customFormat="1" x14ac:dyDescent="0.3">
      <c r="A478" s="84" t="e" vm="44">
        <v>#VALUE!</v>
      </c>
      <c r="B478" s="50">
        <v>45526</v>
      </c>
      <c r="C478" s="47">
        <v>15000</v>
      </c>
      <c r="D478" s="47">
        <f t="shared" si="100"/>
        <v>85.282027665489778</v>
      </c>
      <c r="E478" s="48">
        <f>175.887</f>
        <v>175.887</v>
      </c>
      <c r="F478" s="37">
        <f>VLOOKUP("INF879O01027", [1]NAVAll!B$1:E$501244,4,FALSE)</f>
        <v>90.386300000000006</v>
      </c>
      <c r="G478" s="47">
        <f t="shared" si="101"/>
        <v>15897.775148100001</v>
      </c>
      <c r="H478" s="49">
        <f>0</f>
        <v>0</v>
      </c>
      <c r="I478" s="48">
        <f t="shared" si="102"/>
        <v>897.77514810000139</v>
      </c>
      <c r="J478" s="46">
        <f t="shared" si="103"/>
        <v>5.9851676540000093E-2</v>
      </c>
      <c r="K478" s="47">
        <f t="shared" ca="1" si="104"/>
        <v>23.033333333333335</v>
      </c>
      <c r="L478" s="46">
        <f t="shared" ca="1" si="105"/>
        <v>3.1181770701013072E-2</v>
      </c>
      <c r="M478" s="57" t="s">
        <v>68</v>
      </c>
      <c r="N478" s="47">
        <f t="shared" si="106"/>
        <v>-15000</v>
      </c>
      <c r="O478" s="51" t="s">
        <v>73</v>
      </c>
    </row>
    <row r="479" spans="1:15" s="75" customFormat="1" x14ac:dyDescent="0.3">
      <c r="A479" s="84" t="e" vm="44">
        <v>#VALUE!</v>
      </c>
      <c r="B479" s="50">
        <v>45558</v>
      </c>
      <c r="C479" s="47">
        <v>15000</v>
      </c>
      <c r="D479" s="47">
        <f t="shared" si="100"/>
        <v>88.973248709887898</v>
      </c>
      <c r="E479" s="48">
        <f>168.59</f>
        <v>168.59</v>
      </c>
      <c r="F479" s="37">
        <f>VLOOKUP("INF879O01027", [1]NAVAll!B$1:E$501244,4,FALSE)</f>
        <v>90.386300000000006</v>
      </c>
      <c r="G479" s="47">
        <f t="shared" si="101"/>
        <v>15238.226317000001</v>
      </c>
      <c r="H479" s="49">
        <f>0</f>
        <v>0</v>
      </c>
      <c r="I479" s="48">
        <f t="shared" si="102"/>
        <v>238.22631700000056</v>
      </c>
      <c r="J479" s="46">
        <f t="shared" si="103"/>
        <v>1.5881754466666703E-2</v>
      </c>
      <c r="K479" s="47">
        <f t="shared" ca="1" si="104"/>
        <v>22</v>
      </c>
      <c r="L479" s="46">
        <f t="shared" ca="1" si="105"/>
        <v>8.6627751636363833E-3</v>
      </c>
      <c r="M479" s="57" t="s">
        <v>68</v>
      </c>
      <c r="N479" s="47">
        <f t="shared" si="106"/>
        <v>-15000</v>
      </c>
      <c r="O479" s="51" t="s">
        <v>73</v>
      </c>
    </row>
    <row r="480" spans="1:15" s="75" customFormat="1" x14ac:dyDescent="0.3">
      <c r="A480" s="84" t="e" vm="44">
        <v>#VALUE!</v>
      </c>
      <c r="B480" s="50">
        <v>45587</v>
      </c>
      <c r="C480" s="47">
        <v>15000</v>
      </c>
      <c r="D480" s="47">
        <f t="shared" si="100"/>
        <v>86.644601174900785</v>
      </c>
      <c r="E480" s="48">
        <f>173.121</f>
        <v>173.12100000000001</v>
      </c>
      <c r="F480" s="37">
        <f>VLOOKUP("INF879O01027", [1]NAVAll!B$1:E$501244,4,FALSE)</f>
        <v>90.386300000000006</v>
      </c>
      <c r="G480" s="47">
        <f t="shared" si="101"/>
        <v>15647.766642300001</v>
      </c>
      <c r="H480" s="49">
        <f>0</f>
        <v>0</v>
      </c>
      <c r="I480" s="48">
        <f t="shared" si="102"/>
        <v>647.76664230000097</v>
      </c>
      <c r="J480" s="46">
        <f t="shared" si="103"/>
        <v>4.3184442820000064E-2</v>
      </c>
      <c r="K480" s="47">
        <f t="shared" ca="1" si="104"/>
        <v>21.033333333333335</v>
      </c>
      <c r="L480" s="46">
        <f t="shared" ca="1" si="105"/>
        <v>2.4637716981299559E-2</v>
      </c>
      <c r="M480" s="57" t="s">
        <v>68</v>
      </c>
      <c r="N480" s="47">
        <f t="shared" si="106"/>
        <v>-15000</v>
      </c>
      <c r="O480" s="51" t="s">
        <v>73</v>
      </c>
    </row>
    <row r="481" spans="1:15" s="75" customFormat="1" x14ac:dyDescent="0.3">
      <c r="A481" s="84" t="e" vm="44">
        <v>#VALUE!</v>
      </c>
      <c r="B481" s="50">
        <v>45618</v>
      </c>
      <c r="C481" s="47">
        <v>15000</v>
      </c>
      <c r="D481" s="47">
        <f t="shared" si="100"/>
        <v>86.224736152307372</v>
      </c>
      <c r="E481" s="48">
        <f>173.964</f>
        <v>173.964</v>
      </c>
      <c r="F481" s="37">
        <f>VLOOKUP("INF879O01027", [1]NAVAll!B$1:E$501244,4,FALSE)</f>
        <v>90.386300000000006</v>
      </c>
      <c r="G481" s="47">
        <f t="shared" si="101"/>
        <v>15723.9622932</v>
      </c>
      <c r="H481" s="49">
        <f>0</f>
        <v>0</v>
      </c>
      <c r="I481" s="48">
        <f t="shared" si="102"/>
        <v>723.9622932000002</v>
      </c>
      <c r="J481" s="46">
        <f t="shared" si="103"/>
        <v>4.8264152880000015E-2</v>
      </c>
      <c r="K481" s="47">
        <f t="shared" ca="1" si="104"/>
        <v>20.033333333333335</v>
      </c>
      <c r="L481" s="46">
        <f t="shared" ca="1" si="105"/>
        <v>2.8910307881530786E-2</v>
      </c>
      <c r="M481" s="57" t="s">
        <v>68</v>
      </c>
      <c r="N481" s="47">
        <f t="shared" si="106"/>
        <v>-15000</v>
      </c>
      <c r="O481" s="51" t="s">
        <v>73</v>
      </c>
    </row>
    <row r="482" spans="1:15" s="75" customFormat="1" x14ac:dyDescent="0.3">
      <c r="A482" s="84" t="e" vm="44">
        <v>#VALUE!</v>
      </c>
      <c r="B482" s="50">
        <v>45649</v>
      </c>
      <c r="C482" s="47">
        <v>15000</v>
      </c>
      <c r="D482" s="47">
        <f t="shared" si="100"/>
        <v>87.43908410474036</v>
      </c>
      <c r="E482" s="48">
        <f>171.548</f>
        <v>171.548</v>
      </c>
      <c r="F482" s="37">
        <f>VLOOKUP("INF879O01027", [1]NAVAll!B$1:E$501244,4,FALSE)</f>
        <v>90.386300000000006</v>
      </c>
      <c r="G482" s="47">
        <f t="shared" si="101"/>
        <v>15505.5889924</v>
      </c>
      <c r="H482" s="49">
        <f>0</f>
        <v>0</v>
      </c>
      <c r="I482" s="48">
        <f t="shared" si="102"/>
        <v>505.58899240000028</v>
      </c>
      <c r="J482" s="46">
        <f t="shared" si="103"/>
        <v>3.3705932826666687E-2</v>
      </c>
      <c r="K482" s="47">
        <f t="shared" ca="1" si="104"/>
        <v>19</v>
      </c>
      <c r="L482" s="46">
        <f t="shared" ca="1" si="105"/>
        <v>2.1287957574736855E-2</v>
      </c>
      <c r="M482" s="57" t="s">
        <v>68</v>
      </c>
      <c r="N482" s="47">
        <f t="shared" si="106"/>
        <v>-15000</v>
      </c>
      <c r="O482" s="51" t="s">
        <v>73</v>
      </c>
    </row>
    <row r="483" spans="1:15" s="75" customFormat="1" x14ac:dyDescent="0.3">
      <c r="A483" s="84" t="e" vm="44">
        <v>#VALUE!</v>
      </c>
      <c r="B483" s="50">
        <v>45679</v>
      </c>
      <c r="C483" s="47">
        <v>15000</v>
      </c>
      <c r="D483" s="47">
        <f t="shared" si="100"/>
        <v>86.304112678649517</v>
      </c>
      <c r="E483" s="48">
        <f>173.804</f>
        <v>173.804</v>
      </c>
      <c r="F483" s="37">
        <f>VLOOKUP("INF879O01027", [1]NAVAll!B$1:E$501244,4,FALSE)</f>
        <v>90.386300000000006</v>
      </c>
      <c r="G483" s="47">
        <f t="shared" si="101"/>
        <v>15709.500485200002</v>
      </c>
      <c r="H483" s="49">
        <f>0</f>
        <v>0</v>
      </c>
      <c r="I483" s="48">
        <f t="shared" si="102"/>
        <v>709.500485200002</v>
      </c>
      <c r="J483" s="46">
        <f t="shared" si="103"/>
        <v>4.7300032346666798E-2</v>
      </c>
      <c r="K483" s="47">
        <f t="shared" ca="1" si="104"/>
        <v>18.033333333333335</v>
      </c>
      <c r="L483" s="46">
        <f t="shared" ca="1" si="105"/>
        <v>3.1475067735305076E-2</v>
      </c>
      <c r="M483" s="57" t="s">
        <v>68</v>
      </c>
      <c r="N483" s="47">
        <f t="shared" si="106"/>
        <v>-15000</v>
      </c>
      <c r="O483" s="51" t="s">
        <v>73</v>
      </c>
    </row>
    <row r="484" spans="1:15" s="75" customFormat="1" x14ac:dyDescent="0.3">
      <c r="A484" s="84" t="e" vm="44">
        <v>#VALUE!</v>
      </c>
      <c r="B484" s="50">
        <v>45712</v>
      </c>
      <c r="C484" s="47">
        <v>15000</v>
      </c>
      <c r="D484" s="47">
        <f t="shared" si="100"/>
        <v>84.567072964470555</v>
      </c>
      <c r="E484" s="48">
        <f>177.374</f>
        <v>177.374</v>
      </c>
      <c r="F484" s="37">
        <f>VLOOKUP("INF879O01027", [1]NAVAll!B$1:E$501244,4,FALSE)</f>
        <v>90.386300000000006</v>
      </c>
      <c r="G484" s="47">
        <f t="shared" si="101"/>
        <v>16032.1795762</v>
      </c>
      <c r="H484" s="49">
        <f>0</f>
        <v>0</v>
      </c>
      <c r="I484" s="48">
        <f t="shared" si="102"/>
        <v>1032.1795762000002</v>
      </c>
      <c r="J484" s="46">
        <f t="shared" si="103"/>
        <v>6.8811971746666672E-2</v>
      </c>
      <c r="K484" s="47">
        <f t="shared" ca="1" si="104"/>
        <v>16.966666666666665</v>
      </c>
      <c r="L484" s="46">
        <f t="shared" ca="1" si="105"/>
        <v>4.8668585125343819E-2</v>
      </c>
      <c r="M484" s="57" t="s">
        <v>68</v>
      </c>
      <c r="N484" s="47">
        <f t="shared" si="106"/>
        <v>-15000</v>
      </c>
      <c r="O484" s="51" t="s">
        <v>73</v>
      </c>
    </row>
    <row r="485" spans="1:15" s="75" customFormat="1" x14ac:dyDescent="0.3">
      <c r="A485" s="84" t="e" vm="44">
        <v>#VALUE!</v>
      </c>
      <c r="B485" s="50">
        <v>45740</v>
      </c>
      <c r="C485" s="47">
        <v>15000</v>
      </c>
      <c r="D485" s="47">
        <f t="shared" si="100"/>
        <v>86.934347181008903</v>
      </c>
      <c r="E485" s="48">
        <f>172.544</f>
        <v>172.54400000000001</v>
      </c>
      <c r="F485" s="37">
        <f>VLOOKUP("INF879O01027", [1]NAVAll!B$1:E$501244,4,FALSE)</f>
        <v>90.386300000000006</v>
      </c>
      <c r="G485" s="47">
        <f t="shared" si="101"/>
        <v>15595.613747200003</v>
      </c>
      <c r="H485" s="49">
        <f>0</f>
        <v>0</v>
      </c>
      <c r="I485" s="48">
        <f t="shared" si="102"/>
        <v>595.61374720000276</v>
      </c>
      <c r="J485" s="46">
        <f t="shared" si="103"/>
        <v>3.970758314666685E-2</v>
      </c>
      <c r="K485" s="47">
        <f t="shared" ca="1" si="104"/>
        <v>15.966666666666667</v>
      </c>
      <c r="L485" s="46">
        <f t="shared" ca="1" si="105"/>
        <v>2.9842859984968821E-2</v>
      </c>
      <c r="M485" s="57" t="s">
        <v>68</v>
      </c>
      <c r="N485" s="47">
        <f t="shared" si="106"/>
        <v>-15000</v>
      </c>
      <c r="O485" s="51" t="s">
        <v>73</v>
      </c>
    </row>
    <row r="486" spans="1:15" s="75" customFormat="1" x14ac:dyDescent="0.3">
      <c r="A486" s="84" t="e" vm="44">
        <v>#VALUE!</v>
      </c>
      <c r="B486" s="50">
        <v>45769</v>
      </c>
      <c r="C486" s="47">
        <v>15000</v>
      </c>
      <c r="D486" s="47">
        <f t="shared" si="100"/>
        <v>87.124204265601037</v>
      </c>
      <c r="E486" s="48">
        <f>172.168</f>
        <v>172.16800000000001</v>
      </c>
      <c r="F486" s="37">
        <f>VLOOKUP("INF879O01027", [1]NAVAll!B$1:E$501244,4,FALSE)</f>
        <v>90.386300000000006</v>
      </c>
      <c r="G486" s="47">
        <f t="shared" si="101"/>
        <v>15561.628498400001</v>
      </c>
      <c r="H486" s="49">
        <f>0</f>
        <v>0</v>
      </c>
      <c r="I486" s="48">
        <f t="shared" si="102"/>
        <v>561.62849840000126</v>
      </c>
      <c r="J486" s="46">
        <f t="shared" si="103"/>
        <v>3.7441899893333415E-2</v>
      </c>
      <c r="K486" s="47">
        <f t="shared" ca="1" si="104"/>
        <v>15.033333333333333</v>
      </c>
      <c r="L486" s="46">
        <f t="shared" ca="1" si="105"/>
        <v>2.9887104127716252E-2</v>
      </c>
      <c r="M486" s="57" t="s">
        <v>68</v>
      </c>
      <c r="N486" s="47">
        <f t="shared" si="106"/>
        <v>-15000</v>
      </c>
      <c r="O486" s="51" t="s">
        <v>73</v>
      </c>
    </row>
    <row r="487" spans="1:15" s="75" customFormat="1" x14ac:dyDescent="0.3">
      <c r="A487" s="84" t="e" vm="44">
        <v>#VALUE!</v>
      </c>
      <c r="B487" s="50">
        <v>45799</v>
      </c>
      <c r="C487" s="47">
        <v>15000</v>
      </c>
      <c r="D487" s="47">
        <f t="shared" si="100"/>
        <v>89.488127908364149</v>
      </c>
      <c r="E487" s="48">
        <f>167.62</f>
        <v>167.62</v>
      </c>
      <c r="F487" s="37">
        <f>VLOOKUP("INF879O01027", [1]NAVAll!B$1:E$501244,4,FALSE)</f>
        <v>90.386300000000006</v>
      </c>
      <c r="G487" s="47">
        <f t="shared" si="101"/>
        <v>15150.551606000001</v>
      </c>
      <c r="H487" s="49">
        <f>0</f>
        <v>0</v>
      </c>
      <c r="I487" s="48">
        <f t="shared" si="102"/>
        <v>150.5516060000009</v>
      </c>
      <c r="J487" s="46">
        <f t="shared" si="103"/>
        <v>1.0036773733333393E-2</v>
      </c>
      <c r="K487" s="47">
        <f t="shared" ca="1" si="104"/>
        <v>14.033333333333333</v>
      </c>
      <c r="L487" s="46">
        <f t="shared" ca="1" si="105"/>
        <v>8.582514356294587E-3</v>
      </c>
      <c r="M487" s="57" t="s">
        <v>68</v>
      </c>
      <c r="N487" s="47">
        <f t="shared" si="106"/>
        <v>-15000</v>
      </c>
      <c r="O487" s="51" t="s">
        <v>73</v>
      </c>
    </row>
    <row r="488" spans="1:15" s="75" customFormat="1" x14ac:dyDescent="0.3">
      <c r="A488" s="84" t="e" vm="44">
        <v>#VALUE!</v>
      </c>
      <c r="B488" s="50">
        <v>45831</v>
      </c>
      <c r="C488" s="47">
        <v>15000</v>
      </c>
      <c r="D488" s="47">
        <f t="shared" si="100"/>
        <v>91.213689350497717</v>
      </c>
      <c r="E488" s="48">
        <f>164.449</f>
        <v>164.44900000000001</v>
      </c>
      <c r="F488" s="37">
        <f>VLOOKUP("INF879O01027", [1]NAVAll!B$1:E$501244,4,FALSE)</f>
        <v>90.386300000000006</v>
      </c>
      <c r="G488" s="47">
        <f t="shared" si="101"/>
        <v>14863.936648700002</v>
      </c>
      <c r="H488" s="49">
        <f>0</f>
        <v>0</v>
      </c>
      <c r="I488" s="48">
        <f t="shared" si="102"/>
        <v>-136.06335129999752</v>
      </c>
      <c r="J488" s="46">
        <f t="shared" si="103"/>
        <v>-9.070890086666502E-3</v>
      </c>
      <c r="K488" s="47">
        <f t="shared" ca="1" si="104"/>
        <v>13</v>
      </c>
      <c r="L488" s="46">
        <f t="shared" ca="1" si="105"/>
        <v>-8.3731293107690789E-3</v>
      </c>
      <c r="M488" s="57" t="s">
        <v>68</v>
      </c>
      <c r="N488" s="47">
        <f t="shared" si="106"/>
        <v>-15000</v>
      </c>
      <c r="O488" s="51" t="s">
        <v>73</v>
      </c>
    </row>
    <row r="489" spans="1:15" s="75" customFormat="1" x14ac:dyDescent="0.3">
      <c r="A489" s="84" t="e" vm="44">
        <v>#VALUE!</v>
      </c>
      <c r="B489" s="50">
        <v>45860</v>
      </c>
      <c r="C489" s="47">
        <v>15000</v>
      </c>
      <c r="D489" s="47">
        <f t="shared" si="100"/>
        <v>92.478991855683446</v>
      </c>
      <c r="E489" s="48">
        <f>162.199</f>
        <v>162.19900000000001</v>
      </c>
      <c r="F489" s="37">
        <f>VLOOKUP("INF879O01027", [1]NAVAll!B$1:E$501244,4,FALSE)</f>
        <v>90.386300000000006</v>
      </c>
      <c r="G489" s="47">
        <f t="shared" si="101"/>
        <v>14660.567473700003</v>
      </c>
      <c r="H489" s="49">
        <f>0</f>
        <v>0</v>
      </c>
      <c r="I489" s="48">
        <f t="shared" si="102"/>
        <v>-339.43252629999733</v>
      </c>
      <c r="J489" s="46">
        <f t="shared" si="103"/>
        <v>-2.262883508666649E-2</v>
      </c>
      <c r="K489" s="47">
        <f t="shared" ca="1" si="104"/>
        <v>12.033333333333333</v>
      </c>
      <c r="L489" s="46">
        <f t="shared" ca="1" si="105"/>
        <v>-2.2566151332963812E-2</v>
      </c>
      <c r="M489" s="57" t="s">
        <v>68</v>
      </c>
      <c r="N489" s="47">
        <f t="shared" si="106"/>
        <v>-15000</v>
      </c>
      <c r="O489" s="51" t="s">
        <v>73</v>
      </c>
    </row>
    <row r="490" spans="1:15" s="75" customFormat="1" x14ac:dyDescent="0.3">
      <c r="A490" s="84" t="e" vm="44">
        <v>#VALUE!</v>
      </c>
      <c r="B490" s="50">
        <v>45891</v>
      </c>
      <c r="C490" s="47">
        <v>15000</v>
      </c>
      <c r="D490" s="47">
        <f t="shared" si="100"/>
        <v>92.164766024380654</v>
      </c>
      <c r="E490" s="48">
        <f>162.752</f>
        <v>162.75200000000001</v>
      </c>
      <c r="F490" s="37">
        <f>VLOOKUP("INF879O01027", [1]NAVAll!B$1:E$501244,4,FALSE)</f>
        <v>90.386300000000006</v>
      </c>
      <c r="G490" s="47">
        <f t="shared" si="101"/>
        <v>14710.551097600002</v>
      </c>
      <c r="H490" s="49">
        <f>0</f>
        <v>0</v>
      </c>
      <c r="I490" s="48">
        <f t="shared" si="102"/>
        <v>-289.44890239999768</v>
      </c>
      <c r="J490" s="46">
        <f t="shared" si="103"/>
        <v>-1.9296593493333177E-2</v>
      </c>
      <c r="K490" s="47">
        <f t="shared" ca="1" si="104"/>
        <v>11.033333333333333</v>
      </c>
      <c r="L490" s="46">
        <f t="shared" ca="1" si="105"/>
        <v>-2.0987231593957534E-2</v>
      </c>
      <c r="M490" s="57" t="s">
        <v>68</v>
      </c>
      <c r="N490" s="47">
        <f t="shared" si="106"/>
        <v>-15000</v>
      </c>
      <c r="O490" s="51" t="s">
        <v>73</v>
      </c>
    </row>
    <row r="491" spans="1:15" s="75" customFormat="1" x14ac:dyDescent="0.3">
      <c r="A491" s="84" t="e" vm="44">
        <v>#VALUE!</v>
      </c>
      <c r="B491" s="50">
        <v>45895</v>
      </c>
      <c r="C491" s="47">
        <v>50000</v>
      </c>
      <c r="D491" s="47">
        <f t="shared" si="100"/>
        <v>91.596061369361124</v>
      </c>
      <c r="E491" s="48">
        <f>545.875</f>
        <v>545.875</v>
      </c>
      <c r="F491" s="37">
        <f>VLOOKUP("INF879O01027", [1]NAVAll!B$1:E$501244,4,FALSE)</f>
        <v>90.386300000000006</v>
      </c>
      <c r="G491" s="47">
        <f t="shared" si="101"/>
        <v>49339.621512500002</v>
      </c>
      <c r="H491" s="49">
        <f>0</f>
        <v>0</v>
      </c>
      <c r="I491" s="48">
        <f t="shared" si="102"/>
        <v>-660.3784874999983</v>
      </c>
      <c r="J491" s="46">
        <f t="shared" si="103"/>
        <v>-1.3207569749999966E-2</v>
      </c>
      <c r="K491" s="47">
        <f t="shared" ca="1" si="104"/>
        <v>10.9</v>
      </c>
      <c r="L491" s="46">
        <f t="shared" ca="1" si="105"/>
        <v>-1.4540443761467851E-2</v>
      </c>
      <c r="M491" s="57" t="s">
        <v>68</v>
      </c>
      <c r="N491" s="47">
        <f t="shared" si="106"/>
        <v>-50000</v>
      </c>
      <c r="O491" s="51" t="s">
        <v>73</v>
      </c>
    </row>
    <row r="492" spans="1:15" s="75" customFormat="1" x14ac:dyDescent="0.3">
      <c r="A492" s="84" t="e" vm="44">
        <v>#VALUE!</v>
      </c>
      <c r="B492" s="50">
        <v>45922</v>
      </c>
      <c r="C492" s="47">
        <v>15000</v>
      </c>
      <c r="D492" s="47">
        <f t="shared" si="100"/>
        <v>94.014415543716694</v>
      </c>
      <c r="E492" s="48">
        <f>159.55</f>
        <v>159.55000000000001</v>
      </c>
      <c r="F492" s="37">
        <f>VLOOKUP("INF879O01027", [1]NAVAll!B$1:E$501244,4,FALSE)</f>
        <v>90.386300000000006</v>
      </c>
      <c r="G492" s="47">
        <f t="shared" si="101"/>
        <v>14421.134165000001</v>
      </c>
      <c r="H492" s="49">
        <f>0</f>
        <v>0</v>
      </c>
      <c r="I492" s="48">
        <f t="shared" si="102"/>
        <v>-578.8658349999987</v>
      </c>
      <c r="J492" s="46">
        <f t="shared" si="103"/>
        <v>-3.8591055666666582E-2</v>
      </c>
      <c r="K492" s="47">
        <f t="shared" ca="1" si="104"/>
        <v>10.033333333333333</v>
      </c>
      <c r="L492" s="46">
        <f t="shared" ca="1" si="105"/>
        <v>-4.6155415415282293E-2</v>
      </c>
      <c r="M492" s="57" t="s">
        <v>68</v>
      </c>
      <c r="N492" s="47">
        <f t="shared" si="106"/>
        <v>-15000</v>
      </c>
      <c r="O492" s="51" t="s">
        <v>73</v>
      </c>
    </row>
    <row r="493" spans="1:15" s="75" customFormat="1" x14ac:dyDescent="0.3">
      <c r="A493" s="84" t="e" vm="44">
        <v>#VALUE!</v>
      </c>
      <c r="B493" s="50">
        <v>45953</v>
      </c>
      <c r="C493" s="47">
        <v>15000</v>
      </c>
      <c r="D493" s="47">
        <f t="shared" si="100"/>
        <v>95.341002987351416</v>
      </c>
      <c r="E493" s="48">
        <f>157.33</f>
        <v>157.33000000000001</v>
      </c>
      <c r="F493" s="37">
        <f>VLOOKUP("INF879O01027", [1]NAVAll!B$1:E$501244,4,FALSE)</f>
        <v>90.386300000000006</v>
      </c>
      <c r="G493" s="47">
        <f t="shared" si="101"/>
        <v>14220.476579000002</v>
      </c>
      <c r="H493" s="49">
        <f>0</f>
        <v>0</v>
      </c>
      <c r="I493" s="48">
        <f t="shared" si="102"/>
        <v>-779.52342099999805</v>
      </c>
      <c r="J493" s="46">
        <f t="shared" si="103"/>
        <v>-5.1968228066666539E-2</v>
      </c>
      <c r="K493" s="47">
        <f t="shared" ca="1" si="104"/>
        <v>9</v>
      </c>
      <c r="L493" s="46">
        <f t="shared" ca="1" si="105"/>
        <v>-6.9290970755555389E-2</v>
      </c>
      <c r="M493" s="57" t="s">
        <v>68</v>
      </c>
      <c r="N493" s="47">
        <f t="shared" si="106"/>
        <v>-15000</v>
      </c>
      <c r="O493" s="51" t="s">
        <v>73</v>
      </c>
    </row>
    <row r="494" spans="1:15" s="75" customFormat="1" x14ac:dyDescent="0.3">
      <c r="A494" s="84" t="e" vm="44">
        <v>#VALUE!</v>
      </c>
      <c r="B494" s="50">
        <v>45985</v>
      </c>
      <c r="C494" s="47">
        <v>15000</v>
      </c>
      <c r="D494" s="47">
        <f t="shared" si="100"/>
        <v>94.428111878426961</v>
      </c>
      <c r="E494" s="48">
        <f>158.851</f>
        <v>158.851</v>
      </c>
      <c r="F494" s="37">
        <f>VLOOKUP("INF879O01027", [1]NAVAll!B$1:E$501244,4,FALSE)</f>
        <v>90.386300000000006</v>
      </c>
      <c r="G494" s="47">
        <f t="shared" si="101"/>
        <v>14357.954141300001</v>
      </c>
      <c r="H494" s="49">
        <f>0</f>
        <v>0</v>
      </c>
      <c r="I494" s="48">
        <f t="shared" si="102"/>
        <v>-642.04585869999937</v>
      </c>
      <c r="J494" s="46">
        <f t="shared" si="103"/>
        <v>-4.2803057246666623E-2</v>
      </c>
      <c r="K494" s="47">
        <f t="shared" ca="1" si="104"/>
        <v>7.9666666666666668</v>
      </c>
      <c r="L494" s="46">
        <f t="shared" ca="1" si="105"/>
        <v>-6.447322430460245E-2</v>
      </c>
      <c r="M494" s="57" t="s">
        <v>68</v>
      </c>
      <c r="N494" s="47">
        <f t="shared" si="106"/>
        <v>-15000</v>
      </c>
      <c r="O494" s="51" t="s">
        <v>73</v>
      </c>
    </row>
    <row r="495" spans="1:15" s="75" customFormat="1" x14ac:dyDescent="0.3">
      <c r="A495" s="84" t="e" vm="44">
        <v>#VALUE!</v>
      </c>
      <c r="B495" s="50">
        <v>46013</v>
      </c>
      <c r="C495" s="47">
        <v>15000</v>
      </c>
      <c r="D495" s="47">
        <f t="shared" si="100"/>
        <v>94.951732869124868</v>
      </c>
      <c r="E495" s="48">
        <f>157.975</f>
        <v>157.97499999999999</v>
      </c>
      <c r="F495" s="37">
        <f>VLOOKUP("INF879O01027", [1]NAVAll!B$1:E$501244,4,FALSE)</f>
        <v>90.386300000000006</v>
      </c>
      <c r="G495" s="47">
        <f t="shared" si="101"/>
        <v>14278.7757425</v>
      </c>
      <c r="H495" s="49">
        <f>0</f>
        <v>0</v>
      </c>
      <c r="I495" s="48">
        <f t="shared" si="102"/>
        <v>-721.22425750000002</v>
      </c>
      <c r="J495" s="46">
        <f t="shared" si="103"/>
        <v>-4.8081617166666667E-2</v>
      </c>
      <c r="K495" s="47">
        <f t="shared" ca="1" si="104"/>
        <v>7.0333333333333332</v>
      </c>
      <c r="L495" s="46">
        <f t="shared" ca="1" si="105"/>
        <v>-8.2034986635071083E-2</v>
      </c>
      <c r="M495" s="57" t="s">
        <v>68</v>
      </c>
      <c r="N495" s="47">
        <f t="shared" si="106"/>
        <v>-15000</v>
      </c>
      <c r="O495" s="51" t="s">
        <v>73</v>
      </c>
    </row>
    <row r="496" spans="1:15" s="75" customFormat="1" x14ac:dyDescent="0.3">
      <c r="A496" s="84" t="e" vm="44">
        <v>#VALUE!</v>
      </c>
      <c r="B496" s="50">
        <v>46044</v>
      </c>
      <c r="C496" s="47">
        <v>15000</v>
      </c>
      <c r="D496" s="47">
        <f t="shared" si="100"/>
        <v>93.343372931666423</v>
      </c>
      <c r="E496" s="48">
        <f>160.697</f>
        <v>160.697</v>
      </c>
      <c r="F496" s="37">
        <f>VLOOKUP("INF879O01027", [1]NAVAll!B$1:E$501244,4,FALSE)</f>
        <v>90.386300000000006</v>
      </c>
      <c r="G496" s="47">
        <f t="shared" si="101"/>
        <v>14524.807251100001</v>
      </c>
      <c r="H496" s="49">
        <f>0</f>
        <v>0</v>
      </c>
      <c r="I496" s="48">
        <f t="shared" si="102"/>
        <v>-475.19274889999906</v>
      </c>
      <c r="J496" s="46">
        <f t="shared" si="103"/>
        <v>-3.1679516593333269E-2</v>
      </c>
      <c r="K496" s="47">
        <f t="shared" ca="1" si="104"/>
        <v>6.0333333333333332</v>
      </c>
      <c r="L496" s="46">
        <f t="shared" ca="1" si="105"/>
        <v>-6.3008983279557895E-2</v>
      </c>
      <c r="M496" s="57" t="s">
        <v>68</v>
      </c>
      <c r="N496" s="47">
        <f t="shared" si="106"/>
        <v>-15000</v>
      </c>
      <c r="O496" s="51" t="s">
        <v>73</v>
      </c>
    </row>
    <row r="497" spans="1:15" s="75" customFormat="1" x14ac:dyDescent="0.3">
      <c r="A497" s="84" t="e" vm="44">
        <v>#VALUE!</v>
      </c>
      <c r="B497" s="50">
        <v>46076</v>
      </c>
      <c r="C497" s="47">
        <v>15000</v>
      </c>
      <c r="D497" s="47">
        <f t="shared" si="100"/>
        <v>93.247048730907665</v>
      </c>
      <c r="E497" s="48">
        <f>160.863</f>
        <v>160.863</v>
      </c>
      <c r="F497" s="37">
        <f>VLOOKUP("INF879O01027", [1]NAVAll!B$1:E$501244,4,FALSE)</f>
        <v>90.386300000000006</v>
      </c>
      <c r="G497" s="47">
        <f t="shared" si="101"/>
        <v>14539.811376900001</v>
      </c>
      <c r="H497" s="49">
        <f>0</f>
        <v>0</v>
      </c>
      <c r="I497" s="48">
        <f t="shared" si="102"/>
        <v>-460.18862309999895</v>
      </c>
      <c r="J497" s="46">
        <f t="shared" si="103"/>
        <v>-3.067924153999993E-2</v>
      </c>
      <c r="K497" s="47">
        <f t="shared" ca="1" si="104"/>
        <v>5</v>
      </c>
      <c r="L497" s="46">
        <f t="shared" ca="1" si="105"/>
        <v>-7.3630179695999831E-2</v>
      </c>
      <c r="M497" s="57" t="s">
        <v>68</v>
      </c>
      <c r="N497" s="47">
        <f t="shared" si="106"/>
        <v>-15000</v>
      </c>
      <c r="O497" s="51" t="s">
        <v>73</v>
      </c>
    </row>
    <row r="498" spans="1:15" s="75" customFormat="1" x14ac:dyDescent="0.3">
      <c r="A498" s="84" t="e" vm="44">
        <v>#VALUE!</v>
      </c>
      <c r="B498" s="50">
        <v>46104</v>
      </c>
      <c r="C498" s="47">
        <v>15000</v>
      </c>
      <c r="D498" s="47">
        <f t="shared" si="100"/>
        <v>86.596081238670351</v>
      </c>
      <c r="E498" s="48">
        <f>173.218</f>
        <v>173.21799999999999</v>
      </c>
      <c r="F498" s="37">
        <f>VLOOKUP("INF879O01027", [1]NAVAll!B$1:E$501244,4,FALSE)</f>
        <v>90.386300000000006</v>
      </c>
      <c r="G498" s="47">
        <f t="shared" si="101"/>
        <v>15656.534113399999</v>
      </c>
      <c r="H498" s="49">
        <f>0</f>
        <v>0</v>
      </c>
      <c r="I498" s="48">
        <f t="shared" si="102"/>
        <v>656.53411339999911</v>
      </c>
      <c r="J498" s="46">
        <f t="shared" si="103"/>
        <v>4.3768940893333275E-2</v>
      </c>
      <c r="K498" s="47">
        <f t="shared" ca="1" si="104"/>
        <v>4</v>
      </c>
      <c r="L498" s="46">
        <f t="shared" ca="1" si="105"/>
        <v>0.13130682267999982</v>
      </c>
      <c r="M498" s="57" t="s">
        <v>68</v>
      </c>
      <c r="N498" s="47">
        <f t="shared" si="106"/>
        <v>-15000</v>
      </c>
      <c r="O498" s="51" t="s">
        <v>73</v>
      </c>
    </row>
    <row r="499" spans="1:15" s="75" customFormat="1" x14ac:dyDescent="0.3">
      <c r="A499" s="84" t="e" vm="44">
        <v>#VALUE!</v>
      </c>
      <c r="B499" s="50">
        <v>46134</v>
      </c>
      <c r="C499" s="47">
        <v>15000</v>
      </c>
      <c r="D499" s="47">
        <f t="shared" si="100"/>
        <v>91.487402184719173</v>
      </c>
      <c r="E499" s="48">
        <f>163.957</f>
        <v>163.95699999999999</v>
      </c>
      <c r="F499" s="37">
        <f>VLOOKUP("INF879O01027", [1]NAVAll!B$1:E$501244,4,FALSE)</f>
        <v>90.386300000000006</v>
      </c>
      <c r="G499" s="47">
        <f t="shared" si="101"/>
        <v>14819.4665891</v>
      </c>
      <c r="H499" s="49">
        <f>0</f>
        <v>0</v>
      </c>
      <c r="I499" s="48">
        <f t="shared" si="102"/>
        <v>-180.53341089999958</v>
      </c>
      <c r="J499" s="46">
        <f t="shared" si="103"/>
        <v>-1.2035560726666639E-2</v>
      </c>
      <c r="K499" s="47">
        <f t="shared" ca="1" si="104"/>
        <v>3.0333333333333332</v>
      </c>
      <c r="L499" s="46">
        <f t="shared" ca="1" si="105"/>
        <v>-4.7613207270329562E-2</v>
      </c>
      <c r="M499" s="57" t="s">
        <v>68</v>
      </c>
      <c r="N499" s="47">
        <f t="shared" si="106"/>
        <v>-15000</v>
      </c>
      <c r="O499" s="51" t="s">
        <v>73</v>
      </c>
    </row>
    <row r="500" spans="1:15" s="75" customFormat="1" x14ac:dyDescent="0.3">
      <c r="A500" s="84" t="e" vm="44">
        <v>#VALUE!</v>
      </c>
      <c r="B500" s="50">
        <v>46164</v>
      </c>
      <c r="C500" s="47">
        <v>15000</v>
      </c>
      <c r="D500" s="47">
        <f t="shared" si="100"/>
        <v>90.397386912868967</v>
      </c>
      <c r="E500" s="48">
        <f>165.934</f>
        <v>165.934</v>
      </c>
      <c r="F500" s="37">
        <f>VLOOKUP("INF879O01027", [1]NAVAll!B$1:E$501244,4,FALSE)</f>
        <v>90.386300000000006</v>
      </c>
      <c r="G500" s="47">
        <f t="shared" si="101"/>
        <v>14998.160304200001</v>
      </c>
      <c r="H500" s="49">
        <f>0</f>
        <v>0</v>
      </c>
      <c r="I500" s="48">
        <f t="shared" si="102"/>
        <v>-1.8396957999993901</v>
      </c>
      <c r="J500" s="46">
        <f t="shared" si="103"/>
        <v>-1.2264638666662601E-4</v>
      </c>
      <c r="K500" s="47">
        <f t="shared" ca="1" si="104"/>
        <v>2.0333333333333332</v>
      </c>
      <c r="L500" s="46">
        <f t="shared" ca="1" si="105"/>
        <v>-7.238147409833666E-4</v>
      </c>
      <c r="M500" s="57" t="s">
        <v>68</v>
      </c>
      <c r="N500" s="47">
        <f t="shared" si="106"/>
        <v>-15000</v>
      </c>
      <c r="O500" s="51" t="s">
        <v>73</v>
      </c>
    </row>
    <row r="501" spans="1:15" s="75" customFormat="1" x14ac:dyDescent="0.3">
      <c r="A501" s="84" t="e" vm="44">
        <v>#VALUE!</v>
      </c>
      <c r="B501" s="50">
        <v>46195</v>
      </c>
      <c r="C501" s="47">
        <v>15000</v>
      </c>
      <c r="D501" s="47">
        <f t="shared" si="100"/>
        <v>90.096583537552263</v>
      </c>
      <c r="E501" s="48">
        <f>166.488</f>
        <v>166.488</v>
      </c>
      <c r="F501" s="37">
        <f>VLOOKUP("INF879O01027", [1]NAVAll!B$1:E$501244,4,FALSE)</f>
        <v>90.386300000000006</v>
      </c>
      <c r="G501" s="47">
        <f t="shared" si="101"/>
        <v>15048.234314400001</v>
      </c>
      <c r="H501" s="49">
        <f>0</f>
        <v>0</v>
      </c>
      <c r="I501" s="48">
        <f t="shared" si="102"/>
        <v>48.234314400000585</v>
      </c>
      <c r="J501" s="46">
        <f t="shared" si="103"/>
        <v>3.2156209600000389E-3</v>
      </c>
      <c r="K501" s="47">
        <f t="shared" ca="1" si="104"/>
        <v>1.0333333333333334</v>
      </c>
      <c r="L501" s="46">
        <f t="shared" ca="1" si="105"/>
        <v>3.734269501935529E-2</v>
      </c>
      <c r="M501" s="57" t="s">
        <v>68</v>
      </c>
      <c r="N501" s="47">
        <f t="shared" si="106"/>
        <v>-15000</v>
      </c>
      <c r="O501" s="51" t="s">
        <v>73</v>
      </c>
    </row>
    <row r="502" spans="1:15" s="75" customFormat="1" x14ac:dyDescent="0.3">
      <c r="A502" s="84" t="e" vm="44">
        <v>#VALUE!</v>
      </c>
      <c r="B502" s="50">
        <v>46225</v>
      </c>
      <c r="C502" s="47">
        <v>15000</v>
      </c>
      <c r="D502" s="47">
        <f t="shared" si="100"/>
        <v>90.39085003555374</v>
      </c>
      <c r="E502" s="48">
        <f>165.946</f>
        <v>165.946</v>
      </c>
      <c r="F502" s="37">
        <f>VLOOKUP("INF879O01027", [1]NAVAll!B$1:E$501244,4,FALSE)</f>
        <v>90.386300000000006</v>
      </c>
      <c r="G502" s="47">
        <f t="shared" si="101"/>
        <v>14999.244939800001</v>
      </c>
      <c r="H502" s="49">
        <f>0</f>
        <v>0</v>
      </c>
      <c r="I502" s="48">
        <f t="shared" si="102"/>
        <v>-0.75506019999920682</v>
      </c>
      <c r="J502" s="46">
        <f t="shared" si="103"/>
        <v>-5.0337346666613787E-5</v>
      </c>
      <c r="K502" s="47">
        <f t="shared" ca="1" si="104"/>
        <v>3.3333333333333333E-2</v>
      </c>
      <c r="L502" s="46">
        <f t="shared" ca="1" si="105"/>
        <v>-1.8121444799980964E-2</v>
      </c>
      <c r="M502" s="57" t="s">
        <v>68</v>
      </c>
      <c r="N502" s="47">
        <f t="shared" si="106"/>
        <v>-15000</v>
      </c>
      <c r="O502" s="51" t="s">
        <v>73</v>
      </c>
    </row>
    <row r="503" spans="1:15" s="75" customFormat="1" x14ac:dyDescent="0.3">
      <c r="A503" s="76" t="s">
        <v>127</v>
      </c>
      <c r="B503" s="77">
        <f ca="1">TODAY()</f>
        <v>46226</v>
      </c>
      <c r="C503" s="78"/>
      <c r="D503" s="78"/>
      <c r="E503" s="79"/>
      <c r="F503" s="80"/>
      <c r="G503" s="78"/>
      <c r="H503" s="80"/>
      <c r="I503" s="79"/>
      <c r="J503" s="81"/>
      <c r="K503" s="78"/>
      <c r="L503" s="81"/>
      <c r="M503" s="82"/>
      <c r="N503" s="78">
        <f>SUM(G466:G502)</f>
        <v>640201.28203979996</v>
      </c>
      <c r="O503" s="51"/>
    </row>
    <row r="504" spans="1:15" s="75" customFormat="1" x14ac:dyDescent="0.3">
      <c r="A504" s="76" t="s">
        <v>128</v>
      </c>
      <c r="B504" s="77"/>
      <c r="C504" s="78"/>
      <c r="D504" s="78"/>
      <c r="E504" s="79"/>
      <c r="F504" s="80"/>
      <c r="G504" s="78"/>
      <c r="H504" s="80"/>
      <c r="I504" s="79"/>
      <c r="J504" s="81">
        <f>SUM(N466:N503)/-SUM(N466:N502)</f>
        <v>8.508691871152535E-2</v>
      </c>
      <c r="K504" s="78"/>
      <c r="L504" s="81"/>
      <c r="M504" s="82"/>
      <c r="N504" s="78"/>
      <c r="O504" s="51"/>
    </row>
    <row r="505" spans="1:15" s="75" customFormat="1" x14ac:dyDescent="0.3">
      <c r="A505" s="76" t="s">
        <v>129</v>
      </c>
      <c r="B505" s="77"/>
      <c r="C505" s="78"/>
      <c r="D505" s="78"/>
      <c r="E505" s="79"/>
      <c r="F505" s="80"/>
      <c r="G505" s="78"/>
      <c r="H505" s="80"/>
      <c r="I505" s="79"/>
      <c r="J505" s="81">
        <f ca="1">XIRR(N466:N503,B466:B503)</f>
        <v>5.8682534098625186E-2</v>
      </c>
      <c r="K505" s="78"/>
      <c r="L505" s="81"/>
      <c r="M505" s="82"/>
      <c r="N505" s="78"/>
      <c r="O505" s="51"/>
    </row>
    <row r="506" spans="1:15" s="75" customFormat="1" x14ac:dyDescent="0.3">
      <c r="A506" s="84" t="e" vm="45">
        <v>#VALUE!</v>
      </c>
      <c r="B506" s="50">
        <v>45160</v>
      </c>
      <c r="C506" s="47">
        <v>10000</v>
      </c>
      <c r="D506" s="47">
        <f t="shared" ref="D506:D541" si="107">C506/E506</f>
        <v>16.842247092607096</v>
      </c>
      <c r="E506" s="49">
        <f>593.745</f>
        <v>593.745</v>
      </c>
      <c r="F506" s="37">
        <f>VLOOKUP("INF966L01AK9", [1]NAVAll!B$1:E$501244,4,FALSE)</f>
        <v>27.276800000000001</v>
      </c>
      <c r="G506" s="47">
        <f t="shared" ref="G506:G541" si="108">PRODUCT(E506:F506)</f>
        <v>16195.463616000001</v>
      </c>
      <c r="H506" s="49">
        <f>0</f>
        <v>0</v>
      </c>
      <c r="I506" s="48">
        <f t="shared" ref="I506:I541" si="109">SUM(-C506,G506)+H506</f>
        <v>6195.4636160000009</v>
      </c>
      <c r="J506" s="46">
        <f t="shared" ref="J506:J541" si="110">I506/C506</f>
        <v>0.6195463616000001</v>
      </c>
      <c r="K506" s="47">
        <f t="shared" ref="K506:K541" ca="1" si="111">(DAYS360(B506,NOW(),TRUE))/30</f>
        <v>35.033333333333331</v>
      </c>
      <c r="L506" s="46">
        <f t="shared" ref="L506:L541" ca="1" si="112">J506*12/K506</f>
        <v>0.21221378703710755</v>
      </c>
      <c r="M506" s="57" t="s">
        <v>68</v>
      </c>
      <c r="N506" s="47">
        <f t="shared" ref="N506:N541" si="113">-C506</f>
        <v>-10000</v>
      </c>
      <c r="O506" s="51" t="s">
        <v>83</v>
      </c>
    </row>
    <row r="507" spans="1:15" s="75" customFormat="1" x14ac:dyDescent="0.3">
      <c r="A507" s="84" t="e" vm="45">
        <v>#VALUE!</v>
      </c>
      <c r="B507" s="50">
        <v>45191</v>
      </c>
      <c r="C507" s="47">
        <v>10000</v>
      </c>
      <c r="D507" s="47">
        <f t="shared" si="107"/>
        <v>17.067642480679428</v>
      </c>
      <c r="E507" s="48">
        <f>585.904</f>
        <v>585.904</v>
      </c>
      <c r="F507" s="37">
        <f>VLOOKUP("INF966L01AK9", [1]NAVAll!B$1:E$501244,4,FALSE)</f>
        <v>27.276800000000001</v>
      </c>
      <c r="G507" s="47">
        <f t="shared" si="108"/>
        <v>15981.586227200001</v>
      </c>
      <c r="H507" s="49">
        <f>0</f>
        <v>0</v>
      </c>
      <c r="I507" s="48">
        <f t="shared" si="109"/>
        <v>5981.5862272000013</v>
      </c>
      <c r="J507" s="46">
        <f t="shared" si="110"/>
        <v>0.59815862272000009</v>
      </c>
      <c r="K507" s="47">
        <f t="shared" ca="1" si="111"/>
        <v>34.033333333333331</v>
      </c>
      <c r="L507" s="46">
        <f t="shared" ca="1" si="112"/>
        <v>0.2109080354350637</v>
      </c>
      <c r="M507" s="57" t="s">
        <v>68</v>
      </c>
      <c r="N507" s="47">
        <f t="shared" si="113"/>
        <v>-10000</v>
      </c>
      <c r="O507" s="51" t="s">
        <v>83</v>
      </c>
    </row>
    <row r="508" spans="1:15" s="75" customFormat="1" x14ac:dyDescent="0.3">
      <c r="A508" s="84" t="e" vm="45">
        <v>#VALUE!</v>
      </c>
      <c r="B508" s="50">
        <v>45222</v>
      </c>
      <c r="C508" s="47">
        <v>10000</v>
      </c>
      <c r="D508" s="47">
        <f t="shared" si="107"/>
        <v>16.60062385144434</v>
      </c>
      <c r="E508" s="48">
        <f>602.387</f>
        <v>602.38699999999994</v>
      </c>
      <c r="F508" s="37">
        <f>VLOOKUP("INF966L01AK9", [1]NAVAll!B$1:E$501244,4,FALSE)</f>
        <v>27.276800000000001</v>
      </c>
      <c r="G508" s="47">
        <f t="shared" si="108"/>
        <v>16431.1897216</v>
      </c>
      <c r="H508" s="49">
        <f>0</f>
        <v>0</v>
      </c>
      <c r="I508" s="48">
        <f t="shared" si="109"/>
        <v>6431.1897215999998</v>
      </c>
      <c r="J508" s="46">
        <f t="shared" si="110"/>
        <v>0.64311897216000002</v>
      </c>
      <c r="K508" s="47">
        <f t="shared" ca="1" si="111"/>
        <v>33</v>
      </c>
      <c r="L508" s="46">
        <f t="shared" ca="1" si="112"/>
        <v>0.23386144442181819</v>
      </c>
      <c r="M508" s="57" t="s">
        <v>68</v>
      </c>
      <c r="N508" s="47">
        <f t="shared" si="113"/>
        <v>-10000</v>
      </c>
      <c r="O508" s="51" t="s">
        <v>83</v>
      </c>
    </row>
    <row r="509" spans="1:15" s="75" customFormat="1" x14ac:dyDescent="0.3">
      <c r="A509" s="84" t="e" vm="45">
        <v>#VALUE!</v>
      </c>
      <c r="B509" s="50">
        <v>45252</v>
      </c>
      <c r="C509" s="47">
        <v>10000</v>
      </c>
      <c r="D509" s="47">
        <f t="shared" si="107"/>
        <v>18.071810144791343</v>
      </c>
      <c r="E509" s="48">
        <f>553.348</f>
        <v>553.34799999999996</v>
      </c>
      <c r="F509" s="37">
        <f>VLOOKUP("INF966L01AK9", [1]NAVAll!B$1:E$501244,4,FALSE)</f>
        <v>27.276800000000001</v>
      </c>
      <c r="G509" s="47">
        <f t="shared" si="108"/>
        <v>15093.5627264</v>
      </c>
      <c r="H509" s="49">
        <f>0</f>
        <v>0</v>
      </c>
      <c r="I509" s="48">
        <f t="shared" si="109"/>
        <v>5093.5627263999995</v>
      </c>
      <c r="J509" s="46">
        <f t="shared" si="110"/>
        <v>0.50935627263999994</v>
      </c>
      <c r="K509" s="47">
        <f t="shared" ca="1" si="111"/>
        <v>32.033333333333331</v>
      </c>
      <c r="L509" s="46">
        <f t="shared" ca="1" si="112"/>
        <v>0.19080984198792925</v>
      </c>
      <c r="M509" s="57" t="s">
        <v>68</v>
      </c>
      <c r="N509" s="47">
        <f t="shared" si="113"/>
        <v>-10000</v>
      </c>
      <c r="O509" s="51" t="s">
        <v>83</v>
      </c>
    </row>
    <row r="510" spans="1:15" s="75" customFormat="1" x14ac:dyDescent="0.3">
      <c r="A510" s="84" t="e" vm="45">
        <v>#VALUE!</v>
      </c>
      <c r="B510" s="50">
        <v>45282</v>
      </c>
      <c r="C510" s="47">
        <v>10000</v>
      </c>
      <c r="D510" s="47">
        <f t="shared" si="107"/>
        <v>19.703773469657175</v>
      </c>
      <c r="E510" s="48">
        <f>507.517</f>
        <v>507.517</v>
      </c>
      <c r="F510" s="37">
        <f>VLOOKUP("INF966L01AK9", [1]NAVAll!B$1:E$501244,4,FALSE)</f>
        <v>27.276800000000001</v>
      </c>
      <c r="G510" s="47">
        <f t="shared" si="108"/>
        <v>13843.4397056</v>
      </c>
      <c r="H510" s="49">
        <f>0</f>
        <v>0</v>
      </c>
      <c r="I510" s="48">
        <f t="shared" si="109"/>
        <v>3843.4397055999998</v>
      </c>
      <c r="J510" s="46">
        <f t="shared" si="110"/>
        <v>0.38434397055999997</v>
      </c>
      <c r="K510" s="47">
        <f t="shared" ca="1" si="111"/>
        <v>31.033333333333335</v>
      </c>
      <c r="L510" s="46">
        <f t="shared" ca="1" si="112"/>
        <v>0.14861850633899032</v>
      </c>
      <c r="M510" s="57" t="s">
        <v>68</v>
      </c>
      <c r="N510" s="47">
        <f t="shared" si="113"/>
        <v>-10000</v>
      </c>
      <c r="O510" s="51" t="s">
        <v>83</v>
      </c>
    </row>
    <row r="511" spans="1:15" s="75" customFormat="1" x14ac:dyDescent="0.3">
      <c r="A511" s="84" t="e" vm="45">
        <v>#VALUE!</v>
      </c>
      <c r="B511" s="50">
        <v>45314</v>
      </c>
      <c r="C511" s="47">
        <v>10000</v>
      </c>
      <c r="D511" s="47">
        <f t="shared" si="107"/>
        <v>20.698148550612149</v>
      </c>
      <c r="E511" s="48">
        <f>483.135</f>
        <v>483.13499999999999</v>
      </c>
      <c r="F511" s="37">
        <f>VLOOKUP("INF966L01AK9", [1]NAVAll!B$1:E$501244,4,FALSE)</f>
        <v>27.276800000000001</v>
      </c>
      <c r="G511" s="47">
        <f t="shared" si="108"/>
        <v>13178.376768</v>
      </c>
      <c r="H511" s="49">
        <f>0</f>
        <v>0</v>
      </c>
      <c r="I511" s="48">
        <f t="shared" si="109"/>
        <v>3178.3767680000001</v>
      </c>
      <c r="J511" s="46">
        <f t="shared" si="110"/>
        <v>0.31783767680000002</v>
      </c>
      <c r="K511" s="47">
        <f t="shared" ca="1" si="111"/>
        <v>30</v>
      </c>
      <c r="L511" s="46">
        <f t="shared" ca="1" si="112"/>
        <v>0.12713507072000002</v>
      </c>
      <c r="M511" s="57" t="s">
        <v>68</v>
      </c>
      <c r="N511" s="47">
        <f t="shared" si="113"/>
        <v>-10000</v>
      </c>
      <c r="O511" s="51" t="s">
        <v>83</v>
      </c>
    </row>
    <row r="512" spans="1:15" s="75" customFormat="1" x14ac:dyDescent="0.3">
      <c r="A512" s="84" t="e" vm="45">
        <v>#VALUE!</v>
      </c>
      <c r="B512" s="50">
        <v>45344</v>
      </c>
      <c r="C512" s="47">
        <v>10000</v>
      </c>
      <c r="D512" s="47">
        <f t="shared" si="107"/>
        <v>23.209179694752869</v>
      </c>
      <c r="E512" s="48">
        <f>430.864</f>
        <v>430.86399999999998</v>
      </c>
      <c r="F512" s="37">
        <f>VLOOKUP("INF966L01AK9", [1]NAVAll!B$1:E$501244,4,FALSE)</f>
        <v>27.276800000000001</v>
      </c>
      <c r="G512" s="47">
        <f t="shared" si="108"/>
        <v>11752.5911552</v>
      </c>
      <c r="H512" s="49">
        <f>0</f>
        <v>0</v>
      </c>
      <c r="I512" s="48">
        <f t="shared" si="109"/>
        <v>1752.5911551999998</v>
      </c>
      <c r="J512" s="46">
        <f t="shared" si="110"/>
        <v>0.17525911551999998</v>
      </c>
      <c r="K512" s="47">
        <f t="shared" ca="1" si="111"/>
        <v>29.033333333333335</v>
      </c>
      <c r="L512" s="46">
        <f t="shared" ca="1" si="112"/>
        <v>7.2437751535246828E-2</v>
      </c>
      <c r="M512" s="57" t="s">
        <v>68</v>
      </c>
      <c r="N512" s="47">
        <f t="shared" si="113"/>
        <v>-10000</v>
      </c>
      <c r="O512" s="51" t="s">
        <v>83</v>
      </c>
    </row>
    <row r="513" spans="1:15" s="75" customFormat="1" x14ac:dyDescent="0.3">
      <c r="A513" s="84" t="e" vm="45">
        <v>#VALUE!</v>
      </c>
      <c r="B513" s="50">
        <v>45373</v>
      </c>
      <c r="C513" s="47">
        <v>10000</v>
      </c>
      <c r="D513" s="47">
        <f t="shared" si="107"/>
        <v>22.710240047237299</v>
      </c>
      <c r="E513" s="48">
        <f>440.33</f>
        <v>440.33</v>
      </c>
      <c r="F513" s="37">
        <f>VLOOKUP("INF966L01AK9", [1]NAVAll!B$1:E$501244,4,FALSE)</f>
        <v>27.276800000000001</v>
      </c>
      <c r="G513" s="47">
        <f t="shared" si="108"/>
        <v>12010.793344</v>
      </c>
      <c r="H513" s="49">
        <f>0</f>
        <v>0</v>
      </c>
      <c r="I513" s="48">
        <f t="shared" si="109"/>
        <v>2010.7933439999997</v>
      </c>
      <c r="J513" s="46">
        <f t="shared" si="110"/>
        <v>0.20107933439999998</v>
      </c>
      <c r="K513" s="47">
        <f t="shared" ca="1" si="111"/>
        <v>28.033333333333335</v>
      </c>
      <c r="L513" s="46">
        <f t="shared" ca="1" si="112"/>
        <v>8.6074388090368603E-2</v>
      </c>
      <c r="M513" s="57" t="s">
        <v>68</v>
      </c>
      <c r="N513" s="47">
        <f t="shared" si="113"/>
        <v>-10000</v>
      </c>
      <c r="O513" s="51" t="s">
        <v>83</v>
      </c>
    </row>
    <row r="514" spans="1:15" s="75" customFormat="1" x14ac:dyDescent="0.3">
      <c r="A514" s="84" t="e" vm="45">
        <v>#VALUE!</v>
      </c>
      <c r="B514" s="50">
        <v>45404</v>
      </c>
      <c r="C514" s="47">
        <v>10000</v>
      </c>
      <c r="D514" s="47">
        <f t="shared" si="107"/>
        <v>24.125277742260007</v>
      </c>
      <c r="E514" s="48">
        <f>414.503</f>
        <v>414.50299999999999</v>
      </c>
      <c r="F514" s="37">
        <f>VLOOKUP("INF966L01AK9", [1]NAVAll!B$1:E$501244,4,FALSE)</f>
        <v>27.276800000000001</v>
      </c>
      <c r="G514" s="47">
        <f t="shared" si="108"/>
        <v>11306.3154304</v>
      </c>
      <c r="H514" s="49">
        <f>0</f>
        <v>0</v>
      </c>
      <c r="I514" s="48">
        <f t="shared" si="109"/>
        <v>1306.3154304</v>
      </c>
      <c r="J514" s="46">
        <f t="shared" si="110"/>
        <v>0.13063154303999999</v>
      </c>
      <c r="K514" s="47">
        <f t="shared" ca="1" si="111"/>
        <v>27.033333333333335</v>
      </c>
      <c r="L514" s="46">
        <f t="shared" ca="1" si="112"/>
        <v>5.7986874838964232E-2</v>
      </c>
      <c r="M514" s="57" t="s">
        <v>68</v>
      </c>
      <c r="N514" s="47">
        <f t="shared" si="113"/>
        <v>-10000</v>
      </c>
      <c r="O514" s="51" t="s">
        <v>83</v>
      </c>
    </row>
    <row r="515" spans="1:15" s="75" customFormat="1" x14ac:dyDescent="0.3">
      <c r="A515" s="84" t="e" vm="45">
        <v>#VALUE!</v>
      </c>
      <c r="B515" s="50">
        <v>45434</v>
      </c>
      <c r="C515" s="47">
        <v>10000</v>
      </c>
      <c r="D515" s="47">
        <f t="shared" si="107"/>
        <v>25.414898213332656</v>
      </c>
      <c r="E515" s="48">
        <f>393.47</f>
        <v>393.47</v>
      </c>
      <c r="F515" s="37">
        <f>VLOOKUP("INF966L01AK9", [1]NAVAll!B$1:E$501244,4,FALSE)</f>
        <v>27.276800000000001</v>
      </c>
      <c r="G515" s="47">
        <f t="shared" si="108"/>
        <v>10732.602496000001</v>
      </c>
      <c r="H515" s="49">
        <f>0</f>
        <v>0</v>
      </c>
      <c r="I515" s="48">
        <f t="shared" si="109"/>
        <v>732.60249600000134</v>
      </c>
      <c r="J515" s="46">
        <f t="shared" si="110"/>
        <v>7.3260249600000132E-2</v>
      </c>
      <c r="K515" s="47">
        <f t="shared" ca="1" si="111"/>
        <v>26.033333333333335</v>
      </c>
      <c r="L515" s="46">
        <f t="shared" ca="1" si="112"/>
        <v>3.3769129137003903E-2</v>
      </c>
      <c r="M515" s="57" t="s">
        <v>68</v>
      </c>
      <c r="N515" s="47">
        <f t="shared" si="113"/>
        <v>-10000</v>
      </c>
      <c r="O515" s="51" t="s">
        <v>83</v>
      </c>
    </row>
    <row r="516" spans="1:15" s="75" customFormat="1" x14ac:dyDescent="0.3">
      <c r="A516" s="84" t="e" vm="45">
        <v>#VALUE!</v>
      </c>
      <c r="B516" s="50">
        <v>45467</v>
      </c>
      <c r="C516" s="47">
        <v>10000</v>
      </c>
      <c r="D516" s="47">
        <f t="shared" si="107"/>
        <v>25.832517456323671</v>
      </c>
      <c r="E516" s="48">
        <f>387.109</f>
        <v>387.10899999999998</v>
      </c>
      <c r="F516" s="37">
        <f>VLOOKUP("INF966L01AK9", [1]NAVAll!B$1:E$501244,4,FALSE)</f>
        <v>27.276800000000001</v>
      </c>
      <c r="G516" s="47">
        <f t="shared" si="108"/>
        <v>10559.0947712</v>
      </c>
      <c r="H516" s="49">
        <f>0</f>
        <v>0</v>
      </c>
      <c r="I516" s="48">
        <f t="shared" si="109"/>
        <v>559.09477119999974</v>
      </c>
      <c r="J516" s="46">
        <f t="shared" si="110"/>
        <v>5.5909477119999974E-2</v>
      </c>
      <c r="K516" s="47">
        <f t="shared" ca="1" si="111"/>
        <v>24.966666666666665</v>
      </c>
      <c r="L516" s="46">
        <f t="shared" ca="1" si="112"/>
        <v>2.6872378856074759E-2</v>
      </c>
      <c r="M516" s="57" t="s">
        <v>68</v>
      </c>
      <c r="N516" s="47">
        <f t="shared" si="113"/>
        <v>-10000</v>
      </c>
      <c r="O516" s="51" t="s">
        <v>83</v>
      </c>
    </row>
    <row r="517" spans="1:15" s="75" customFormat="1" x14ac:dyDescent="0.3">
      <c r="A517" s="84" t="e" vm="45">
        <v>#VALUE!</v>
      </c>
      <c r="B517" s="50">
        <v>45495</v>
      </c>
      <c r="C517" s="47">
        <v>10000</v>
      </c>
      <c r="D517" s="47">
        <f t="shared" si="107"/>
        <v>26.450548055355707</v>
      </c>
      <c r="E517" s="48">
        <f>378.064</f>
        <v>378.06400000000002</v>
      </c>
      <c r="F517" s="37">
        <f>VLOOKUP("INF966L01AK9", [1]NAVAll!B$1:E$501244,4,FALSE)</f>
        <v>27.276800000000001</v>
      </c>
      <c r="G517" s="47">
        <f t="shared" si="108"/>
        <v>10312.376115200001</v>
      </c>
      <c r="H517" s="49">
        <f>0</f>
        <v>0</v>
      </c>
      <c r="I517" s="48">
        <f t="shared" si="109"/>
        <v>312.37611520000064</v>
      </c>
      <c r="J517" s="46">
        <f t="shared" si="110"/>
        <v>3.1237611520000066E-2</v>
      </c>
      <c r="K517" s="47">
        <f t="shared" ca="1" si="111"/>
        <v>24.033333333333335</v>
      </c>
      <c r="L517" s="46">
        <f t="shared" ca="1" si="112"/>
        <v>1.5597143061303775E-2</v>
      </c>
      <c r="M517" s="57" t="s">
        <v>68</v>
      </c>
      <c r="N517" s="47">
        <f t="shared" si="113"/>
        <v>-10000</v>
      </c>
      <c r="O517" s="51" t="s">
        <v>83</v>
      </c>
    </row>
    <row r="518" spans="1:15" s="75" customFormat="1" x14ac:dyDescent="0.3">
      <c r="A518" s="84" t="e" vm="45">
        <v>#VALUE!</v>
      </c>
      <c r="B518" s="50">
        <v>45526</v>
      </c>
      <c r="C518" s="47">
        <v>10000</v>
      </c>
      <c r="D518" s="47">
        <f t="shared" si="107"/>
        <v>26.67015156647135</v>
      </c>
      <c r="E518" s="48">
        <f>374.951</f>
        <v>374.95100000000002</v>
      </c>
      <c r="F518" s="37">
        <f>VLOOKUP("INF966L01AK9", [1]NAVAll!B$1:E$501244,4,FALSE)</f>
        <v>27.276800000000001</v>
      </c>
      <c r="G518" s="47">
        <f t="shared" si="108"/>
        <v>10227.463436800001</v>
      </c>
      <c r="H518" s="49">
        <f>0</f>
        <v>0</v>
      </c>
      <c r="I518" s="48">
        <f t="shared" si="109"/>
        <v>227.46343680000064</v>
      </c>
      <c r="J518" s="46">
        <f t="shared" si="110"/>
        <v>2.2746343680000062E-2</v>
      </c>
      <c r="K518" s="47">
        <f t="shared" ca="1" si="111"/>
        <v>23.033333333333335</v>
      </c>
      <c r="L518" s="46">
        <f t="shared" ca="1" si="112"/>
        <v>1.1850482959189612E-2</v>
      </c>
      <c r="M518" s="57" t="s">
        <v>68</v>
      </c>
      <c r="N518" s="47">
        <f t="shared" si="113"/>
        <v>-10000</v>
      </c>
      <c r="O518" s="51" t="s">
        <v>83</v>
      </c>
    </row>
    <row r="519" spans="1:15" s="75" customFormat="1" x14ac:dyDescent="0.3">
      <c r="A519" s="84" t="e" vm="45">
        <v>#VALUE!</v>
      </c>
      <c r="B519" s="50">
        <v>45558</v>
      </c>
      <c r="C519" s="47">
        <v>10000</v>
      </c>
      <c r="D519" s="47">
        <f t="shared" si="107"/>
        <v>27.054447074737912</v>
      </c>
      <c r="E519" s="48">
        <f>369.625</f>
        <v>369.625</v>
      </c>
      <c r="F519" s="37">
        <f>VLOOKUP("INF966L01AK9", [1]NAVAll!B$1:E$501244,4,FALSE)</f>
        <v>27.276800000000001</v>
      </c>
      <c r="G519" s="47">
        <f t="shared" si="108"/>
        <v>10082.1872</v>
      </c>
      <c r="H519" s="49">
        <f>0</f>
        <v>0</v>
      </c>
      <c r="I519" s="48">
        <f t="shared" si="109"/>
        <v>82.187200000000303</v>
      </c>
      <c r="J519" s="46">
        <f t="shared" si="110"/>
        <v>8.21872000000003E-3</v>
      </c>
      <c r="K519" s="47">
        <f t="shared" ca="1" si="111"/>
        <v>22</v>
      </c>
      <c r="L519" s="46">
        <f t="shared" ca="1" si="112"/>
        <v>4.4829381818181982E-3</v>
      </c>
      <c r="M519" s="57" t="s">
        <v>68</v>
      </c>
      <c r="N519" s="47">
        <f t="shared" si="113"/>
        <v>-10000</v>
      </c>
      <c r="O519" s="51" t="s">
        <v>83</v>
      </c>
    </row>
    <row r="520" spans="1:15" s="75" customFormat="1" x14ac:dyDescent="0.3">
      <c r="A520" s="84" t="e" vm="45">
        <v>#VALUE!</v>
      </c>
      <c r="B520" s="50">
        <v>45587</v>
      </c>
      <c r="C520" s="47">
        <v>10000</v>
      </c>
      <c r="D520" s="47">
        <f t="shared" si="107"/>
        <v>24.631755258879746</v>
      </c>
      <c r="E520" s="48">
        <f>405.98</f>
        <v>405.98</v>
      </c>
      <c r="F520" s="37">
        <f>VLOOKUP("INF966L01AK9", [1]NAVAll!B$1:E$501244,4,FALSE)</f>
        <v>27.276800000000001</v>
      </c>
      <c r="G520" s="47">
        <f t="shared" si="108"/>
        <v>11073.835264000001</v>
      </c>
      <c r="H520" s="49">
        <f>0</f>
        <v>0</v>
      </c>
      <c r="I520" s="48">
        <f t="shared" si="109"/>
        <v>1073.8352640000012</v>
      </c>
      <c r="J520" s="46">
        <f t="shared" si="110"/>
        <v>0.10738352640000012</v>
      </c>
      <c r="K520" s="47">
        <f t="shared" ca="1" si="111"/>
        <v>21.033333333333335</v>
      </c>
      <c r="L520" s="46">
        <f t="shared" ca="1" si="112"/>
        <v>6.1264769419968362E-2</v>
      </c>
      <c r="M520" s="57" t="s">
        <v>68</v>
      </c>
      <c r="N520" s="47">
        <f t="shared" si="113"/>
        <v>-10000</v>
      </c>
      <c r="O520" s="51" t="s">
        <v>83</v>
      </c>
    </row>
    <row r="521" spans="1:15" s="75" customFormat="1" x14ac:dyDescent="0.3">
      <c r="A521" s="84" t="e" vm="45">
        <v>#VALUE!</v>
      </c>
      <c r="B521" s="50">
        <v>45618</v>
      </c>
      <c r="C521" s="47">
        <v>10000</v>
      </c>
      <c r="D521" s="47">
        <f t="shared" si="107"/>
        <v>23.405171606718223</v>
      </c>
      <c r="E521" s="48">
        <f>427.256</f>
        <v>427.25599999999997</v>
      </c>
      <c r="F521" s="37">
        <f>VLOOKUP("INF966L01AK9", [1]NAVAll!B$1:E$501244,4,FALSE)</f>
        <v>27.276800000000001</v>
      </c>
      <c r="G521" s="47">
        <f t="shared" si="108"/>
        <v>11654.176460799999</v>
      </c>
      <c r="H521" s="49">
        <f>0</f>
        <v>0</v>
      </c>
      <c r="I521" s="48">
        <f t="shared" si="109"/>
        <v>1654.1764607999994</v>
      </c>
      <c r="J521" s="46">
        <f t="shared" si="110"/>
        <v>0.16541764607999995</v>
      </c>
      <c r="K521" s="47">
        <f t="shared" ca="1" si="111"/>
        <v>20.033333333333335</v>
      </c>
      <c r="L521" s="46">
        <f t="shared" ca="1" si="112"/>
        <v>9.908544523926785E-2</v>
      </c>
      <c r="M521" s="57" t="s">
        <v>68</v>
      </c>
      <c r="N521" s="47">
        <f t="shared" si="113"/>
        <v>-10000</v>
      </c>
      <c r="O521" s="51" t="s">
        <v>83</v>
      </c>
    </row>
    <row r="522" spans="1:15" s="75" customFormat="1" x14ac:dyDescent="0.3">
      <c r="A522" s="84" t="e" vm="45">
        <v>#VALUE!</v>
      </c>
      <c r="B522" s="50">
        <v>45649</v>
      </c>
      <c r="C522" s="47">
        <v>10000</v>
      </c>
      <c r="D522" s="47">
        <f t="shared" si="107"/>
        <v>23.433472371936073</v>
      </c>
      <c r="E522" s="48">
        <f>426.74</f>
        <v>426.74</v>
      </c>
      <c r="F522" s="37">
        <f>VLOOKUP("INF966L01AK9", [1]NAVAll!B$1:E$501244,4,FALSE)</f>
        <v>27.276800000000001</v>
      </c>
      <c r="G522" s="47">
        <f t="shared" si="108"/>
        <v>11640.101632000002</v>
      </c>
      <c r="H522" s="49">
        <f>0</f>
        <v>0</v>
      </c>
      <c r="I522" s="48">
        <f t="shared" si="109"/>
        <v>1640.1016320000017</v>
      </c>
      <c r="J522" s="46">
        <f t="shared" si="110"/>
        <v>0.16401016320000017</v>
      </c>
      <c r="K522" s="47">
        <f t="shared" ca="1" si="111"/>
        <v>19</v>
      </c>
      <c r="L522" s="46">
        <f t="shared" ca="1" si="112"/>
        <v>0.10358536623157906</v>
      </c>
      <c r="M522" s="57" t="s">
        <v>68</v>
      </c>
      <c r="N522" s="47">
        <f t="shared" si="113"/>
        <v>-10000</v>
      </c>
      <c r="O522" s="51" t="s">
        <v>83</v>
      </c>
    </row>
    <row r="523" spans="1:15" s="75" customFormat="1" x14ac:dyDescent="0.3">
      <c r="A523" s="84" t="e" vm="45">
        <v>#VALUE!</v>
      </c>
      <c r="B523" s="50">
        <v>45679</v>
      </c>
      <c r="C523" s="47">
        <v>10000</v>
      </c>
      <c r="D523" s="47">
        <f t="shared" si="107"/>
        <v>22.889737843832474</v>
      </c>
      <c r="E523" s="48">
        <f>436.877</f>
        <v>436.87700000000001</v>
      </c>
      <c r="F523" s="37">
        <f>VLOOKUP("INF966L01AK9", [1]NAVAll!B$1:E$501244,4,FALSE)</f>
        <v>27.276800000000001</v>
      </c>
      <c r="G523" s="47">
        <f t="shared" si="108"/>
        <v>11916.606553600001</v>
      </c>
      <c r="H523" s="49">
        <f>0</f>
        <v>0</v>
      </c>
      <c r="I523" s="48">
        <f t="shared" si="109"/>
        <v>1916.6065536000006</v>
      </c>
      <c r="J523" s="46">
        <f t="shared" si="110"/>
        <v>0.19166065536000004</v>
      </c>
      <c r="K523" s="47">
        <f t="shared" ca="1" si="111"/>
        <v>18.033333333333335</v>
      </c>
      <c r="L523" s="46">
        <f t="shared" ca="1" si="112"/>
        <v>0.12753758951866917</v>
      </c>
      <c r="M523" s="57" t="s">
        <v>68</v>
      </c>
      <c r="N523" s="47">
        <f t="shared" si="113"/>
        <v>-10000</v>
      </c>
      <c r="O523" s="51" t="s">
        <v>83</v>
      </c>
    </row>
    <row r="524" spans="1:15" s="75" customFormat="1" x14ac:dyDescent="0.3">
      <c r="A524" s="84" t="e" vm="45">
        <v>#VALUE!</v>
      </c>
      <c r="B524" s="50">
        <v>45712</v>
      </c>
      <c r="C524" s="47">
        <v>10000</v>
      </c>
      <c r="D524" s="47">
        <f t="shared" si="107"/>
        <v>21.417082693497989</v>
      </c>
      <c r="E524" s="48">
        <f>466.917</f>
        <v>466.91699999999997</v>
      </c>
      <c r="F524" s="37">
        <f>VLOOKUP("INF966L01AK9", [1]NAVAll!B$1:E$501244,4,FALSE)</f>
        <v>27.276800000000001</v>
      </c>
      <c r="G524" s="47">
        <f t="shared" si="108"/>
        <v>12736.0016256</v>
      </c>
      <c r="H524" s="49">
        <f>0</f>
        <v>0</v>
      </c>
      <c r="I524" s="48">
        <f t="shared" si="109"/>
        <v>2736.0016255999999</v>
      </c>
      <c r="J524" s="46">
        <f t="shared" si="110"/>
        <v>0.27360016255999997</v>
      </c>
      <c r="K524" s="47">
        <f t="shared" ca="1" si="111"/>
        <v>16.966666666666665</v>
      </c>
      <c r="L524" s="46">
        <f t="shared" ca="1" si="112"/>
        <v>0.19350895583811395</v>
      </c>
      <c r="M524" s="57" t="s">
        <v>68</v>
      </c>
      <c r="N524" s="47">
        <f t="shared" si="113"/>
        <v>-10000</v>
      </c>
      <c r="O524" s="51" t="s">
        <v>83</v>
      </c>
    </row>
    <row r="525" spans="1:15" s="75" customFormat="1" x14ac:dyDescent="0.3">
      <c r="A525" s="84" t="e" vm="45">
        <v>#VALUE!</v>
      </c>
      <c r="B525" s="50">
        <v>45740</v>
      </c>
      <c r="C525" s="47">
        <v>10000</v>
      </c>
      <c r="D525" s="47">
        <f t="shared" si="107"/>
        <v>22.432338459122668</v>
      </c>
      <c r="E525" s="48">
        <f>445.785</f>
        <v>445.78500000000003</v>
      </c>
      <c r="F525" s="37">
        <f>VLOOKUP("INF966L01AK9", [1]NAVAll!B$1:E$501244,4,FALSE)</f>
        <v>27.276800000000001</v>
      </c>
      <c r="G525" s="47">
        <f t="shared" si="108"/>
        <v>12159.588288000001</v>
      </c>
      <c r="H525" s="49">
        <f>0</f>
        <v>0</v>
      </c>
      <c r="I525" s="48">
        <f t="shared" si="109"/>
        <v>2159.5882880000008</v>
      </c>
      <c r="J525" s="46">
        <f t="shared" si="110"/>
        <v>0.21595882880000009</v>
      </c>
      <c r="K525" s="47">
        <f t="shared" ca="1" si="111"/>
        <v>15.966666666666667</v>
      </c>
      <c r="L525" s="46">
        <f t="shared" ca="1" si="112"/>
        <v>0.16230726172860133</v>
      </c>
      <c r="M525" s="57" t="s">
        <v>68</v>
      </c>
      <c r="N525" s="47">
        <f t="shared" si="113"/>
        <v>-10000</v>
      </c>
      <c r="O525" s="51" t="s">
        <v>83</v>
      </c>
    </row>
    <row r="526" spans="1:15" s="75" customFormat="1" x14ac:dyDescent="0.3">
      <c r="A526" s="84" t="e" vm="45">
        <v>#VALUE!</v>
      </c>
      <c r="B526" s="50">
        <v>45769</v>
      </c>
      <c r="C526" s="47">
        <v>10000</v>
      </c>
      <c r="D526" s="47">
        <f t="shared" si="107"/>
        <v>22.81792210874109</v>
      </c>
      <c r="E526" s="48">
        <f>438.252</f>
        <v>438.25200000000001</v>
      </c>
      <c r="F526" s="37">
        <f>VLOOKUP("INF966L01AK9", [1]NAVAll!B$1:E$501244,4,FALSE)</f>
        <v>27.276800000000001</v>
      </c>
      <c r="G526" s="47">
        <f t="shared" si="108"/>
        <v>11954.112153600001</v>
      </c>
      <c r="H526" s="49">
        <f>0</f>
        <v>0</v>
      </c>
      <c r="I526" s="48">
        <f t="shared" si="109"/>
        <v>1954.112153600001</v>
      </c>
      <c r="J526" s="46">
        <f t="shared" si="110"/>
        <v>0.19541121536000008</v>
      </c>
      <c r="K526" s="47">
        <f t="shared" ca="1" si="111"/>
        <v>15.033333333333333</v>
      </c>
      <c r="L526" s="46">
        <f t="shared" ca="1" si="112"/>
        <v>0.15598234485498899</v>
      </c>
      <c r="M526" s="57" t="s">
        <v>68</v>
      </c>
      <c r="N526" s="47">
        <f t="shared" si="113"/>
        <v>-10000</v>
      </c>
      <c r="O526" s="51" t="s">
        <v>83</v>
      </c>
    </row>
    <row r="527" spans="1:15" s="75" customFormat="1" x14ac:dyDescent="0.3">
      <c r="A527" s="84" t="e" vm="45">
        <v>#VALUE!</v>
      </c>
      <c r="B527" s="50">
        <v>45799</v>
      </c>
      <c r="C527" s="47">
        <v>10000</v>
      </c>
      <c r="D527" s="47">
        <f t="shared" si="107"/>
        <v>23.563787171874264</v>
      </c>
      <c r="E527" s="48">
        <f>424.38</f>
        <v>424.38</v>
      </c>
      <c r="F527" s="37">
        <f>VLOOKUP("INF966L01AK9", [1]NAVAll!B$1:E$501244,4,FALSE)</f>
        <v>27.276800000000001</v>
      </c>
      <c r="G527" s="47">
        <f t="shared" si="108"/>
        <v>11575.728384</v>
      </c>
      <c r="H527" s="49">
        <f>0</f>
        <v>0</v>
      </c>
      <c r="I527" s="48">
        <f t="shared" si="109"/>
        <v>1575.728384</v>
      </c>
      <c r="J527" s="46">
        <f t="shared" si="110"/>
        <v>0.1575728384</v>
      </c>
      <c r="K527" s="47">
        <f t="shared" ca="1" si="111"/>
        <v>14.033333333333333</v>
      </c>
      <c r="L527" s="46">
        <f t="shared" ca="1" si="112"/>
        <v>0.1347416195344418</v>
      </c>
      <c r="M527" s="57" t="s">
        <v>68</v>
      </c>
      <c r="N527" s="47">
        <f t="shared" si="113"/>
        <v>-10000</v>
      </c>
      <c r="O527" s="51" t="s">
        <v>83</v>
      </c>
    </row>
    <row r="528" spans="1:15" s="75" customFormat="1" x14ac:dyDescent="0.3">
      <c r="A528" s="84" t="e" vm="45">
        <v>#VALUE!</v>
      </c>
      <c r="B528" s="50">
        <v>45831</v>
      </c>
      <c r="C528" s="47">
        <v>10000</v>
      </c>
      <c r="D528" s="47">
        <f t="shared" si="107"/>
        <v>23.960589622189424</v>
      </c>
      <c r="E528" s="48">
        <f>417.352</f>
        <v>417.35199999999998</v>
      </c>
      <c r="F528" s="37">
        <f>VLOOKUP("INF966L01AK9", [1]NAVAll!B$1:E$501244,4,FALSE)</f>
        <v>27.276800000000001</v>
      </c>
      <c r="G528" s="47">
        <f t="shared" si="108"/>
        <v>11384.027033599999</v>
      </c>
      <c r="H528" s="49">
        <f>0</f>
        <v>0</v>
      </c>
      <c r="I528" s="48">
        <f t="shared" si="109"/>
        <v>1384.0270335999994</v>
      </c>
      <c r="J528" s="46">
        <f t="shared" si="110"/>
        <v>0.13840270335999993</v>
      </c>
      <c r="K528" s="47">
        <f t="shared" ca="1" si="111"/>
        <v>13</v>
      </c>
      <c r="L528" s="46">
        <f t="shared" ca="1" si="112"/>
        <v>0.12775634156307686</v>
      </c>
      <c r="M528" s="57" t="s">
        <v>68</v>
      </c>
      <c r="N528" s="47">
        <f t="shared" si="113"/>
        <v>-10000</v>
      </c>
      <c r="O528" s="51" t="s">
        <v>83</v>
      </c>
    </row>
    <row r="529" spans="1:15" s="75" customFormat="1" x14ac:dyDescent="0.3">
      <c r="A529" s="84" t="e" vm="45">
        <v>#VALUE!</v>
      </c>
      <c r="B529" s="50">
        <v>45860</v>
      </c>
      <c r="C529" s="47">
        <v>10000</v>
      </c>
      <c r="D529" s="47">
        <f t="shared" si="107"/>
        <v>24.154180967954648</v>
      </c>
      <c r="E529" s="48">
        <f>414.007</f>
        <v>414.00700000000001</v>
      </c>
      <c r="F529" s="37">
        <f>VLOOKUP("INF966L01AK9", [1]NAVAll!B$1:E$501244,4,FALSE)</f>
        <v>27.276800000000001</v>
      </c>
      <c r="G529" s="47">
        <f t="shared" si="108"/>
        <v>11292.7861376</v>
      </c>
      <c r="H529" s="49">
        <f>0</f>
        <v>0</v>
      </c>
      <c r="I529" s="48">
        <f t="shared" si="109"/>
        <v>1292.7861376000001</v>
      </c>
      <c r="J529" s="46">
        <f t="shared" si="110"/>
        <v>0.12927861375999999</v>
      </c>
      <c r="K529" s="47">
        <f t="shared" ca="1" si="111"/>
        <v>12.033333333333333</v>
      </c>
      <c r="L529" s="46">
        <f t="shared" ca="1" si="112"/>
        <v>0.1289205012565097</v>
      </c>
      <c r="M529" s="57" t="s">
        <v>68</v>
      </c>
      <c r="N529" s="47">
        <f t="shared" si="113"/>
        <v>-10000</v>
      </c>
      <c r="O529" s="51" t="s">
        <v>83</v>
      </c>
    </row>
    <row r="530" spans="1:15" s="75" customFormat="1" x14ac:dyDescent="0.3">
      <c r="A530" s="84" t="e" vm="45">
        <v>#VALUE!</v>
      </c>
      <c r="B530" s="50">
        <v>45891</v>
      </c>
      <c r="C530" s="47">
        <v>10000</v>
      </c>
      <c r="D530" s="47">
        <f t="shared" si="107"/>
        <v>23.823704586063133</v>
      </c>
      <c r="E530" s="48">
        <f>419.75</f>
        <v>419.75</v>
      </c>
      <c r="F530" s="37">
        <f>VLOOKUP("INF966L01AK9", [1]NAVAll!B$1:E$501244,4,FALSE)</f>
        <v>27.276800000000001</v>
      </c>
      <c r="G530" s="47">
        <f t="shared" si="108"/>
        <v>11449.436800000001</v>
      </c>
      <c r="H530" s="49">
        <f>0</f>
        <v>0</v>
      </c>
      <c r="I530" s="48">
        <f t="shared" si="109"/>
        <v>1449.4368000000013</v>
      </c>
      <c r="J530" s="46">
        <f t="shared" si="110"/>
        <v>0.14494368000000013</v>
      </c>
      <c r="K530" s="47">
        <f t="shared" ca="1" si="111"/>
        <v>11.033333333333333</v>
      </c>
      <c r="L530" s="46">
        <f t="shared" ca="1" si="112"/>
        <v>0.15764267311178262</v>
      </c>
      <c r="M530" s="57" t="s">
        <v>68</v>
      </c>
      <c r="N530" s="47">
        <f t="shared" si="113"/>
        <v>-10000</v>
      </c>
      <c r="O530" s="51" t="s">
        <v>83</v>
      </c>
    </row>
    <row r="531" spans="1:15" s="75" customFormat="1" x14ac:dyDescent="0.3">
      <c r="A531" s="84" t="e" vm="45">
        <v>#VALUE!</v>
      </c>
      <c r="B531" s="50">
        <v>45922</v>
      </c>
      <c r="C531" s="47">
        <v>10000</v>
      </c>
      <c r="D531" s="47">
        <f t="shared" si="107"/>
        <v>24.868816990375766</v>
      </c>
      <c r="E531" s="48">
        <f>402.11</f>
        <v>402.11</v>
      </c>
      <c r="F531" s="37">
        <f>VLOOKUP("INF966L01AK9", [1]NAVAll!B$1:E$501244,4,FALSE)</f>
        <v>27.276800000000001</v>
      </c>
      <c r="G531" s="47">
        <f t="shared" si="108"/>
        <v>10968.274048000001</v>
      </c>
      <c r="H531" s="49">
        <f>0</f>
        <v>0</v>
      </c>
      <c r="I531" s="48">
        <f t="shared" si="109"/>
        <v>968.27404800000113</v>
      </c>
      <c r="J531" s="46">
        <f t="shared" si="110"/>
        <v>9.6827404800000114E-2</v>
      </c>
      <c r="K531" s="47">
        <f t="shared" ca="1" si="111"/>
        <v>10.033333333333333</v>
      </c>
      <c r="L531" s="46">
        <f t="shared" ca="1" si="112"/>
        <v>0.11580686288372107</v>
      </c>
      <c r="M531" s="57" t="s">
        <v>68</v>
      </c>
      <c r="N531" s="47">
        <f t="shared" si="113"/>
        <v>-10000</v>
      </c>
      <c r="O531" s="51" t="s">
        <v>83</v>
      </c>
    </row>
    <row r="532" spans="1:15" s="75" customFormat="1" x14ac:dyDescent="0.3">
      <c r="A532" s="84" t="e" vm="45">
        <v>#VALUE!</v>
      </c>
      <c r="B532" s="50">
        <v>45953</v>
      </c>
      <c r="C532" s="47">
        <v>10000</v>
      </c>
      <c r="D532" s="47">
        <f t="shared" si="107"/>
        <v>24.886022019152282</v>
      </c>
      <c r="E532" s="48">
        <f>401.832</f>
        <v>401.83199999999999</v>
      </c>
      <c r="F532" s="37">
        <f>VLOOKUP("INF966L01AK9", [1]NAVAll!B$1:E$501244,4,FALSE)</f>
        <v>27.276800000000001</v>
      </c>
      <c r="G532" s="47">
        <f t="shared" si="108"/>
        <v>10960.6910976</v>
      </c>
      <c r="H532" s="49">
        <f>0</f>
        <v>0</v>
      </c>
      <c r="I532" s="48">
        <f t="shared" si="109"/>
        <v>960.69109759999992</v>
      </c>
      <c r="J532" s="46">
        <f t="shared" si="110"/>
        <v>9.6069109759999993E-2</v>
      </c>
      <c r="K532" s="47">
        <f t="shared" ca="1" si="111"/>
        <v>9</v>
      </c>
      <c r="L532" s="46">
        <f t="shared" ca="1" si="112"/>
        <v>0.12809214634666666</v>
      </c>
      <c r="M532" s="57" t="s">
        <v>68</v>
      </c>
      <c r="N532" s="47">
        <f t="shared" si="113"/>
        <v>-10000</v>
      </c>
      <c r="O532" s="51" t="s">
        <v>83</v>
      </c>
    </row>
    <row r="533" spans="1:15" s="75" customFormat="1" x14ac:dyDescent="0.3">
      <c r="A533" s="84" t="e" vm="45">
        <v>#VALUE!</v>
      </c>
      <c r="B533" s="50">
        <v>45985</v>
      </c>
      <c r="C533" s="47">
        <v>10000</v>
      </c>
      <c r="D533" s="47">
        <f t="shared" si="107"/>
        <v>25.244556642473967</v>
      </c>
      <c r="E533" s="48">
        <f>396.125</f>
        <v>396.125</v>
      </c>
      <c r="F533" s="37">
        <f>VLOOKUP("INF966L01AK9", [1]NAVAll!B$1:E$501244,4,FALSE)</f>
        <v>27.276800000000001</v>
      </c>
      <c r="G533" s="47">
        <f t="shared" si="108"/>
        <v>10805.0224</v>
      </c>
      <c r="H533" s="49">
        <f>0</f>
        <v>0</v>
      </c>
      <c r="I533" s="48">
        <f t="shared" si="109"/>
        <v>805.02239999999983</v>
      </c>
      <c r="J533" s="46">
        <f t="shared" si="110"/>
        <v>8.0502239999999989E-2</v>
      </c>
      <c r="K533" s="47">
        <f t="shared" ca="1" si="111"/>
        <v>7.9666666666666668</v>
      </c>
      <c r="L533" s="46">
        <f t="shared" ca="1" si="112"/>
        <v>0.12125860418410039</v>
      </c>
      <c r="M533" s="57" t="s">
        <v>68</v>
      </c>
      <c r="N533" s="47">
        <f t="shared" si="113"/>
        <v>-10000</v>
      </c>
      <c r="O533" s="51" t="s">
        <v>83</v>
      </c>
    </row>
    <row r="534" spans="1:15" s="75" customFormat="1" x14ac:dyDescent="0.3">
      <c r="A534" s="84" t="e" vm="45">
        <v>#VALUE!</v>
      </c>
      <c r="B534" s="50">
        <v>46013</v>
      </c>
      <c r="C534" s="47">
        <v>10000</v>
      </c>
      <c r="D534" s="47">
        <f t="shared" si="107"/>
        <v>25.420260455988632</v>
      </c>
      <c r="E534" s="48">
        <f>393.387</f>
        <v>393.387</v>
      </c>
      <c r="F534" s="37">
        <f>VLOOKUP("INF966L01AK9", [1]NAVAll!B$1:E$501244,4,FALSE)</f>
        <v>27.276800000000001</v>
      </c>
      <c r="G534" s="47">
        <f t="shared" si="108"/>
        <v>10730.338521600001</v>
      </c>
      <c r="H534" s="49">
        <f>0</f>
        <v>0</v>
      </c>
      <c r="I534" s="48">
        <f t="shared" si="109"/>
        <v>730.3385216000006</v>
      </c>
      <c r="J534" s="46">
        <f t="shared" si="110"/>
        <v>7.3033852160000065E-2</v>
      </c>
      <c r="K534" s="47">
        <f t="shared" ca="1" si="111"/>
        <v>7.0333333333333332</v>
      </c>
      <c r="L534" s="46">
        <f t="shared" ca="1" si="112"/>
        <v>0.12460752027298588</v>
      </c>
      <c r="M534" s="57" t="s">
        <v>68</v>
      </c>
      <c r="N534" s="47">
        <f t="shared" si="113"/>
        <v>-10000</v>
      </c>
      <c r="O534" s="51" t="s">
        <v>83</v>
      </c>
    </row>
    <row r="535" spans="1:15" s="75" customFormat="1" x14ac:dyDescent="0.3">
      <c r="A535" s="84" t="e" vm="45">
        <v>#VALUE!</v>
      </c>
      <c r="B535" s="50">
        <v>46044</v>
      </c>
      <c r="C535" s="47">
        <v>10000</v>
      </c>
      <c r="D535" s="47">
        <f t="shared" si="107"/>
        <v>24.380432265064059</v>
      </c>
      <c r="E535" s="48">
        <f>410.165</f>
        <v>410.16500000000002</v>
      </c>
      <c r="F535" s="37">
        <f>VLOOKUP("INF966L01AK9", [1]NAVAll!B$1:E$501244,4,FALSE)</f>
        <v>27.276800000000001</v>
      </c>
      <c r="G535" s="47">
        <f t="shared" si="108"/>
        <v>11187.988672000001</v>
      </c>
      <c r="H535" s="49">
        <f>0</f>
        <v>0</v>
      </c>
      <c r="I535" s="48">
        <f t="shared" si="109"/>
        <v>1187.9886720000013</v>
      </c>
      <c r="J535" s="46">
        <f t="shared" si="110"/>
        <v>0.11879886720000013</v>
      </c>
      <c r="K535" s="47">
        <f t="shared" ca="1" si="111"/>
        <v>6.0333333333333332</v>
      </c>
      <c r="L535" s="46">
        <f t="shared" ca="1" si="112"/>
        <v>0.23628503973480691</v>
      </c>
      <c r="M535" s="57" t="s">
        <v>68</v>
      </c>
      <c r="N535" s="47">
        <f t="shared" si="113"/>
        <v>-10000</v>
      </c>
      <c r="O535" s="51" t="s">
        <v>83</v>
      </c>
    </row>
    <row r="536" spans="1:15" s="75" customFormat="1" x14ac:dyDescent="0.3">
      <c r="A536" s="84" t="e" vm="45">
        <v>#VALUE!</v>
      </c>
      <c r="B536" s="50">
        <v>46076</v>
      </c>
      <c r="C536" s="47">
        <v>10000</v>
      </c>
      <c r="D536" s="47">
        <f t="shared" si="107"/>
        <v>25.113954568856183</v>
      </c>
      <c r="E536" s="48">
        <f>398.185</f>
        <v>398.185</v>
      </c>
      <c r="F536" s="37">
        <f>VLOOKUP("INF966L01AK9", [1]NAVAll!B$1:E$501244,4,FALSE)</f>
        <v>27.276800000000001</v>
      </c>
      <c r="G536" s="47">
        <f t="shared" si="108"/>
        <v>10861.212608</v>
      </c>
      <c r="H536" s="49">
        <f>0</f>
        <v>0</v>
      </c>
      <c r="I536" s="48">
        <f t="shared" si="109"/>
        <v>861.21260799999982</v>
      </c>
      <c r="J536" s="46">
        <f t="shared" si="110"/>
        <v>8.6121260799999988E-2</v>
      </c>
      <c r="K536" s="47">
        <f t="shared" ca="1" si="111"/>
        <v>5</v>
      </c>
      <c r="L536" s="46">
        <f t="shared" ca="1" si="112"/>
        <v>0.20669102591999997</v>
      </c>
      <c r="M536" s="57" t="s">
        <v>68</v>
      </c>
      <c r="N536" s="47">
        <f t="shared" si="113"/>
        <v>-10000</v>
      </c>
      <c r="O536" s="51" t="s">
        <v>83</v>
      </c>
    </row>
    <row r="537" spans="1:15" s="75" customFormat="1" x14ac:dyDescent="0.3">
      <c r="A537" s="84" t="e" vm="45">
        <v>#VALUE!</v>
      </c>
      <c r="B537" s="50">
        <v>46104</v>
      </c>
      <c r="C537" s="47">
        <v>10000</v>
      </c>
      <c r="D537" s="47">
        <f t="shared" si="107"/>
        <v>22.476809551744985</v>
      </c>
      <c r="E537" s="48">
        <f>444.903</f>
        <v>444.90300000000002</v>
      </c>
      <c r="F537" s="37">
        <f>VLOOKUP("INF966L01AK9", [1]NAVAll!B$1:E$501244,4,FALSE)</f>
        <v>27.276800000000001</v>
      </c>
      <c r="G537" s="47">
        <f t="shared" si="108"/>
        <v>12135.530150400002</v>
      </c>
      <c r="H537" s="49">
        <f>0</f>
        <v>0</v>
      </c>
      <c r="I537" s="48">
        <f t="shared" si="109"/>
        <v>2135.5301504000017</v>
      </c>
      <c r="J537" s="46">
        <f t="shared" si="110"/>
        <v>0.21355301504000018</v>
      </c>
      <c r="K537" s="47">
        <f t="shared" ca="1" si="111"/>
        <v>4</v>
      </c>
      <c r="L537" s="46">
        <f t="shared" ca="1" si="112"/>
        <v>0.64065904512000049</v>
      </c>
      <c r="M537" s="57" t="s">
        <v>68</v>
      </c>
      <c r="N537" s="47">
        <f t="shared" si="113"/>
        <v>-10000</v>
      </c>
      <c r="O537" s="51" t="s">
        <v>83</v>
      </c>
    </row>
    <row r="538" spans="1:15" s="75" customFormat="1" x14ac:dyDescent="0.3">
      <c r="A538" s="84" t="e" vm="45">
        <v>#VALUE!</v>
      </c>
      <c r="B538" s="50">
        <v>46134</v>
      </c>
      <c r="C538" s="47">
        <v>10000</v>
      </c>
      <c r="D538" s="47">
        <f t="shared" si="107"/>
        <v>25.550354638922386</v>
      </c>
      <c r="E538" s="48">
        <f>391.384</f>
        <v>391.38400000000001</v>
      </c>
      <c r="F538" s="37">
        <f>VLOOKUP("INF966L01AK9", [1]NAVAll!B$1:E$501244,4,FALSE)</f>
        <v>27.276800000000001</v>
      </c>
      <c r="G538" s="47">
        <f t="shared" si="108"/>
        <v>10675.703091200001</v>
      </c>
      <c r="H538" s="49">
        <f>0</f>
        <v>0</v>
      </c>
      <c r="I538" s="48">
        <f t="shared" si="109"/>
        <v>675.70309120000093</v>
      </c>
      <c r="J538" s="46">
        <f t="shared" si="110"/>
        <v>6.7570309120000088E-2</v>
      </c>
      <c r="K538" s="47">
        <f t="shared" ca="1" si="111"/>
        <v>3.0333333333333332</v>
      </c>
      <c r="L538" s="46">
        <f t="shared" ca="1" si="112"/>
        <v>0.26731111300219818</v>
      </c>
      <c r="M538" s="57" t="s">
        <v>68</v>
      </c>
      <c r="N538" s="47">
        <f t="shared" si="113"/>
        <v>-10000</v>
      </c>
      <c r="O538" s="51" t="s">
        <v>83</v>
      </c>
    </row>
    <row r="539" spans="1:15" s="75" customFormat="1" x14ac:dyDescent="0.3">
      <c r="A539" s="84" t="e" vm="45">
        <v>#VALUE!</v>
      </c>
      <c r="B539" s="50">
        <v>46164</v>
      </c>
      <c r="C539" s="47">
        <v>10000</v>
      </c>
      <c r="D539" s="47">
        <f t="shared" si="107"/>
        <v>26.521048430086537</v>
      </c>
      <c r="E539" s="48">
        <f>377.059</f>
        <v>377.05900000000003</v>
      </c>
      <c r="F539" s="37">
        <f>VLOOKUP("INF966L01AK9", [1]NAVAll!B$1:E$501244,4,FALSE)</f>
        <v>27.276800000000001</v>
      </c>
      <c r="G539" s="47">
        <f t="shared" si="108"/>
        <v>10284.962931200002</v>
      </c>
      <c r="H539" s="49">
        <f>0</f>
        <v>0</v>
      </c>
      <c r="I539" s="48">
        <f t="shared" si="109"/>
        <v>284.96293120000155</v>
      </c>
      <c r="J539" s="46">
        <f t="shared" si="110"/>
        <v>2.8496293120000155E-2</v>
      </c>
      <c r="K539" s="47">
        <f t="shared" ca="1" si="111"/>
        <v>2.0333333333333332</v>
      </c>
      <c r="L539" s="46">
        <f t="shared" ca="1" si="112"/>
        <v>0.16817484464262386</v>
      </c>
      <c r="M539" s="57" t="s">
        <v>68</v>
      </c>
      <c r="N539" s="47">
        <f t="shared" si="113"/>
        <v>-10000</v>
      </c>
      <c r="O539" s="51" t="s">
        <v>83</v>
      </c>
    </row>
    <row r="540" spans="1:15" s="75" customFormat="1" x14ac:dyDescent="0.3">
      <c r="A540" s="84" t="e" vm="45">
        <v>#VALUE!</v>
      </c>
      <c r="B540" s="50">
        <v>46195</v>
      </c>
      <c r="C540" s="47">
        <v>10000</v>
      </c>
      <c r="D540" s="47">
        <f t="shared" si="107"/>
        <v>27.678902586870237</v>
      </c>
      <c r="E540" s="48">
        <f>361.286</f>
        <v>361.286</v>
      </c>
      <c r="F540" s="37">
        <f>VLOOKUP("INF966L01AK9", [1]NAVAll!B$1:E$501244,4,FALSE)</f>
        <v>27.276800000000001</v>
      </c>
      <c r="G540" s="47">
        <f t="shared" si="108"/>
        <v>9854.7259647999999</v>
      </c>
      <c r="H540" s="49">
        <f>0</f>
        <v>0</v>
      </c>
      <c r="I540" s="48">
        <f t="shared" si="109"/>
        <v>-145.27403520000007</v>
      </c>
      <c r="J540" s="46">
        <f t="shared" si="110"/>
        <v>-1.4527403520000008E-2</v>
      </c>
      <c r="K540" s="47">
        <f t="shared" ca="1" si="111"/>
        <v>1.0333333333333334</v>
      </c>
      <c r="L540" s="46">
        <f t="shared" ca="1" si="112"/>
        <v>-0.16870533120000006</v>
      </c>
      <c r="M540" s="57" t="s">
        <v>68</v>
      </c>
      <c r="N540" s="47">
        <f t="shared" si="113"/>
        <v>-10000</v>
      </c>
      <c r="O540" s="51" t="s">
        <v>83</v>
      </c>
    </row>
    <row r="541" spans="1:15" s="75" customFormat="1" x14ac:dyDescent="0.3">
      <c r="A541" s="84" t="e" vm="45">
        <v>#VALUE!</v>
      </c>
      <c r="B541" s="50">
        <v>46225</v>
      </c>
      <c r="C541" s="47">
        <v>10000</v>
      </c>
      <c r="D541" s="47">
        <f t="shared" si="107"/>
        <v>27.278133302781825</v>
      </c>
      <c r="E541" s="48">
        <f>366.594</f>
        <v>366.59399999999999</v>
      </c>
      <c r="F541" s="37">
        <f>VLOOKUP("INF966L01AK9", [1]NAVAll!B$1:E$501244,4,FALSE)</f>
        <v>27.276800000000001</v>
      </c>
      <c r="G541" s="47">
        <f t="shared" si="108"/>
        <v>9999.5112191999997</v>
      </c>
      <c r="H541" s="49">
        <f>0</f>
        <v>0</v>
      </c>
      <c r="I541" s="48">
        <f t="shared" si="109"/>
        <v>-0.48878080000031332</v>
      </c>
      <c r="J541" s="46">
        <f t="shared" si="110"/>
        <v>-4.8878080000031334E-5</v>
      </c>
      <c r="K541" s="47">
        <f t="shared" ca="1" si="111"/>
        <v>3.3333333333333333E-2</v>
      </c>
      <c r="L541" s="46">
        <f t="shared" ca="1" si="112"/>
        <v>-1.7596108800011279E-2</v>
      </c>
      <c r="M541" s="57" t="s">
        <v>68</v>
      </c>
      <c r="N541" s="47">
        <f t="shared" si="113"/>
        <v>-10000</v>
      </c>
      <c r="O541" s="51" t="s">
        <v>83</v>
      </c>
    </row>
    <row r="542" spans="1:15" s="75" customFormat="1" x14ac:dyDescent="0.3">
      <c r="A542" s="76" t="s">
        <v>130</v>
      </c>
      <c r="B542" s="77">
        <f ca="1">TODAY()</f>
        <v>46226</v>
      </c>
      <c r="C542" s="78"/>
      <c r="D542" s="78"/>
      <c r="E542" s="79"/>
      <c r="F542" s="80"/>
      <c r="G542" s="78"/>
      <c r="H542" s="80"/>
      <c r="I542" s="79"/>
      <c r="J542" s="81"/>
      <c r="K542" s="78"/>
      <c r="L542" s="81"/>
      <c r="M542" s="82"/>
      <c r="N542" s="78">
        <f>SUM(G506:G541)</f>
        <v>425007.4037504</v>
      </c>
      <c r="O542" s="51"/>
    </row>
    <row r="543" spans="1:15" s="75" customFormat="1" x14ac:dyDescent="0.3">
      <c r="A543" s="76" t="s">
        <v>131</v>
      </c>
      <c r="B543" s="77"/>
      <c r="C543" s="78"/>
      <c r="D543" s="78"/>
      <c r="E543" s="79"/>
      <c r="F543" s="80"/>
      <c r="G543" s="78"/>
      <c r="H543" s="80"/>
      <c r="I543" s="79"/>
      <c r="J543" s="81">
        <f>SUM(N506:N542)/-SUM(N506:N541)</f>
        <v>0.18057612152888888</v>
      </c>
      <c r="K543" s="78"/>
      <c r="L543" s="81"/>
      <c r="M543" s="82"/>
      <c r="N543" s="78"/>
      <c r="O543" s="51"/>
    </row>
    <row r="544" spans="1:15" s="75" customFormat="1" x14ac:dyDescent="0.3">
      <c r="A544" s="76" t="s">
        <v>132</v>
      </c>
      <c r="B544" s="77"/>
      <c r="C544" s="78"/>
      <c r="D544" s="78"/>
      <c r="E544" s="79"/>
      <c r="F544" s="80"/>
      <c r="G544" s="78"/>
      <c r="H544" s="80"/>
      <c r="I544" s="79"/>
      <c r="J544" s="81">
        <f ca="1">XIRR(N506:N542,B506:B542)</f>
        <v>0.117029732465744</v>
      </c>
      <c r="K544" s="78"/>
      <c r="L544" s="81"/>
      <c r="M544" s="82"/>
      <c r="N544" s="78"/>
      <c r="O544" s="51"/>
    </row>
    <row r="545" spans="1:15" s="75" customFormat="1" x14ac:dyDescent="0.3">
      <c r="A545" s="84" t="e" vm="46">
        <v>#VALUE!</v>
      </c>
      <c r="B545" s="50">
        <v>45160</v>
      </c>
      <c r="C545" s="47">
        <v>10000</v>
      </c>
      <c r="D545" s="47">
        <f t="shared" ref="D545:D580" si="114">C545/E545</f>
        <v>289.92230082337937</v>
      </c>
      <c r="E545" s="49">
        <f>34.492</f>
        <v>34.491999999999997</v>
      </c>
      <c r="F545" s="37">
        <f>VLOOKUP("INF200K01RA0", [1]NAVAll!B$1:E$501244,4,FALSE)</f>
        <v>413.17529999999999</v>
      </c>
      <c r="G545" s="47">
        <f t="shared" ref="G545:G580" si="115">PRODUCT(E545:F545)</f>
        <v>14251.242447599998</v>
      </c>
      <c r="H545" s="49">
        <f>0</f>
        <v>0</v>
      </c>
      <c r="I545" s="48">
        <f t="shared" ref="I545:I580" si="116">SUM(-C545,G545)+H545</f>
        <v>4251.2424475999978</v>
      </c>
      <c r="J545" s="46">
        <f t="shared" ref="J545:J580" si="117">I545/C545</f>
        <v>0.42512424475999977</v>
      </c>
      <c r="K545" s="47">
        <f t="shared" ref="K545:K580" ca="1" si="118">(DAYS360(B545,NOW(),TRUE))/30</f>
        <v>35.033333333333331</v>
      </c>
      <c r="L545" s="46">
        <f t="shared" ref="L545:L580" ca="1" si="119">J545*12/K545</f>
        <v>0.14561819991779251</v>
      </c>
      <c r="M545" s="57" t="s">
        <v>68</v>
      </c>
      <c r="N545" s="47">
        <f t="shared" ref="N545:N580" si="120">-C545</f>
        <v>-10000</v>
      </c>
      <c r="O545" s="51" t="s">
        <v>83</v>
      </c>
    </row>
    <row r="546" spans="1:15" s="75" customFormat="1" x14ac:dyDescent="0.3">
      <c r="A546" s="84" t="e" vm="46">
        <v>#VALUE!</v>
      </c>
      <c r="B546" s="50">
        <v>45191</v>
      </c>
      <c r="C546" s="47">
        <v>10000</v>
      </c>
      <c r="D546" s="47">
        <f t="shared" si="114"/>
        <v>298.86431560071725</v>
      </c>
      <c r="E546" s="48">
        <f>33.46</f>
        <v>33.46</v>
      </c>
      <c r="F546" s="37">
        <f>VLOOKUP("INF200K01RA0", [1]NAVAll!B$1:E$501244,4,FALSE)</f>
        <v>413.17529999999999</v>
      </c>
      <c r="G546" s="47">
        <f t="shared" si="115"/>
        <v>13824.845538</v>
      </c>
      <c r="H546" s="49">
        <f>0</f>
        <v>0</v>
      </c>
      <c r="I546" s="48">
        <f t="shared" si="116"/>
        <v>3824.8455379999996</v>
      </c>
      <c r="J546" s="46">
        <f t="shared" si="117"/>
        <v>0.38248455379999996</v>
      </c>
      <c r="K546" s="47">
        <f t="shared" ca="1" si="118"/>
        <v>34.033333333333331</v>
      </c>
      <c r="L546" s="46">
        <f t="shared" ca="1" si="119"/>
        <v>0.13486233042899118</v>
      </c>
      <c r="M546" s="57" t="s">
        <v>68</v>
      </c>
      <c r="N546" s="47">
        <f t="shared" si="120"/>
        <v>-10000</v>
      </c>
      <c r="O546" s="51" t="s">
        <v>83</v>
      </c>
    </row>
    <row r="547" spans="1:15" s="75" customFormat="1" x14ac:dyDescent="0.3">
      <c r="A547" s="84" t="e" vm="46">
        <v>#VALUE!</v>
      </c>
      <c r="B547" s="50">
        <v>45222</v>
      </c>
      <c r="C547" s="47">
        <v>10000</v>
      </c>
      <c r="D547" s="47">
        <f t="shared" si="114"/>
        <v>291.52819077604806</v>
      </c>
      <c r="E547" s="48">
        <f>34.302</f>
        <v>34.302</v>
      </c>
      <c r="F547" s="37">
        <f>VLOOKUP("INF200K01RA0", [1]NAVAll!B$1:E$501244,4,FALSE)</f>
        <v>413.17529999999999</v>
      </c>
      <c r="G547" s="47">
        <f t="shared" si="115"/>
        <v>14172.739140599999</v>
      </c>
      <c r="H547" s="49">
        <f>0</f>
        <v>0</v>
      </c>
      <c r="I547" s="48">
        <f t="shared" si="116"/>
        <v>4172.7391405999988</v>
      </c>
      <c r="J547" s="46">
        <f t="shared" si="117"/>
        <v>0.41727391405999986</v>
      </c>
      <c r="K547" s="47">
        <f t="shared" ca="1" si="118"/>
        <v>33</v>
      </c>
      <c r="L547" s="46">
        <f t="shared" ca="1" si="119"/>
        <v>0.15173596874909084</v>
      </c>
      <c r="M547" s="57" t="s">
        <v>68</v>
      </c>
      <c r="N547" s="47">
        <f t="shared" si="120"/>
        <v>-10000</v>
      </c>
      <c r="O547" s="51" t="s">
        <v>83</v>
      </c>
    </row>
    <row r="548" spans="1:15" s="75" customFormat="1" x14ac:dyDescent="0.3">
      <c r="A548" s="84" t="e" vm="46">
        <v>#VALUE!</v>
      </c>
      <c r="B548" s="50">
        <v>45252</v>
      </c>
      <c r="C548" s="47">
        <v>10000</v>
      </c>
      <c r="D548" s="47">
        <f t="shared" si="114"/>
        <v>309.14767984666275</v>
      </c>
      <c r="E548" s="48">
        <f>32.347</f>
        <v>32.347000000000001</v>
      </c>
      <c r="F548" s="37">
        <f>VLOOKUP("INF200K01RA0", [1]NAVAll!B$1:E$501244,4,FALSE)</f>
        <v>413.17529999999999</v>
      </c>
      <c r="G548" s="47">
        <f t="shared" si="115"/>
        <v>13364.9814291</v>
      </c>
      <c r="H548" s="49">
        <f>0</f>
        <v>0</v>
      </c>
      <c r="I548" s="48">
        <f t="shared" si="116"/>
        <v>3364.9814291000002</v>
      </c>
      <c r="J548" s="46">
        <f t="shared" si="117"/>
        <v>0.33649814291000002</v>
      </c>
      <c r="K548" s="47">
        <f t="shared" ca="1" si="118"/>
        <v>32.033333333333331</v>
      </c>
      <c r="L548" s="46">
        <f t="shared" ca="1" si="119"/>
        <v>0.12605549578314257</v>
      </c>
      <c r="M548" s="57" t="s">
        <v>68</v>
      </c>
      <c r="N548" s="47">
        <f t="shared" si="120"/>
        <v>-10000</v>
      </c>
      <c r="O548" s="51" t="s">
        <v>83</v>
      </c>
    </row>
    <row r="549" spans="1:15" s="75" customFormat="1" x14ac:dyDescent="0.3">
      <c r="A549" s="84" t="e" vm="46">
        <v>#VALUE!</v>
      </c>
      <c r="B549" s="50">
        <v>45282</v>
      </c>
      <c r="C549" s="47">
        <v>10000</v>
      </c>
      <c r="D549" s="47">
        <f t="shared" si="114"/>
        <v>334.90739810442409</v>
      </c>
      <c r="E549" s="48">
        <f>29.859</f>
        <v>29.859000000000002</v>
      </c>
      <c r="F549" s="37">
        <f>VLOOKUP("INF200K01RA0", [1]NAVAll!B$1:E$501244,4,FALSE)</f>
        <v>413.17529999999999</v>
      </c>
      <c r="G549" s="47">
        <f t="shared" si="115"/>
        <v>12337.001282700001</v>
      </c>
      <c r="H549" s="49">
        <f>0</f>
        <v>0</v>
      </c>
      <c r="I549" s="48">
        <f t="shared" si="116"/>
        <v>2337.001282700001</v>
      </c>
      <c r="J549" s="46">
        <f t="shared" si="117"/>
        <v>0.23370012827000008</v>
      </c>
      <c r="K549" s="47">
        <f t="shared" ca="1" si="118"/>
        <v>31.033333333333335</v>
      </c>
      <c r="L549" s="46">
        <f t="shared" ca="1" si="119"/>
        <v>9.0367396538345898E-2</v>
      </c>
      <c r="M549" s="57" t="s">
        <v>68</v>
      </c>
      <c r="N549" s="47">
        <f t="shared" si="120"/>
        <v>-10000</v>
      </c>
      <c r="O549" s="51" t="s">
        <v>83</v>
      </c>
    </row>
    <row r="550" spans="1:15" s="75" customFormat="1" x14ac:dyDescent="0.3">
      <c r="A550" s="84" t="e" vm="46">
        <v>#VALUE!</v>
      </c>
      <c r="B550" s="50">
        <v>45314</v>
      </c>
      <c r="C550" s="47">
        <v>10000</v>
      </c>
      <c r="D550" s="47">
        <f t="shared" si="114"/>
        <v>339.06350659478522</v>
      </c>
      <c r="E550" s="48">
        <f>29.493</f>
        <v>29.492999999999999</v>
      </c>
      <c r="F550" s="37">
        <f>VLOOKUP("INF200K01RA0", [1]NAVAll!B$1:E$501244,4,FALSE)</f>
        <v>413.17529999999999</v>
      </c>
      <c r="G550" s="47">
        <f t="shared" si="115"/>
        <v>12185.779122899999</v>
      </c>
      <c r="H550" s="49">
        <f>0</f>
        <v>0</v>
      </c>
      <c r="I550" s="48">
        <f t="shared" si="116"/>
        <v>2185.7791228999995</v>
      </c>
      <c r="J550" s="46">
        <f t="shared" si="117"/>
        <v>0.21857791228999995</v>
      </c>
      <c r="K550" s="47">
        <f t="shared" ca="1" si="118"/>
        <v>30</v>
      </c>
      <c r="L550" s="46">
        <f t="shared" ca="1" si="119"/>
        <v>8.7431164915999976E-2</v>
      </c>
      <c r="M550" s="57" t="s">
        <v>68</v>
      </c>
      <c r="N550" s="47">
        <f t="shared" si="120"/>
        <v>-10000</v>
      </c>
      <c r="O550" s="51" t="s">
        <v>83</v>
      </c>
    </row>
    <row r="551" spans="1:15" s="75" customFormat="1" x14ac:dyDescent="0.3">
      <c r="A551" s="84" t="e" vm="46">
        <v>#VALUE!</v>
      </c>
      <c r="B551" s="50">
        <v>45344</v>
      </c>
      <c r="C551" s="47">
        <v>10000</v>
      </c>
      <c r="D551" s="47">
        <f t="shared" si="114"/>
        <v>363.72894918706584</v>
      </c>
      <c r="E551" s="48">
        <f>27.493</f>
        <v>27.492999999999999</v>
      </c>
      <c r="F551" s="37">
        <f>VLOOKUP("INF200K01RA0", [1]NAVAll!B$1:E$501244,4,FALSE)</f>
        <v>413.17529999999999</v>
      </c>
      <c r="G551" s="47">
        <f t="shared" si="115"/>
        <v>11359.4285229</v>
      </c>
      <c r="H551" s="49">
        <f>0</f>
        <v>0</v>
      </c>
      <c r="I551" s="48">
        <f t="shared" si="116"/>
        <v>1359.4285228999997</v>
      </c>
      <c r="J551" s="46">
        <f t="shared" si="117"/>
        <v>0.13594285228999997</v>
      </c>
      <c r="K551" s="47">
        <f t="shared" ca="1" si="118"/>
        <v>29.033333333333335</v>
      </c>
      <c r="L551" s="46">
        <f t="shared" ca="1" si="119"/>
        <v>5.6187631256486785E-2</v>
      </c>
      <c r="M551" s="57" t="s">
        <v>68</v>
      </c>
      <c r="N551" s="47">
        <f t="shared" si="120"/>
        <v>-10000</v>
      </c>
      <c r="O551" s="51" t="s">
        <v>83</v>
      </c>
    </row>
    <row r="552" spans="1:15" s="75" customFormat="1" x14ac:dyDescent="0.3">
      <c r="A552" s="84" t="e" vm="46">
        <v>#VALUE!</v>
      </c>
      <c r="B552" s="50">
        <v>45373</v>
      </c>
      <c r="C552" s="47">
        <v>10000</v>
      </c>
      <c r="D552" s="47">
        <f t="shared" si="114"/>
        <v>357.07909301910377</v>
      </c>
      <c r="E552" s="48">
        <f>28.005</f>
        <v>28.004999999999999</v>
      </c>
      <c r="F552" s="37">
        <f>VLOOKUP("INF200K01RA0", [1]NAVAll!B$1:E$501244,4,FALSE)</f>
        <v>413.17529999999999</v>
      </c>
      <c r="G552" s="47">
        <f t="shared" si="115"/>
        <v>11570.974276499999</v>
      </c>
      <c r="H552" s="49">
        <f>0</f>
        <v>0</v>
      </c>
      <c r="I552" s="48">
        <f t="shared" si="116"/>
        <v>1570.9742764999992</v>
      </c>
      <c r="J552" s="46">
        <f t="shared" si="117"/>
        <v>0.15709742764999993</v>
      </c>
      <c r="K552" s="47">
        <f t="shared" ca="1" si="118"/>
        <v>28.033333333333335</v>
      </c>
      <c r="L552" s="46">
        <f t="shared" ca="1" si="119"/>
        <v>6.7247412549345992E-2</v>
      </c>
      <c r="M552" s="57" t="s">
        <v>68</v>
      </c>
      <c r="N552" s="47">
        <f t="shared" si="120"/>
        <v>-10000</v>
      </c>
      <c r="O552" s="51" t="s">
        <v>83</v>
      </c>
    </row>
    <row r="553" spans="1:15" s="75" customFormat="1" x14ac:dyDescent="0.3">
      <c r="A553" s="84" t="e" vm="46">
        <v>#VALUE!</v>
      </c>
      <c r="B553" s="50">
        <v>45404</v>
      </c>
      <c r="C553" s="47">
        <v>10000</v>
      </c>
      <c r="D553" s="47">
        <f t="shared" si="114"/>
        <v>373.66415066138552</v>
      </c>
      <c r="E553" s="48">
        <f>26.762</f>
        <v>26.762</v>
      </c>
      <c r="F553" s="37">
        <f>VLOOKUP("INF200K01RA0", [1]NAVAll!B$1:E$501244,4,FALSE)</f>
        <v>413.17529999999999</v>
      </c>
      <c r="G553" s="47">
        <f t="shared" si="115"/>
        <v>11057.397378600001</v>
      </c>
      <c r="H553" s="49">
        <f>0</f>
        <v>0</v>
      </c>
      <c r="I553" s="48">
        <f t="shared" si="116"/>
        <v>1057.3973786000006</v>
      </c>
      <c r="J553" s="46">
        <f t="shared" si="117"/>
        <v>0.10573973786000006</v>
      </c>
      <c r="K553" s="47">
        <f t="shared" ca="1" si="118"/>
        <v>27.033333333333335</v>
      </c>
      <c r="L553" s="46">
        <f t="shared" ca="1" si="119"/>
        <v>4.6937491528483373E-2</v>
      </c>
      <c r="M553" s="57" t="s">
        <v>68</v>
      </c>
      <c r="N553" s="47">
        <f t="shared" si="120"/>
        <v>-10000</v>
      </c>
      <c r="O553" s="51" t="s">
        <v>83</v>
      </c>
    </row>
    <row r="554" spans="1:15" s="75" customFormat="1" x14ac:dyDescent="0.3">
      <c r="A554" s="84" t="e" vm="46">
        <v>#VALUE!</v>
      </c>
      <c r="B554" s="50">
        <v>45434</v>
      </c>
      <c r="C554" s="47">
        <v>10000</v>
      </c>
      <c r="D554" s="47">
        <f t="shared" si="114"/>
        <v>384.60059228491212</v>
      </c>
      <c r="E554" s="48">
        <f>26.001</f>
        <v>26.001000000000001</v>
      </c>
      <c r="F554" s="37">
        <f>VLOOKUP("INF200K01RA0", [1]NAVAll!B$1:E$501244,4,FALSE)</f>
        <v>413.17529999999999</v>
      </c>
      <c r="G554" s="47">
        <f t="shared" si="115"/>
        <v>10742.970975300001</v>
      </c>
      <c r="H554" s="49">
        <f>0</f>
        <v>0</v>
      </c>
      <c r="I554" s="48">
        <f t="shared" si="116"/>
        <v>742.97097530000065</v>
      </c>
      <c r="J554" s="46">
        <f t="shared" si="117"/>
        <v>7.4297097530000064E-2</v>
      </c>
      <c r="K554" s="47">
        <f t="shared" ca="1" si="118"/>
        <v>26.033333333333335</v>
      </c>
      <c r="L554" s="46">
        <f t="shared" ca="1" si="119"/>
        <v>3.4247061601536517E-2</v>
      </c>
      <c r="M554" s="57" t="s">
        <v>68</v>
      </c>
      <c r="N554" s="47">
        <f t="shared" si="120"/>
        <v>-10000</v>
      </c>
      <c r="O554" s="51" t="s">
        <v>83</v>
      </c>
    </row>
    <row r="555" spans="1:15" s="75" customFormat="1" x14ac:dyDescent="0.3">
      <c r="A555" s="84" t="e" vm="46">
        <v>#VALUE!</v>
      </c>
      <c r="B555" s="50">
        <v>45467</v>
      </c>
      <c r="C555" s="47">
        <v>10000</v>
      </c>
      <c r="D555" s="47">
        <f t="shared" si="114"/>
        <v>403.43728567394203</v>
      </c>
      <c r="E555" s="48">
        <f>24.787</f>
        <v>24.786999999999999</v>
      </c>
      <c r="F555" s="37">
        <f>VLOOKUP("INF200K01RA0", [1]NAVAll!B$1:E$501244,4,FALSE)</f>
        <v>413.17529999999999</v>
      </c>
      <c r="G555" s="47">
        <f t="shared" si="115"/>
        <v>10241.376161099999</v>
      </c>
      <c r="H555" s="49">
        <f>0</f>
        <v>0</v>
      </c>
      <c r="I555" s="48">
        <f t="shared" si="116"/>
        <v>241.37616109999908</v>
      </c>
      <c r="J555" s="46">
        <f t="shared" si="117"/>
        <v>2.4137616109999909E-2</v>
      </c>
      <c r="K555" s="47">
        <f t="shared" ca="1" si="118"/>
        <v>24.966666666666665</v>
      </c>
      <c r="L555" s="46">
        <f t="shared" ca="1" si="119"/>
        <v>1.160152443204268E-2</v>
      </c>
      <c r="M555" s="57" t="s">
        <v>68</v>
      </c>
      <c r="N555" s="47">
        <f t="shared" si="120"/>
        <v>-10000</v>
      </c>
      <c r="O555" s="51" t="s">
        <v>83</v>
      </c>
    </row>
    <row r="556" spans="1:15" s="75" customFormat="1" x14ac:dyDescent="0.3">
      <c r="A556" s="84" t="e" vm="46">
        <v>#VALUE!</v>
      </c>
      <c r="B556" s="50">
        <v>45495</v>
      </c>
      <c r="C556" s="47">
        <v>10000</v>
      </c>
      <c r="D556" s="47">
        <f t="shared" si="114"/>
        <v>414.71405465931241</v>
      </c>
      <c r="E556" s="48">
        <f>24.113</f>
        <v>24.113</v>
      </c>
      <c r="F556" s="37">
        <f>VLOOKUP("INF200K01RA0", [1]NAVAll!B$1:E$501244,4,FALSE)</f>
        <v>413.17529999999999</v>
      </c>
      <c r="G556" s="47">
        <f t="shared" si="115"/>
        <v>9962.8960088999993</v>
      </c>
      <c r="H556" s="49">
        <f>0</f>
        <v>0</v>
      </c>
      <c r="I556" s="48">
        <f t="shared" si="116"/>
        <v>-37.103991100000712</v>
      </c>
      <c r="J556" s="46">
        <f t="shared" si="117"/>
        <v>-3.7103991100000712E-3</v>
      </c>
      <c r="K556" s="47">
        <f t="shared" ca="1" si="118"/>
        <v>24.033333333333335</v>
      </c>
      <c r="L556" s="46">
        <f t="shared" ca="1" si="119"/>
        <v>-1.8526264626907427E-3</v>
      </c>
      <c r="M556" s="57" t="s">
        <v>68</v>
      </c>
      <c r="N556" s="47">
        <f t="shared" si="120"/>
        <v>-10000</v>
      </c>
      <c r="O556" s="51" t="s">
        <v>83</v>
      </c>
    </row>
    <row r="557" spans="1:15" s="75" customFormat="1" x14ac:dyDescent="0.3">
      <c r="A557" s="84" t="e" vm="46">
        <v>#VALUE!</v>
      </c>
      <c r="B557" s="50">
        <v>45526</v>
      </c>
      <c r="C557" s="47">
        <v>10000</v>
      </c>
      <c r="D557" s="47">
        <f t="shared" si="114"/>
        <v>427.55141305742018</v>
      </c>
      <c r="E557" s="48">
        <f>23.389</f>
        <v>23.388999999999999</v>
      </c>
      <c r="F557" s="37">
        <f>VLOOKUP("INF200K01RA0", [1]NAVAll!B$1:E$501244,4,FALSE)</f>
        <v>413.17529999999999</v>
      </c>
      <c r="G557" s="47">
        <f t="shared" si="115"/>
        <v>9663.7570916999994</v>
      </c>
      <c r="H557" s="49">
        <f>0</f>
        <v>0</v>
      </c>
      <c r="I557" s="48">
        <f t="shared" si="116"/>
        <v>-336.24290830000064</v>
      </c>
      <c r="J557" s="46">
        <f t="shared" si="117"/>
        <v>-3.3624290830000063E-2</v>
      </c>
      <c r="K557" s="47">
        <f t="shared" ca="1" si="118"/>
        <v>23.033333333333335</v>
      </c>
      <c r="L557" s="46">
        <f t="shared" ca="1" si="119"/>
        <v>-1.7517720258755459E-2</v>
      </c>
      <c r="M557" s="57" t="s">
        <v>68</v>
      </c>
      <c r="N557" s="47">
        <f t="shared" si="120"/>
        <v>-10000</v>
      </c>
      <c r="O557" s="51" t="s">
        <v>83</v>
      </c>
    </row>
    <row r="558" spans="1:15" s="75" customFormat="1" x14ac:dyDescent="0.3">
      <c r="A558" s="84" t="e" vm="46">
        <v>#VALUE!</v>
      </c>
      <c r="B558" s="50">
        <v>45558</v>
      </c>
      <c r="C558" s="47">
        <v>10000</v>
      </c>
      <c r="D558" s="47">
        <f t="shared" si="114"/>
        <v>436.9292611526194</v>
      </c>
      <c r="E558" s="48">
        <f>22.887</f>
        <v>22.887</v>
      </c>
      <c r="F558" s="37">
        <f>VLOOKUP("INF200K01RA0", [1]NAVAll!B$1:E$501244,4,FALSE)</f>
        <v>413.17529999999999</v>
      </c>
      <c r="G558" s="47">
        <f t="shared" si="115"/>
        <v>9456.3430910999996</v>
      </c>
      <c r="H558" s="49">
        <f>0</f>
        <v>0</v>
      </c>
      <c r="I558" s="48">
        <f t="shared" si="116"/>
        <v>-543.65690890000042</v>
      </c>
      <c r="J558" s="46">
        <f t="shared" si="117"/>
        <v>-5.436569089000004E-2</v>
      </c>
      <c r="K558" s="47">
        <f t="shared" ca="1" si="118"/>
        <v>22</v>
      </c>
      <c r="L558" s="46">
        <f t="shared" ca="1" si="119"/>
        <v>-2.9654013212727294E-2</v>
      </c>
      <c r="M558" s="57" t="s">
        <v>68</v>
      </c>
      <c r="N558" s="47">
        <f t="shared" si="120"/>
        <v>-10000</v>
      </c>
      <c r="O558" s="51" t="s">
        <v>83</v>
      </c>
    </row>
    <row r="559" spans="1:15" s="75" customFormat="1" x14ac:dyDescent="0.3">
      <c r="A559" s="84" t="e" vm="46">
        <v>#VALUE!</v>
      </c>
      <c r="B559" s="50">
        <v>45587</v>
      </c>
      <c r="C559" s="47">
        <v>10000</v>
      </c>
      <c r="D559" s="47">
        <f t="shared" si="114"/>
        <v>417.22296395193592</v>
      </c>
      <c r="E559" s="48">
        <f>23.968</f>
        <v>23.968</v>
      </c>
      <c r="F559" s="37">
        <f>VLOOKUP("INF200K01RA0", [1]NAVAll!B$1:E$501244,4,FALSE)</f>
        <v>413.17529999999999</v>
      </c>
      <c r="G559" s="47">
        <f t="shared" si="115"/>
        <v>9902.9855903999996</v>
      </c>
      <c r="H559" s="49">
        <f>0</f>
        <v>0</v>
      </c>
      <c r="I559" s="48">
        <f t="shared" si="116"/>
        <v>-97.014409600000363</v>
      </c>
      <c r="J559" s="46">
        <f t="shared" si="117"/>
        <v>-9.7014409600000365E-3</v>
      </c>
      <c r="K559" s="47">
        <f t="shared" ca="1" si="118"/>
        <v>21.033333333333335</v>
      </c>
      <c r="L559" s="46">
        <f t="shared" ca="1" si="119"/>
        <v>-5.5348950009508919E-3</v>
      </c>
      <c r="M559" s="57" t="s">
        <v>68</v>
      </c>
      <c r="N559" s="47">
        <f t="shared" si="120"/>
        <v>-10000</v>
      </c>
      <c r="O559" s="51" t="s">
        <v>83</v>
      </c>
    </row>
    <row r="560" spans="1:15" s="75" customFormat="1" x14ac:dyDescent="0.3">
      <c r="A560" s="84" t="e" vm="46">
        <v>#VALUE!</v>
      </c>
      <c r="B560" s="50">
        <v>45618</v>
      </c>
      <c r="C560" s="47">
        <v>10000</v>
      </c>
      <c r="D560" s="47">
        <f t="shared" si="114"/>
        <v>406.58670461475913</v>
      </c>
      <c r="E560" s="48">
        <f>24.595</f>
        <v>24.594999999999999</v>
      </c>
      <c r="F560" s="37">
        <f>VLOOKUP("INF200K01RA0", [1]NAVAll!B$1:E$501244,4,FALSE)</f>
        <v>413.17529999999999</v>
      </c>
      <c r="G560" s="47">
        <f t="shared" si="115"/>
        <v>10162.0465035</v>
      </c>
      <c r="H560" s="49">
        <f>0</f>
        <v>0</v>
      </c>
      <c r="I560" s="48">
        <f t="shared" si="116"/>
        <v>162.04650349999974</v>
      </c>
      <c r="J560" s="46">
        <f t="shared" si="117"/>
        <v>1.6204650349999974E-2</v>
      </c>
      <c r="K560" s="47">
        <f t="shared" ca="1" si="118"/>
        <v>20.033333333333335</v>
      </c>
      <c r="L560" s="46">
        <f t="shared" ca="1" si="119"/>
        <v>9.7066125224625471E-3</v>
      </c>
      <c r="M560" s="57" t="s">
        <v>68</v>
      </c>
      <c r="N560" s="47">
        <f t="shared" si="120"/>
        <v>-10000</v>
      </c>
      <c r="O560" s="51" t="s">
        <v>83</v>
      </c>
    </row>
    <row r="561" spans="1:15" s="75" customFormat="1" x14ac:dyDescent="0.3">
      <c r="A561" s="84" t="e" vm="46">
        <v>#VALUE!</v>
      </c>
      <c r="B561" s="50">
        <v>45649</v>
      </c>
      <c r="C561" s="47">
        <v>10000</v>
      </c>
      <c r="D561" s="47">
        <f t="shared" si="114"/>
        <v>409.08161178155041</v>
      </c>
      <c r="E561" s="48">
        <f>24.445</f>
        <v>24.445</v>
      </c>
      <c r="F561" s="37">
        <f>VLOOKUP("INF200K01RA0", [1]NAVAll!B$1:E$501244,4,FALSE)</f>
        <v>413.17529999999999</v>
      </c>
      <c r="G561" s="47">
        <f t="shared" si="115"/>
        <v>10100.070208499999</v>
      </c>
      <c r="H561" s="49">
        <f>0</f>
        <v>0</v>
      </c>
      <c r="I561" s="48">
        <f t="shared" si="116"/>
        <v>100.07020849999935</v>
      </c>
      <c r="J561" s="46">
        <f t="shared" si="117"/>
        <v>1.0007020849999935E-2</v>
      </c>
      <c r="K561" s="47">
        <f t="shared" ca="1" si="118"/>
        <v>19</v>
      </c>
      <c r="L561" s="46">
        <f t="shared" ca="1" si="119"/>
        <v>6.3202236947368009E-3</v>
      </c>
      <c r="M561" s="57" t="s">
        <v>68</v>
      </c>
      <c r="N561" s="47">
        <f t="shared" si="120"/>
        <v>-10000</v>
      </c>
      <c r="O561" s="51" t="s">
        <v>83</v>
      </c>
    </row>
    <row r="562" spans="1:15" s="75" customFormat="1" x14ac:dyDescent="0.3">
      <c r="A562" s="84" t="e" vm="46">
        <v>#VALUE!</v>
      </c>
      <c r="B562" s="50">
        <v>45679</v>
      </c>
      <c r="C562" s="47">
        <v>10000</v>
      </c>
      <c r="D562" s="47">
        <f t="shared" si="114"/>
        <v>395.61656842188552</v>
      </c>
      <c r="E562" s="48">
        <f>25.277</f>
        <v>25.277000000000001</v>
      </c>
      <c r="F562" s="37">
        <f>VLOOKUP("INF200K01RA0", [1]NAVAll!B$1:E$501244,4,FALSE)</f>
        <v>413.17529999999999</v>
      </c>
      <c r="G562" s="47">
        <f t="shared" si="115"/>
        <v>10443.832058100001</v>
      </c>
      <c r="H562" s="49">
        <f>0</f>
        <v>0</v>
      </c>
      <c r="I562" s="48">
        <f t="shared" si="116"/>
        <v>443.83205810000072</v>
      </c>
      <c r="J562" s="46">
        <f t="shared" si="117"/>
        <v>4.4383205810000069E-2</v>
      </c>
      <c r="K562" s="47">
        <f t="shared" ca="1" si="118"/>
        <v>18.033333333333335</v>
      </c>
      <c r="L562" s="46">
        <f t="shared" ca="1" si="119"/>
        <v>2.9534111075046252E-2</v>
      </c>
      <c r="M562" s="57" t="s">
        <v>68</v>
      </c>
      <c r="N562" s="47">
        <f t="shared" si="120"/>
        <v>-10000</v>
      </c>
      <c r="O562" s="51" t="s">
        <v>83</v>
      </c>
    </row>
    <row r="563" spans="1:15" s="75" customFormat="1" x14ac:dyDescent="0.3">
      <c r="A563" s="84" t="e" vm="46">
        <v>#VALUE!</v>
      </c>
      <c r="B563" s="50">
        <v>45712</v>
      </c>
      <c r="C563" s="47">
        <v>10000</v>
      </c>
      <c r="D563" s="47">
        <f t="shared" si="114"/>
        <v>379.40585043821375</v>
      </c>
      <c r="E563" s="48">
        <f>26.357</f>
        <v>26.356999999999999</v>
      </c>
      <c r="F563" s="37">
        <f>VLOOKUP("INF200K01RA0", [1]NAVAll!B$1:E$501244,4,FALSE)</f>
        <v>413.17529999999999</v>
      </c>
      <c r="G563" s="47">
        <f t="shared" si="115"/>
        <v>10890.061382099999</v>
      </c>
      <c r="H563" s="49">
        <f>0</f>
        <v>0</v>
      </c>
      <c r="I563" s="48">
        <f t="shared" si="116"/>
        <v>890.06138209999881</v>
      </c>
      <c r="J563" s="46">
        <f t="shared" si="117"/>
        <v>8.9006138209999877E-2</v>
      </c>
      <c r="K563" s="47">
        <f t="shared" ca="1" si="118"/>
        <v>16.966666666666665</v>
      </c>
      <c r="L563" s="46">
        <f t="shared" ca="1" si="119"/>
        <v>6.2951296179960634E-2</v>
      </c>
      <c r="M563" s="57" t="s">
        <v>68</v>
      </c>
      <c r="N563" s="47">
        <f t="shared" si="120"/>
        <v>-10000</v>
      </c>
      <c r="O563" s="51" t="s">
        <v>83</v>
      </c>
    </row>
    <row r="564" spans="1:15" s="75" customFormat="1" x14ac:dyDescent="0.3">
      <c r="A564" s="84" t="e" vm="46">
        <v>#VALUE!</v>
      </c>
      <c r="B564" s="50">
        <v>45740</v>
      </c>
      <c r="C564" s="47">
        <v>10000</v>
      </c>
      <c r="D564" s="47">
        <f t="shared" si="114"/>
        <v>393.9179075080753</v>
      </c>
      <c r="E564" s="48">
        <f>25.386</f>
        <v>25.385999999999999</v>
      </c>
      <c r="F564" s="37">
        <f>VLOOKUP("INF200K01RA0", [1]NAVAll!B$1:E$501244,4,FALSE)</f>
        <v>413.17529999999999</v>
      </c>
      <c r="G564" s="47">
        <f t="shared" si="115"/>
        <v>10488.868165799999</v>
      </c>
      <c r="H564" s="49">
        <f>0</f>
        <v>0</v>
      </c>
      <c r="I564" s="48">
        <f t="shared" si="116"/>
        <v>488.86816579999868</v>
      </c>
      <c r="J564" s="46">
        <f t="shared" si="117"/>
        <v>4.8886816579999867E-2</v>
      </c>
      <c r="K564" s="47">
        <f t="shared" ca="1" si="118"/>
        <v>15.966666666666667</v>
      </c>
      <c r="L564" s="46">
        <f t="shared" ca="1" si="119"/>
        <v>3.6741657554905952E-2</v>
      </c>
      <c r="M564" s="57" t="s">
        <v>68</v>
      </c>
      <c r="N564" s="47">
        <f t="shared" si="120"/>
        <v>-10000</v>
      </c>
      <c r="O564" s="51" t="s">
        <v>83</v>
      </c>
    </row>
    <row r="565" spans="1:15" s="75" customFormat="1" x14ac:dyDescent="0.3">
      <c r="A565" s="84" t="e" vm="46">
        <v>#VALUE!</v>
      </c>
      <c r="B565" s="50">
        <v>45769</v>
      </c>
      <c r="C565" s="47">
        <v>10000</v>
      </c>
      <c r="D565" s="47">
        <f t="shared" si="114"/>
        <v>401.78392060749729</v>
      </c>
      <c r="E565" s="48">
        <f>24.889</f>
        <v>24.888999999999999</v>
      </c>
      <c r="F565" s="37">
        <f>VLOOKUP("INF200K01RA0", [1]NAVAll!B$1:E$501244,4,FALSE)</f>
        <v>413.17529999999999</v>
      </c>
      <c r="G565" s="47">
        <f t="shared" si="115"/>
        <v>10283.5200417</v>
      </c>
      <c r="H565" s="49">
        <f>0</f>
        <v>0</v>
      </c>
      <c r="I565" s="48">
        <f t="shared" si="116"/>
        <v>283.52004169999964</v>
      </c>
      <c r="J565" s="46">
        <f t="shared" si="117"/>
        <v>2.8352004169999962E-2</v>
      </c>
      <c r="K565" s="47">
        <f t="shared" ca="1" si="118"/>
        <v>15.033333333333333</v>
      </c>
      <c r="L565" s="46">
        <f t="shared" ca="1" si="119"/>
        <v>2.2631311532594206E-2</v>
      </c>
      <c r="M565" s="57" t="s">
        <v>68</v>
      </c>
      <c r="N565" s="47">
        <f t="shared" si="120"/>
        <v>-10000</v>
      </c>
      <c r="O565" s="51" t="s">
        <v>83</v>
      </c>
    </row>
    <row r="566" spans="1:15" s="75" customFormat="1" x14ac:dyDescent="0.3">
      <c r="A566" s="84" t="e" vm="46">
        <v>#VALUE!</v>
      </c>
      <c r="B566" s="50">
        <v>45799</v>
      </c>
      <c r="C566" s="47">
        <v>10000</v>
      </c>
      <c r="D566" s="47">
        <f t="shared" si="114"/>
        <v>409.85286282224678</v>
      </c>
      <c r="E566" s="48">
        <f>24.399</f>
        <v>24.399000000000001</v>
      </c>
      <c r="F566" s="37">
        <f>VLOOKUP("INF200K01RA0", [1]NAVAll!B$1:E$501244,4,FALSE)</f>
        <v>413.17529999999999</v>
      </c>
      <c r="G566" s="47">
        <f t="shared" si="115"/>
        <v>10081.0641447</v>
      </c>
      <c r="H566" s="49">
        <f>0</f>
        <v>0</v>
      </c>
      <c r="I566" s="48">
        <f t="shared" si="116"/>
        <v>81.064144699999815</v>
      </c>
      <c r="J566" s="46">
        <f t="shared" si="117"/>
        <v>8.1064144699999809E-3</v>
      </c>
      <c r="K566" s="47">
        <f t="shared" ca="1" si="118"/>
        <v>14.033333333333333</v>
      </c>
      <c r="L566" s="46">
        <f t="shared" ca="1" si="119"/>
        <v>6.9318508532066345E-3</v>
      </c>
      <c r="M566" s="57" t="s">
        <v>68</v>
      </c>
      <c r="N566" s="47">
        <f t="shared" si="120"/>
        <v>-10000</v>
      </c>
      <c r="O566" s="51" t="s">
        <v>83</v>
      </c>
    </row>
    <row r="567" spans="1:15" s="75" customFormat="1" x14ac:dyDescent="0.3">
      <c r="A567" s="84" t="e" vm="46">
        <v>#VALUE!</v>
      </c>
      <c r="B567" s="50">
        <v>45831</v>
      </c>
      <c r="C567" s="47">
        <v>10000</v>
      </c>
      <c r="D567" s="47">
        <f t="shared" si="114"/>
        <v>413.90728476821192</v>
      </c>
      <c r="E567" s="48">
        <f>24.16</f>
        <v>24.16</v>
      </c>
      <c r="F567" s="37">
        <f>VLOOKUP("INF200K01RA0", [1]NAVAll!B$1:E$501244,4,FALSE)</f>
        <v>413.17529999999999</v>
      </c>
      <c r="G567" s="47">
        <f t="shared" si="115"/>
        <v>9982.3152480000008</v>
      </c>
      <c r="H567" s="49">
        <f>0</f>
        <v>0</v>
      </c>
      <c r="I567" s="48">
        <f t="shared" si="116"/>
        <v>-17.684751999999207</v>
      </c>
      <c r="J567" s="46">
        <f t="shared" si="117"/>
        <v>-1.7684751999999207E-3</v>
      </c>
      <c r="K567" s="47">
        <f t="shared" ca="1" si="118"/>
        <v>13</v>
      </c>
      <c r="L567" s="46">
        <f t="shared" ca="1" si="119"/>
        <v>-1.632438646153773E-3</v>
      </c>
      <c r="M567" s="57" t="s">
        <v>68</v>
      </c>
      <c r="N567" s="47">
        <f t="shared" si="120"/>
        <v>-10000</v>
      </c>
      <c r="O567" s="51" t="s">
        <v>83</v>
      </c>
    </row>
    <row r="568" spans="1:15" s="75" customFormat="1" x14ac:dyDescent="0.3">
      <c r="A568" s="84" t="e" vm="46">
        <v>#VALUE!</v>
      </c>
      <c r="B568" s="50">
        <v>45860</v>
      </c>
      <c r="C568" s="47">
        <v>10000</v>
      </c>
      <c r="D568" s="47">
        <f t="shared" si="114"/>
        <v>421.42526023009822</v>
      </c>
      <c r="E568" s="48">
        <f>23.729</f>
        <v>23.728999999999999</v>
      </c>
      <c r="F568" s="37">
        <f>VLOOKUP("INF200K01RA0", [1]NAVAll!B$1:E$501244,4,FALSE)</f>
        <v>413.17529999999999</v>
      </c>
      <c r="G568" s="47">
        <f t="shared" si="115"/>
        <v>9804.2366936999988</v>
      </c>
      <c r="H568" s="49">
        <f>0</f>
        <v>0</v>
      </c>
      <c r="I568" s="48">
        <f t="shared" si="116"/>
        <v>-195.7633063000012</v>
      </c>
      <c r="J568" s="46">
        <f t="shared" si="117"/>
        <v>-1.9576330630000121E-2</v>
      </c>
      <c r="K568" s="47">
        <f t="shared" ca="1" si="118"/>
        <v>12.033333333333333</v>
      </c>
      <c r="L568" s="46">
        <f t="shared" ca="1" si="119"/>
        <v>-1.952210256731314E-2</v>
      </c>
      <c r="M568" s="57" t="s">
        <v>68</v>
      </c>
      <c r="N568" s="47">
        <f t="shared" si="120"/>
        <v>-10000</v>
      </c>
      <c r="O568" s="51" t="s">
        <v>83</v>
      </c>
    </row>
    <row r="569" spans="1:15" s="75" customFormat="1" x14ac:dyDescent="0.3">
      <c r="A569" s="84" t="e" vm="46">
        <v>#VALUE!</v>
      </c>
      <c r="B569" s="50">
        <v>45891</v>
      </c>
      <c r="C569" s="47">
        <v>10000</v>
      </c>
      <c r="D569" s="47">
        <f t="shared" si="114"/>
        <v>414.88611376177238</v>
      </c>
      <c r="E569" s="48">
        <f>24.103</f>
        <v>24.103000000000002</v>
      </c>
      <c r="F569" s="37">
        <f>VLOOKUP("INF200K01RA0", [1]NAVAll!B$1:E$501244,4,FALSE)</f>
        <v>413.17529999999999</v>
      </c>
      <c r="G569" s="47">
        <f t="shared" si="115"/>
        <v>9958.7642558999996</v>
      </c>
      <c r="H569" s="49">
        <f>0</f>
        <v>0</v>
      </c>
      <c r="I569" s="48">
        <f t="shared" si="116"/>
        <v>-41.235744100000375</v>
      </c>
      <c r="J569" s="46">
        <f t="shared" si="117"/>
        <v>-4.123574410000037E-3</v>
      </c>
      <c r="K569" s="47">
        <f t="shared" ca="1" si="118"/>
        <v>11.033333333333333</v>
      </c>
      <c r="L569" s="46">
        <f t="shared" ca="1" si="119"/>
        <v>-4.4848543432024568E-3</v>
      </c>
      <c r="M569" s="57" t="s">
        <v>68</v>
      </c>
      <c r="N569" s="47">
        <f t="shared" si="120"/>
        <v>-10000</v>
      </c>
      <c r="O569" s="51" t="s">
        <v>83</v>
      </c>
    </row>
    <row r="570" spans="1:15" s="75" customFormat="1" x14ac:dyDescent="0.3">
      <c r="A570" s="84" t="e" vm="46">
        <v>#VALUE!</v>
      </c>
      <c r="B570" s="50">
        <v>45922</v>
      </c>
      <c r="C570" s="47">
        <v>10000</v>
      </c>
      <c r="D570" s="47">
        <f t="shared" si="114"/>
        <v>419.18175720992622</v>
      </c>
      <c r="E570" s="48">
        <f>23.856</f>
        <v>23.856000000000002</v>
      </c>
      <c r="F570" s="37">
        <f>VLOOKUP("INF200K01RA0", [1]NAVAll!B$1:E$501244,4,FALSE)</f>
        <v>413.17529999999999</v>
      </c>
      <c r="G570" s="47">
        <f t="shared" si="115"/>
        <v>9856.7099568000012</v>
      </c>
      <c r="H570" s="49">
        <f>0</f>
        <v>0</v>
      </c>
      <c r="I570" s="48">
        <f t="shared" si="116"/>
        <v>-143.29004319999876</v>
      </c>
      <c r="J570" s="46">
        <f t="shared" si="117"/>
        <v>-1.4329004319999877E-2</v>
      </c>
      <c r="K570" s="47">
        <f t="shared" ca="1" si="118"/>
        <v>10.033333333333333</v>
      </c>
      <c r="L570" s="46">
        <f t="shared" ca="1" si="119"/>
        <v>-1.7137679585381912E-2</v>
      </c>
      <c r="M570" s="57" t="s">
        <v>68</v>
      </c>
      <c r="N570" s="47">
        <f t="shared" si="120"/>
        <v>-10000</v>
      </c>
      <c r="O570" s="51" t="s">
        <v>83</v>
      </c>
    </row>
    <row r="571" spans="1:15" s="75" customFormat="1" x14ac:dyDescent="0.3">
      <c r="A571" s="84" t="e" vm="46">
        <v>#VALUE!</v>
      </c>
      <c r="B571" s="50">
        <v>45953</v>
      </c>
      <c r="C571" s="47">
        <v>10000</v>
      </c>
      <c r="D571" s="47">
        <f t="shared" si="114"/>
        <v>428.55918402331361</v>
      </c>
      <c r="E571" s="48">
        <f>23.334</f>
        <v>23.334</v>
      </c>
      <c r="F571" s="37">
        <f>VLOOKUP("INF200K01RA0", [1]NAVAll!B$1:E$501244,4,FALSE)</f>
        <v>413.17529999999999</v>
      </c>
      <c r="G571" s="47">
        <f t="shared" si="115"/>
        <v>9641.0324502000003</v>
      </c>
      <c r="H571" s="49">
        <f>0</f>
        <v>0</v>
      </c>
      <c r="I571" s="48">
        <f t="shared" si="116"/>
        <v>-358.96754979999969</v>
      </c>
      <c r="J571" s="46">
        <f t="shared" si="117"/>
        <v>-3.5896754979999966E-2</v>
      </c>
      <c r="K571" s="47">
        <f t="shared" ca="1" si="118"/>
        <v>9</v>
      </c>
      <c r="L571" s="46">
        <f t="shared" ca="1" si="119"/>
        <v>-4.7862339973333286E-2</v>
      </c>
      <c r="M571" s="57" t="s">
        <v>68</v>
      </c>
      <c r="N571" s="47">
        <f t="shared" si="120"/>
        <v>-10000</v>
      </c>
      <c r="O571" s="51" t="s">
        <v>83</v>
      </c>
    </row>
    <row r="572" spans="1:15" s="75" customFormat="1" x14ac:dyDescent="0.3">
      <c r="A572" s="84" t="e" vm="46">
        <v>#VALUE!</v>
      </c>
      <c r="B572" s="50">
        <v>45985</v>
      </c>
      <c r="C572" s="47">
        <v>10000</v>
      </c>
      <c r="D572" s="47">
        <f t="shared" si="114"/>
        <v>431.16457551847537</v>
      </c>
      <c r="E572" s="48">
        <f>23.193</f>
        <v>23.193000000000001</v>
      </c>
      <c r="F572" s="37">
        <f>VLOOKUP("INF200K01RA0", [1]NAVAll!B$1:E$501244,4,FALSE)</f>
        <v>413.17529999999999</v>
      </c>
      <c r="G572" s="47">
        <f t="shared" si="115"/>
        <v>9582.7747329000013</v>
      </c>
      <c r="H572" s="49">
        <f>0</f>
        <v>0</v>
      </c>
      <c r="I572" s="48">
        <f t="shared" si="116"/>
        <v>-417.22526709999875</v>
      </c>
      <c r="J572" s="46">
        <f t="shared" si="117"/>
        <v>-4.1722526709999874E-2</v>
      </c>
      <c r="K572" s="47">
        <f t="shared" ca="1" si="118"/>
        <v>7.9666666666666668</v>
      </c>
      <c r="L572" s="46">
        <f t="shared" ca="1" si="119"/>
        <v>-6.2845646927196464E-2</v>
      </c>
      <c r="M572" s="57" t="s">
        <v>68</v>
      </c>
      <c r="N572" s="47">
        <f t="shared" si="120"/>
        <v>-10000</v>
      </c>
      <c r="O572" s="51" t="s">
        <v>83</v>
      </c>
    </row>
    <row r="573" spans="1:15" s="75" customFormat="1" x14ac:dyDescent="0.3">
      <c r="A573" s="84" t="e" vm="46">
        <v>#VALUE!</v>
      </c>
      <c r="B573" s="50">
        <v>46013</v>
      </c>
      <c r="C573" s="47">
        <v>10000</v>
      </c>
      <c r="D573" s="47">
        <f t="shared" si="114"/>
        <v>435.74883437186804</v>
      </c>
      <c r="E573" s="48">
        <f>22.949</f>
        <v>22.949000000000002</v>
      </c>
      <c r="F573" s="37">
        <f>VLOOKUP("INF200K01RA0", [1]NAVAll!B$1:E$501244,4,FALSE)</f>
        <v>413.17529999999999</v>
      </c>
      <c r="G573" s="47">
        <f t="shared" si="115"/>
        <v>9481.9599596999997</v>
      </c>
      <c r="H573" s="49">
        <f>0</f>
        <v>0</v>
      </c>
      <c r="I573" s="48">
        <f t="shared" si="116"/>
        <v>-518.04004030000033</v>
      </c>
      <c r="J573" s="46">
        <f t="shared" si="117"/>
        <v>-5.1804004030000031E-2</v>
      </c>
      <c r="K573" s="47">
        <f t="shared" ca="1" si="118"/>
        <v>7.0333333333333332</v>
      </c>
      <c r="L573" s="46">
        <f t="shared" ca="1" si="119"/>
        <v>-8.8385978439810484E-2</v>
      </c>
      <c r="M573" s="57" t="s">
        <v>68</v>
      </c>
      <c r="N573" s="47">
        <f t="shared" si="120"/>
        <v>-10000</v>
      </c>
      <c r="O573" s="51" t="s">
        <v>83</v>
      </c>
    </row>
    <row r="574" spans="1:15" s="75" customFormat="1" x14ac:dyDescent="0.3">
      <c r="A574" s="84" t="e" vm="46">
        <v>#VALUE!</v>
      </c>
      <c r="B574" s="50">
        <v>46044</v>
      </c>
      <c r="C574" s="47">
        <v>10000</v>
      </c>
      <c r="D574" s="47">
        <f t="shared" si="114"/>
        <v>424.93519738239917</v>
      </c>
      <c r="E574" s="48">
        <f>23.533</f>
        <v>23.533000000000001</v>
      </c>
      <c r="F574" s="37">
        <f>VLOOKUP("INF200K01RA0", [1]NAVAll!B$1:E$501244,4,FALSE)</f>
        <v>413.17529999999999</v>
      </c>
      <c r="G574" s="47">
        <f t="shared" si="115"/>
        <v>9723.2543349000007</v>
      </c>
      <c r="H574" s="49">
        <f>0</f>
        <v>0</v>
      </c>
      <c r="I574" s="48">
        <f t="shared" si="116"/>
        <v>-276.74566509999931</v>
      </c>
      <c r="J574" s="46">
        <f t="shared" si="117"/>
        <v>-2.7674566509999932E-2</v>
      </c>
      <c r="K574" s="47">
        <f t="shared" ca="1" si="118"/>
        <v>6.0333333333333332</v>
      </c>
      <c r="L574" s="46">
        <f t="shared" ca="1" si="119"/>
        <v>-5.5043336704972246E-2</v>
      </c>
      <c r="M574" s="57" t="s">
        <v>68</v>
      </c>
      <c r="N574" s="47">
        <f t="shared" si="120"/>
        <v>-10000</v>
      </c>
      <c r="O574" s="51" t="s">
        <v>83</v>
      </c>
    </row>
    <row r="575" spans="1:15" s="75" customFormat="1" x14ac:dyDescent="0.3">
      <c r="A575" s="84" t="e" vm="46">
        <v>#VALUE!</v>
      </c>
      <c r="B575" s="50">
        <v>46076</v>
      </c>
      <c r="C575" s="47">
        <v>10000</v>
      </c>
      <c r="D575" s="47">
        <f t="shared" si="114"/>
        <v>431.35055859897341</v>
      </c>
      <c r="E575" s="48">
        <f>23.183</f>
        <v>23.183</v>
      </c>
      <c r="F575" s="37">
        <f>VLOOKUP("INF200K01RA0", [1]NAVAll!B$1:E$501244,4,FALSE)</f>
        <v>413.17529999999999</v>
      </c>
      <c r="G575" s="47">
        <f t="shared" si="115"/>
        <v>9578.6429798999998</v>
      </c>
      <c r="H575" s="49">
        <f>0</f>
        <v>0</v>
      </c>
      <c r="I575" s="48">
        <f t="shared" si="116"/>
        <v>-421.35702010000023</v>
      </c>
      <c r="J575" s="46">
        <f t="shared" si="117"/>
        <v>-4.2135702010000026E-2</v>
      </c>
      <c r="K575" s="47">
        <f t="shared" ca="1" si="118"/>
        <v>5</v>
      </c>
      <c r="L575" s="46">
        <f t="shared" ca="1" si="119"/>
        <v>-0.10112568482400006</v>
      </c>
      <c r="M575" s="57" t="s">
        <v>68</v>
      </c>
      <c r="N575" s="47">
        <f t="shared" si="120"/>
        <v>-10000</v>
      </c>
      <c r="O575" s="51" t="s">
        <v>83</v>
      </c>
    </row>
    <row r="576" spans="1:15" s="75" customFormat="1" x14ac:dyDescent="0.3">
      <c r="A576" s="84" t="e" vm="46">
        <v>#VALUE!</v>
      </c>
      <c r="B576" s="50">
        <v>46104</v>
      </c>
      <c r="C576" s="47">
        <v>10000</v>
      </c>
      <c r="D576" s="47">
        <f t="shared" si="114"/>
        <v>383.43558282208591</v>
      </c>
      <c r="E576" s="48">
        <f>26.08</f>
        <v>26.08</v>
      </c>
      <c r="F576" s="37">
        <f>VLOOKUP("INF200K01RA0", [1]NAVAll!B$1:E$501244,4,FALSE)</f>
        <v>413.17529999999999</v>
      </c>
      <c r="G576" s="47">
        <f t="shared" si="115"/>
        <v>10775.611824</v>
      </c>
      <c r="H576" s="49">
        <f>0</f>
        <v>0</v>
      </c>
      <c r="I576" s="48">
        <f t="shared" si="116"/>
        <v>775.61182399999961</v>
      </c>
      <c r="J576" s="46">
        <f t="shared" si="117"/>
        <v>7.7561182399999956E-2</v>
      </c>
      <c r="K576" s="47">
        <f t="shared" ca="1" si="118"/>
        <v>4</v>
      </c>
      <c r="L576" s="46">
        <f t="shared" ca="1" si="119"/>
        <v>0.23268354719999987</v>
      </c>
      <c r="M576" s="57" t="s">
        <v>68</v>
      </c>
      <c r="N576" s="47">
        <f t="shared" si="120"/>
        <v>-10000</v>
      </c>
      <c r="O576" s="51" t="s">
        <v>83</v>
      </c>
    </row>
    <row r="577" spans="1:15" s="75" customFormat="1" x14ac:dyDescent="0.3">
      <c r="A577" s="84" t="e" vm="46">
        <v>#VALUE!</v>
      </c>
      <c r="B577" s="50">
        <v>46134</v>
      </c>
      <c r="C577" s="47">
        <v>10000</v>
      </c>
      <c r="D577" s="47">
        <f t="shared" si="114"/>
        <v>412.84782429196594</v>
      </c>
      <c r="E577" s="48">
        <f>24.222</f>
        <v>24.222000000000001</v>
      </c>
      <c r="F577" s="37">
        <f>VLOOKUP("INF200K01RA0", [1]NAVAll!B$1:E$501244,4,FALSE)</f>
        <v>413.17529999999999</v>
      </c>
      <c r="G577" s="47">
        <f t="shared" si="115"/>
        <v>10007.932116600001</v>
      </c>
      <c r="H577" s="49">
        <f>0</f>
        <v>0</v>
      </c>
      <c r="I577" s="48">
        <f t="shared" si="116"/>
        <v>7.9321166000008816</v>
      </c>
      <c r="J577" s="46">
        <f t="shared" si="117"/>
        <v>7.9321166000008816E-4</v>
      </c>
      <c r="K577" s="47">
        <f t="shared" ca="1" si="118"/>
        <v>3.0333333333333332</v>
      </c>
      <c r="L577" s="46">
        <f t="shared" ca="1" si="119"/>
        <v>3.1379801934069422E-3</v>
      </c>
      <c r="M577" s="57" t="s">
        <v>68</v>
      </c>
      <c r="N577" s="47">
        <f t="shared" si="120"/>
        <v>-10000</v>
      </c>
      <c r="O577" s="51" t="s">
        <v>83</v>
      </c>
    </row>
    <row r="578" spans="1:15" s="75" customFormat="1" x14ac:dyDescent="0.3">
      <c r="A578" s="84" t="e" vm="46">
        <v>#VALUE!</v>
      </c>
      <c r="B578" s="50">
        <v>46164</v>
      </c>
      <c r="C578" s="47">
        <v>10000</v>
      </c>
      <c r="D578" s="47">
        <f t="shared" si="114"/>
        <v>408.53010866900888</v>
      </c>
      <c r="E578" s="48">
        <f>24.478</f>
        <v>24.478000000000002</v>
      </c>
      <c r="F578" s="37">
        <f>VLOOKUP("INF200K01RA0", [1]NAVAll!B$1:E$501244,4,FALSE)</f>
        <v>413.17529999999999</v>
      </c>
      <c r="G578" s="47">
        <f t="shared" si="115"/>
        <v>10113.704993400001</v>
      </c>
      <c r="H578" s="49">
        <f>0</f>
        <v>0</v>
      </c>
      <c r="I578" s="48">
        <f t="shared" si="116"/>
        <v>113.7049934000006</v>
      </c>
      <c r="J578" s="46">
        <f t="shared" si="117"/>
        <v>1.137049934000006E-2</v>
      </c>
      <c r="K578" s="47">
        <f t="shared" ca="1" si="118"/>
        <v>2.0333333333333332</v>
      </c>
      <c r="L578" s="46">
        <f t="shared" ca="1" si="119"/>
        <v>6.7104586268852809E-2</v>
      </c>
      <c r="M578" s="57" t="s">
        <v>68</v>
      </c>
      <c r="N578" s="47">
        <f t="shared" si="120"/>
        <v>-10000</v>
      </c>
      <c r="O578" s="51" t="s">
        <v>83</v>
      </c>
    </row>
    <row r="579" spans="1:15" s="75" customFormat="1" x14ac:dyDescent="0.3">
      <c r="A579" s="84" t="e" vm="46">
        <v>#VALUE!</v>
      </c>
      <c r="B579" s="50">
        <v>46195</v>
      </c>
      <c r="C579" s="47">
        <v>10000</v>
      </c>
      <c r="D579" s="47">
        <f t="shared" si="114"/>
        <v>412.93306355039851</v>
      </c>
      <c r="E579" s="48">
        <f>24.217</f>
        <v>24.216999999999999</v>
      </c>
      <c r="F579" s="37">
        <f>VLOOKUP("INF200K01RA0", [1]NAVAll!B$1:E$501244,4,FALSE)</f>
        <v>413.17529999999999</v>
      </c>
      <c r="G579" s="47">
        <f t="shared" si="115"/>
        <v>10005.8662401</v>
      </c>
      <c r="H579" s="49">
        <f>0</f>
        <v>0</v>
      </c>
      <c r="I579" s="48">
        <f t="shared" si="116"/>
        <v>5.866240100000141</v>
      </c>
      <c r="J579" s="46">
        <f t="shared" si="117"/>
        <v>5.8662401000001405E-4</v>
      </c>
      <c r="K579" s="47">
        <f t="shared" ca="1" si="118"/>
        <v>1.0333333333333334</v>
      </c>
      <c r="L579" s="46">
        <f t="shared" ca="1" si="119"/>
        <v>6.8124078580646787E-3</v>
      </c>
      <c r="M579" s="57" t="s">
        <v>68</v>
      </c>
      <c r="N579" s="47">
        <f t="shared" si="120"/>
        <v>-10000</v>
      </c>
      <c r="O579" s="51" t="s">
        <v>83</v>
      </c>
    </row>
    <row r="580" spans="1:15" s="75" customFormat="1" x14ac:dyDescent="0.3">
      <c r="A580" s="84" t="e" vm="46">
        <v>#VALUE!</v>
      </c>
      <c r="B580" s="50">
        <v>46225</v>
      </c>
      <c r="C580" s="47">
        <v>10000</v>
      </c>
      <c r="D580" s="47">
        <f t="shared" si="114"/>
        <v>413.18899264523588</v>
      </c>
      <c r="E580" s="48">
        <f>24.202</f>
        <v>24.202000000000002</v>
      </c>
      <c r="F580" s="37">
        <f>VLOOKUP("INF200K01RA0", [1]NAVAll!B$1:E$501244,4,FALSE)</f>
        <v>413.17529999999999</v>
      </c>
      <c r="G580" s="47">
        <f t="shared" si="115"/>
        <v>9999.6686105999997</v>
      </c>
      <c r="H580" s="49">
        <f>0</f>
        <v>0</v>
      </c>
      <c r="I580" s="48">
        <f t="shared" si="116"/>
        <v>-0.33138940000026196</v>
      </c>
      <c r="J580" s="46">
        <f t="shared" si="117"/>
        <v>-3.3138940000026195E-5</v>
      </c>
      <c r="K580" s="47">
        <f t="shared" ca="1" si="118"/>
        <v>3.3333333333333333E-2</v>
      </c>
      <c r="L580" s="46">
        <f t="shared" ca="1" si="119"/>
        <v>-1.1930018400009431E-2</v>
      </c>
      <c r="M580" s="57" t="s">
        <v>68</v>
      </c>
      <c r="N580" s="47">
        <f t="shared" si="120"/>
        <v>-10000</v>
      </c>
      <c r="O580" s="51" t="s">
        <v>83</v>
      </c>
    </row>
    <row r="581" spans="1:15" s="75" customFormat="1" x14ac:dyDescent="0.3">
      <c r="A581" s="76" t="s">
        <v>133</v>
      </c>
      <c r="B581" s="77">
        <f ca="1">TODAY()</f>
        <v>46226</v>
      </c>
      <c r="C581" s="78"/>
      <c r="D581" s="78"/>
      <c r="E581" s="79"/>
      <c r="F581" s="80"/>
      <c r="G581" s="78"/>
      <c r="H581" s="80"/>
      <c r="I581" s="79"/>
      <c r="J581" s="81"/>
      <c r="K581" s="78"/>
      <c r="L581" s="81"/>
      <c r="M581" s="82"/>
      <c r="N581" s="78">
        <f>SUM(G545:G580)</f>
        <v>385056.6549585</v>
      </c>
      <c r="O581" s="51"/>
    </row>
    <row r="582" spans="1:15" s="75" customFormat="1" x14ac:dyDescent="0.3">
      <c r="A582" s="76" t="s">
        <v>134</v>
      </c>
      <c r="B582" s="77"/>
      <c r="C582" s="78"/>
      <c r="D582" s="78"/>
      <c r="E582" s="79"/>
      <c r="F582" s="80"/>
      <c r="G582" s="78"/>
      <c r="H582" s="80"/>
      <c r="I582" s="79"/>
      <c r="J582" s="81">
        <f>SUM(N545:N581)/-SUM(N545:N580)</f>
        <v>6.9601819329166675E-2</v>
      </c>
      <c r="K582" s="78"/>
      <c r="L582" s="81"/>
      <c r="M582" s="82"/>
      <c r="N582" s="78"/>
      <c r="O582" s="51"/>
    </row>
    <row r="583" spans="1:15" s="75" customFormat="1" x14ac:dyDescent="0.3">
      <c r="A583" s="76" t="s">
        <v>135</v>
      </c>
      <c r="B583" s="77"/>
      <c r="C583" s="78"/>
      <c r="D583" s="78"/>
      <c r="E583" s="79"/>
      <c r="F583" s="80"/>
      <c r="G583" s="78"/>
      <c r="H583" s="80"/>
      <c r="I583" s="79"/>
      <c r="J583" s="81">
        <f ca="1">XIRR(N545:N581,B545:B581)</f>
        <v>4.6656510233879081E-2</v>
      </c>
      <c r="K583" s="78"/>
      <c r="L583" s="81"/>
      <c r="M583" s="82"/>
      <c r="N583" s="78"/>
      <c r="O583" s="51"/>
    </row>
    <row r="584" spans="1:15" s="75" customFormat="1" x14ac:dyDescent="0.3">
      <c r="A584" s="84" t="s">
        <v>136</v>
      </c>
      <c r="B584" s="50">
        <v>45636</v>
      </c>
      <c r="C584" s="47">
        <v>10000</v>
      </c>
      <c r="D584" s="47">
        <f t="shared" ref="D584:D604" si="121">C584/E584</f>
        <v>11.352064997383348</v>
      </c>
      <c r="E584" s="48">
        <f>880.897</f>
        <v>880.89700000000005</v>
      </c>
      <c r="F584" s="37">
        <f>VLOOKUP("INF277KA1CO5", [1]NAVAll!B$1:E$501244,4,FALSE)</f>
        <v>14.5055</v>
      </c>
      <c r="G584" s="47">
        <f t="shared" ref="G584:G604" si="122">PRODUCT(E584:F584)</f>
        <v>12777.8514335</v>
      </c>
      <c r="H584" s="49">
        <f>0</f>
        <v>0</v>
      </c>
      <c r="I584" s="48">
        <f t="shared" ref="I584:I604" si="123">SUM(-C584,G584)+H584</f>
        <v>2777.8514335</v>
      </c>
      <c r="J584" s="46">
        <f t="shared" ref="J584:J604" si="124">I584/C584</f>
        <v>0.27778514334999999</v>
      </c>
      <c r="K584" s="47">
        <f t="shared" ref="K584:K604" ca="1" si="125">(DAYS360(B584,NOW(),TRUE))/30</f>
        <v>19.433333333333334</v>
      </c>
      <c r="L584" s="46">
        <f t="shared" ref="L584:L604" ca="1" si="126">J584*12/K584</f>
        <v>0.17153113483018867</v>
      </c>
      <c r="M584" s="57" t="s">
        <v>68</v>
      </c>
      <c r="N584" s="47">
        <f t="shared" ref="N584:N604" si="127">-C584</f>
        <v>-10000</v>
      </c>
      <c r="O584" s="51" t="s">
        <v>83</v>
      </c>
    </row>
    <row r="585" spans="1:15" s="75" customFormat="1" x14ac:dyDescent="0.3">
      <c r="A585" s="84" t="s">
        <v>136</v>
      </c>
      <c r="B585" s="50">
        <v>45649</v>
      </c>
      <c r="C585" s="47">
        <v>5000</v>
      </c>
      <c r="D585" s="47">
        <f t="shared" si="121"/>
        <v>10.982638644830253</v>
      </c>
      <c r="E585" s="48">
        <f>455.264</f>
        <v>455.26400000000001</v>
      </c>
      <c r="F585" s="37">
        <f>VLOOKUP("INF277KA1CO5", [1]NAVAll!B$1:E$501244,4,FALSE)</f>
        <v>14.5055</v>
      </c>
      <c r="G585" s="47">
        <f t="shared" si="122"/>
        <v>6603.8319519999995</v>
      </c>
      <c r="H585" s="49">
        <f>0</f>
        <v>0</v>
      </c>
      <c r="I585" s="48">
        <f t="shared" si="123"/>
        <v>1603.8319519999995</v>
      </c>
      <c r="J585" s="46">
        <f t="shared" si="124"/>
        <v>0.32076639039999993</v>
      </c>
      <c r="K585" s="47">
        <f t="shared" ca="1" si="125"/>
        <v>19</v>
      </c>
      <c r="L585" s="46">
        <f t="shared" ca="1" si="126"/>
        <v>0.20258929919999993</v>
      </c>
      <c r="M585" s="57" t="s">
        <v>68</v>
      </c>
      <c r="N585" s="47">
        <f t="shared" si="127"/>
        <v>-5000</v>
      </c>
      <c r="O585" s="51" t="s">
        <v>83</v>
      </c>
    </row>
    <row r="586" spans="1:15" s="75" customFormat="1" x14ac:dyDescent="0.3">
      <c r="A586" s="84" t="s">
        <v>136</v>
      </c>
      <c r="B586" s="50">
        <v>45679</v>
      </c>
      <c r="C586" s="47">
        <v>5000</v>
      </c>
      <c r="D586" s="47">
        <f t="shared" si="121"/>
        <v>9.9767939772090113</v>
      </c>
      <c r="E586" s="48">
        <f>501.163</f>
        <v>501.16300000000001</v>
      </c>
      <c r="F586" s="37">
        <f>VLOOKUP("INF277KA1CO5", [1]NAVAll!B$1:E$501244,4,FALSE)</f>
        <v>14.5055</v>
      </c>
      <c r="G586" s="47">
        <f t="shared" si="122"/>
        <v>7269.6198965000003</v>
      </c>
      <c r="H586" s="49">
        <f>0</f>
        <v>0</v>
      </c>
      <c r="I586" s="48">
        <f t="shared" si="123"/>
        <v>2269.6198965000003</v>
      </c>
      <c r="J586" s="46">
        <f t="shared" si="124"/>
        <v>0.45392397930000006</v>
      </c>
      <c r="K586" s="47">
        <f t="shared" ca="1" si="125"/>
        <v>18.033333333333335</v>
      </c>
      <c r="L586" s="46">
        <f t="shared" ca="1" si="126"/>
        <v>0.30205662208502776</v>
      </c>
      <c r="M586" s="57" t="s">
        <v>68</v>
      </c>
      <c r="N586" s="47">
        <f t="shared" si="127"/>
        <v>-5000</v>
      </c>
      <c r="O586" s="51" t="s">
        <v>83</v>
      </c>
    </row>
    <row r="587" spans="1:15" s="75" customFormat="1" x14ac:dyDescent="0.3">
      <c r="A587" s="84" t="s">
        <v>136</v>
      </c>
      <c r="B587" s="50">
        <v>45712</v>
      </c>
      <c r="C587" s="47">
        <v>5000</v>
      </c>
      <c r="D587" s="47">
        <f t="shared" si="121"/>
        <v>9.1586497952125896</v>
      </c>
      <c r="E587" s="48">
        <f>545.932</f>
        <v>545.93200000000002</v>
      </c>
      <c r="F587" s="37">
        <f>VLOOKUP("INF277KA1CO5", [1]NAVAll!B$1:E$501244,4,FALSE)</f>
        <v>14.5055</v>
      </c>
      <c r="G587" s="47">
        <f t="shared" si="122"/>
        <v>7919.0166259999996</v>
      </c>
      <c r="H587" s="49">
        <f>0</f>
        <v>0</v>
      </c>
      <c r="I587" s="48">
        <f t="shared" si="123"/>
        <v>2919.0166259999996</v>
      </c>
      <c r="J587" s="46">
        <f t="shared" si="124"/>
        <v>0.58380332519999989</v>
      </c>
      <c r="K587" s="47">
        <f t="shared" ca="1" si="125"/>
        <v>16.966666666666665</v>
      </c>
      <c r="L587" s="46">
        <f t="shared" ca="1" si="126"/>
        <v>0.41290608462082512</v>
      </c>
      <c r="M587" s="57" t="s">
        <v>68</v>
      </c>
      <c r="N587" s="47">
        <f t="shared" si="127"/>
        <v>-5000</v>
      </c>
      <c r="O587" s="51" t="s">
        <v>83</v>
      </c>
    </row>
    <row r="588" spans="1:15" s="75" customFormat="1" x14ac:dyDescent="0.3">
      <c r="A588" s="84" t="s">
        <v>136</v>
      </c>
      <c r="B588" s="50">
        <v>45740</v>
      </c>
      <c r="C588" s="47">
        <v>5000</v>
      </c>
      <c r="D588" s="47">
        <f t="shared" si="121"/>
        <v>9.1471557833807147</v>
      </c>
      <c r="E588" s="48">
        <f>546.618</f>
        <v>546.61800000000005</v>
      </c>
      <c r="F588" s="37">
        <f>VLOOKUP("INF277KA1CO5", [1]NAVAll!B$1:E$501244,4,FALSE)</f>
        <v>14.5055</v>
      </c>
      <c r="G588" s="47">
        <f t="shared" si="122"/>
        <v>7928.9673990000001</v>
      </c>
      <c r="H588" s="49">
        <f>0</f>
        <v>0</v>
      </c>
      <c r="I588" s="48">
        <f t="shared" si="123"/>
        <v>2928.9673990000001</v>
      </c>
      <c r="J588" s="46">
        <f t="shared" si="124"/>
        <v>0.58579347980000007</v>
      </c>
      <c r="K588" s="47">
        <f t="shared" ca="1" si="125"/>
        <v>15.966666666666667</v>
      </c>
      <c r="L588" s="46">
        <f t="shared" ca="1" si="126"/>
        <v>0.44026232302296459</v>
      </c>
      <c r="M588" s="57" t="s">
        <v>68</v>
      </c>
      <c r="N588" s="47">
        <f t="shared" si="127"/>
        <v>-5000</v>
      </c>
      <c r="O588" s="51" t="s">
        <v>83</v>
      </c>
    </row>
    <row r="589" spans="1:15" s="75" customFormat="1" x14ac:dyDescent="0.3">
      <c r="A589" s="84" t="s">
        <v>136</v>
      </c>
      <c r="B589" s="50">
        <v>45769</v>
      </c>
      <c r="C589" s="47">
        <v>5000</v>
      </c>
      <c r="D589" s="47">
        <f t="shared" si="121"/>
        <v>10.313914295497771</v>
      </c>
      <c r="E589" s="48">
        <f>484.782</f>
        <v>484.78199999999998</v>
      </c>
      <c r="F589" s="37">
        <f>VLOOKUP("INF277KA1CO5", [1]NAVAll!B$1:E$501244,4,FALSE)</f>
        <v>14.5055</v>
      </c>
      <c r="G589" s="47">
        <f t="shared" si="122"/>
        <v>7032.0053009999992</v>
      </c>
      <c r="H589" s="49">
        <f>0</f>
        <v>0</v>
      </c>
      <c r="I589" s="48">
        <f t="shared" si="123"/>
        <v>2032.0053009999992</v>
      </c>
      <c r="J589" s="46">
        <f t="shared" si="124"/>
        <v>0.40640106019999983</v>
      </c>
      <c r="K589" s="47">
        <f t="shared" ca="1" si="125"/>
        <v>15.033333333333333</v>
      </c>
      <c r="L589" s="46">
        <f t="shared" ca="1" si="126"/>
        <v>0.32439995936141891</v>
      </c>
      <c r="M589" s="57" t="s">
        <v>68</v>
      </c>
      <c r="N589" s="47">
        <f t="shared" si="127"/>
        <v>-5000</v>
      </c>
      <c r="O589" s="51" t="s">
        <v>83</v>
      </c>
    </row>
    <row r="590" spans="1:15" s="75" customFormat="1" x14ac:dyDescent="0.3">
      <c r="A590" s="84" t="s">
        <v>136</v>
      </c>
      <c r="B590" s="50">
        <v>45799</v>
      </c>
      <c r="C590" s="47">
        <v>5000</v>
      </c>
      <c r="D590" s="47">
        <f t="shared" si="121"/>
        <v>10.977237600112407</v>
      </c>
      <c r="E590" s="48">
        <f>455.488</f>
        <v>455.488</v>
      </c>
      <c r="F590" s="37">
        <f>VLOOKUP("INF277KA1CO5", [1]NAVAll!B$1:E$501244,4,FALSE)</f>
        <v>14.5055</v>
      </c>
      <c r="G590" s="47">
        <f t="shared" si="122"/>
        <v>6607.0811839999997</v>
      </c>
      <c r="H590" s="49">
        <f>0</f>
        <v>0</v>
      </c>
      <c r="I590" s="48">
        <f t="shared" si="123"/>
        <v>1607.0811839999997</v>
      </c>
      <c r="J590" s="46">
        <f t="shared" si="124"/>
        <v>0.32141623679999992</v>
      </c>
      <c r="K590" s="47">
        <f t="shared" ca="1" si="125"/>
        <v>14.033333333333333</v>
      </c>
      <c r="L590" s="46">
        <f t="shared" ca="1" si="126"/>
        <v>0.27484523811876477</v>
      </c>
      <c r="M590" s="57" t="s">
        <v>68</v>
      </c>
      <c r="N590" s="47">
        <f t="shared" si="127"/>
        <v>-5000</v>
      </c>
      <c r="O590" s="51" t="s">
        <v>83</v>
      </c>
    </row>
    <row r="591" spans="1:15" s="75" customFormat="1" x14ac:dyDescent="0.3">
      <c r="A591" s="84" t="s">
        <v>136</v>
      </c>
      <c r="B591" s="50">
        <v>45831</v>
      </c>
      <c r="C591" s="47">
        <v>5000</v>
      </c>
      <c r="D591" s="47">
        <f t="shared" si="121"/>
        <v>12.432831627134407</v>
      </c>
      <c r="E591" s="48">
        <f>402.161</f>
        <v>402.161</v>
      </c>
      <c r="F591" s="37">
        <f>VLOOKUP("INF277KA1CO5", [1]NAVAll!B$1:E$501244,4,FALSE)</f>
        <v>14.5055</v>
      </c>
      <c r="G591" s="47">
        <f t="shared" si="122"/>
        <v>5833.5463854999998</v>
      </c>
      <c r="H591" s="49">
        <f>0</f>
        <v>0</v>
      </c>
      <c r="I591" s="48">
        <f t="shared" si="123"/>
        <v>833.54638549999981</v>
      </c>
      <c r="J591" s="46">
        <f t="shared" si="124"/>
        <v>0.16670927709999997</v>
      </c>
      <c r="K591" s="47">
        <f t="shared" ca="1" si="125"/>
        <v>13</v>
      </c>
      <c r="L591" s="46">
        <f t="shared" ca="1" si="126"/>
        <v>0.15388548655384612</v>
      </c>
      <c r="M591" s="57" t="s">
        <v>68</v>
      </c>
      <c r="N591" s="47">
        <f t="shared" si="127"/>
        <v>-5000</v>
      </c>
      <c r="O591" s="51" t="s">
        <v>83</v>
      </c>
    </row>
    <row r="592" spans="1:15" s="75" customFormat="1" x14ac:dyDescent="0.3">
      <c r="A592" s="84" t="s">
        <v>136</v>
      </c>
      <c r="B592" s="50">
        <v>45860</v>
      </c>
      <c r="C592" s="47">
        <v>5000</v>
      </c>
      <c r="D592" s="47">
        <f t="shared" si="121"/>
        <v>12.686233913855398</v>
      </c>
      <c r="E592" s="48">
        <f>394.128</f>
        <v>394.12799999999999</v>
      </c>
      <c r="F592" s="37">
        <f>VLOOKUP("INF277KA1CO5", [1]NAVAll!B$1:E$501244,4,FALSE)</f>
        <v>14.5055</v>
      </c>
      <c r="G592" s="47">
        <f t="shared" si="122"/>
        <v>5717.0237039999993</v>
      </c>
      <c r="H592" s="49">
        <f>0</f>
        <v>0</v>
      </c>
      <c r="I592" s="48">
        <f t="shared" si="123"/>
        <v>717.02370399999927</v>
      </c>
      <c r="J592" s="46">
        <f t="shared" si="124"/>
        <v>0.14340474079999985</v>
      </c>
      <c r="K592" s="47">
        <f t="shared" ca="1" si="125"/>
        <v>12.033333333333333</v>
      </c>
      <c r="L592" s="46">
        <f t="shared" ca="1" si="126"/>
        <v>0.14300749775069235</v>
      </c>
      <c r="M592" s="57" t="s">
        <v>68</v>
      </c>
      <c r="N592" s="47">
        <f t="shared" si="127"/>
        <v>-5000</v>
      </c>
      <c r="O592" s="51" t="s">
        <v>83</v>
      </c>
    </row>
    <row r="593" spans="1:15" s="75" customFormat="1" x14ac:dyDescent="0.3">
      <c r="A593" s="84" t="s">
        <v>136</v>
      </c>
      <c r="B593" s="50">
        <v>45891</v>
      </c>
      <c r="C593" s="47">
        <v>10000</v>
      </c>
      <c r="D593" s="47">
        <f t="shared" si="121"/>
        <v>12.060500293673181</v>
      </c>
      <c r="E593" s="48">
        <f>829.153</f>
        <v>829.15300000000002</v>
      </c>
      <c r="F593" s="37">
        <f>VLOOKUP("INF277KA1CO5", [1]NAVAll!B$1:E$501244,4,FALSE)</f>
        <v>14.5055</v>
      </c>
      <c r="G593" s="47">
        <f t="shared" si="122"/>
        <v>12027.2788415</v>
      </c>
      <c r="H593" s="49">
        <f>0</f>
        <v>0</v>
      </c>
      <c r="I593" s="48">
        <f t="shared" si="123"/>
        <v>2027.2788414999995</v>
      </c>
      <c r="J593" s="46">
        <f t="shared" si="124"/>
        <v>0.20272788414999995</v>
      </c>
      <c r="K593" s="47">
        <f t="shared" ca="1" si="125"/>
        <v>11.033333333333333</v>
      </c>
      <c r="L593" s="46">
        <f t="shared" ca="1" si="126"/>
        <v>0.22048954167371596</v>
      </c>
      <c r="M593" s="57" t="s">
        <v>68</v>
      </c>
      <c r="N593" s="47">
        <f t="shared" si="127"/>
        <v>-10000</v>
      </c>
      <c r="O593" s="51" t="s">
        <v>83</v>
      </c>
    </row>
    <row r="594" spans="1:15" s="75" customFormat="1" x14ac:dyDescent="0.3">
      <c r="A594" s="84" t="s">
        <v>136</v>
      </c>
      <c r="B594" s="50">
        <v>45922</v>
      </c>
      <c r="C594" s="47">
        <v>10000</v>
      </c>
      <c r="D594" s="47">
        <f t="shared" si="121"/>
        <v>11.728788193332655</v>
      </c>
      <c r="E594" s="48">
        <f>852.603</f>
        <v>852.60299999999995</v>
      </c>
      <c r="F594" s="37">
        <f>VLOOKUP("INF277KA1CO5", [1]NAVAll!B$1:E$501244,4,FALSE)</f>
        <v>14.5055</v>
      </c>
      <c r="G594" s="47">
        <f t="shared" si="122"/>
        <v>12367.432816499999</v>
      </c>
      <c r="H594" s="49">
        <f>0</f>
        <v>0</v>
      </c>
      <c r="I594" s="48">
        <f t="shared" si="123"/>
        <v>2367.4328164999988</v>
      </c>
      <c r="J594" s="46">
        <f t="shared" si="124"/>
        <v>0.23674328164999989</v>
      </c>
      <c r="K594" s="47">
        <f t="shared" ca="1" si="125"/>
        <v>10.033333333333333</v>
      </c>
      <c r="L594" s="46">
        <f t="shared" ca="1" si="126"/>
        <v>0.28314811094352144</v>
      </c>
      <c r="M594" s="57" t="s">
        <v>68</v>
      </c>
      <c r="N594" s="47">
        <f t="shared" si="127"/>
        <v>-10000</v>
      </c>
      <c r="O594" s="51" t="s">
        <v>83</v>
      </c>
    </row>
    <row r="595" spans="1:15" s="75" customFormat="1" x14ac:dyDescent="0.3">
      <c r="A595" s="84" t="s">
        <v>136</v>
      </c>
      <c r="B595" s="50">
        <v>45953</v>
      </c>
      <c r="C595" s="47">
        <v>10000</v>
      </c>
      <c r="D595" s="47">
        <f t="shared" si="121"/>
        <v>12.634829423485369</v>
      </c>
      <c r="E595" s="48">
        <f>791.463</f>
        <v>791.46299999999997</v>
      </c>
      <c r="F595" s="37">
        <f>VLOOKUP("INF277KA1CO5", [1]NAVAll!B$1:E$501244,4,FALSE)</f>
        <v>14.5055</v>
      </c>
      <c r="G595" s="47">
        <f t="shared" si="122"/>
        <v>11480.566546499998</v>
      </c>
      <c r="H595" s="49">
        <f>0</f>
        <v>0</v>
      </c>
      <c r="I595" s="48">
        <f t="shared" si="123"/>
        <v>1480.5665464999984</v>
      </c>
      <c r="J595" s="46">
        <f t="shared" si="124"/>
        <v>0.14805665464999984</v>
      </c>
      <c r="K595" s="47">
        <f t="shared" ca="1" si="125"/>
        <v>9</v>
      </c>
      <c r="L595" s="46">
        <f t="shared" ca="1" si="126"/>
        <v>0.19740887286666645</v>
      </c>
      <c r="M595" s="57" t="s">
        <v>68</v>
      </c>
      <c r="N595" s="47">
        <f t="shared" si="127"/>
        <v>-10000</v>
      </c>
      <c r="O595" s="51" t="s">
        <v>83</v>
      </c>
    </row>
    <row r="596" spans="1:15" s="75" customFormat="1" x14ac:dyDescent="0.3">
      <c r="A596" s="84" t="s">
        <v>136</v>
      </c>
      <c r="B596" s="50">
        <v>45985</v>
      </c>
      <c r="C596" s="47">
        <v>10000</v>
      </c>
      <c r="D596" s="47">
        <f t="shared" si="121"/>
        <v>12.78433969524691</v>
      </c>
      <c r="E596" s="48">
        <f>782.207</f>
        <v>782.20699999999999</v>
      </c>
      <c r="F596" s="37">
        <f>VLOOKUP("INF277KA1CO5", [1]NAVAll!B$1:E$501244,4,FALSE)</f>
        <v>14.5055</v>
      </c>
      <c r="G596" s="47">
        <f t="shared" si="122"/>
        <v>11346.3036385</v>
      </c>
      <c r="H596" s="49">
        <f>0</f>
        <v>0</v>
      </c>
      <c r="I596" s="48">
        <f t="shared" si="123"/>
        <v>1346.3036384999996</v>
      </c>
      <c r="J596" s="46">
        <f t="shared" si="124"/>
        <v>0.13463036384999996</v>
      </c>
      <c r="K596" s="47">
        <f t="shared" ca="1" si="125"/>
        <v>7.9666666666666668</v>
      </c>
      <c r="L596" s="46">
        <f t="shared" ca="1" si="126"/>
        <v>0.20279050621757316</v>
      </c>
      <c r="M596" s="57" t="s">
        <v>68</v>
      </c>
      <c r="N596" s="47">
        <f t="shared" si="127"/>
        <v>-10000</v>
      </c>
      <c r="O596" s="51" t="s">
        <v>83</v>
      </c>
    </row>
    <row r="597" spans="1:15" s="75" customFormat="1" x14ac:dyDescent="0.3">
      <c r="A597" s="84" t="s">
        <v>136</v>
      </c>
      <c r="B597" s="50">
        <v>46013</v>
      </c>
      <c r="C597" s="47">
        <v>10000</v>
      </c>
      <c r="D597" s="47">
        <f t="shared" si="121"/>
        <v>12.883642669593831</v>
      </c>
      <c r="E597" s="48">
        <f>776.178</f>
        <v>776.178</v>
      </c>
      <c r="F597" s="37">
        <f>VLOOKUP("INF277KA1CO5", [1]NAVAll!B$1:E$501244,4,FALSE)</f>
        <v>14.5055</v>
      </c>
      <c r="G597" s="47">
        <f t="shared" si="122"/>
        <v>11258.849979000001</v>
      </c>
      <c r="H597" s="49">
        <f>0</f>
        <v>0</v>
      </c>
      <c r="I597" s="48">
        <f t="shared" si="123"/>
        <v>1258.8499790000005</v>
      </c>
      <c r="J597" s="46">
        <f t="shared" si="124"/>
        <v>0.12588499790000005</v>
      </c>
      <c r="K597" s="47">
        <f t="shared" ca="1" si="125"/>
        <v>7.0333333333333332</v>
      </c>
      <c r="L597" s="46">
        <f t="shared" ca="1" si="126"/>
        <v>0.21478009120379155</v>
      </c>
      <c r="M597" s="57" t="s">
        <v>68</v>
      </c>
      <c r="N597" s="47">
        <f t="shared" si="127"/>
        <v>-10000</v>
      </c>
      <c r="O597" s="51" t="s">
        <v>83</v>
      </c>
    </row>
    <row r="598" spans="1:15" s="75" customFormat="1" x14ac:dyDescent="0.3">
      <c r="A598" s="84" t="s">
        <v>136</v>
      </c>
      <c r="B598" s="50">
        <v>46044</v>
      </c>
      <c r="C598" s="47">
        <v>10000</v>
      </c>
      <c r="D598" s="47">
        <f t="shared" si="121"/>
        <v>12.427022311475858</v>
      </c>
      <c r="E598" s="48">
        <f>804.698</f>
        <v>804.69799999999998</v>
      </c>
      <c r="F598" s="37">
        <f>VLOOKUP("INF277KA1CO5", [1]NAVAll!B$1:E$501244,4,FALSE)</f>
        <v>14.5055</v>
      </c>
      <c r="G598" s="47">
        <f t="shared" si="122"/>
        <v>11672.546838999999</v>
      </c>
      <c r="H598" s="49">
        <f>0</f>
        <v>0</v>
      </c>
      <c r="I598" s="48">
        <f t="shared" si="123"/>
        <v>1672.5468389999987</v>
      </c>
      <c r="J598" s="46">
        <f t="shared" si="124"/>
        <v>0.16725468389999987</v>
      </c>
      <c r="K598" s="47">
        <f t="shared" ca="1" si="125"/>
        <v>6.0333333333333332</v>
      </c>
      <c r="L598" s="46">
        <f t="shared" ca="1" si="126"/>
        <v>0.33266124974585609</v>
      </c>
      <c r="M598" s="57" t="s">
        <v>68</v>
      </c>
      <c r="N598" s="47">
        <f t="shared" si="127"/>
        <v>-10000</v>
      </c>
      <c r="O598" s="51" t="s">
        <v>83</v>
      </c>
    </row>
    <row r="599" spans="1:15" s="75" customFormat="1" x14ac:dyDescent="0.3">
      <c r="A599" s="84" t="s">
        <v>136</v>
      </c>
      <c r="B599" s="50">
        <v>46076</v>
      </c>
      <c r="C599" s="47">
        <v>10000</v>
      </c>
      <c r="D599" s="47">
        <f t="shared" si="121"/>
        <v>12.755736573630577</v>
      </c>
      <c r="E599" s="48">
        <f>783.961</f>
        <v>783.96100000000001</v>
      </c>
      <c r="F599" s="37">
        <f>VLOOKUP("INF277KA1CO5", [1]NAVAll!B$1:E$501244,4,FALSE)</f>
        <v>14.5055</v>
      </c>
      <c r="G599" s="47">
        <f t="shared" si="122"/>
        <v>11371.746285499999</v>
      </c>
      <c r="H599" s="49">
        <f>0</f>
        <v>0</v>
      </c>
      <c r="I599" s="48">
        <f t="shared" si="123"/>
        <v>1371.7462854999994</v>
      </c>
      <c r="J599" s="46">
        <f t="shared" si="124"/>
        <v>0.13717462854999996</v>
      </c>
      <c r="K599" s="47">
        <f t="shared" ca="1" si="125"/>
        <v>5</v>
      </c>
      <c r="L599" s="46">
        <f t="shared" ca="1" si="126"/>
        <v>0.32921910851999991</v>
      </c>
      <c r="M599" s="57" t="s">
        <v>68</v>
      </c>
      <c r="N599" s="47">
        <f t="shared" si="127"/>
        <v>-10000</v>
      </c>
      <c r="O599" s="51" t="s">
        <v>83</v>
      </c>
    </row>
    <row r="600" spans="1:15" s="75" customFormat="1" x14ac:dyDescent="0.3">
      <c r="A600" s="84" t="s">
        <v>136</v>
      </c>
      <c r="B600" s="50">
        <v>46104</v>
      </c>
      <c r="C600" s="47">
        <v>10000</v>
      </c>
      <c r="D600" s="47">
        <f t="shared" si="121"/>
        <v>11.565680923681542</v>
      </c>
      <c r="E600" s="48">
        <f>864.627</f>
        <v>864.62699999999995</v>
      </c>
      <c r="F600" s="37">
        <f>VLOOKUP("INF277KA1CO5", [1]NAVAll!B$1:E$501244,4,FALSE)</f>
        <v>14.5055</v>
      </c>
      <c r="G600" s="47">
        <f t="shared" si="122"/>
        <v>12541.846948499999</v>
      </c>
      <c r="H600" s="49">
        <f>0</f>
        <v>0</v>
      </c>
      <c r="I600" s="48">
        <f t="shared" si="123"/>
        <v>2541.8469484999987</v>
      </c>
      <c r="J600" s="46">
        <f t="shared" si="124"/>
        <v>0.25418469484999989</v>
      </c>
      <c r="K600" s="47">
        <f t="shared" ca="1" si="125"/>
        <v>4</v>
      </c>
      <c r="L600" s="46">
        <f t="shared" ca="1" si="126"/>
        <v>0.76255408454999962</v>
      </c>
      <c r="M600" s="57" t="s">
        <v>68</v>
      </c>
      <c r="N600" s="47">
        <f t="shared" si="127"/>
        <v>-10000</v>
      </c>
      <c r="O600" s="51" t="s">
        <v>83</v>
      </c>
    </row>
    <row r="601" spans="1:15" s="75" customFormat="1" x14ac:dyDescent="0.3">
      <c r="A601" s="84" t="s">
        <v>136</v>
      </c>
      <c r="B601" s="50">
        <v>46134</v>
      </c>
      <c r="C601" s="47">
        <v>10000</v>
      </c>
      <c r="D601" s="47">
        <f t="shared" si="121"/>
        <v>14.233011477500456</v>
      </c>
      <c r="E601" s="48">
        <f>702.592</f>
        <v>702.59199999999998</v>
      </c>
      <c r="F601" s="37">
        <f>VLOOKUP("INF277KA1CO5", [1]NAVAll!B$1:E$501244,4,FALSE)</f>
        <v>14.5055</v>
      </c>
      <c r="G601" s="47">
        <f t="shared" si="122"/>
        <v>10191.448256</v>
      </c>
      <c r="H601" s="49">
        <f>0</f>
        <v>0</v>
      </c>
      <c r="I601" s="48">
        <f t="shared" si="123"/>
        <v>191.44825599999967</v>
      </c>
      <c r="J601" s="46">
        <f t="shared" si="124"/>
        <v>1.9144825599999967E-2</v>
      </c>
      <c r="K601" s="47">
        <f t="shared" ca="1" si="125"/>
        <v>3.0333333333333332</v>
      </c>
      <c r="L601" s="46">
        <f t="shared" ca="1" si="126"/>
        <v>7.5737771604395474E-2</v>
      </c>
      <c r="M601" s="57" t="s">
        <v>68</v>
      </c>
      <c r="N601" s="47">
        <f t="shared" si="127"/>
        <v>-10000</v>
      </c>
      <c r="O601" s="51" t="s">
        <v>83</v>
      </c>
    </row>
    <row r="602" spans="1:15" s="75" customFormat="1" x14ac:dyDescent="0.3">
      <c r="A602" s="84" t="s">
        <v>136</v>
      </c>
      <c r="B602" s="50">
        <v>46164</v>
      </c>
      <c r="C602" s="47">
        <v>10000</v>
      </c>
      <c r="D602" s="47">
        <f t="shared" si="121"/>
        <v>15.111857972714031</v>
      </c>
      <c r="E602" s="48">
        <f>661.732</f>
        <v>661.73199999999997</v>
      </c>
      <c r="F602" s="37">
        <f>VLOOKUP("INF277KA1CO5", [1]NAVAll!B$1:E$501244,4,FALSE)</f>
        <v>14.5055</v>
      </c>
      <c r="G602" s="47">
        <f t="shared" si="122"/>
        <v>9598.7535259999986</v>
      </c>
      <c r="H602" s="49">
        <f>0</f>
        <v>0</v>
      </c>
      <c r="I602" s="48">
        <f t="shared" si="123"/>
        <v>-401.2464740000014</v>
      </c>
      <c r="J602" s="46">
        <f t="shared" si="124"/>
        <v>-4.0124647400000137E-2</v>
      </c>
      <c r="K602" s="47">
        <f t="shared" ca="1" si="125"/>
        <v>2.0333333333333332</v>
      </c>
      <c r="L602" s="46">
        <f t="shared" ca="1" si="126"/>
        <v>-0.23680119777049263</v>
      </c>
      <c r="M602" s="57" t="s">
        <v>68</v>
      </c>
      <c r="N602" s="47">
        <f t="shared" si="127"/>
        <v>-10000</v>
      </c>
      <c r="O602" s="51" t="s">
        <v>83</v>
      </c>
    </row>
    <row r="603" spans="1:15" s="75" customFormat="1" x14ac:dyDescent="0.3">
      <c r="A603" s="84" t="s">
        <v>136</v>
      </c>
      <c r="B603" s="50">
        <v>46195</v>
      </c>
      <c r="C603" s="47">
        <v>10000</v>
      </c>
      <c r="D603" s="47">
        <f t="shared" si="121"/>
        <v>15.174161437903539</v>
      </c>
      <c r="E603" s="48">
        <f>659.015</f>
        <v>659.01499999999999</v>
      </c>
      <c r="F603" s="37">
        <f>VLOOKUP("INF277KA1CO5", [1]NAVAll!B$1:E$501244,4,FALSE)</f>
        <v>14.5055</v>
      </c>
      <c r="G603" s="47">
        <f t="shared" si="122"/>
        <v>9559.3420824999994</v>
      </c>
      <c r="H603" s="49">
        <f>0</f>
        <v>0</v>
      </c>
      <c r="I603" s="48">
        <f t="shared" si="123"/>
        <v>-440.65791750000062</v>
      </c>
      <c r="J603" s="46">
        <f t="shared" si="124"/>
        <v>-4.4065791750000062E-2</v>
      </c>
      <c r="K603" s="47">
        <f t="shared" ca="1" si="125"/>
        <v>1.0333333333333334</v>
      </c>
      <c r="L603" s="46">
        <f t="shared" ca="1" si="126"/>
        <v>-0.51173177516129098</v>
      </c>
      <c r="M603" s="57" t="s">
        <v>68</v>
      </c>
      <c r="N603" s="47">
        <f t="shared" si="127"/>
        <v>-10000</v>
      </c>
      <c r="O603" s="51" t="s">
        <v>83</v>
      </c>
    </row>
    <row r="604" spans="1:15" s="75" customFormat="1" x14ac:dyDescent="0.3">
      <c r="A604" s="84" t="s">
        <v>136</v>
      </c>
      <c r="B604" s="50">
        <v>46225</v>
      </c>
      <c r="C604" s="47">
        <v>10000</v>
      </c>
      <c r="D604" s="47">
        <f t="shared" si="121"/>
        <v>14.506229700344813</v>
      </c>
      <c r="E604" s="48">
        <f>689.359</f>
        <v>689.35900000000004</v>
      </c>
      <c r="F604" s="37">
        <f>VLOOKUP("INF277KA1CO5", [1]NAVAll!B$1:E$501244,4,FALSE)</f>
        <v>14.5055</v>
      </c>
      <c r="G604" s="47">
        <f t="shared" si="122"/>
        <v>9999.4969744999999</v>
      </c>
      <c r="H604" s="49">
        <f>0</f>
        <v>0</v>
      </c>
      <c r="I604" s="48">
        <f t="shared" si="123"/>
        <v>-0.5030255000001489</v>
      </c>
      <c r="J604" s="46">
        <f t="shared" si="124"/>
        <v>-5.0302550000014893E-5</v>
      </c>
      <c r="K604" s="47">
        <f t="shared" ca="1" si="125"/>
        <v>3.3333333333333333E-2</v>
      </c>
      <c r="L604" s="46">
        <f t="shared" ca="1" si="126"/>
        <v>-1.8108918000005362E-2</v>
      </c>
      <c r="M604" s="57" t="s">
        <v>68</v>
      </c>
      <c r="N604" s="47">
        <f t="shared" si="127"/>
        <v>-10000</v>
      </c>
      <c r="O604" s="51" t="s">
        <v>83</v>
      </c>
    </row>
    <row r="605" spans="1:15" s="75" customFormat="1" x14ac:dyDescent="0.3">
      <c r="A605" s="76" t="s">
        <v>137</v>
      </c>
      <c r="B605" s="77">
        <f ca="1">TODAY()</f>
        <v>46226</v>
      </c>
      <c r="C605" s="78"/>
      <c r="D605" s="78"/>
      <c r="E605" s="79"/>
      <c r="F605" s="80"/>
      <c r="G605" s="78"/>
      <c r="H605" s="80"/>
      <c r="I605" s="79"/>
      <c r="J605" s="81"/>
      <c r="K605" s="78"/>
      <c r="L605" s="81"/>
      <c r="M605" s="82"/>
      <c r="N605" s="78">
        <f>SUM(G584:G604)</f>
        <v>201104.55661549998</v>
      </c>
      <c r="O605" s="51"/>
    </row>
    <row r="606" spans="1:15" s="75" customFormat="1" x14ac:dyDescent="0.3">
      <c r="A606" s="76" t="s">
        <v>138</v>
      </c>
      <c r="B606" s="77"/>
      <c r="C606" s="78"/>
      <c r="D606" s="78"/>
      <c r="E606" s="79"/>
      <c r="F606" s="80"/>
      <c r="G606" s="78"/>
      <c r="H606" s="80"/>
      <c r="I606" s="79"/>
      <c r="J606" s="81">
        <f>SUM(N584:N605)/-SUM(N584:N604)</f>
        <v>0.18296798009117637</v>
      </c>
      <c r="K606" s="78"/>
      <c r="L606" s="81"/>
      <c r="M606" s="82"/>
      <c r="N606" s="78"/>
      <c r="O606" s="51"/>
    </row>
    <row r="607" spans="1:15" s="75" customFormat="1" x14ac:dyDescent="0.3">
      <c r="A607" s="76" t="s">
        <v>139</v>
      </c>
      <c r="B607" s="77"/>
      <c r="C607" s="78"/>
      <c r="D607" s="78"/>
      <c r="E607" s="79"/>
      <c r="F607" s="80"/>
      <c r="G607" s="78"/>
      <c r="H607" s="80"/>
      <c r="I607" s="79"/>
      <c r="J607" s="81">
        <f ca="1">XIRR(N584:N605,B584:B605)</f>
        <v>0.25143062472343458</v>
      </c>
      <c r="K607" s="78"/>
      <c r="L607" s="81"/>
      <c r="M607" s="82"/>
      <c r="N607" s="78"/>
      <c r="O607" s="51"/>
    </row>
    <row r="608" spans="1:15" ht="15.75" x14ac:dyDescent="0.3">
      <c r="A608" s="85"/>
      <c r="B608" s="85"/>
      <c r="C608" s="47">
        <f>SUM(C2:C607)</f>
        <v>5938155.159</v>
      </c>
      <c r="D608" s="51"/>
      <c r="E608" s="51"/>
      <c r="F608" s="51"/>
      <c r="G608" s="47">
        <f>SUM(G2:G607)</f>
        <v>8939069.8238734044</v>
      </c>
      <c r="H608" s="47">
        <f>SUM(H2:H607)</f>
        <v>0</v>
      </c>
      <c r="I608" s="47">
        <f>SUM(I2:I607)</f>
        <v>3000914.6648733984</v>
      </c>
      <c r="J608" s="46">
        <f>I608/C608</f>
        <v>0.50536144383582593</v>
      </c>
      <c r="K608" s="85"/>
      <c r="L608" s="85"/>
      <c r="M608" s="85"/>
      <c r="N608" s="47">
        <f>G608</f>
        <v>8939069.8238734044</v>
      </c>
      <c r="O608" s="85"/>
    </row>
    <row r="612" spans="5:8" ht="15.75" x14ac:dyDescent="0.3">
      <c r="F612" s="87" t="s">
        <v>140</v>
      </c>
      <c r="G612" s="47">
        <f>N46+N194+N276+N424+N463+N503+N542+N605+N401+N154+N581+N419</f>
        <v>4546553.6118707005</v>
      </c>
    </row>
    <row r="613" spans="5:8" ht="15.75" x14ac:dyDescent="0.3">
      <c r="F613" s="87" t="s">
        <v>141</v>
      </c>
      <c r="G613" s="47">
        <f>G608-G612</f>
        <v>4392516.2120027039</v>
      </c>
    </row>
    <row r="614" spans="5:8" ht="15.75" x14ac:dyDescent="0.3">
      <c r="F614" s="87" t="s">
        <v>61</v>
      </c>
      <c r="G614" s="47">
        <f ca="1">XIRR(N2:N607,B2:B607)*100</f>
        <v>15.770391821861271</v>
      </c>
    </row>
    <row r="618" spans="5:8" ht="15.75" x14ac:dyDescent="0.3">
      <c r="E618" s="88"/>
      <c r="F618" s="89"/>
      <c r="H618" s="90"/>
    </row>
    <row r="619" spans="5:8" ht="15.75" x14ac:dyDescent="0.3">
      <c r="E619" s="88"/>
      <c r="F619" s="89"/>
      <c r="H619" s="90"/>
    </row>
    <row r="620" spans="5:8" ht="15.75" x14ac:dyDescent="0.3">
      <c r="E620" s="88"/>
      <c r="F620" s="89"/>
      <c r="H620" s="90"/>
    </row>
  </sheetData>
  <autoFilter ref="A1:O608" xr:uid="{00000000-0001-0000-0000-000000000000}"/>
  <pageMargins left="0.7" right="0.7" top="0.75" bottom="0.75" header="0.3" footer="0.3"/>
  <pageSetup paperSize="9" orientation="portrait" r:id="rId1"/>
  <headerFooter>
    <oddFooter>&amp;LLevel 1 – 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BC9E9-B55A-4D2E-8983-EB1B1782A563}">
  <sheetPr>
    <pageSetUpPr autoPageBreaks="0"/>
  </sheetPr>
  <dimension ref="A1:W12"/>
  <sheetViews>
    <sheetView zoomScale="85" zoomScaleNormal="85" workbookViewId="0">
      <selection activeCell="J34" sqref="J34"/>
    </sheetView>
  </sheetViews>
  <sheetFormatPr defaultRowHeight="15" x14ac:dyDescent="0.25"/>
  <cols>
    <col min="1" max="1" width="13.5703125" style="86" bestFit="1" customWidth="1"/>
    <col min="2" max="2" width="14.85546875" style="86" bestFit="1" customWidth="1"/>
    <col min="3" max="3" width="13.5703125" style="86" bestFit="1" customWidth="1"/>
    <col min="4" max="4" width="14.5703125" style="86" bestFit="1" customWidth="1"/>
    <col min="5" max="5" width="16.42578125" style="86" bestFit="1" customWidth="1"/>
    <col min="6" max="6" width="9.7109375" style="86" customWidth="1"/>
    <col min="7" max="7" width="12.28515625" style="86" bestFit="1" customWidth="1"/>
    <col min="8" max="8" width="13.140625" style="86" bestFit="1" customWidth="1"/>
    <col min="9" max="9" width="11.85546875" style="86" bestFit="1" customWidth="1"/>
    <col min="10" max="10" width="10.140625" style="86" bestFit="1" customWidth="1"/>
    <col min="11" max="11" width="11.85546875" style="86" customWidth="1"/>
    <col min="12" max="12" width="10.140625" style="86" bestFit="1" customWidth="1"/>
    <col min="13" max="13" width="12.28515625" style="86" bestFit="1" customWidth="1"/>
    <col min="14" max="14" width="10.140625" style="86" bestFit="1" customWidth="1"/>
    <col min="15" max="15" width="11.85546875" style="86" bestFit="1" customWidth="1"/>
    <col min="16" max="16" width="11.85546875" style="86" customWidth="1"/>
    <col min="17" max="17" width="11.85546875" style="86" bestFit="1" customWidth="1"/>
    <col min="18" max="18" width="11.85546875" style="86" customWidth="1"/>
    <col min="19" max="20" width="12" style="86" customWidth="1"/>
    <col min="21" max="21" width="9.140625" style="86"/>
    <col min="22" max="22" width="64.5703125" style="86" customWidth="1"/>
    <col min="23" max="23" width="12.85546875" style="86" customWidth="1"/>
    <col min="24" max="16384" width="9.140625" style="86"/>
  </cols>
  <sheetData>
    <row r="1" spans="1:23" s="91" customFormat="1" ht="39.75" x14ac:dyDescent="0.3">
      <c r="A1" s="53" t="s">
        <v>54</v>
      </c>
      <c r="B1" s="53" t="s">
        <v>53</v>
      </c>
      <c r="C1" s="54" t="s">
        <v>1</v>
      </c>
      <c r="D1" s="54" t="s">
        <v>3</v>
      </c>
      <c r="E1" s="53" t="s">
        <v>142</v>
      </c>
      <c r="G1" s="53" t="s">
        <v>54</v>
      </c>
      <c r="H1" s="53" t="s">
        <v>143</v>
      </c>
      <c r="I1" s="54" t="s">
        <v>144</v>
      </c>
      <c r="J1" s="54" t="s">
        <v>3</v>
      </c>
      <c r="K1" s="53" t="s">
        <v>145</v>
      </c>
      <c r="M1" s="53" t="s">
        <v>54</v>
      </c>
      <c r="N1" s="53" t="s">
        <v>146</v>
      </c>
      <c r="O1" s="54" t="s">
        <v>1</v>
      </c>
      <c r="P1" s="53" t="s">
        <v>142</v>
      </c>
      <c r="Q1" s="54" t="s">
        <v>144</v>
      </c>
      <c r="R1" s="53" t="s">
        <v>145</v>
      </c>
      <c r="S1" s="53" t="s">
        <v>147</v>
      </c>
      <c r="T1" s="53" t="s">
        <v>148</v>
      </c>
      <c r="V1" s="86"/>
      <c r="W1" s="86"/>
    </row>
    <row r="2" spans="1:23" s="75" customFormat="1" ht="15.75" x14ac:dyDescent="0.3">
      <c r="A2" s="51" t="s">
        <v>149</v>
      </c>
      <c r="B2" s="50">
        <v>45685</v>
      </c>
      <c r="C2" s="47">
        <v>19003</v>
      </c>
      <c r="D2" s="47">
        <f t="shared" ref="D2:D3" ca="1" si="0">(DAYS360(B2,NOW(),TRUE))/30</f>
        <v>17.833333333333332</v>
      </c>
      <c r="E2" s="47">
        <f t="shared" ref="E2:E3" ca="1" si="1">SUM(C2,(C2*D2*8.5)/(12*100))</f>
        <v>21403.448402777776</v>
      </c>
      <c r="G2" s="92" t="s">
        <v>149</v>
      </c>
      <c r="H2" s="50"/>
      <c r="I2" s="47"/>
      <c r="J2" s="47">
        <f t="shared" ref="J2:J11" ca="1" si="2">(DAYS360(H2,NOW(),TRUE))/30</f>
        <v>1518.7666666666667</v>
      </c>
      <c r="K2" s="47">
        <f t="shared" ref="K2:K11" ca="1" si="3">SUM(I2,(I2*J2*8.5)/(12*100))</f>
        <v>0</v>
      </c>
      <c r="M2" s="92" t="s">
        <v>149</v>
      </c>
      <c r="N2" s="92" t="s">
        <v>150</v>
      </c>
      <c r="O2" s="47">
        <f>SUM(C2:C3)</f>
        <v>37188</v>
      </c>
      <c r="P2" s="47">
        <f ca="1">SUM(E2:E3)</f>
        <v>40339.842499999999</v>
      </c>
      <c r="Q2" s="47">
        <v>0</v>
      </c>
      <c r="R2" s="47">
        <v>0</v>
      </c>
      <c r="S2" s="47">
        <f t="shared" ref="S2:T2" si="4">O2-Q2</f>
        <v>37188</v>
      </c>
      <c r="T2" s="47">
        <f t="shared" ca="1" si="4"/>
        <v>40339.842499999999</v>
      </c>
      <c r="V2" s="86"/>
      <c r="W2" s="86"/>
    </row>
    <row r="3" spans="1:23" s="75" customFormat="1" ht="15.75" x14ac:dyDescent="0.3">
      <c r="A3" s="51" t="s">
        <v>149</v>
      </c>
      <c r="B3" s="50">
        <v>46050</v>
      </c>
      <c r="C3" s="47">
        <v>18185</v>
      </c>
      <c r="D3" s="47">
        <f t="shared" ca="1" si="0"/>
        <v>5.833333333333333</v>
      </c>
      <c r="E3" s="47">
        <f t="shared" ca="1" si="1"/>
        <v>18936.394097222223</v>
      </c>
      <c r="G3" s="92"/>
      <c r="H3" s="50"/>
      <c r="I3" s="47"/>
      <c r="J3" s="47">
        <f t="shared" ca="1" si="2"/>
        <v>1518.7666666666667</v>
      </c>
      <c r="K3" s="47">
        <f t="shared" ca="1" si="3"/>
        <v>0</v>
      </c>
      <c r="M3" s="92"/>
      <c r="N3" s="92"/>
      <c r="O3" s="47"/>
      <c r="P3" s="47"/>
      <c r="Q3" s="47"/>
      <c r="R3" s="47"/>
      <c r="S3" s="47"/>
      <c r="T3" s="47"/>
      <c r="V3" s="86"/>
      <c r="W3" s="86"/>
    </row>
    <row r="4" spans="1:23" s="75" customFormat="1" ht="15.75" x14ac:dyDescent="0.3">
      <c r="A4" s="86"/>
      <c r="B4" s="86"/>
      <c r="C4" s="47">
        <f>SUM(C2:C3)</f>
        <v>37188</v>
      </c>
      <c r="D4" s="86"/>
      <c r="E4" s="47">
        <f ca="1">SUM(E2:E3)</f>
        <v>40339.842499999999</v>
      </c>
      <c r="G4" s="92"/>
      <c r="H4" s="50"/>
      <c r="I4" s="47"/>
      <c r="J4" s="47">
        <f t="shared" ca="1" si="2"/>
        <v>1518.7666666666667</v>
      </c>
      <c r="K4" s="47">
        <f t="shared" ca="1" si="3"/>
        <v>0</v>
      </c>
      <c r="M4" s="92"/>
      <c r="N4" s="92"/>
      <c r="O4" s="47"/>
      <c r="P4" s="47"/>
      <c r="Q4" s="47"/>
      <c r="R4" s="47"/>
      <c r="S4" s="47"/>
      <c r="T4" s="47"/>
      <c r="V4" s="86"/>
      <c r="W4" s="86"/>
    </row>
    <row r="5" spans="1:23" ht="15.75" x14ac:dyDescent="0.3">
      <c r="G5" s="92"/>
      <c r="H5" s="50"/>
      <c r="I5" s="47"/>
      <c r="J5" s="47">
        <f t="shared" ca="1" si="2"/>
        <v>1518.7666666666667</v>
      </c>
      <c r="K5" s="47">
        <f t="shared" ca="1" si="3"/>
        <v>0</v>
      </c>
      <c r="M5" s="51" t="s">
        <v>12</v>
      </c>
      <c r="N5" s="75"/>
      <c r="O5" s="47">
        <f t="shared" ref="O5:T5" si="5">SUM(O2:O4)</f>
        <v>37188</v>
      </c>
      <c r="P5" s="47">
        <f t="shared" ca="1" si="5"/>
        <v>40339.842499999999</v>
      </c>
      <c r="Q5" s="47">
        <f t="shared" si="5"/>
        <v>0</v>
      </c>
      <c r="R5" s="47">
        <f t="shared" si="5"/>
        <v>0</v>
      </c>
      <c r="S5" s="47">
        <f t="shared" si="5"/>
        <v>37188</v>
      </c>
      <c r="T5" s="47">
        <f t="shared" ca="1" si="5"/>
        <v>40339.842499999999</v>
      </c>
    </row>
    <row r="6" spans="1:23" ht="15.75" x14ac:dyDescent="0.3">
      <c r="G6" s="92"/>
      <c r="H6" s="50"/>
      <c r="I6" s="47"/>
      <c r="J6" s="47">
        <f t="shared" ca="1" si="2"/>
        <v>1518.7666666666667</v>
      </c>
      <c r="K6" s="47">
        <f t="shared" ca="1" si="3"/>
        <v>0</v>
      </c>
    </row>
    <row r="7" spans="1:23" ht="15.75" x14ac:dyDescent="0.3">
      <c r="G7" s="92"/>
      <c r="H7" s="50"/>
      <c r="I7" s="47"/>
      <c r="J7" s="47">
        <f t="shared" ca="1" si="2"/>
        <v>1518.7666666666667</v>
      </c>
      <c r="K7" s="47">
        <f t="shared" ca="1" si="3"/>
        <v>0</v>
      </c>
    </row>
    <row r="8" spans="1:23" ht="15.75" x14ac:dyDescent="0.3">
      <c r="G8" s="92"/>
      <c r="H8" s="50"/>
      <c r="I8" s="47"/>
      <c r="J8" s="47">
        <f t="shared" ca="1" si="2"/>
        <v>1518.7666666666667</v>
      </c>
      <c r="K8" s="47">
        <f t="shared" ca="1" si="3"/>
        <v>0</v>
      </c>
    </row>
    <row r="9" spans="1:23" ht="15.75" x14ac:dyDescent="0.3">
      <c r="G9" s="92"/>
      <c r="H9" s="50"/>
      <c r="I9" s="47"/>
      <c r="J9" s="47">
        <f t="shared" ca="1" si="2"/>
        <v>1518.7666666666667</v>
      </c>
      <c r="K9" s="47">
        <f t="shared" ca="1" si="3"/>
        <v>0</v>
      </c>
    </row>
    <row r="10" spans="1:23" ht="15.75" x14ac:dyDescent="0.3">
      <c r="G10" s="92"/>
      <c r="H10" s="50"/>
      <c r="I10" s="47"/>
      <c r="J10" s="47">
        <f t="shared" ca="1" si="2"/>
        <v>1518.7666666666667</v>
      </c>
      <c r="K10" s="47">
        <f t="shared" ca="1" si="3"/>
        <v>0</v>
      </c>
    </row>
    <row r="11" spans="1:23" ht="15.75" x14ac:dyDescent="0.3">
      <c r="G11" s="92"/>
      <c r="H11" s="50"/>
      <c r="I11" s="47"/>
      <c r="J11" s="47">
        <f t="shared" ca="1" si="2"/>
        <v>1518.7666666666667</v>
      </c>
      <c r="K11" s="47">
        <f t="shared" ca="1" si="3"/>
        <v>0</v>
      </c>
    </row>
    <row r="12" spans="1:23" ht="15.75" x14ac:dyDescent="0.3">
      <c r="G12" s="75"/>
      <c r="H12" s="75"/>
      <c r="I12" s="47">
        <f>SUM(I2:I11)</f>
        <v>0</v>
      </c>
      <c r="J12" s="75"/>
      <c r="K12" s="47">
        <f ca="1">SUM(K2:K11)</f>
        <v>0</v>
      </c>
    </row>
  </sheetData>
  <autoFilter ref="A1:E1" xr:uid="{00000000-0009-0000-0000-000001000000}"/>
  <pageMargins left="0.7" right="0.7" top="0.75" bottom="0.75" header="0.3" footer="0.3"/>
  <pageSetup paperSize="9" orientation="portrait" r:id="rId1"/>
  <headerFooter>
    <oddFooter>&amp;LLevel 1 – Confidential</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FF03-E058-4649-89E5-45D47CD5D86E}">
  <sheetPr>
    <pageSetUpPr autoPageBreaks="0"/>
  </sheetPr>
  <dimension ref="A1:G4"/>
  <sheetViews>
    <sheetView zoomScale="85" zoomScaleNormal="85" workbookViewId="0">
      <selection activeCell="D32" sqref="D32"/>
    </sheetView>
  </sheetViews>
  <sheetFormatPr defaultRowHeight="15" x14ac:dyDescent="0.25"/>
  <cols>
    <col min="1" max="1" width="68.5703125" style="33" bestFit="1" customWidth="1"/>
    <col min="2" max="2" width="15.7109375" style="33" bestFit="1" customWidth="1"/>
    <col min="3" max="3" width="13" style="33" bestFit="1" customWidth="1"/>
    <col min="4" max="4" width="10.140625" style="33" bestFit="1" customWidth="1"/>
    <col min="5" max="5" width="26.7109375" style="33" bestFit="1" customWidth="1"/>
    <col min="6" max="6" width="13.85546875" style="33" customWidth="1"/>
    <col min="7" max="7" width="18.28515625" style="33" bestFit="1" customWidth="1"/>
    <col min="8" max="16384" width="9.140625" style="33"/>
  </cols>
  <sheetData>
    <row r="1" spans="1:7" s="106" customFormat="1" ht="51.75" x14ac:dyDescent="0.25">
      <c r="A1" s="104" t="s">
        <v>191</v>
      </c>
      <c r="B1" s="104" t="s">
        <v>192</v>
      </c>
      <c r="C1" s="104" t="s">
        <v>1</v>
      </c>
      <c r="D1" s="104" t="s">
        <v>3</v>
      </c>
      <c r="E1" s="105" t="s">
        <v>193</v>
      </c>
      <c r="F1" s="105" t="s">
        <v>194</v>
      </c>
      <c r="G1" s="105" t="s">
        <v>195</v>
      </c>
    </row>
    <row r="2" spans="1:7" ht="15.75" x14ac:dyDescent="0.3">
      <c r="A2" s="107"/>
      <c r="B2" s="108"/>
      <c r="C2" s="109"/>
      <c r="D2" s="109">
        <f ca="1">(DAYS360(B2,NOW(),TRUE))/30</f>
        <v>1518.7666666666667</v>
      </c>
      <c r="E2" s="110">
        <f ca="1">PRODUCT(C2,POWER((1+0.025),D2/12))</f>
        <v>22.764289913297791</v>
      </c>
      <c r="F2" s="110"/>
      <c r="G2" s="107"/>
    </row>
    <row r="3" spans="1:7" ht="15.75" x14ac:dyDescent="0.3">
      <c r="A3" s="107"/>
      <c r="B3" s="108"/>
      <c r="C3" s="109"/>
      <c r="D3" s="109"/>
      <c r="E3" s="110"/>
      <c r="F3" s="110"/>
      <c r="G3" s="107"/>
    </row>
    <row r="4" spans="1:7" ht="15.75" x14ac:dyDescent="0.3">
      <c r="A4" s="111"/>
      <c r="B4" s="111"/>
      <c r="C4" s="109">
        <f>SUM(C2:C3)</f>
        <v>0</v>
      </c>
      <c r="D4" s="111"/>
      <c r="E4" s="109">
        <f ca="1">SUM(E2:E3)</f>
        <v>22.764289913297791</v>
      </c>
      <c r="F4" s="109">
        <f>SUM(F2:F3)</f>
        <v>0</v>
      </c>
      <c r="G4" s="109">
        <f>SUM(G2:G3)</f>
        <v>0</v>
      </c>
    </row>
  </sheetData>
  <pageMargins left="0.7" right="0.7" top="0.75" bottom="0.75" header="0.3" footer="0.3"/>
  <pageSetup paperSize="9" orientation="portrait" r:id="rId1"/>
  <headerFooter>
    <oddFooter>&amp;LLevel 1 –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21B12-AC0A-46DC-9F30-AF2EB3496B77}">
  <dimension ref="B2:R36"/>
  <sheetViews>
    <sheetView tabSelected="1" workbookViewId="0">
      <selection activeCell="G24" sqref="G24"/>
    </sheetView>
  </sheetViews>
  <sheetFormatPr defaultRowHeight="15" x14ac:dyDescent="0.25"/>
  <cols>
    <col min="2" max="2" width="10.85546875" bestFit="1" customWidth="1"/>
    <col min="3" max="3" width="26.5703125" bestFit="1" customWidth="1"/>
    <col min="4" max="4" width="10.85546875" bestFit="1" customWidth="1"/>
    <col min="5" max="6" width="19.140625" bestFit="1" customWidth="1"/>
    <col min="7" max="7" width="13.28515625" bestFit="1" customWidth="1"/>
    <col min="8" max="8" width="20.140625" bestFit="1" customWidth="1"/>
    <col min="9" max="9" width="11.42578125" bestFit="1" customWidth="1"/>
    <col min="10" max="10" width="20.140625" bestFit="1" customWidth="1"/>
    <col min="11" max="11" width="19.7109375" bestFit="1" customWidth="1"/>
    <col min="12" max="12" width="12" bestFit="1" customWidth="1"/>
    <col min="13" max="13" width="19.28515625" bestFit="1" customWidth="1"/>
    <col min="14" max="14" width="16.28515625" bestFit="1" customWidth="1"/>
    <col min="15" max="15" width="14.85546875" bestFit="1" customWidth="1"/>
    <col min="16" max="16" width="17.7109375" bestFit="1" customWidth="1"/>
    <col min="17" max="17" width="16.7109375" bestFit="1" customWidth="1"/>
    <col min="18" max="18" width="20.140625" bestFit="1" customWidth="1"/>
  </cols>
  <sheetData>
    <row r="2" spans="2:18" ht="25.5" x14ac:dyDescent="0.25">
      <c r="B2" s="142" t="s">
        <v>286</v>
      </c>
      <c r="C2" s="142" t="s">
        <v>196</v>
      </c>
      <c r="D2" s="142" t="s">
        <v>0</v>
      </c>
      <c r="E2" s="142" t="s">
        <v>197</v>
      </c>
      <c r="F2" s="142" t="s">
        <v>198</v>
      </c>
      <c r="G2" s="142" t="s">
        <v>199</v>
      </c>
      <c r="H2" s="142" t="s">
        <v>1</v>
      </c>
      <c r="I2" s="143" t="s">
        <v>201</v>
      </c>
      <c r="J2" s="144" t="s">
        <v>46</v>
      </c>
      <c r="K2" s="142" t="s">
        <v>4</v>
      </c>
      <c r="L2" s="142" t="s">
        <v>204</v>
      </c>
      <c r="M2" s="142" t="s">
        <v>205</v>
      </c>
      <c r="N2" s="142" t="s">
        <v>206</v>
      </c>
      <c r="O2" s="142" t="s">
        <v>207</v>
      </c>
      <c r="P2" s="142" t="s">
        <v>208</v>
      </c>
      <c r="Q2" s="142" t="s">
        <v>209</v>
      </c>
      <c r="R2" s="142" t="s">
        <v>287</v>
      </c>
    </row>
    <row r="3" spans="2:18" ht="15.75" x14ac:dyDescent="0.3">
      <c r="B3" s="116" t="s">
        <v>288</v>
      </c>
      <c r="C3" s="116" t="s">
        <v>289</v>
      </c>
      <c r="D3" s="145">
        <v>44291</v>
      </c>
      <c r="E3" s="146">
        <v>1.129E-2</v>
      </c>
      <c r="F3" s="146">
        <v>4379516.16</v>
      </c>
      <c r="G3" s="146">
        <v>49.444699999999997</v>
      </c>
      <c r="H3" s="146">
        <f t="shared" ref="H3:H19" si="0">(F3*E3)+G3</f>
        <v>49494.182146400002</v>
      </c>
      <c r="I3" s="147">
        <f t="shared" ref="I3:I19" si="1">IFERROR(G3/(E3*F3),0)</f>
        <v>9.9999924266156652E-4</v>
      </c>
      <c r="J3" s="148">
        <v>6211457.7999999998</v>
      </c>
      <c r="K3" s="146">
        <f t="shared" ref="K3:K19" si="2">J3*E3*(1-I3)</f>
        <v>70057.231256548141</v>
      </c>
      <c r="L3" s="146">
        <f>0</f>
        <v>0</v>
      </c>
      <c r="M3" s="146">
        <f t="shared" ref="M3:M19" si="3">K3-H3+L3</f>
        <v>20563.049110148138</v>
      </c>
      <c r="N3" s="149">
        <f t="shared" ref="N3:N19" si="4">IFERROR(M3/H3,0)</f>
        <v>0.41546396401347158</v>
      </c>
      <c r="O3" s="146">
        <f t="shared" ref="O3:O19" ca="1" si="5">(DAYS360(D3,NOW(),TRUE))/30</f>
        <v>63.6</v>
      </c>
      <c r="P3" s="149">
        <f ca="1">IFERROR((N3/O3)*12,0)</f>
        <v>7.8389427172353116E-2</v>
      </c>
      <c r="Q3" s="146">
        <f t="shared" ref="Q3:Q19" ca="1" si="6">H3+((H3*O3*8)/(100*12))</f>
        <v>70479.715376473599</v>
      </c>
      <c r="R3" s="146">
        <f>-H3</f>
        <v>-49494.182146400002</v>
      </c>
    </row>
    <row r="4" spans="2:18" ht="15.75" x14ac:dyDescent="0.3">
      <c r="B4" s="116" t="s">
        <v>288</v>
      </c>
      <c r="C4" s="116" t="s">
        <v>289</v>
      </c>
      <c r="D4" s="145">
        <v>44291</v>
      </c>
      <c r="E4" s="146">
        <v>1.1E-4</v>
      </c>
      <c r="F4" s="146">
        <v>4378004.34</v>
      </c>
      <c r="G4" s="146">
        <v>0.48159999999999997</v>
      </c>
      <c r="H4" s="146">
        <f t="shared" si="0"/>
        <v>482.06207740000002</v>
      </c>
      <c r="I4" s="147">
        <f t="shared" si="1"/>
        <v>1.0000405386034446E-3</v>
      </c>
      <c r="J4" s="148">
        <v>6211457.7999999998</v>
      </c>
      <c r="K4" s="146">
        <f t="shared" si="2"/>
        <v>682.57706994357932</v>
      </c>
      <c r="L4" s="146">
        <f>0</f>
        <v>0</v>
      </c>
      <c r="M4" s="146">
        <f t="shared" si="3"/>
        <v>200.5149925435793</v>
      </c>
      <c r="N4" s="149">
        <f t="shared" si="4"/>
        <v>0.41595263752140832</v>
      </c>
      <c r="O4" s="146">
        <f t="shared" ca="1" si="5"/>
        <v>63.6</v>
      </c>
      <c r="P4" s="149">
        <f t="shared" ref="P4:P19" ca="1" si="7">IFERROR((N4/O4)*12,0)</f>
        <v>7.8481629721020435E-2</v>
      </c>
      <c r="Q4" s="146">
        <f t="shared" ca="1" si="6"/>
        <v>686.45639821760005</v>
      </c>
      <c r="R4" s="146">
        <f t="shared" ref="R4:R19" si="8">-H4</f>
        <v>-482.06207740000002</v>
      </c>
    </row>
    <row r="5" spans="2:18" ht="15.75" x14ac:dyDescent="0.3">
      <c r="B5" s="116" t="s">
        <v>288</v>
      </c>
      <c r="C5" s="116" t="s">
        <v>289</v>
      </c>
      <c r="D5" s="145">
        <v>44355</v>
      </c>
      <c r="E5" s="146">
        <v>1.2239999999999999E-2</v>
      </c>
      <c r="F5" s="146">
        <v>2453267.4300000002</v>
      </c>
      <c r="G5" s="146">
        <v>30.027993343199999</v>
      </c>
      <c r="H5" s="146">
        <f>(F5*E5)+G5</f>
        <v>30058.021336543199</v>
      </c>
      <c r="I5" s="147">
        <f t="shared" si="1"/>
        <v>1E-3</v>
      </c>
      <c r="J5" s="148">
        <v>6211457.7999999998</v>
      </c>
      <c r="K5" s="146">
        <f>J5*E5*(1-I5)</f>
        <v>75952.215228527988</v>
      </c>
      <c r="L5" s="146">
        <f>0</f>
        <v>0</v>
      </c>
      <c r="M5" s="146">
        <f>K5-H5+L5</f>
        <v>45894.193891984789</v>
      </c>
      <c r="N5" s="149">
        <f t="shared" si="4"/>
        <v>1.5268534604501287</v>
      </c>
      <c r="O5" s="146">
        <f ca="1">(DAYS360(D5,NOW(),TRUE))/30</f>
        <v>61.5</v>
      </c>
      <c r="P5" s="149">
        <f t="shared" ca="1" si="7"/>
        <v>0.2979226264292934</v>
      </c>
      <c r="Q5" s="146">
        <f ca="1">H5+((H5*O5*8)/(100*12))</f>
        <v>42381.81008452591</v>
      </c>
      <c r="R5" s="146">
        <f t="shared" si="8"/>
        <v>-30058.021336543199</v>
      </c>
    </row>
    <row r="6" spans="2:18" ht="15.75" x14ac:dyDescent="0.3">
      <c r="B6" s="116" t="s">
        <v>288</v>
      </c>
      <c r="C6" s="116" t="s">
        <v>290</v>
      </c>
      <c r="D6" s="145">
        <v>44314</v>
      </c>
      <c r="E6" s="146">
        <v>204.27891629000001</v>
      </c>
      <c r="F6" s="146">
        <v>24.47633897</v>
      </c>
      <c r="G6" s="146">
        <v>0</v>
      </c>
      <c r="H6" s="146">
        <f t="shared" ref="H6:H12" si="9">(F6*E6)+G6</f>
        <v>4999.999999538295</v>
      </c>
      <c r="I6" s="147">
        <f t="shared" si="1"/>
        <v>0</v>
      </c>
      <c r="J6" s="148">
        <v>7.5136000000000003</v>
      </c>
      <c r="K6" s="146">
        <f t="shared" ref="K6:K12" si="10">J6*E6*(1-I6)</f>
        <v>1534.8700654365441</v>
      </c>
      <c r="L6" s="146">
        <f>0</f>
        <v>0</v>
      </c>
      <c r="M6" s="146">
        <f t="shared" ref="M6:M12" si="11">K6-H6+L6</f>
        <v>-3465.1299341017511</v>
      </c>
      <c r="N6" s="149">
        <f t="shared" si="4"/>
        <v>-0.69302598688434491</v>
      </c>
      <c r="O6" s="146">
        <f t="shared" ref="O6:O12" ca="1" si="12">(DAYS360(D6,NOW(),TRUE))/30</f>
        <v>62.833333333333336</v>
      </c>
      <c r="P6" s="149">
        <f t="shared" ca="1" si="7"/>
        <v>-0.13235509563838946</v>
      </c>
      <c r="Q6" s="146">
        <f t="shared" ref="Q6:Q12" ca="1" si="13">H6+((H6*O6*8)/(100*12))</f>
        <v>7094.4444437893362</v>
      </c>
      <c r="R6" s="146">
        <f t="shared" si="8"/>
        <v>-4999.999999538295</v>
      </c>
    </row>
    <row r="7" spans="2:18" ht="15.75" x14ac:dyDescent="0.3">
      <c r="B7" s="116" t="s">
        <v>288</v>
      </c>
      <c r="C7" s="116" t="s">
        <v>291</v>
      </c>
      <c r="D7" s="145">
        <v>44355</v>
      </c>
      <c r="E7" s="146">
        <v>5.3337219999999998E-2</v>
      </c>
      <c r="F7" s="146">
        <v>187486.32912469</v>
      </c>
      <c r="G7" s="146">
        <v>0</v>
      </c>
      <c r="H7" s="146">
        <f t="shared" si="9"/>
        <v>9999.9995835159971</v>
      </c>
      <c r="I7" s="147">
        <f t="shared" si="1"/>
        <v>0</v>
      </c>
      <c r="J7" s="148">
        <v>171373.9</v>
      </c>
      <c r="K7" s="146">
        <f t="shared" si="10"/>
        <v>9140.6074065579996</v>
      </c>
      <c r="L7" s="146">
        <f>0</f>
        <v>0</v>
      </c>
      <c r="M7" s="146">
        <f t="shared" si="11"/>
        <v>-859.39217695799744</v>
      </c>
      <c r="N7" s="149">
        <f t="shared" si="4"/>
        <v>-8.5939221275030828E-2</v>
      </c>
      <c r="O7" s="146">
        <f t="shared" ca="1" si="12"/>
        <v>61.5</v>
      </c>
      <c r="P7" s="149">
        <f t="shared" ca="1" si="7"/>
        <v>-1.6768628541469429E-2</v>
      </c>
      <c r="Q7" s="146">
        <f t="shared" ca="1" si="13"/>
        <v>14099.999412757556</v>
      </c>
      <c r="R7" s="146">
        <f t="shared" si="8"/>
        <v>-9999.9995835159971</v>
      </c>
    </row>
    <row r="8" spans="2:18" ht="15.75" x14ac:dyDescent="0.3">
      <c r="B8" s="116" t="s">
        <v>288</v>
      </c>
      <c r="C8" s="116" t="s">
        <v>292</v>
      </c>
      <c r="D8" s="145">
        <v>45677</v>
      </c>
      <c r="E8" s="146">
        <v>25.26</v>
      </c>
      <c r="F8" s="146">
        <v>780</v>
      </c>
      <c r="G8" s="146">
        <v>116.24652</v>
      </c>
      <c r="H8" s="146">
        <f>(F8*E8)+G8</f>
        <v>19819.046520000004</v>
      </c>
      <c r="I8" s="147">
        <f t="shared" si="1"/>
        <v>5.899999999999999E-3</v>
      </c>
      <c r="J8" s="148">
        <v>7.9185999999999996</v>
      </c>
      <c r="K8" s="146">
        <f>J8*E8*(1-I8)</f>
        <v>198.84369536760002</v>
      </c>
      <c r="L8" s="146">
        <f>0</f>
        <v>0</v>
      </c>
      <c r="M8" s="146">
        <f>K8-H8+L8</f>
        <v>-19620.202824632404</v>
      </c>
      <c r="N8" s="149">
        <f t="shared" si="4"/>
        <v>-0.9899670402828441</v>
      </c>
      <c r="O8" s="146">
        <f ca="1">(DAYS360(D8,NOW(),TRUE))/30</f>
        <v>18.100000000000001</v>
      </c>
      <c r="P8" s="149">
        <f t="shared" ca="1" si="7"/>
        <v>-0.65633173941404022</v>
      </c>
      <c r="Q8" s="146">
        <f ca="1">H8+((H8*O8*8)/(100*12))</f>
        <v>22210.544800080002</v>
      </c>
      <c r="R8" s="146">
        <f t="shared" si="8"/>
        <v>-19819.046520000004</v>
      </c>
    </row>
    <row r="9" spans="2:18" ht="15.75" x14ac:dyDescent="0.3">
      <c r="B9" s="116" t="s">
        <v>288</v>
      </c>
      <c r="C9" s="150" t="s">
        <v>293</v>
      </c>
      <c r="D9" s="145">
        <v>44525</v>
      </c>
      <c r="E9" s="146">
        <v>3.7535079800000002</v>
      </c>
      <c r="F9" s="146">
        <v>666.04360839000003</v>
      </c>
      <c r="G9" s="146">
        <v>5</v>
      </c>
      <c r="H9" s="146">
        <f t="shared" si="9"/>
        <v>2504.9999991198601</v>
      </c>
      <c r="I9" s="147">
        <f t="shared" si="1"/>
        <v>2.0000000007041117E-3</v>
      </c>
      <c r="J9" s="148">
        <v>8.3559999999999999</v>
      </c>
      <c r="K9" s="146">
        <f t="shared" si="10"/>
        <v>31.301584055496157</v>
      </c>
      <c r="L9" s="146">
        <f>0</f>
        <v>0</v>
      </c>
      <c r="M9" s="146">
        <f t="shared" si="11"/>
        <v>-2473.6984150643639</v>
      </c>
      <c r="N9" s="149">
        <f t="shared" si="4"/>
        <v>-0.9875043576580862</v>
      </c>
      <c r="O9" s="146">
        <f t="shared" ca="1" si="12"/>
        <v>55.93333333333333</v>
      </c>
      <c r="P9" s="149">
        <f t="shared" ca="1" si="7"/>
        <v>-0.21186029127348693</v>
      </c>
      <c r="Q9" s="146">
        <f t="shared" ca="1" si="13"/>
        <v>3439.0866654583324</v>
      </c>
      <c r="R9" s="146">
        <f t="shared" si="8"/>
        <v>-2504.9999991198601</v>
      </c>
    </row>
    <row r="10" spans="2:18" ht="15.75" x14ac:dyDescent="0.3">
      <c r="B10" s="116" t="s">
        <v>288</v>
      </c>
      <c r="C10" s="150" t="s">
        <v>294</v>
      </c>
      <c r="D10" s="145">
        <v>44479</v>
      </c>
      <c r="E10" s="146">
        <f>2429939.58196354-2429939</f>
        <v>0.58196354005485773</v>
      </c>
      <c r="F10" s="146">
        <v>2.0576599999999998E-3</v>
      </c>
      <c r="G10" s="146">
        <v>0</v>
      </c>
      <c r="H10" s="146">
        <f t="shared" si="9"/>
        <v>1.1974830978292784E-3</v>
      </c>
      <c r="I10" s="147">
        <f t="shared" si="1"/>
        <v>0</v>
      </c>
      <c r="J10" s="148">
        <v>4.3169999999999998E-4</v>
      </c>
      <c r="K10" s="146">
        <f t="shared" si="10"/>
        <v>2.5123366024168209E-4</v>
      </c>
      <c r="L10" s="146">
        <f>0</f>
        <v>0</v>
      </c>
      <c r="M10" s="146">
        <f t="shared" si="11"/>
        <v>-9.4624943758759628E-4</v>
      </c>
      <c r="N10" s="149">
        <f t="shared" si="4"/>
        <v>-0.79019857508043112</v>
      </c>
      <c r="O10" s="146">
        <f t="shared" ca="1" si="12"/>
        <v>57.43333333333333</v>
      </c>
      <c r="P10" s="149">
        <f t="shared" ca="1" si="7"/>
        <v>-0.16510243008064726</v>
      </c>
      <c r="Q10" s="146">
        <f t="shared" ca="1" si="13"/>
        <v>1.6559860706203554E-3</v>
      </c>
      <c r="R10" s="146">
        <f t="shared" si="8"/>
        <v>-1.1974830978292784E-3</v>
      </c>
    </row>
    <row r="11" spans="2:18" ht="15.75" x14ac:dyDescent="0.3">
      <c r="B11" s="116" t="s">
        <v>288</v>
      </c>
      <c r="C11" s="150" t="s">
        <v>294</v>
      </c>
      <c r="D11" s="145">
        <v>44518</v>
      </c>
      <c r="E11" s="146">
        <f>1396095.59503427</f>
        <v>1396095.5950342701</v>
      </c>
      <c r="F11" s="146">
        <v>3.5814200000000001E-3</v>
      </c>
      <c r="G11" s="146">
        <v>0</v>
      </c>
      <c r="H11" s="146">
        <f t="shared" si="9"/>
        <v>5000.0046859676359</v>
      </c>
      <c r="I11" s="147">
        <f t="shared" si="1"/>
        <v>0</v>
      </c>
      <c r="J11" s="148">
        <v>4.3169999999999998E-4</v>
      </c>
      <c r="K11" s="146">
        <f t="shared" si="10"/>
        <v>602.69446837629437</v>
      </c>
      <c r="L11" s="146">
        <f>0</f>
        <v>0</v>
      </c>
      <c r="M11" s="146">
        <f t="shared" si="11"/>
        <v>-4397.3102175913418</v>
      </c>
      <c r="N11" s="149">
        <f t="shared" si="4"/>
        <v>-0.87946121929290622</v>
      </c>
      <c r="O11" s="146">
        <f t="shared" ca="1" si="12"/>
        <v>56.166666666666664</v>
      </c>
      <c r="P11" s="149">
        <f t="shared" ca="1" si="7"/>
        <v>-0.18789675901806902</v>
      </c>
      <c r="Q11" s="146">
        <f t="shared" ca="1" si="13"/>
        <v>6872.2286628244055</v>
      </c>
      <c r="R11" s="146">
        <f t="shared" si="8"/>
        <v>-5000.0046859676359</v>
      </c>
    </row>
    <row r="12" spans="2:18" ht="15.75" x14ac:dyDescent="0.3">
      <c r="B12" s="116" t="s">
        <v>288</v>
      </c>
      <c r="C12" s="150" t="s">
        <v>294</v>
      </c>
      <c r="D12" s="145">
        <v>44535</v>
      </c>
      <c r="E12" s="146">
        <v>1677416.3924811201</v>
      </c>
      <c r="F12" s="146">
        <v>2.9807700000000002E-3</v>
      </c>
      <c r="G12" s="146">
        <v>69.194504993156585</v>
      </c>
      <c r="H12" s="146">
        <f t="shared" si="9"/>
        <v>5069.1869652091054</v>
      </c>
      <c r="I12" s="147">
        <f t="shared" si="1"/>
        <v>1.3838921867127792E-2</v>
      </c>
      <c r="J12" s="148">
        <v>4.3169999999999998E-4</v>
      </c>
      <c r="K12" s="146">
        <f t="shared" si="10"/>
        <v>714.1193306661296</v>
      </c>
      <c r="L12" s="146">
        <f>0</f>
        <v>0</v>
      </c>
      <c r="M12" s="146">
        <f t="shared" si="11"/>
        <v>-4355.0676345429756</v>
      </c>
      <c r="N12" s="149">
        <f t="shared" si="4"/>
        <v>-0.85912547010649232</v>
      </c>
      <c r="O12" s="146">
        <f t="shared" ca="1" si="12"/>
        <v>55.6</v>
      </c>
      <c r="P12" s="149">
        <f t="shared" ca="1" si="7"/>
        <v>-0.18542276333233645</v>
      </c>
      <c r="Q12" s="146">
        <f t="shared" ca="1" si="13"/>
        <v>6948.1656003132812</v>
      </c>
      <c r="R12" s="146">
        <f t="shared" si="8"/>
        <v>-5069.1869652091054</v>
      </c>
    </row>
    <row r="13" spans="2:18" ht="15.75" x14ac:dyDescent="0.3">
      <c r="B13" s="116" t="s">
        <v>288</v>
      </c>
      <c r="C13" s="116" t="s">
        <v>295</v>
      </c>
      <c r="D13" s="145">
        <v>44313</v>
      </c>
      <c r="E13" s="146">
        <f>62.86216204-62.24139301-0.09625685</f>
        <v>0.52451217999999811</v>
      </c>
      <c r="F13" s="146">
        <v>79.539103299999994</v>
      </c>
      <c r="G13" s="146">
        <v>0</v>
      </c>
      <c r="H13" s="146">
        <f t="shared" si="0"/>
        <v>41.71922846712804</v>
      </c>
      <c r="I13" s="147">
        <f t="shared" si="1"/>
        <v>0</v>
      </c>
      <c r="J13" s="148">
        <v>100.1</v>
      </c>
      <c r="K13" s="146">
        <f t="shared" si="2"/>
        <v>52.503669217999807</v>
      </c>
      <c r="L13" s="146">
        <f>0</f>
        <v>0</v>
      </c>
      <c r="M13" s="146">
        <f t="shared" si="3"/>
        <v>10.784440750871767</v>
      </c>
      <c r="N13" s="149">
        <f t="shared" si="4"/>
        <v>0.25850048400030179</v>
      </c>
      <c r="O13" s="146">
        <f t="shared" ca="1" si="5"/>
        <v>62.866666666666667</v>
      </c>
      <c r="P13" s="149">
        <f t="shared" ca="1" si="7"/>
        <v>4.9342616246080939E-2</v>
      </c>
      <c r="Q13" s="146">
        <f t="shared" ca="1" si="6"/>
        <v>59.204220664684371</v>
      </c>
      <c r="R13" s="146">
        <f t="shared" si="8"/>
        <v>-41.71922846712804</v>
      </c>
    </row>
    <row r="14" spans="2:18" ht="15.75" x14ac:dyDescent="0.3">
      <c r="B14" s="116" t="s">
        <v>288</v>
      </c>
      <c r="C14" s="116" t="s">
        <v>295</v>
      </c>
      <c r="D14" s="145">
        <v>44355</v>
      </c>
      <c r="E14" s="146">
        <f>63.58203932-63.58203931</f>
        <v>1.000000082740371E-8</v>
      </c>
      <c r="F14" s="146">
        <v>77.727925260000006</v>
      </c>
      <c r="G14" s="146">
        <v>0</v>
      </c>
      <c r="H14" s="146">
        <f t="shared" si="0"/>
        <v>7.772793169123738E-7</v>
      </c>
      <c r="I14" s="147">
        <f t="shared" si="1"/>
        <v>0</v>
      </c>
      <c r="J14" s="148">
        <v>100.1</v>
      </c>
      <c r="K14" s="146">
        <f t="shared" si="2"/>
        <v>1.0010000828231114E-6</v>
      </c>
      <c r="L14" s="146">
        <f>0</f>
        <v>0</v>
      </c>
      <c r="M14" s="146">
        <f t="shared" si="3"/>
        <v>2.2372076591073757E-7</v>
      </c>
      <c r="N14" s="149">
        <f t="shared" si="4"/>
        <v>0.28782544581198294</v>
      </c>
      <c r="O14" s="146">
        <f t="shared" ca="1" si="5"/>
        <v>61.5</v>
      </c>
      <c r="P14" s="149">
        <f t="shared" ca="1" si="7"/>
        <v>5.6161062597460086E-2</v>
      </c>
      <c r="Q14" s="146">
        <f t="shared" ca="1" si="6"/>
        <v>1.0959638368464471E-6</v>
      </c>
      <c r="R14" s="146">
        <f t="shared" si="8"/>
        <v>-7.772793169123738E-7</v>
      </c>
    </row>
    <row r="15" spans="2:18" ht="15.75" x14ac:dyDescent="0.3">
      <c r="B15" s="116" t="s">
        <v>288</v>
      </c>
      <c r="C15" s="116" t="s">
        <v>295</v>
      </c>
      <c r="D15" s="145">
        <v>45650</v>
      </c>
      <c r="E15" s="146">
        <v>1.766</v>
      </c>
      <c r="F15" s="146">
        <v>91.891279728199294</v>
      </c>
      <c r="G15" s="146">
        <v>0</v>
      </c>
      <c r="H15" s="146">
        <f t="shared" si="0"/>
        <v>162.27999999999994</v>
      </c>
      <c r="I15" s="147">
        <f t="shared" si="1"/>
        <v>0</v>
      </c>
      <c r="J15" s="148">
        <v>100.1</v>
      </c>
      <c r="K15" s="146">
        <f t="shared" si="2"/>
        <v>176.7766</v>
      </c>
      <c r="L15" s="146">
        <f>0</f>
        <v>0</v>
      </c>
      <c r="M15" s="146">
        <f t="shared" si="3"/>
        <v>14.496600000000058</v>
      </c>
      <c r="N15" s="149">
        <f t="shared" si="4"/>
        <v>8.933078629529248E-2</v>
      </c>
      <c r="O15" s="146">
        <f t="shared" ca="1" si="5"/>
        <v>18.966666666666665</v>
      </c>
      <c r="P15" s="149">
        <f t="shared" ca="1" si="7"/>
        <v>5.6518599413541822E-2</v>
      </c>
      <c r="Q15" s="146">
        <f t="shared" ca="1" si="6"/>
        <v>182.79940444444438</v>
      </c>
      <c r="R15" s="146">
        <f t="shared" si="8"/>
        <v>-162.27999999999994</v>
      </c>
    </row>
    <row r="16" spans="2:18" ht="15.75" x14ac:dyDescent="0.3">
      <c r="B16" s="116" t="s">
        <v>288</v>
      </c>
      <c r="C16" s="150" t="s">
        <v>296</v>
      </c>
      <c r="D16" s="145">
        <v>44525</v>
      </c>
      <c r="E16" s="146">
        <f>3.97693925</f>
        <v>3.97693925</v>
      </c>
      <c r="F16" s="146">
        <v>626.10963974000003</v>
      </c>
      <c r="G16" s="146">
        <v>4.9800000000000004</v>
      </c>
      <c r="H16" s="146">
        <f t="shared" si="0"/>
        <v>2494.980001085366</v>
      </c>
      <c r="I16" s="147">
        <f t="shared" si="1"/>
        <v>1.9999999991282204E-3</v>
      </c>
      <c r="J16" s="148">
        <f>0.05042*100.1</f>
        <v>5.0470419999999994</v>
      </c>
      <c r="K16" s="146">
        <f t="shared" si="2"/>
        <v>20.031635867363597</v>
      </c>
      <c r="L16" s="146">
        <f>0</f>
        <v>0</v>
      </c>
      <c r="M16" s="146">
        <f t="shared" si="3"/>
        <v>-2474.9483652180024</v>
      </c>
      <c r="N16" s="149">
        <f t="shared" si="4"/>
        <v>-0.99197122387407943</v>
      </c>
      <c r="O16" s="146">
        <f t="shared" ca="1" si="5"/>
        <v>55.93333333333333</v>
      </c>
      <c r="P16" s="149">
        <f t="shared" ca="1" si="7"/>
        <v>-0.21281861775605995</v>
      </c>
      <c r="Q16" s="146">
        <f t="shared" ca="1" si="6"/>
        <v>3425.330321490087</v>
      </c>
      <c r="R16" s="146">
        <f t="shared" si="8"/>
        <v>-2494.980001085366</v>
      </c>
    </row>
    <row r="17" spans="2:18" ht="15.75" x14ac:dyDescent="0.3">
      <c r="B17" s="116" t="s">
        <v>288</v>
      </c>
      <c r="C17" s="116" t="s">
        <v>297</v>
      </c>
      <c r="D17" s="145">
        <v>45677</v>
      </c>
      <c r="E17" s="146">
        <v>6</v>
      </c>
      <c r="F17" s="146">
        <v>4999.96</v>
      </c>
      <c r="G17" s="146">
        <v>176.99858399999999</v>
      </c>
      <c r="H17" s="146">
        <f t="shared" si="0"/>
        <v>30176.758584000003</v>
      </c>
      <c r="I17" s="147">
        <f t="shared" si="1"/>
        <v>5.899999999999999E-3</v>
      </c>
      <c r="J17" s="148">
        <v>173.5</v>
      </c>
      <c r="K17" s="146">
        <f t="shared" si="2"/>
        <v>1034.8580999999999</v>
      </c>
      <c r="L17" s="146">
        <f>0</f>
        <v>0</v>
      </c>
      <c r="M17" s="146">
        <f t="shared" si="3"/>
        <v>-29141.900484000002</v>
      </c>
      <c r="N17" s="149">
        <f t="shared" si="4"/>
        <v>-0.96570678400997345</v>
      </c>
      <c r="O17" s="146">
        <f t="shared" ca="1" si="5"/>
        <v>18.100000000000001</v>
      </c>
      <c r="P17" s="149">
        <f t="shared" ca="1" si="7"/>
        <v>-0.64024759160882216</v>
      </c>
      <c r="Q17" s="146">
        <f t="shared" ca="1" si="6"/>
        <v>33818.087453136002</v>
      </c>
      <c r="R17" s="146">
        <f t="shared" si="8"/>
        <v>-30176.758584000003</v>
      </c>
    </row>
    <row r="18" spans="2:18" ht="15.75" x14ac:dyDescent="0.3">
      <c r="B18" s="116" t="s">
        <v>288</v>
      </c>
      <c r="C18" s="150" t="s">
        <v>298</v>
      </c>
      <c r="D18" s="145">
        <v>44518</v>
      </c>
      <c r="E18" s="146">
        <f>81476.2647911</f>
        <v>81476.264791099995</v>
      </c>
      <c r="F18" s="146">
        <v>6.1367570000000003E-2</v>
      </c>
      <c r="G18" s="146">
        <v>0</v>
      </c>
      <c r="H18" s="146">
        <f t="shared" si="0"/>
        <v>5000.0003829063644</v>
      </c>
      <c r="I18" s="147">
        <f t="shared" si="1"/>
        <v>0</v>
      </c>
      <c r="J18" s="148">
        <f>0.00002119*100.1</f>
        <v>2.1211189999999999E-3</v>
      </c>
      <c r="K18" s="146">
        <f t="shared" si="2"/>
        <v>172.82085329743322</v>
      </c>
      <c r="L18" s="146">
        <f>0</f>
        <v>0</v>
      </c>
      <c r="M18" s="146">
        <f t="shared" si="3"/>
        <v>-4827.1795296089313</v>
      </c>
      <c r="N18" s="149">
        <f t="shared" si="4"/>
        <v>-0.9654358319874814</v>
      </c>
      <c r="O18" s="146">
        <f t="shared" ca="1" si="5"/>
        <v>56.166666666666664</v>
      </c>
      <c r="P18" s="149">
        <f t="shared" ca="1" si="7"/>
        <v>-0.2062652222643877</v>
      </c>
      <c r="Q18" s="146">
        <f t="shared" ca="1" si="6"/>
        <v>6872.2227485057474</v>
      </c>
      <c r="R18" s="146">
        <f t="shared" si="8"/>
        <v>-5000.0003829063644</v>
      </c>
    </row>
    <row r="19" spans="2:18" ht="15.75" x14ac:dyDescent="0.3">
      <c r="B19" s="116" t="s">
        <v>288</v>
      </c>
      <c r="C19" s="150" t="s">
        <v>298</v>
      </c>
      <c r="D19" s="145">
        <v>44535</v>
      </c>
      <c r="E19" s="146">
        <v>106476.3440401</v>
      </c>
      <c r="F19" s="146">
        <v>4.695879E-2</v>
      </c>
      <c r="G19" s="146">
        <v>69.194504993156585</v>
      </c>
      <c r="H19" s="146">
        <f t="shared" si="0"/>
        <v>5069.1947847399642</v>
      </c>
      <c r="I19" s="147">
        <f t="shared" si="1"/>
        <v>1.3838900224353684E-2</v>
      </c>
      <c r="J19" s="148">
        <f>0.00002119*100.1</f>
        <v>2.1211189999999999E-3</v>
      </c>
      <c r="K19" s="146">
        <f t="shared" si="2"/>
        <v>222.72349466712598</v>
      </c>
      <c r="L19" s="146">
        <f>0</f>
        <v>0</v>
      </c>
      <c r="M19" s="146">
        <f t="shared" si="3"/>
        <v>-4846.4712900728382</v>
      </c>
      <c r="N19" s="149">
        <f t="shared" si="4"/>
        <v>-0.95606333863168935</v>
      </c>
      <c r="O19" s="146">
        <f t="shared" ca="1" si="5"/>
        <v>55.6</v>
      </c>
      <c r="P19" s="149">
        <f t="shared" ca="1" si="7"/>
        <v>-0.20634460546007682</v>
      </c>
      <c r="Q19" s="146">
        <f t="shared" ca="1" si="6"/>
        <v>6948.1763182835775</v>
      </c>
      <c r="R19" s="146">
        <f t="shared" si="8"/>
        <v>-5069.1947847399642</v>
      </c>
    </row>
    <row r="20" spans="2:18" ht="15.75" x14ac:dyDescent="0.3">
      <c r="D20" s="145">
        <f ca="1">TODAY()</f>
        <v>46226</v>
      </c>
      <c r="E20" s="151"/>
      <c r="F20" s="151"/>
      <c r="G20" s="151"/>
      <c r="H20" s="152">
        <f>SUM(H3:H19)</f>
        <v>170372.43749315329</v>
      </c>
      <c r="I20" s="151"/>
      <c r="J20" s="151"/>
      <c r="K20" s="152">
        <f>SUM(K3:K19)</f>
        <v>160594.17471076435</v>
      </c>
      <c r="L20" s="151"/>
      <c r="M20" s="152">
        <f>SUM(M3:M19)</f>
        <v>-9778.2627823889488</v>
      </c>
      <c r="N20" s="151"/>
      <c r="O20" s="151"/>
      <c r="P20" s="151"/>
      <c r="Q20" s="151"/>
      <c r="R20" s="152">
        <f>K20</f>
        <v>160594.17471076435</v>
      </c>
    </row>
    <row r="21" spans="2:18" x14ac:dyDescent="0.25">
      <c r="C21" s="153"/>
    </row>
    <row r="22" spans="2:18" x14ac:dyDescent="0.25">
      <c r="C22" s="153"/>
    </row>
    <row r="23" spans="2:18" ht="15.75" x14ac:dyDescent="0.3">
      <c r="C23" s="153"/>
      <c r="I23" s="59" t="s">
        <v>61</v>
      </c>
      <c r="J23" s="2">
        <f ca="1">XIRR(R3:R20,D3:D20)*100</f>
        <v>-1.4577125012874603</v>
      </c>
    </row>
    <row r="27" spans="2:18" ht="25.5" x14ac:dyDescent="0.25">
      <c r="B27" s="142" t="s">
        <v>286</v>
      </c>
      <c r="C27" s="142" t="s">
        <v>196</v>
      </c>
      <c r="D27" s="142" t="s">
        <v>0</v>
      </c>
      <c r="E27" s="142" t="s">
        <v>197</v>
      </c>
      <c r="F27" s="142" t="s">
        <v>198</v>
      </c>
      <c r="G27" s="142" t="s">
        <v>199</v>
      </c>
      <c r="H27" s="142" t="s">
        <v>1</v>
      </c>
      <c r="I27" s="143" t="s">
        <v>201</v>
      </c>
      <c r="J27" s="144" t="s">
        <v>46</v>
      </c>
      <c r="K27" s="142" t="s">
        <v>4</v>
      </c>
      <c r="L27" s="142" t="s">
        <v>204</v>
      </c>
      <c r="M27" s="142" t="s">
        <v>205</v>
      </c>
      <c r="N27" s="142" t="s">
        <v>206</v>
      </c>
      <c r="O27" s="142" t="s">
        <v>207</v>
      </c>
      <c r="P27" s="142" t="s">
        <v>208</v>
      </c>
      <c r="Q27" s="142" t="s">
        <v>209</v>
      </c>
      <c r="R27" s="142"/>
    </row>
    <row r="28" spans="2:18" ht="15.75" x14ac:dyDescent="0.3">
      <c r="B28" s="116"/>
      <c r="C28" s="116"/>
      <c r="D28" s="145"/>
      <c r="E28" s="146"/>
      <c r="F28" s="146"/>
      <c r="G28" s="146"/>
      <c r="H28" s="146">
        <f>(F28*E28)+G28</f>
        <v>0</v>
      </c>
      <c r="I28" s="147">
        <f>IFERROR(G28/(E28*F28),0)</f>
        <v>0</v>
      </c>
      <c r="J28" s="148"/>
      <c r="K28" s="146">
        <f>J28*E28*(1-I28)</f>
        <v>0</v>
      </c>
      <c r="L28" s="146">
        <f>0</f>
        <v>0</v>
      </c>
      <c r="M28" s="146">
        <f>K28-H28+L28</f>
        <v>0</v>
      </c>
      <c r="N28" s="149">
        <f>IFERROR(M28/H28,0)</f>
        <v>0</v>
      </c>
      <c r="O28" s="146">
        <f ca="1">(DAYS360(D28,NOW(),TRUE))/30</f>
        <v>1518.7666666666667</v>
      </c>
      <c r="P28" s="149">
        <f t="shared" ref="P28:P30" ca="1" si="14">IFERROR((N28/O28)*12,0)</f>
        <v>0</v>
      </c>
      <c r="Q28" s="146">
        <f ca="1">H28+((H28*O28*8)/(100*12))</f>
        <v>0</v>
      </c>
      <c r="R28" s="146"/>
    </row>
    <row r="29" spans="2:18" ht="15.75" x14ac:dyDescent="0.3">
      <c r="B29" s="116"/>
      <c r="C29" s="116"/>
      <c r="D29" s="145"/>
      <c r="E29" s="146"/>
      <c r="F29" s="146"/>
      <c r="G29" s="146"/>
      <c r="H29" s="146">
        <f t="shared" ref="H29:H30" si="15">(F29*E29)+G29</f>
        <v>0</v>
      </c>
      <c r="I29" s="147">
        <f t="shared" ref="I29:I30" si="16">IFERROR(G29/(E29*F29),0)</f>
        <v>0</v>
      </c>
      <c r="J29" s="148"/>
      <c r="K29" s="146">
        <f t="shared" ref="K29:K30" si="17">J29*E29*(1-I29)</f>
        <v>0</v>
      </c>
      <c r="L29" s="146">
        <f>0</f>
        <v>0</v>
      </c>
      <c r="M29" s="146">
        <f t="shared" ref="M29:M30" si="18">K29-H29+L29</f>
        <v>0</v>
      </c>
      <c r="N29" s="149">
        <f t="shared" ref="N29:N30" si="19">IFERROR(M29/H29,0)</f>
        <v>0</v>
      </c>
      <c r="O29" s="146">
        <f t="shared" ref="O29:O30" ca="1" si="20">(DAYS360(D29,NOW(),TRUE))/30</f>
        <v>1518.7666666666667</v>
      </c>
      <c r="P29" s="149">
        <f t="shared" ca="1" si="14"/>
        <v>0</v>
      </c>
      <c r="Q29" s="146">
        <f t="shared" ref="Q29:Q30" ca="1" si="21">H29+((H29*O29*8)/(100*12))</f>
        <v>0</v>
      </c>
      <c r="R29" s="146"/>
    </row>
    <row r="30" spans="2:18" ht="15.75" x14ac:dyDescent="0.3">
      <c r="B30" s="116"/>
      <c r="C30" s="116"/>
      <c r="D30" s="145"/>
      <c r="E30" s="146"/>
      <c r="F30" s="146"/>
      <c r="G30" s="146"/>
      <c r="H30" s="146">
        <f t="shared" si="15"/>
        <v>0</v>
      </c>
      <c r="I30" s="147">
        <f t="shared" si="16"/>
        <v>0</v>
      </c>
      <c r="J30" s="148"/>
      <c r="K30" s="146">
        <f t="shared" si="17"/>
        <v>0</v>
      </c>
      <c r="L30" s="146">
        <f>0</f>
        <v>0</v>
      </c>
      <c r="M30" s="146">
        <f t="shared" si="18"/>
        <v>0</v>
      </c>
      <c r="N30" s="149">
        <f t="shared" si="19"/>
        <v>0</v>
      </c>
      <c r="O30" s="146">
        <f t="shared" ca="1" si="20"/>
        <v>1518.7666666666667</v>
      </c>
      <c r="P30" s="149">
        <f t="shared" ca="1" si="14"/>
        <v>0</v>
      </c>
      <c r="Q30" s="146">
        <f t="shared" ca="1" si="21"/>
        <v>0</v>
      </c>
      <c r="R30" s="146"/>
    </row>
    <row r="31" spans="2:18" x14ac:dyDescent="0.25">
      <c r="E31" s="151"/>
      <c r="F31" s="151"/>
      <c r="G31" s="151"/>
      <c r="H31" s="152">
        <f>SUM(H28:H30)</f>
        <v>0</v>
      </c>
      <c r="I31" s="151"/>
      <c r="J31" s="151"/>
      <c r="K31" s="152">
        <f>SUM(K28:K30)</f>
        <v>0</v>
      </c>
      <c r="L31" s="151"/>
      <c r="M31" s="152">
        <f>SUM(M28:M30)</f>
        <v>0</v>
      </c>
      <c r="N31" s="151"/>
      <c r="O31" s="151"/>
      <c r="P31" s="151"/>
      <c r="Q31" s="151"/>
      <c r="R31" s="152"/>
    </row>
    <row r="32" spans="2:18" x14ac:dyDescent="0.25">
      <c r="E32" s="151"/>
      <c r="F32" s="154" t="s">
        <v>299</v>
      </c>
      <c r="G32" s="151"/>
      <c r="H32" s="155">
        <f>J13</f>
        <v>100.1</v>
      </c>
      <c r="I32" s="151"/>
      <c r="J32" s="151"/>
      <c r="K32" s="155">
        <f>J13</f>
        <v>100.1</v>
      </c>
      <c r="L32" s="151"/>
      <c r="M32" s="155">
        <f>J13</f>
        <v>100.1</v>
      </c>
      <c r="N32" s="151"/>
      <c r="O32" s="151"/>
      <c r="P32" s="151"/>
      <c r="Q32" s="151"/>
      <c r="R32" s="155"/>
    </row>
    <row r="33" spans="5:18" x14ac:dyDescent="0.25">
      <c r="E33" s="151"/>
      <c r="F33" s="154" t="s">
        <v>300</v>
      </c>
      <c r="G33" s="151"/>
      <c r="H33" s="155">
        <f>H31*H32</f>
        <v>0</v>
      </c>
      <c r="I33" s="151"/>
      <c r="J33" s="151"/>
      <c r="K33" s="155">
        <f>K31*K32</f>
        <v>0</v>
      </c>
      <c r="L33" s="151"/>
      <c r="M33" s="155">
        <f>M31*M32</f>
        <v>0</v>
      </c>
      <c r="N33" s="151"/>
      <c r="O33" s="151"/>
      <c r="P33" s="151"/>
      <c r="Q33" s="151"/>
      <c r="R33" s="155"/>
    </row>
    <row r="34" spans="5:18" x14ac:dyDescent="0.25">
      <c r="E34" s="151"/>
      <c r="F34" s="151"/>
      <c r="G34" s="151"/>
      <c r="H34" s="151"/>
      <c r="I34" s="151"/>
      <c r="J34" s="151"/>
      <c r="K34" s="151"/>
      <c r="L34" s="151"/>
      <c r="M34" s="151"/>
      <c r="N34" s="151"/>
      <c r="O34" s="151"/>
      <c r="P34" s="151"/>
      <c r="Q34" s="151"/>
      <c r="R34" s="151"/>
    </row>
    <row r="35" spans="5:18" x14ac:dyDescent="0.25">
      <c r="E35" s="151"/>
      <c r="F35" s="151"/>
      <c r="G35" s="151"/>
      <c r="H35" s="151"/>
      <c r="I35" s="151"/>
      <c r="J35" s="151"/>
      <c r="K35" s="151"/>
      <c r="L35" s="151"/>
      <c r="M35" s="151"/>
      <c r="N35" s="151"/>
      <c r="O35" s="151"/>
      <c r="P35" s="151"/>
      <c r="Q35" s="151"/>
      <c r="R35" s="151"/>
    </row>
    <row r="36" spans="5:18" x14ac:dyDescent="0.25">
      <c r="E36" s="151"/>
      <c r="F36" s="156" t="s">
        <v>301</v>
      </c>
      <c r="G36" s="151"/>
      <c r="H36" s="157">
        <f>H20+H33</f>
        <v>170372.43749315329</v>
      </c>
      <c r="I36" s="151"/>
      <c r="J36" s="151"/>
      <c r="K36" s="157">
        <f>K20+K33</f>
        <v>160594.17471076435</v>
      </c>
      <c r="L36" s="151"/>
      <c r="M36" s="157">
        <f>M20+M33</f>
        <v>-9778.2627823889488</v>
      </c>
      <c r="N36" s="151"/>
      <c r="O36" s="151"/>
      <c r="P36" s="151"/>
      <c r="Q36" s="151"/>
      <c r="R36" s="157"/>
    </row>
  </sheetData>
  <conditionalFormatting sqref="N3:N19">
    <cfRule type="cellIs" dxfId="7" priority="7" stopIfTrue="1" operator="lessThan">
      <formula>0</formula>
    </cfRule>
    <cfRule type="cellIs" dxfId="6" priority="8" stopIfTrue="1" operator="greaterThan">
      <formula>0</formula>
    </cfRule>
  </conditionalFormatting>
  <conditionalFormatting sqref="N28:N30">
    <cfRule type="cellIs" dxfId="5" priority="3" stopIfTrue="1" operator="lessThan">
      <formula>0</formula>
    </cfRule>
    <cfRule type="cellIs" dxfId="4" priority="4" stopIfTrue="1" operator="greaterThan">
      <formula>0</formula>
    </cfRule>
  </conditionalFormatting>
  <conditionalFormatting sqref="P3:P19">
    <cfRule type="cellIs" dxfId="3" priority="5" stopIfTrue="1" operator="lessThan">
      <formula>0</formula>
    </cfRule>
    <cfRule type="cellIs" dxfId="2" priority="6" stopIfTrue="1" operator="greaterThan">
      <formula>0</formula>
    </cfRule>
  </conditionalFormatting>
  <conditionalFormatting sqref="P28:P30">
    <cfRule type="cellIs" dxfId="1" priority="1" stopIfTrue="1" operator="lessThan">
      <formula>0</formula>
    </cfRule>
    <cfRule type="cellIs" dxfId="0" priority="2" stopIfTrue="1" operator="greaterThan">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E54F92-613A-40D9-8C04-9791E254E7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Stocks</vt:lpstr>
      <vt:lpstr>FD</vt:lpstr>
      <vt:lpstr>PF</vt:lpstr>
      <vt:lpstr>Gratuity</vt:lpstr>
      <vt:lpstr>NPS - Tier I</vt:lpstr>
      <vt:lpstr>NPS - Tier II</vt:lpstr>
      <vt:lpstr>MF</vt:lpstr>
      <vt:lpstr>Policies</vt:lpstr>
      <vt:lpstr>Bonds</vt:lpstr>
      <vt:lpstr>Crypto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2026-07-23T13:50:51Z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urityLevel">
    <vt:lpwstr>Level 1 – Confidential</vt:lpwstr>
  </property>
  <property fmtid="{D5CDD505-2E9C-101B-9397-08002B2CF9AE}" pid="3" name="Updated">
    <vt:bool>true</vt:bool>
  </property>
  <property fmtid="{D5CDD505-2E9C-101B-9397-08002B2CF9AE}" pid="4" name="WorkbookGuid">
    <vt:lpwstr>c29a6b7d-60a2-496f-a480-789352fec6d7</vt:lpwstr>
  </property>
</Properties>
</file>